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https://csmci.sharepoint.com/sites/CSMCNorCal/Shared Documents/Three Rivers/Budget/21-22 Budget/1st Interim/"/>
    </mc:Choice>
  </mc:AlternateContent>
  <xr:revisionPtr revIDLastSave="121" documentId="8_{6FE9F748-6D62-4216-AB53-99DA8567A367}" xr6:coauthVersionLast="47" xr6:coauthVersionMax="47" xr10:uidLastSave="{A9348234-01AC-4F97-8AF0-13CFDC814A66}"/>
  <bookViews>
    <workbookView xWindow="19090" yWindow="-110" windowWidth="19420" windowHeight="10420" tabRatio="822" xr2:uid="{00000000-000D-0000-FFFF-FFFF00000000}"/>
  </bookViews>
  <sheets>
    <sheet name="Budget Summary" sheetId="16" r:id="rId1"/>
    <sheet name="Student Info" sheetId="14" r:id="rId2"/>
    <sheet name="Revenue Input" sheetId="15" r:id="rId3"/>
    <sheet name="Expenses Input" sheetId="8" state="hidden" r:id="rId4"/>
    <sheet name="Expenses Summary" sheetId="9" r:id="rId5"/>
    <sheet name="Employee Input 20-21" sheetId="1" state="hidden" r:id="rId6"/>
    <sheet name="Fiscal_Sets" sheetId="25" state="hidden" r:id="rId7"/>
    <sheet name="Employee Input 21-22" sheetId="10" state="hidden" r:id="rId8"/>
    <sheet name="Cash Flow %s Yr2" sheetId="26" state="hidden" r:id="rId9"/>
    <sheet name="Employee Input 22-23" sheetId="11" state="hidden" r:id="rId10"/>
    <sheet name="Cash Flow %s Yr3" sheetId="27" state="hidden" r:id="rId11"/>
    <sheet name="Employee Input 23-24" sheetId="12" state="hidden" r:id="rId12"/>
    <sheet name="Cash Flow %s Yr4" sheetId="28" state="hidden" r:id="rId13"/>
    <sheet name="Employee Input 24-25" sheetId="13" state="hidden" r:id="rId14"/>
    <sheet name="Cash Flow %s Yr5" sheetId="29" state="hidden" r:id="rId15"/>
    <sheet name="Cash Flow $s Yr5" sheetId="22" state="hidden" r:id="rId16"/>
    <sheet name="Cash Flow graphs" sheetId="23" state="hidden" r:id="rId17"/>
    <sheet name="CSMC COA" sheetId="30" state="hidden" r:id="rId18"/>
    <sheet name="CSMC Personnel Codes" sheetId="31" state="hidden" r:id="rId19"/>
    <sheet name="SACS Object Codes" sheetId="4" state="hidden" r:id="rId20"/>
    <sheet name="Cash Flow %s Yr1" sheetId="17" state="hidden" r:id="rId21"/>
    <sheet name="Cash Flow $s Y20-21" sheetId="18" state="hidden" r:id="rId22"/>
    <sheet name="Cash Flow $s 21-22" sheetId="33" state="hidden" r:id="rId23"/>
    <sheet name="Cash Flow $s 22-23" sheetId="34" state="hidden" r:id="rId24"/>
    <sheet name="Cash Flow $s 23-24" sheetId="35" state="hidden" r:id="rId25"/>
    <sheet name="Cash Flow $s Yr4" sheetId="21" state="hidden" r:id="rId26"/>
    <sheet name="Sheet2" sheetId="2" state="hidden" r:id="rId27"/>
  </sheets>
  <definedNames>
    <definedName name="Accounts" localSheetId="0">'Budget Summary'!$A$6:$C$43</definedName>
    <definedName name="Accounts" localSheetId="22">'Cash Flow $s 21-22'!$A$6:$C$174</definedName>
    <definedName name="Accounts" localSheetId="23">'Cash Flow $s 22-23'!$A$6:$C$174</definedName>
    <definedName name="Accounts" localSheetId="24">'Cash Flow $s 23-24'!$A$6:$C$174</definedName>
    <definedName name="Accounts" localSheetId="21">'Cash Flow $s Y20-21'!$A$6:$C$175</definedName>
    <definedName name="Accounts" localSheetId="25">'Cash Flow $s Yr4'!$A$6:$C$170</definedName>
    <definedName name="Accounts" localSheetId="15">'Cash Flow $s Yr5'!$A$6:$C$170</definedName>
    <definedName name="Accounts" localSheetId="20">'Cash Flow %s Yr1'!$A$6:$C$168</definedName>
    <definedName name="Accounts" localSheetId="8">'Cash Flow %s Yr2'!$A$6:$C$167</definedName>
    <definedName name="Accounts" localSheetId="10">'Cash Flow %s Yr3'!$A$6:$C$167</definedName>
    <definedName name="Accounts" localSheetId="12">'Cash Flow %s Yr4'!$A$6:$C$167</definedName>
    <definedName name="Accounts" localSheetId="14">'Cash Flow %s Yr5'!$A$6:$C$167</definedName>
    <definedName name="Accounts" localSheetId="16">'Cash Flow graphs'!$A$6:$C$16</definedName>
    <definedName name="Accounts" localSheetId="3">'Expenses Input'!$A$7:$C$176</definedName>
    <definedName name="Accounts" localSheetId="4">'Expenses Summary'!$A$6:$C$130</definedName>
    <definedName name="Accounts" localSheetId="2">'Revenue Input'!$A$6:$C$128</definedName>
    <definedName name="Accounts" localSheetId="1">'Student Info'!$A$6:$C$151</definedName>
    <definedName name="Accounts">#REF!</definedName>
    <definedName name="Fiscal_Sets">Fiscal_Sets!$A$1:$Q$156</definedName>
    <definedName name="_xlnm.Print_Area" localSheetId="0">'Budget Summary'!$A$1:$O$37</definedName>
    <definedName name="_xlnm.Print_Area" localSheetId="22">'Cash Flow $s 21-22'!$A$1:$Q$173</definedName>
    <definedName name="_xlnm.Print_Area" localSheetId="23">'Cash Flow $s 22-23'!$A$1:$Q$173</definedName>
    <definedName name="_xlnm.Print_Area" localSheetId="21">'Cash Flow $s Y20-21'!$A$1:$R$174</definedName>
    <definedName name="_xlnm.Print_Area" localSheetId="5">'Employee Input 20-21'!$A$1:$Z$35</definedName>
    <definedName name="_xlnm.Print_Area" localSheetId="7">'Employee Input 21-22'!$A$1:$Z$90</definedName>
    <definedName name="_xlnm.Print_Area" localSheetId="9">'Employee Input 22-23'!$A$1:$Z$23</definedName>
    <definedName name="_xlnm.Print_Area" localSheetId="11">'Employee Input 23-24'!$A$1:$Z$23</definedName>
    <definedName name="_xlnm.Print_Area" localSheetId="13">'Employee Input 24-25'!$A$1:$Z$23</definedName>
    <definedName name="_xlnm.Print_Area" localSheetId="4">'Expenses Summary'!$A$1:$V$118</definedName>
    <definedName name="_xlnm.Print_Area" localSheetId="2">'Revenue Input'!$A$1:$I$58</definedName>
    <definedName name="_xlnm.Print_Area" localSheetId="1">'Student Info'!$A$1:$H$70</definedName>
    <definedName name="_xlnm.Print_Titles" localSheetId="22">'Cash Flow $s 21-22'!$1:$6</definedName>
    <definedName name="_xlnm.Print_Titles" localSheetId="23">'Cash Flow $s 22-23'!$1:$6</definedName>
    <definedName name="_xlnm.Print_Titles" localSheetId="21">'Cash Flow $s Y20-21'!$1:$6</definedName>
    <definedName name="_xlnm.Print_Titles" localSheetId="16">'Cash Flow graphs'!$1:$3</definedName>
    <definedName name="_xlnm.Print_Titles" localSheetId="5">'Employee Input 20-21'!$B:$C,'Employee Input 20-21'!$1:$6</definedName>
    <definedName name="_xlnm.Print_Titles" localSheetId="7">'Employee Input 21-22'!$B:$C,'Employee Input 21-22'!$1:$6</definedName>
    <definedName name="_xlnm.Print_Titles" localSheetId="9">'Employee Input 22-23'!$B:$C,'Employee Input 22-23'!$1:$6</definedName>
    <definedName name="_xlnm.Print_Titles" localSheetId="11">'Employee Input 23-24'!$B:$C,'Employee Input 23-24'!$1:$6</definedName>
    <definedName name="_xlnm.Print_Titles" localSheetId="13">'Employee Input 24-25'!$B:$C,'Employee Input 24-25'!$1:$6</definedName>
    <definedName name="_xlnm.Print_Titles" localSheetId="3">'Expenses Input'!$1:$7</definedName>
    <definedName name="_xlnm.Print_Titles" localSheetId="4">'Expenses Summary'!$1:$6</definedName>
    <definedName name="_xlnm.Print_Titles" localSheetId="2">'Revenue Input'!$A:$B,'Revenue Input'!$1:$6</definedName>
    <definedName name="_xlnm.Print_Titles" localSheetId="1">'Student Info'!$1:$7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0" l="1"/>
  <c r="I23" i="10"/>
  <c r="I24" i="10"/>
  <c r="I25" i="10"/>
  <c r="I26" i="10"/>
  <c r="I27" i="10"/>
  <c r="I28" i="10"/>
  <c r="I29" i="10"/>
  <c r="I30" i="10"/>
  <c r="I31" i="10"/>
  <c r="D3" i="15" l="1"/>
  <c r="H20" i="15"/>
  <c r="G20" i="15"/>
  <c r="G19" i="15"/>
  <c r="E19" i="15"/>
  <c r="E50" i="8" l="1"/>
  <c r="E40" i="8"/>
  <c r="D17" i="15" l="1"/>
  <c r="E97" i="9"/>
  <c r="E54" i="9"/>
  <c r="I33" i="1"/>
  <c r="J33" i="1"/>
  <c r="M33" i="1"/>
  <c r="J68" i="9"/>
  <c r="R33" i="1"/>
  <c r="V33" i="1"/>
  <c r="Q33" i="1"/>
  <c r="F44" i="9"/>
  <c r="J44" i="9"/>
  <c r="F100" i="9"/>
  <c r="F97" i="9"/>
  <c r="F95" i="9"/>
  <c r="F92" i="9"/>
  <c r="F89" i="9"/>
  <c r="F88" i="9"/>
  <c r="F86" i="9"/>
  <c r="F85" i="9"/>
  <c r="F84" i="9"/>
  <c r="F83" i="9"/>
  <c r="F82" i="9"/>
  <c r="F81" i="9"/>
  <c r="F80" i="9"/>
  <c r="F79" i="9"/>
  <c r="F78" i="9"/>
  <c r="F76" i="9"/>
  <c r="F74" i="9"/>
  <c r="F73" i="9"/>
  <c r="F71" i="9"/>
  <c r="F70" i="9"/>
  <c r="F68" i="9"/>
  <c r="F64" i="9"/>
  <c r="F57" i="9"/>
  <c r="F55" i="9"/>
  <c r="F54" i="9"/>
  <c r="F53" i="9"/>
  <c r="F52" i="9"/>
  <c r="F50" i="9"/>
  <c r="F49" i="9"/>
  <c r="F48" i="9"/>
  <c r="F47" i="9"/>
  <c r="F40" i="9"/>
  <c r="F38" i="9"/>
  <c r="F37" i="9"/>
  <c r="F33" i="9"/>
  <c r="E107" i="9"/>
  <c r="G107" i="9"/>
  <c r="H107" i="9"/>
  <c r="H115" i="9" s="1"/>
  <c r="H118" i="9" s="1"/>
  <c r="I107" i="9"/>
  <c r="J107" i="9"/>
  <c r="K107" i="9"/>
  <c r="L107" i="9"/>
  <c r="M107" i="9"/>
  <c r="N107" i="9"/>
  <c r="O107" i="9"/>
  <c r="P107" i="9"/>
  <c r="P115" i="9" s="1"/>
  <c r="Q107" i="9"/>
  <c r="G103" i="9"/>
  <c r="H103" i="9"/>
  <c r="I103" i="9"/>
  <c r="J103" i="9"/>
  <c r="K103" i="9"/>
  <c r="L103" i="9"/>
  <c r="L115" i="9" s="1"/>
  <c r="M103" i="9"/>
  <c r="N103" i="9"/>
  <c r="O103" i="9"/>
  <c r="P103" i="9"/>
  <c r="Q103" i="9"/>
  <c r="G65" i="9"/>
  <c r="H65" i="9"/>
  <c r="I65" i="9"/>
  <c r="I115" i="9" s="1"/>
  <c r="I118" i="9" s="1"/>
  <c r="J65" i="9"/>
  <c r="K65" i="9"/>
  <c r="K115" i="9"/>
  <c r="L65" i="9"/>
  <c r="M65" i="9"/>
  <c r="M115" i="9" s="1"/>
  <c r="N65" i="9"/>
  <c r="O65" i="9"/>
  <c r="P65" i="9"/>
  <c r="Q65" i="9"/>
  <c r="G42" i="9"/>
  <c r="H42" i="9"/>
  <c r="I42" i="9"/>
  <c r="J42" i="9"/>
  <c r="K42" i="9"/>
  <c r="L42" i="9"/>
  <c r="M42" i="9"/>
  <c r="N42" i="9"/>
  <c r="O42" i="9"/>
  <c r="P42" i="9"/>
  <c r="Q42" i="9"/>
  <c r="G30" i="9"/>
  <c r="H30" i="9"/>
  <c r="H44" i="9"/>
  <c r="I30" i="9"/>
  <c r="I44" i="9" s="1"/>
  <c r="J30" i="9"/>
  <c r="K30" i="9"/>
  <c r="L30" i="9"/>
  <c r="L44" i="9"/>
  <c r="M30" i="9"/>
  <c r="N30" i="9"/>
  <c r="O30" i="9"/>
  <c r="P30" i="9"/>
  <c r="Q30" i="9"/>
  <c r="Q44" i="9"/>
  <c r="G17" i="9"/>
  <c r="G44" i="9" s="1"/>
  <c r="H17" i="9"/>
  <c r="I17" i="9"/>
  <c r="J17" i="9"/>
  <c r="K17" i="9"/>
  <c r="K44" i="9" s="1"/>
  <c r="L17" i="9"/>
  <c r="M17" i="9"/>
  <c r="M44" i="9" s="1"/>
  <c r="N17" i="9"/>
  <c r="O17" i="9"/>
  <c r="O44" i="9" s="1"/>
  <c r="O118" i="9" s="1"/>
  <c r="O5" i="9" s="1"/>
  <c r="P17" i="9"/>
  <c r="P44" i="9" s="1"/>
  <c r="Q17" i="9"/>
  <c r="M4" i="9"/>
  <c r="K4" i="9"/>
  <c r="J4" i="9"/>
  <c r="I4" i="9"/>
  <c r="H4" i="9"/>
  <c r="H5" i="9" s="1"/>
  <c r="E65" i="9"/>
  <c r="E103" i="9"/>
  <c r="E42" i="9"/>
  <c r="E30" i="9"/>
  <c r="E17" i="9"/>
  <c r="E44" i="9" s="1"/>
  <c r="E115" i="9"/>
  <c r="E118" i="9" s="1"/>
  <c r="O115" i="9"/>
  <c r="N115" i="9"/>
  <c r="J115" i="9"/>
  <c r="J118" i="9"/>
  <c r="G115" i="9"/>
  <c r="Q115" i="9"/>
  <c r="Q118" i="9" s="1"/>
  <c r="Q5" i="9" s="1"/>
  <c r="S34" i="15"/>
  <c r="Y30" i="1"/>
  <c r="Y31" i="1"/>
  <c r="Y28" i="1"/>
  <c r="Z28" i="1"/>
  <c r="P29" i="1"/>
  <c r="I29" i="1"/>
  <c r="J29" i="1"/>
  <c r="M29" i="1"/>
  <c r="Q29" i="1"/>
  <c r="E42" i="8"/>
  <c r="G42" i="8"/>
  <c r="H42" i="8"/>
  <c r="I42" i="8"/>
  <c r="I61" i="8"/>
  <c r="V96" i="9" s="1"/>
  <c r="D136" i="22" s="1"/>
  <c r="H61" i="8"/>
  <c r="G61" i="8"/>
  <c r="T96" i="9" s="1"/>
  <c r="D61" i="8"/>
  <c r="K142" i="18" s="1"/>
  <c r="V29" i="1"/>
  <c r="R29" i="1"/>
  <c r="Y29" i="1"/>
  <c r="Z29" i="1"/>
  <c r="G20" i="13"/>
  <c r="H20" i="13"/>
  <c r="G21" i="13"/>
  <c r="H21" i="13"/>
  <c r="G22" i="13"/>
  <c r="H22" i="13"/>
  <c r="G23" i="13"/>
  <c r="G24" i="13"/>
  <c r="H24" i="13"/>
  <c r="G25" i="13"/>
  <c r="H25" i="13"/>
  <c r="G26" i="13"/>
  <c r="H26" i="13"/>
  <c r="G28" i="13"/>
  <c r="H28" i="13"/>
  <c r="G30" i="13"/>
  <c r="H30" i="13"/>
  <c r="G31" i="13"/>
  <c r="H31" i="13"/>
  <c r="G32" i="13"/>
  <c r="H32" i="13"/>
  <c r="G13" i="13"/>
  <c r="H13" i="13"/>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G24" i="12"/>
  <c r="H24" i="12"/>
  <c r="G25" i="12"/>
  <c r="H25" i="12"/>
  <c r="G26" i="12"/>
  <c r="H26" i="12"/>
  <c r="G27" i="12"/>
  <c r="G27" i="13" s="1"/>
  <c r="G28" i="12"/>
  <c r="H28" i="12"/>
  <c r="G30" i="12"/>
  <c r="H30" i="12"/>
  <c r="G31" i="12"/>
  <c r="H31" i="12"/>
  <c r="G32" i="12"/>
  <c r="H32" i="12"/>
  <c r="G9" i="12"/>
  <c r="H9" i="12"/>
  <c r="G10" i="11"/>
  <c r="H10" i="11"/>
  <c r="G11" i="11"/>
  <c r="H11" i="11"/>
  <c r="G12" i="11"/>
  <c r="H12" i="11"/>
  <c r="G13" i="11"/>
  <c r="H13" i="11"/>
  <c r="G14" i="11"/>
  <c r="H14" i="11"/>
  <c r="G15" i="11"/>
  <c r="H15" i="11"/>
  <c r="G16" i="11"/>
  <c r="H16" i="11"/>
  <c r="G17" i="11"/>
  <c r="H17" i="11"/>
  <c r="G18" i="11"/>
  <c r="H18" i="11"/>
  <c r="G19" i="11"/>
  <c r="H19" i="11"/>
  <c r="G20" i="11"/>
  <c r="H20" i="11"/>
  <c r="G21" i="11"/>
  <c r="H21" i="11"/>
  <c r="G22" i="11"/>
  <c r="H22" i="11"/>
  <c r="G23" i="11"/>
  <c r="H23" i="11"/>
  <c r="H23" i="12" s="1"/>
  <c r="H23" i="13" s="1"/>
  <c r="G24" i="11"/>
  <c r="H24" i="11"/>
  <c r="G25" i="11"/>
  <c r="H25" i="11"/>
  <c r="G26" i="11"/>
  <c r="H26" i="11"/>
  <c r="G27" i="11"/>
  <c r="H27" i="11"/>
  <c r="H27" i="12" s="1"/>
  <c r="H27" i="13" s="1"/>
  <c r="G28" i="11"/>
  <c r="H28" i="11"/>
  <c r="G30" i="11"/>
  <c r="H30" i="11"/>
  <c r="G31" i="11"/>
  <c r="H31" i="11"/>
  <c r="G32" i="11"/>
  <c r="H32" i="11"/>
  <c r="G9" i="11"/>
  <c r="H9" i="11"/>
  <c r="G13" i="10"/>
  <c r="H13" i="10"/>
  <c r="G14" i="10"/>
  <c r="H14" i="10"/>
  <c r="G15" i="10"/>
  <c r="H15" i="10"/>
  <c r="G16" i="10"/>
  <c r="H16" i="10"/>
  <c r="G17" i="10"/>
  <c r="H17" i="10"/>
  <c r="G18" i="10"/>
  <c r="H18" i="10"/>
  <c r="G19" i="10"/>
  <c r="H19" i="10"/>
  <c r="G23" i="10"/>
  <c r="G24" i="10"/>
  <c r="H24" i="10"/>
  <c r="G25" i="10"/>
  <c r="H25" i="10"/>
  <c r="G26" i="10"/>
  <c r="H26" i="10"/>
  <c r="G28" i="10"/>
  <c r="H28" i="10"/>
  <c r="G29" i="10"/>
  <c r="G29" i="11"/>
  <c r="G29" i="12"/>
  <c r="G29" i="13"/>
  <c r="H29" i="11"/>
  <c r="H29" i="12" s="1"/>
  <c r="H29" i="13" s="1"/>
  <c r="G30" i="10"/>
  <c r="H30" i="10"/>
  <c r="G31" i="10"/>
  <c r="H31" i="10"/>
  <c r="G32" i="10"/>
  <c r="H32" i="10"/>
  <c r="C24" i="13"/>
  <c r="C25" i="13"/>
  <c r="C26" i="13"/>
  <c r="C27" i="13"/>
  <c r="C28" i="13"/>
  <c r="C29" i="13"/>
  <c r="C30" i="13"/>
  <c r="C31" i="13"/>
  <c r="C32" i="13"/>
  <c r="B33" i="13"/>
  <c r="C33" i="13"/>
  <c r="D33" i="13"/>
  <c r="E33" i="13"/>
  <c r="F33" i="13"/>
  <c r="I33" i="13"/>
  <c r="J33" i="13"/>
  <c r="M33" i="13" s="1"/>
  <c r="K33" i="13"/>
  <c r="L33" i="13"/>
  <c r="N33" i="13"/>
  <c r="O33" i="13"/>
  <c r="X22" i="12"/>
  <c r="E31" i="11"/>
  <c r="E31" i="12"/>
  <c r="E31" i="13"/>
  <c r="B33" i="11"/>
  <c r="C33" i="11"/>
  <c r="D33" i="11"/>
  <c r="E33" i="11"/>
  <c r="F33" i="11"/>
  <c r="I33" i="11"/>
  <c r="J33" i="11"/>
  <c r="M33" i="11" s="1"/>
  <c r="K33" i="11"/>
  <c r="L33" i="11"/>
  <c r="N33" i="11"/>
  <c r="B28" i="10"/>
  <c r="B28" i="11"/>
  <c r="B28" i="12"/>
  <c r="B28" i="13"/>
  <c r="C28" i="10"/>
  <c r="D28" i="10"/>
  <c r="D28" i="11"/>
  <c r="D28" i="12"/>
  <c r="D28" i="13"/>
  <c r="E28" i="10"/>
  <c r="E28" i="11"/>
  <c r="E28" i="12"/>
  <c r="E28" i="13"/>
  <c r="F28" i="11"/>
  <c r="F28" i="12"/>
  <c r="F28" i="13" s="1"/>
  <c r="I28" i="11"/>
  <c r="I28" i="12" s="1"/>
  <c r="I28" i="13" s="1"/>
  <c r="J28" i="13" s="1"/>
  <c r="K28" i="10"/>
  <c r="K28" i="11"/>
  <c r="K28" i="12"/>
  <c r="K28" i="13"/>
  <c r="L28" i="10"/>
  <c r="L28" i="11"/>
  <c r="L28" i="12"/>
  <c r="L28" i="13"/>
  <c r="N28" i="10"/>
  <c r="O28" i="10"/>
  <c r="B29" i="10"/>
  <c r="B29" i="11"/>
  <c r="B29" i="12"/>
  <c r="B29" i="13"/>
  <c r="C29" i="10"/>
  <c r="D29" i="11"/>
  <c r="D29" i="12" s="1"/>
  <c r="D29" i="13" s="1"/>
  <c r="E29" i="10"/>
  <c r="E29" i="11"/>
  <c r="E29" i="12"/>
  <c r="E29" i="13"/>
  <c r="F29" i="11"/>
  <c r="F29" i="12" s="1"/>
  <c r="F29" i="13" s="1"/>
  <c r="I29" i="11"/>
  <c r="K29" i="11"/>
  <c r="K29" i="12" s="1"/>
  <c r="K29" i="13" s="1"/>
  <c r="L29" i="10"/>
  <c r="L29" i="11"/>
  <c r="L29" i="12"/>
  <c r="L29" i="13"/>
  <c r="N29" i="10"/>
  <c r="P29" i="10"/>
  <c r="B30" i="10"/>
  <c r="B30" i="11"/>
  <c r="B30" i="12"/>
  <c r="B30" i="13"/>
  <c r="C30" i="10"/>
  <c r="D30" i="10"/>
  <c r="D30" i="11"/>
  <c r="D30" i="12"/>
  <c r="D30" i="13"/>
  <c r="E30" i="10"/>
  <c r="E30" i="11"/>
  <c r="E30" i="12"/>
  <c r="E30" i="13"/>
  <c r="F30" i="11"/>
  <c r="F30" i="12"/>
  <c r="F30" i="13"/>
  <c r="I30" i="11"/>
  <c r="J30" i="11" s="1"/>
  <c r="T22" i="9" s="1"/>
  <c r="K30" i="10"/>
  <c r="K30" i="11"/>
  <c r="K30" i="12"/>
  <c r="K30" i="13"/>
  <c r="L30" i="10"/>
  <c r="L30" i="11"/>
  <c r="L30" i="12"/>
  <c r="L30" i="13"/>
  <c r="N30" i="10"/>
  <c r="O30" i="10"/>
  <c r="P30" i="10"/>
  <c r="B31" i="10"/>
  <c r="B31" i="11"/>
  <c r="B31" i="12"/>
  <c r="B31" i="13"/>
  <c r="C31" i="10"/>
  <c r="D31" i="10"/>
  <c r="D31" i="11"/>
  <c r="D31" i="12"/>
  <c r="D31" i="13"/>
  <c r="E31" i="10"/>
  <c r="F31" i="11"/>
  <c r="F31" i="12" s="1"/>
  <c r="F31" i="13" s="1"/>
  <c r="J31" i="10"/>
  <c r="K31" i="10"/>
  <c r="K31" i="11"/>
  <c r="K31" i="12"/>
  <c r="K31" i="13"/>
  <c r="L31" i="10"/>
  <c r="L31" i="11"/>
  <c r="L31" i="12"/>
  <c r="L31" i="13"/>
  <c r="N31" i="10"/>
  <c r="O31" i="10"/>
  <c r="B32" i="10"/>
  <c r="B32" i="11"/>
  <c r="B32" i="12"/>
  <c r="B32" i="13"/>
  <c r="C32" i="10"/>
  <c r="D32" i="10"/>
  <c r="D32" i="11"/>
  <c r="D32" i="12"/>
  <c r="D32" i="13"/>
  <c r="E32" i="10"/>
  <c r="E32" i="11"/>
  <c r="E32" i="12"/>
  <c r="E32" i="13"/>
  <c r="F32" i="10"/>
  <c r="F32" i="11"/>
  <c r="F32" i="12"/>
  <c r="F32" i="13"/>
  <c r="K32" i="10"/>
  <c r="K32" i="11"/>
  <c r="K32" i="12"/>
  <c r="L32" i="10"/>
  <c r="L32" i="11"/>
  <c r="L32" i="12"/>
  <c r="L32" i="13"/>
  <c r="N32" i="10"/>
  <c r="B23" i="10"/>
  <c r="C23" i="10"/>
  <c r="D23" i="10"/>
  <c r="E23" i="10"/>
  <c r="K23" i="10"/>
  <c r="L23" i="10"/>
  <c r="N23" i="10"/>
  <c r="P23" i="10"/>
  <c r="B24" i="10"/>
  <c r="B24" i="11"/>
  <c r="B24" i="12"/>
  <c r="B24" i="13"/>
  <c r="C24" i="10"/>
  <c r="D24" i="10"/>
  <c r="D24" i="11"/>
  <c r="D24" i="12"/>
  <c r="D24" i="13"/>
  <c r="E24" i="10"/>
  <c r="E24" i="11"/>
  <c r="E24" i="12"/>
  <c r="E24" i="13"/>
  <c r="F24" i="11"/>
  <c r="F24" i="12" s="1"/>
  <c r="K24" i="11"/>
  <c r="K24" i="12" s="1"/>
  <c r="L24" i="10"/>
  <c r="L24" i="11"/>
  <c r="L24" i="12"/>
  <c r="L24" i="13"/>
  <c r="N24" i="10"/>
  <c r="O24" i="10"/>
  <c r="B25" i="10"/>
  <c r="B25" i="11"/>
  <c r="B25" i="12"/>
  <c r="B25" i="13"/>
  <c r="C25" i="10"/>
  <c r="D25" i="10"/>
  <c r="D25" i="11"/>
  <c r="D25" i="12"/>
  <c r="D25" i="13"/>
  <c r="E25" i="10"/>
  <c r="E25" i="11"/>
  <c r="E25" i="12"/>
  <c r="E25" i="13"/>
  <c r="F25" i="11"/>
  <c r="F25" i="12"/>
  <c r="F25" i="13" s="1"/>
  <c r="K25" i="10"/>
  <c r="K25" i="11"/>
  <c r="K25" i="12"/>
  <c r="K25" i="13"/>
  <c r="L25" i="10"/>
  <c r="L25" i="11"/>
  <c r="L25" i="12"/>
  <c r="L25" i="13"/>
  <c r="N25" i="10"/>
  <c r="P25" i="10"/>
  <c r="B26" i="10"/>
  <c r="B26" i="11"/>
  <c r="B26" i="12"/>
  <c r="B26" i="13"/>
  <c r="D26" i="10"/>
  <c r="D26" i="11"/>
  <c r="D26" i="12"/>
  <c r="D26" i="13"/>
  <c r="E26" i="10"/>
  <c r="E26" i="11"/>
  <c r="E26" i="12"/>
  <c r="E26" i="13"/>
  <c r="F26" i="11"/>
  <c r="F26" i="12" s="1"/>
  <c r="F26" i="13" s="1"/>
  <c r="K26" i="10"/>
  <c r="K26" i="11"/>
  <c r="K26" i="12"/>
  <c r="K26" i="13"/>
  <c r="L26" i="10"/>
  <c r="L26" i="11"/>
  <c r="L26" i="12"/>
  <c r="L26" i="13"/>
  <c r="N26" i="10"/>
  <c r="N26" i="11"/>
  <c r="B27" i="10"/>
  <c r="B27" i="11"/>
  <c r="B27" i="12"/>
  <c r="B27" i="13"/>
  <c r="D27" i="10"/>
  <c r="D27" i="11"/>
  <c r="D27" i="12"/>
  <c r="D27" i="13"/>
  <c r="E27" i="11"/>
  <c r="E27" i="12" s="1"/>
  <c r="E27" i="13" s="1"/>
  <c r="F27" i="11"/>
  <c r="F27" i="12" s="1"/>
  <c r="F27" i="13" s="1"/>
  <c r="J27" i="10"/>
  <c r="K27" i="10"/>
  <c r="K27" i="11"/>
  <c r="K27" i="12"/>
  <c r="K27" i="13"/>
  <c r="L27" i="10"/>
  <c r="L27" i="11"/>
  <c r="L27" i="12"/>
  <c r="L27" i="13"/>
  <c r="N27" i="10"/>
  <c r="P27" i="10"/>
  <c r="I31" i="1"/>
  <c r="J31" i="1"/>
  <c r="M31" i="1"/>
  <c r="I32" i="1"/>
  <c r="J32" i="1"/>
  <c r="M32" i="1"/>
  <c r="R32" i="1"/>
  <c r="I32" i="10"/>
  <c r="I32" i="11"/>
  <c r="J32" i="11"/>
  <c r="M32" i="11" s="1"/>
  <c r="P33" i="13"/>
  <c r="O27" i="10"/>
  <c r="P26" i="10"/>
  <c r="I27" i="11"/>
  <c r="I27" i="12" s="1"/>
  <c r="O26" i="10"/>
  <c r="J30" i="10"/>
  <c r="P31" i="10"/>
  <c r="J29" i="10"/>
  <c r="M29" i="10"/>
  <c r="Q29" i="10" s="1"/>
  <c r="I32" i="12"/>
  <c r="J28" i="11"/>
  <c r="M28" i="11"/>
  <c r="R28" i="11" s="1"/>
  <c r="P26" i="11"/>
  <c r="N26" i="12"/>
  <c r="O26" i="11"/>
  <c r="M30" i="11"/>
  <c r="Q30" i="11" s="1"/>
  <c r="I30" i="12"/>
  <c r="J30" i="12" s="1"/>
  <c r="U22" i="9" s="1"/>
  <c r="K68" i="21" s="1"/>
  <c r="K32" i="13"/>
  <c r="O25" i="10"/>
  <c r="M31" i="10"/>
  <c r="J28" i="10"/>
  <c r="M28" i="10" s="1"/>
  <c r="N25" i="11"/>
  <c r="O25" i="11"/>
  <c r="O29" i="10"/>
  <c r="M30" i="10"/>
  <c r="N32" i="11"/>
  <c r="N31" i="11"/>
  <c r="P31" i="11"/>
  <c r="J32" i="10"/>
  <c r="M32" i="10"/>
  <c r="N30" i="11"/>
  <c r="P30" i="11"/>
  <c r="N29" i="11"/>
  <c r="P29" i="11"/>
  <c r="N24" i="11"/>
  <c r="N28" i="11"/>
  <c r="N27" i="11"/>
  <c r="P27" i="11"/>
  <c r="P33" i="11"/>
  <c r="I31" i="11"/>
  <c r="I31" i="12" s="1"/>
  <c r="I31" i="13" s="1"/>
  <c r="J31" i="13" s="1"/>
  <c r="M31" i="13" s="1"/>
  <c r="O33" i="11"/>
  <c r="P32" i="10"/>
  <c r="O32" i="10"/>
  <c r="P28" i="10"/>
  <c r="V31" i="1"/>
  <c r="Q31" i="1"/>
  <c r="R31" i="1"/>
  <c r="M27" i="10"/>
  <c r="R27" i="10" s="1"/>
  <c r="P24" i="10"/>
  <c r="O23" i="10"/>
  <c r="Q32" i="1"/>
  <c r="Y32" i="1"/>
  <c r="Z32" i="1"/>
  <c r="V32" i="1"/>
  <c r="Z31" i="1"/>
  <c r="J27" i="11"/>
  <c r="M27" i="11" s="1"/>
  <c r="P26" i="12"/>
  <c r="O26" i="12"/>
  <c r="N26" i="13"/>
  <c r="O29" i="11"/>
  <c r="N29" i="12"/>
  <c r="O30" i="11"/>
  <c r="N30" i="12"/>
  <c r="N25" i="12"/>
  <c r="P25" i="11"/>
  <c r="P24" i="11"/>
  <c r="J28" i="12"/>
  <c r="M28" i="12" s="1"/>
  <c r="Q28" i="12" s="1"/>
  <c r="M28" i="13"/>
  <c r="O31" i="11"/>
  <c r="N31" i="12"/>
  <c r="I30" i="13"/>
  <c r="J30" i="13" s="1"/>
  <c r="O27" i="11"/>
  <c r="N27" i="12"/>
  <c r="P32" i="11"/>
  <c r="N32" i="12"/>
  <c r="O32" i="11"/>
  <c r="O24" i="11"/>
  <c r="N24" i="12"/>
  <c r="P28" i="11"/>
  <c r="N28" i="12"/>
  <c r="O28" i="11"/>
  <c r="I25" i="1"/>
  <c r="O25" i="1"/>
  <c r="P25" i="1"/>
  <c r="I24" i="1"/>
  <c r="I26" i="1"/>
  <c r="I28" i="1"/>
  <c r="I30" i="1"/>
  <c r="I23" i="1"/>
  <c r="J23" i="10"/>
  <c r="M23" i="10"/>
  <c r="V23" i="10" s="1"/>
  <c r="I13" i="1"/>
  <c r="O24" i="12"/>
  <c r="N24" i="13"/>
  <c r="P24" i="12"/>
  <c r="J31" i="12"/>
  <c r="M31" i="12" s="1"/>
  <c r="V31" i="12" s="1"/>
  <c r="P29" i="12"/>
  <c r="N29" i="13"/>
  <c r="O29" i="12"/>
  <c r="O27" i="12"/>
  <c r="N27" i="13"/>
  <c r="P27" i="12"/>
  <c r="O31" i="12"/>
  <c r="N31" i="13"/>
  <c r="P31" i="12"/>
  <c r="P25" i="12"/>
  <c r="O25" i="12"/>
  <c r="N25" i="13"/>
  <c r="P26" i="13"/>
  <c r="O26" i="13"/>
  <c r="J26" i="10"/>
  <c r="M26" i="10" s="1"/>
  <c r="I26" i="11"/>
  <c r="P28" i="12"/>
  <c r="N28" i="13"/>
  <c r="O28" i="12"/>
  <c r="J24" i="10"/>
  <c r="M24" i="10"/>
  <c r="V24" i="10" s="1"/>
  <c r="I24" i="11"/>
  <c r="J24" i="11" s="1"/>
  <c r="P32" i="12"/>
  <c r="N32" i="13"/>
  <c r="O32" i="12"/>
  <c r="O30" i="12"/>
  <c r="N30" i="13"/>
  <c r="P30" i="12"/>
  <c r="J25" i="1"/>
  <c r="M25" i="1"/>
  <c r="R25" i="1"/>
  <c r="J30" i="1"/>
  <c r="M30" i="1"/>
  <c r="J28" i="1"/>
  <c r="M28" i="1"/>
  <c r="V28" i="1"/>
  <c r="O32" i="13"/>
  <c r="P32" i="13"/>
  <c r="O31" i="13"/>
  <c r="P31" i="13"/>
  <c r="I24" i="12"/>
  <c r="I24" i="13" s="1"/>
  <c r="J24" i="13" s="1"/>
  <c r="O29" i="13"/>
  <c r="P29" i="13"/>
  <c r="J26" i="11"/>
  <c r="M26" i="11" s="1"/>
  <c r="V26" i="11" s="1"/>
  <c r="I26" i="12"/>
  <c r="I26" i="13" s="1"/>
  <c r="J26" i="13" s="1"/>
  <c r="M26" i="13" s="1"/>
  <c r="O30" i="13"/>
  <c r="P30" i="13"/>
  <c r="P27" i="13"/>
  <c r="O27" i="13"/>
  <c r="O24" i="13"/>
  <c r="P24" i="13"/>
  <c r="J25" i="10"/>
  <c r="M25" i="10"/>
  <c r="R25" i="10" s="1"/>
  <c r="I25" i="11"/>
  <c r="P28" i="13"/>
  <c r="O28" i="13"/>
  <c r="P25" i="13"/>
  <c r="O25" i="13"/>
  <c r="Q25" i="1"/>
  <c r="V25" i="1"/>
  <c r="V30" i="1"/>
  <c r="Q30" i="1"/>
  <c r="R30" i="1"/>
  <c r="I25" i="12"/>
  <c r="J25" i="12" s="1"/>
  <c r="M25" i="12" s="1"/>
  <c r="J25" i="11"/>
  <c r="M25" i="11" s="1"/>
  <c r="Y25" i="1"/>
  <c r="Z25" i="1"/>
  <c r="G47" i="8"/>
  <c r="H47" i="8" s="1"/>
  <c r="E29" i="8"/>
  <c r="G28" i="8"/>
  <c r="H28" i="8"/>
  <c r="I28" i="8"/>
  <c r="S27" i="18"/>
  <c r="S16" i="18"/>
  <c r="S98" i="17"/>
  <c r="C9" i="13"/>
  <c r="C10" i="13"/>
  <c r="C11" i="13"/>
  <c r="C12" i="13"/>
  <c r="C13" i="13"/>
  <c r="C21" i="13"/>
  <c r="C23" i="13"/>
  <c r="D18" i="12"/>
  <c r="D19" i="12"/>
  <c r="F18" i="11"/>
  <c r="U18" i="11"/>
  <c r="F19" i="11"/>
  <c r="U19" i="11"/>
  <c r="B9" i="10"/>
  <c r="B9" i="11"/>
  <c r="B9" i="12"/>
  <c r="B9" i="13"/>
  <c r="C9" i="10"/>
  <c r="D9" i="10"/>
  <c r="D9" i="11"/>
  <c r="D9" i="12"/>
  <c r="D9" i="13"/>
  <c r="E9" i="10"/>
  <c r="E9" i="11"/>
  <c r="E9" i="12"/>
  <c r="E9" i="13"/>
  <c r="F9" i="10"/>
  <c r="U9" i="10"/>
  <c r="I9" i="11"/>
  <c r="J9" i="11" s="1"/>
  <c r="M9" i="11" s="1"/>
  <c r="O9" i="11" s="1"/>
  <c r="K9" i="11"/>
  <c r="K9" i="12" s="1"/>
  <c r="L9" i="10"/>
  <c r="L9" i="11"/>
  <c r="L9" i="12"/>
  <c r="L9" i="13"/>
  <c r="N9" i="10"/>
  <c r="N9" i="11"/>
  <c r="N9" i="12"/>
  <c r="N9" i="13"/>
  <c r="B10" i="10"/>
  <c r="B10" i="11"/>
  <c r="B10" i="12"/>
  <c r="B10" i="13"/>
  <c r="C10" i="10"/>
  <c r="D10" i="10"/>
  <c r="D10" i="11"/>
  <c r="D10" i="12"/>
  <c r="D10" i="13"/>
  <c r="E10" i="10"/>
  <c r="E10" i="11"/>
  <c r="E10" i="12"/>
  <c r="E10" i="13"/>
  <c r="F10" i="10"/>
  <c r="J10" i="10"/>
  <c r="K10" i="11"/>
  <c r="K10" i="12"/>
  <c r="K10" i="13" s="1"/>
  <c r="L10" i="10"/>
  <c r="L10" i="11"/>
  <c r="L10" i="12"/>
  <c r="L10" i="13"/>
  <c r="N10" i="10"/>
  <c r="Q10" i="10"/>
  <c r="B11" i="10"/>
  <c r="B11" i="11"/>
  <c r="B11" i="12"/>
  <c r="B11" i="13"/>
  <c r="C11" i="10"/>
  <c r="D11" i="11"/>
  <c r="D11" i="12"/>
  <c r="D11" i="13" s="1"/>
  <c r="E11" i="10"/>
  <c r="E11" i="11"/>
  <c r="E11" i="12"/>
  <c r="E11" i="13"/>
  <c r="F11" i="10"/>
  <c r="U11" i="10"/>
  <c r="J11" i="10"/>
  <c r="K11" i="11"/>
  <c r="K11" i="12" s="1"/>
  <c r="K11" i="13" s="1"/>
  <c r="L11" i="10"/>
  <c r="L11" i="11"/>
  <c r="L11" i="12"/>
  <c r="L11" i="13"/>
  <c r="N11" i="10"/>
  <c r="N11" i="11"/>
  <c r="B12" i="10"/>
  <c r="B12" i="11"/>
  <c r="B12" i="12"/>
  <c r="B12" i="13"/>
  <c r="C12" i="10"/>
  <c r="D12" i="11"/>
  <c r="D12" i="12"/>
  <c r="D12" i="13" s="1"/>
  <c r="E12" i="10"/>
  <c r="E12" i="11"/>
  <c r="E12" i="12"/>
  <c r="E12" i="13"/>
  <c r="F12" i="10"/>
  <c r="U12" i="10"/>
  <c r="I12" i="11"/>
  <c r="J12" i="11" s="1"/>
  <c r="M12" i="11" s="1"/>
  <c r="K12" i="11"/>
  <c r="K12" i="12"/>
  <c r="K12" i="13" s="1"/>
  <c r="L12" i="10"/>
  <c r="L12" i="11"/>
  <c r="L12" i="12"/>
  <c r="L12" i="13"/>
  <c r="N12" i="10"/>
  <c r="N12" i="11"/>
  <c r="B13" i="10"/>
  <c r="B13" i="11"/>
  <c r="B13" i="12"/>
  <c r="B13" i="13"/>
  <c r="C13" i="11"/>
  <c r="D13" i="10"/>
  <c r="D13" i="11"/>
  <c r="D13" i="12"/>
  <c r="D13" i="13"/>
  <c r="E13" i="10"/>
  <c r="E13" i="11"/>
  <c r="E13" i="12"/>
  <c r="E13" i="13"/>
  <c r="F13" i="11"/>
  <c r="F13" i="12" s="1"/>
  <c r="I13" i="11"/>
  <c r="I13" i="12" s="1"/>
  <c r="K13" i="10"/>
  <c r="K13" i="11"/>
  <c r="K13" i="12"/>
  <c r="K13" i="13"/>
  <c r="L13" i="10"/>
  <c r="L13" i="11"/>
  <c r="L13" i="12"/>
  <c r="L13" i="13"/>
  <c r="N13" i="10"/>
  <c r="P13" i="10"/>
  <c r="B14" i="10"/>
  <c r="B14" i="11"/>
  <c r="B14" i="12"/>
  <c r="C14" i="10"/>
  <c r="C14" i="11"/>
  <c r="D14" i="10"/>
  <c r="D14" i="11"/>
  <c r="D14" i="12"/>
  <c r="E14" i="10"/>
  <c r="E14" i="11"/>
  <c r="E14" i="12"/>
  <c r="F14" i="10"/>
  <c r="F14" i="11"/>
  <c r="I14" i="10"/>
  <c r="J14" i="10"/>
  <c r="K14" i="10"/>
  <c r="K14" i="11"/>
  <c r="K14" i="12"/>
  <c r="L14" i="10"/>
  <c r="L14" i="11"/>
  <c r="L14" i="12"/>
  <c r="N14" i="10"/>
  <c r="B15" i="10"/>
  <c r="B15" i="11"/>
  <c r="B15" i="12"/>
  <c r="C15" i="10"/>
  <c r="C15" i="11"/>
  <c r="D15" i="10"/>
  <c r="D15" i="11"/>
  <c r="D15" i="12"/>
  <c r="E15" i="10"/>
  <c r="E15" i="11"/>
  <c r="E15" i="12"/>
  <c r="F15" i="10"/>
  <c r="U15" i="10"/>
  <c r="I15" i="10"/>
  <c r="J15" i="10"/>
  <c r="K15" i="10"/>
  <c r="K15" i="11"/>
  <c r="K15" i="12"/>
  <c r="L15" i="10"/>
  <c r="L15" i="11"/>
  <c r="L15" i="12"/>
  <c r="N15" i="10"/>
  <c r="B17" i="10"/>
  <c r="B17" i="11"/>
  <c r="B17" i="12"/>
  <c r="C17" i="10"/>
  <c r="C17" i="11"/>
  <c r="D17" i="10"/>
  <c r="D17" i="11"/>
  <c r="D17" i="12"/>
  <c r="E17" i="10"/>
  <c r="E17" i="11"/>
  <c r="E17" i="12"/>
  <c r="F17" i="10"/>
  <c r="U17" i="10"/>
  <c r="I17" i="10"/>
  <c r="I17" i="11"/>
  <c r="K17" i="10"/>
  <c r="K17" i="11"/>
  <c r="K17" i="12"/>
  <c r="L17" i="10"/>
  <c r="L17" i="11"/>
  <c r="L17" i="12"/>
  <c r="N17" i="10"/>
  <c r="O17" i="10"/>
  <c r="B18" i="10"/>
  <c r="B18" i="11"/>
  <c r="B18" i="12"/>
  <c r="C18" i="10"/>
  <c r="C18" i="11"/>
  <c r="D18" i="10"/>
  <c r="E18" i="10"/>
  <c r="E18" i="11"/>
  <c r="E18" i="12"/>
  <c r="I18" i="10"/>
  <c r="I18" i="11"/>
  <c r="J18" i="11" s="1"/>
  <c r="K18" i="10"/>
  <c r="K18" i="11"/>
  <c r="K18" i="12"/>
  <c r="L18" i="10"/>
  <c r="L18" i="11"/>
  <c r="L18" i="12"/>
  <c r="N18" i="10"/>
  <c r="B19" i="10"/>
  <c r="B19" i="11"/>
  <c r="B19" i="12"/>
  <c r="C19" i="10"/>
  <c r="C19" i="11"/>
  <c r="D19" i="10"/>
  <c r="E19" i="10"/>
  <c r="E19" i="11"/>
  <c r="E19" i="12"/>
  <c r="I19" i="10"/>
  <c r="I19" i="11"/>
  <c r="K19" i="10"/>
  <c r="K19" i="11"/>
  <c r="K19" i="12"/>
  <c r="L19" i="10"/>
  <c r="L19" i="11"/>
  <c r="L19" i="12"/>
  <c r="N19" i="10"/>
  <c r="P19" i="10"/>
  <c r="B21" i="10"/>
  <c r="B21" i="11"/>
  <c r="B21" i="12"/>
  <c r="B21" i="13"/>
  <c r="C21" i="10"/>
  <c r="D21" i="11"/>
  <c r="D21" i="12"/>
  <c r="D21" i="13" s="1"/>
  <c r="E21" i="10"/>
  <c r="E21" i="11"/>
  <c r="E21" i="12"/>
  <c r="E21" i="13"/>
  <c r="F21" i="10"/>
  <c r="F21" i="11"/>
  <c r="I21" i="11"/>
  <c r="I21" i="12" s="1"/>
  <c r="K21" i="11"/>
  <c r="K21" i="12" s="1"/>
  <c r="L21" i="10"/>
  <c r="L21" i="11"/>
  <c r="L21" i="12"/>
  <c r="L21" i="13"/>
  <c r="N21" i="10"/>
  <c r="P21" i="10"/>
  <c r="B23" i="11"/>
  <c r="B23" i="12"/>
  <c r="B23" i="13"/>
  <c r="D23" i="11"/>
  <c r="D23" i="12"/>
  <c r="D23" i="13"/>
  <c r="E23" i="11"/>
  <c r="E23" i="12"/>
  <c r="E23" i="13"/>
  <c r="K23" i="11"/>
  <c r="K23" i="12"/>
  <c r="K23" i="13"/>
  <c r="L23" i="11"/>
  <c r="L23" i="12"/>
  <c r="L23" i="13"/>
  <c r="N23" i="11"/>
  <c r="Q12" i="10"/>
  <c r="P12" i="10"/>
  <c r="F18" i="12"/>
  <c r="F19" i="12"/>
  <c r="P11" i="10"/>
  <c r="J12" i="10"/>
  <c r="M12" i="10" s="1"/>
  <c r="O12" i="10" s="1"/>
  <c r="N21" i="11"/>
  <c r="P21" i="11"/>
  <c r="J13" i="10"/>
  <c r="F12" i="11"/>
  <c r="F12" i="12"/>
  <c r="P17" i="10"/>
  <c r="J19" i="10"/>
  <c r="M19" i="10"/>
  <c r="O19" i="10"/>
  <c r="F17" i="11"/>
  <c r="F17" i="12"/>
  <c r="U21" i="10"/>
  <c r="J17" i="10"/>
  <c r="M17" i="10"/>
  <c r="P18" i="10"/>
  <c r="I23" i="11"/>
  <c r="J23" i="11" s="1"/>
  <c r="M23" i="11"/>
  <c r="Q23" i="11" s="1"/>
  <c r="O23" i="11"/>
  <c r="J13" i="11"/>
  <c r="M13" i="11"/>
  <c r="P12" i="11"/>
  <c r="N12" i="12"/>
  <c r="N12" i="13"/>
  <c r="M18" i="11"/>
  <c r="I18" i="12"/>
  <c r="F10" i="11"/>
  <c r="U10" i="10"/>
  <c r="P23" i="11"/>
  <c r="N23" i="12"/>
  <c r="J17" i="11"/>
  <c r="M17" i="11"/>
  <c r="R17" i="11" s="1"/>
  <c r="I17" i="12"/>
  <c r="P14" i="10"/>
  <c r="N14" i="11"/>
  <c r="N14" i="12"/>
  <c r="N11" i="12"/>
  <c r="P11" i="11"/>
  <c r="U12" i="11"/>
  <c r="U21" i="11"/>
  <c r="F21" i="12"/>
  <c r="M10" i="10"/>
  <c r="R10" i="10" s="1"/>
  <c r="N19" i="11"/>
  <c r="F9" i="11"/>
  <c r="M15" i="10"/>
  <c r="F23" i="11"/>
  <c r="F23" i="12" s="1"/>
  <c r="F23" i="13" s="1"/>
  <c r="N18" i="11"/>
  <c r="F15" i="11"/>
  <c r="J18" i="10"/>
  <c r="M18" i="10"/>
  <c r="O18" i="10"/>
  <c r="M14" i="10"/>
  <c r="O14" i="10"/>
  <c r="N10" i="11"/>
  <c r="I15" i="11"/>
  <c r="N17" i="11"/>
  <c r="P17" i="11"/>
  <c r="M13" i="10"/>
  <c r="R13" i="10" s="1"/>
  <c r="O13" i="10"/>
  <c r="M11" i="10"/>
  <c r="O11" i="10" s="1"/>
  <c r="O15" i="10"/>
  <c r="N15" i="11"/>
  <c r="N13" i="11"/>
  <c r="F11" i="11"/>
  <c r="J9" i="10"/>
  <c r="M9" i="10"/>
  <c r="V9" i="10" s="1"/>
  <c r="I14" i="11"/>
  <c r="U14" i="11"/>
  <c r="F14" i="12"/>
  <c r="U14" i="10"/>
  <c r="J21" i="10"/>
  <c r="M21" i="10" s="1"/>
  <c r="O21" i="10" s="1"/>
  <c r="I12" i="12"/>
  <c r="J12" i="12" s="1"/>
  <c r="I11" i="11"/>
  <c r="I10" i="11"/>
  <c r="I10" i="12" s="1"/>
  <c r="I10" i="13" s="1"/>
  <c r="J10" i="13" s="1"/>
  <c r="I9" i="12"/>
  <c r="I9" i="13" s="1"/>
  <c r="J9" i="13" s="1"/>
  <c r="Q9" i="13"/>
  <c r="P9" i="13"/>
  <c r="Q9" i="12"/>
  <c r="P9" i="12"/>
  <c r="Q12" i="11"/>
  <c r="Q9" i="11"/>
  <c r="P9" i="11"/>
  <c r="P10" i="10"/>
  <c r="P15" i="10"/>
  <c r="Y15" i="10" s="1"/>
  <c r="Z15" i="10" s="1"/>
  <c r="Q9" i="10"/>
  <c r="P9" i="10"/>
  <c r="Q21" i="10"/>
  <c r="U17" i="11"/>
  <c r="N21" i="12"/>
  <c r="P21" i="12"/>
  <c r="Q21" i="11"/>
  <c r="Q12" i="12"/>
  <c r="P14" i="11"/>
  <c r="U19" i="12"/>
  <c r="U18" i="12"/>
  <c r="I23" i="12"/>
  <c r="J23" i="12" s="1"/>
  <c r="M23" i="12" s="1"/>
  <c r="O23" i="12"/>
  <c r="Q28" i="1"/>
  <c r="R28" i="1"/>
  <c r="P28" i="1"/>
  <c r="U15" i="11"/>
  <c r="F15" i="12"/>
  <c r="P18" i="11"/>
  <c r="N18" i="12"/>
  <c r="Q10" i="11"/>
  <c r="P10" i="11"/>
  <c r="P89" i="11" s="1"/>
  <c r="N10" i="12"/>
  <c r="F12" i="13"/>
  <c r="U12" i="13"/>
  <c r="U12" i="12"/>
  <c r="N15" i="12"/>
  <c r="U10" i="11"/>
  <c r="F10" i="12"/>
  <c r="U21" i="12"/>
  <c r="F21" i="13"/>
  <c r="U21" i="13"/>
  <c r="Q12" i="13"/>
  <c r="P12" i="13"/>
  <c r="O17" i="11"/>
  <c r="N17" i="12"/>
  <c r="N11" i="13"/>
  <c r="P11" i="12"/>
  <c r="J18" i="12"/>
  <c r="M18" i="12" s="1"/>
  <c r="R18" i="12" s="1"/>
  <c r="U17" i="12"/>
  <c r="P12" i="12"/>
  <c r="N13" i="12"/>
  <c r="P13" i="11"/>
  <c r="J17" i="12"/>
  <c r="M17" i="12" s="1"/>
  <c r="R17" i="12" s="1"/>
  <c r="P15" i="11"/>
  <c r="O13" i="11"/>
  <c r="U9" i="11"/>
  <c r="F9" i="12"/>
  <c r="P23" i="12"/>
  <c r="X23" i="12" s="1"/>
  <c r="X87" i="12" s="1"/>
  <c r="U41" i="9" s="1"/>
  <c r="N23" i="13"/>
  <c r="O19" i="11"/>
  <c r="O18" i="11"/>
  <c r="U11" i="11"/>
  <c r="F11" i="12"/>
  <c r="J15" i="11"/>
  <c r="M15" i="11" s="1"/>
  <c r="O15" i="11"/>
  <c r="I15" i="12"/>
  <c r="J15" i="12" s="1"/>
  <c r="M15" i="12" s="1"/>
  <c r="V15" i="12" s="1"/>
  <c r="P19" i="11"/>
  <c r="N19" i="12"/>
  <c r="P14" i="12"/>
  <c r="J14" i="11"/>
  <c r="M14" i="11"/>
  <c r="I14" i="12"/>
  <c r="U14" i="12"/>
  <c r="J10" i="11"/>
  <c r="M10" i="11" s="1"/>
  <c r="O10" i="11" s="1"/>
  <c r="J13" i="1"/>
  <c r="M13" i="1"/>
  <c r="O13" i="1"/>
  <c r="Q21" i="12"/>
  <c r="N21" i="13"/>
  <c r="I23" i="13"/>
  <c r="J23" i="13" s="1"/>
  <c r="M23" i="13" s="1"/>
  <c r="O23" i="13"/>
  <c r="P11" i="13"/>
  <c r="F9" i="13"/>
  <c r="U9" i="13"/>
  <c r="U9" i="12"/>
  <c r="P18" i="12"/>
  <c r="O18" i="12"/>
  <c r="F10" i="13"/>
  <c r="U10" i="13"/>
  <c r="U10" i="12"/>
  <c r="U11" i="12"/>
  <c r="F11" i="13"/>
  <c r="U11" i="13"/>
  <c r="P23" i="13"/>
  <c r="P17" i="12"/>
  <c r="O17" i="12"/>
  <c r="P10" i="12"/>
  <c r="N10" i="13"/>
  <c r="Q10" i="12"/>
  <c r="P15" i="12"/>
  <c r="O15" i="12"/>
  <c r="O19" i="12"/>
  <c r="P19" i="12"/>
  <c r="P21" i="13"/>
  <c r="Q21" i="13"/>
  <c r="U15" i="12"/>
  <c r="P13" i="12"/>
  <c r="N13" i="13"/>
  <c r="O13" i="12"/>
  <c r="J14" i="12"/>
  <c r="M14" i="12" s="1"/>
  <c r="O14" i="11"/>
  <c r="J10" i="12"/>
  <c r="M10" i="12" s="1"/>
  <c r="R13" i="1"/>
  <c r="V13" i="1"/>
  <c r="C8" i="13"/>
  <c r="Y13" i="1"/>
  <c r="Z13" i="1"/>
  <c r="P13" i="13"/>
  <c r="O13" i="13"/>
  <c r="Q10" i="13"/>
  <c r="P10" i="13"/>
  <c r="O14" i="12"/>
  <c r="E7" i="15"/>
  <c r="G7" i="15" s="1"/>
  <c r="H7" i="15" s="1"/>
  <c r="I7" i="15" s="1"/>
  <c r="J20" i="1"/>
  <c r="M20" i="1"/>
  <c r="P20" i="1"/>
  <c r="Q20" i="1"/>
  <c r="U20" i="1"/>
  <c r="J21" i="1"/>
  <c r="M21" i="1"/>
  <c r="P21" i="1"/>
  <c r="Q21" i="1"/>
  <c r="J22" i="1"/>
  <c r="M22" i="1"/>
  <c r="Q22" i="1"/>
  <c r="P22" i="1"/>
  <c r="U22" i="1"/>
  <c r="J23" i="1"/>
  <c r="M23" i="1"/>
  <c r="O23" i="1"/>
  <c r="P23" i="1"/>
  <c r="Q23" i="1"/>
  <c r="J24" i="1"/>
  <c r="M24" i="1"/>
  <c r="O24" i="1"/>
  <c r="P24" i="1"/>
  <c r="J26" i="1"/>
  <c r="M26" i="1"/>
  <c r="Q26" i="1"/>
  <c r="J27" i="1"/>
  <c r="M27" i="1"/>
  <c r="Q27" i="1"/>
  <c r="E61" i="8"/>
  <c r="R96" i="9" s="1"/>
  <c r="N141" i="33" s="1"/>
  <c r="F61" i="8"/>
  <c r="R21" i="1"/>
  <c r="O21" i="1"/>
  <c r="P26" i="1"/>
  <c r="P27" i="1"/>
  <c r="Q24" i="1"/>
  <c r="R23" i="1"/>
  <c r="V23" i="1"/>
  <c r="Y23" i="1"/>
  <c r="Z23" i="1"/>
  <c r="O27" i="1"/>
  <c r="V27" i="1"/>
  <c r="V26" i="1"/>
  <c r="O26" i="1"/>
  <c r="R26" i="1"/>
  <c r="O22" i="1"/>
  <c r="R22" i="1"/>
  <c r="V22" i="1"/>
  <c r="R20" i="1"/>
  <c r="V20" i="1"/>
  <c r="O20" i="1"/>
  <c r="R27" i="1"/>
  <c r="V24" i="1"/>
  <c r="R24" i="1"/>
  <c r="V21" i="1"/>
  <c r="Y24" i="1"/>
  <c r="Z24" i="1"/>
  <c r="Y27" i="1"/>
  <c r="Z27" i="1"/>
  <c r="Y20" i="1"/>
  <c r="Z20" i="1"/>
  <c r="Y21" i="1"/>
  <c r="Z21" i="1"/>
  <c r="Y22" i="1"/>
  <c r="Z22" i="1"/>
  <c r="Y26" i="1"/>
  <c r="Z26" i="1"/>
  <c r="R41" i="9"/>
  <c r="D22" i="9"/>
  <c r="F22" i="9" s="1"/>
  <c r="D23" i="9"/>
  <c r="F23" i="9" s="1"/>
  <c r="D24" i="9"/>
  <c r="F24" i="9" s="1"/>
  <c r="D26" i="9"/>
  <c r="F26" i="9" s="1"/>
  <c r="D28" i="9"/>
  <c r="F28" i="9"/>
  <c r="F9" i="9"/>
  <c r="D10" i="9"/>
  <c r="F10" i="9"/>
  <c r="D12" i="9"/>
  <c r="F12" i="9" s="1"/>
  <c r="F14" i="9"/>
  <c r="T9" i="9"/>
  <c r="R21" i="9"/>
  <c r="L72" i="33" s="1"/>
  <c r="R23" i="9"/>
  <c r="D74" i="33" s="1"/>
  <c r="R26" i="9"/>
  <c r="O77" i="33" s="1"/>
  <c r="A3" i="1"/>
  <c r="D27" i="9"/>
  <c r="F27" i="9" s="1"/>
  <c r="D25" i="9"/>
  <c r="F25" i="9"/>
  <c r="D15" i="9"/>
  <c r="F15" i="9" s="1"/>
  <c r="D11" i="9"/>
  <c r="F11" i="9"/>
  <c r="F20" i="9"/>
  <c r="Z30" i="1"/>
  <c r="B90" i="9"/>
  <c r="C90" i="9"/>
  <c r="D90" i="9"/>
  <c r="F90" i="9" s="1"/>
  <c r="E55" i="8"/>
  <c r="G55" i="8"/>
  <c r="H55" i="8"/>
  <c r="I55" i="8"/>
  <c r="E49" i="8"/>
  <c r="G49" i="8"/>
  <c r="H49" i="8"/>
  <c r="I49" i="8"/>
  <c r="B87" i="9"/>
  <c r="C87" i="9"/>
  <c r="D87" i="9"/>
  <c r="F87" i="9" s="1"/>
  <c r="E52" i="8"/>
  <c r="G52" i="8"/>
  <c r="H52" i="8"/>
  <c r="I52" i="8"/>
  <c r="V87" i="9"/>
  <c r="U87" i="9"/>
  <c r="R87" i="9"/>
  <c r="T87" i="9"/>
  <c r="E164" i="18"/>
  <c r="F164" i="18"/>
  <c r="G164" i="18"/>
  <c r="H164" i="18"/>
  <c r="I164" i="18"/>
  <c r="J164" i="18"/>
  <c r="K164" i="18"/>
  <c r="L164" i="18"/>
  <c r="M164" i="18"/>
  <c r="N164" i="18"/>
  <c r="O164" i="18"/>
  <c r="E165" i="18"/>
  <c r="F165" i="18"/>
  <c r="G165" i="18"/>
  <c r="H165" i="18"/>
  <c r="I165" i="18"/>
  <c r="J165" i="18"/>
  <c r="K165" i="18"/>
  <c r="L165" i="18"/>
  <c r="M165" i="18"/>
  <c r="N165" i="18"/>
  <c r="O165" i="18"/>
  <c r="E166" i="18"/>
  <c r="F166" i="18"/>
  <c r="G166" i="18"/>
  <c r="H166" i="18"/>
  <c r="I166" i="18"/>
  <c r="J166" i="18"/>
  <c r="K166" i="18"/>
  <c r="L166" i="18"/>
  <c r="M166" i="18"/>
  <c r="N166" i="18"/>
  <c r="O166" i="18"/>
  <c r="D166" i="18"/>
  <c r="D165" i="18"/>
  <c r="D164" i="18"/>
  <c r="S16" i="35"/>
  <c r="A1" i="16"/>
  <c r="F6" i="16"/>
  <c r="H59" i="8"/>
  <c r="I59" i="8"/>
  <c r="R64" i="9"/>
  <c r="Q10" i="1"/>
  <c r="J9" i="1"/>
  <c r="M9" i="1"/>
  <c r="J10" i="1"/>
  <c r="M10" i="1"/>
  <c r="J11" i="1"/>
  <c r="J12" i="1"/>
  <c r="M12" i="1"/>
  <c r="R12" i="1"/>
  <c r="G40" i="8"/>
  <c r="G10" i="8"/>
  <c r="H10" i="8" s="1"/>
  <c r="F8" i="9"/>
  <c r="M11" i="1"/>
  <c r="R11" i="1"/>
  <c r="D13" i="9"/>
  <c r="F13" i="9" s="1"/>
  <c r="O12" i="1"/>
  <c r="V12" i="1"/>
  <c r="Q12" i="1"/>
  <c r="U9" i="1"/>
  <c r="U12" i="1"/>
  <c r="U10" i="1"/>
  <c r="Q11" i="1"/>
  <c r="P10" i="1"/>
  <c r="P9" i="1"/>
  <c r="P11" i="1"/>
  <c r="P12" i="1"/>
  <c r="Y12" i="1"/>
  <c r="Z12" i="1"/>
  <c r="O9" i="1"/>
  <c r="O10" i="1"/>
  <c r="V11" i="1"/>
  <c r="R9" i="1"/>
  <c r="Q9" i="1"/>
  <c r="R10" i="1"/>
  <c r="V10" i="1"/>
  <c r="V9" i="1"/>
  <c r="Y11" i="1"/>
  <c r="Z11" i="1"/>
  <c r="Y10" i="1"/>
  <c r="Z10" i="1"/>
  <c r="Y9" i="1"/>
  <c r="Z9" i="1"/>
  <c r="B95" i="9"/>
  <c r="C95" i="9"/>
  <c r="E60" i="8"/>
  <c r="G60" i="8"/>
  <c r="H60" i="8"/>
  <c r="I60" i="8"/>
  <c r="V95" i="9"/>
  <c r="E38" i="8"/>
  <c r="G38" i="8"/>
  <c r="H38" i="8"/>
  <c r="I38" i="8"/>
  <c r="B54" i="9"/>
  <c r="C54" i="9"/>
  <c r="G16" i="8"/>
  <c r="H16" i="8" s="1"/>
  <c r="D70" i="14"/>
  <c r="C103" i="18"/>
  <c r="C98" i="17"/>
  <c r="F103" i="18"/>
  <c r="J103" i="18"/>
  <c r="N103" i="18"/>
  <c r="G103" i="18"/>
  <c r="K103" i="18"/>
  <c r="O103" i="18"/>
  <c r="D103" i="18"/>
  <c r="H103" i="18"/>
  <c r="L103" i="18"/>
  <c r="E103" i="18"/>
  <c r="I103" i="18"/>
  <c r="M103" i="18"/>
  <c r="R54" i="9"/>
  <c r="U95" i="9"/>
  <c r="T95" i="9"/>
  <c r="G11" i="8"/>
  <c r="H11" i="8"/>
  <c r="I11" i="8"/>
  <c r="G12" i="8"/>
  <c r="H12" i="8" s="1"/>
  <c r="G13" i="8"/>
  <c r="H13" i="8" s="1"/>
  <c r="G14" i="8"/>
  <c r="H14" i="8"/>
  <c r="I14" i="8" s="1"/>
  <c r="V52" i="9" s="1"/>
  <c r="G15" i="8"/>
  <c r="H15" i="8"/>
  <c r="I15" i="8" s="1"/>
  <c r="V53" i="9" s="1"/>
  <c r="G17" i="8"/>
  <c r="H17" i="8"/>
  <c r="I17" i="8"/>
  <c r="E33" i="8"/>
  <c r="G33" i="8"/>
  <c r="H33" i="8"/>
  <c r="I33" i="8"/>
  <c r="E34" i="8"/>
  <c r="G34" i="8"/>
  <c r="H34" i="8"/>
  <c r="I34" i="8"/>
  <c r="G35" i="8"/>
  <c r="H35" i="8"/>
  <c r="I35" i="8"/>
  <c r="V71" i="9" s="1"/>
  <c r="E36" i="8"/>
  <c r="G36" i="8"/>
  <c r="H36" i="8"/>
  <c r="I36" i="8"/>
  <c r="G37" i="8"/>
  <c r="H37" i="8" s="1"/>
  <c r="E39" i="8"/>
  <c r="G39" i="8"/>
  <c r="H39" i="8"/>
  <c r="I39" i="8"/>
  <c r="E41" i="8"/>
  <c r="G41" i="8"/>
  <c r="H41" i="8"/>
  <c r="I41" i="8"/>
  <c r="G43" i="8"/>
  <c r="T79" i="9" s="1"/>
  <c r="G44" i="8"/>
  <c r="H44" i="8" s="1"/>
  <c r="G45" i="8"/>
  <c r="H45" i="8" s="1"/>
  <c r="G46" i="8"/>
  <c r="H46" i="8" s="1"/>
  <c r="G48" i="8"/>
  <c r="H48" i="8" s="1"/>
  <c r="G50" i="8"/>
  <c r="H50" i="8" s="1"/>
  <c r="E51" i="8"/>
  <c r="G51" i="8"/>
  <c r="H51" i="8"/>
  <c r="I51" i="8"/>
  <c r="G53" i="8"/>
  <c r="H53" i="8" s="1"/>
  <c r="G54" i="8"/>
  <c r="H54" i="8"/>
  <c r="I54" i="8" s="1"/>
  <c r="V89" i="9" s="1"/>
  <c r="E56" i="8"/>
  <c r="G56" i="8"/>
  <c r="H56" i="8"/>
  <c r="I56" i="8"/>
  <c r="E57" i="8"/>
  <c r="G57" i="8"/>
  <c r="H57" i="8"/>
  <c r="I57" i="8"/>
  <c r="E58" i="8"/>
  <c r="G58" i="8"/>
  <c r="H58" i="8"/>
  <c r="I58" i="8"/>
  <c r="G62" i="8"/>
  <c r="H62" i="8" s="1"/>
  <c r="E63" i="8"/>
  <c r="G63" i="8"/>
  <c r="H63" i="8"/>
  <c r="I63" i="8"/>
  <c r="E65" i="8"/>
  <c r="G65" i="8"/>
  <c r="H65" i="8"/>
  <c r="I65" i="8"/>
  <c r="E67" i="8"/>
  <c r="G67" i="8"/>
  <c r="H67" i="8"/>
  <c r="I67" i="8"/>
  <c r="E68" i="8"/>
  <c r="G68" i="8"/>
  <c r="H68" i="8"/>
  <c r="I68" i="8"/>
  <c r="E69" i="8"/>
  <c r="G69" i="8"/>
  <c r="H69" i="8"/>
  <c r="I69" i="8"/>
  <c r="E70" i="8"/>
  <c r="G70" i="8"/>
  <c r="H70" i="8"/>
  <c r="I70" i="8"/>
  <c r="E71" i="8"/>
  <c r="G71" i="8"/>
  <c r="H71" i="8"/>
  <c r="I71" i="8"/>
  <c r="E72" i="8"/>
  <c r="G72" i="8"/>
  <c r="H72" i="8"/>
  <c r="I72" i="8"/>
  <c r="E73" i="8"/>
  <c r="G73" i="8"/>
  <c r="H73" i="8"/>
  <c r="I73" i="8"/>
  <c r="E74" i="8"/>
  <c r="G74" i="8"/>
  <c r="H74" i="8"/>
  <c r="I74" i="8"/>
  <c r="E75" i="8"/>
  <c r="G75" i="8"/>
  <c r="H75" i="8"/>
  <c r="I75" i="8"/>
  <c r="E76" i="8"/>
  <c r="G76" i="8"/>
  <c r="H76" i="8"/>
  <c r="I76" i="8"/>
  <c r="R62" i="9"/>
  <c r="R60" i="9"/>
  <c r="R58" i="9"/>
  <c r="R56" i="9"/>
  <c r="R63" i="9"/>
  <c r="R61" i="9"/>
  <c r="R59" i="9"/>
  <c r="R57" i="9"/>
  <c r="T64" i="9"/>
  <c r="I7" i="10"/>
  <c r="T57" i="9"/>
  <c r="T59" i="9"/>
  <c r="T61" i="9"/>
  <c r="T63" i="9"/>
  <c r="T56" i="9"/>
  <c r="T58" i="9"/>
  <c r="T60" i="9"/>
  <c r="T62" i="9"/>
  <c r="V64" i="9"/>
  <c r="U64" i="9"/>
  <c r="V62" i="9"/>
  <c r="U62" i="9"/>
  <c r="V60" i="9"/>
  <c r="U60" i="9"/>
  <c r="V58" i="9"/>
  <c r="U58" i="9"/>
  <c r="V56" i="9"/>
  <c r="U56" i="9"/>
  <c r="V63" i="9"/>
  <c r="U63" i="9"/>
  <c r="V61" i="9"/>
  <c r="U61" i="9"/>
  <c r="V59" i="9"/>
  <c r="U59" i="9"/>
  <c r="V57" i="9"/>
  <c r="U57" i="9"/>
  <c r="R52" i="35"/>
  <c r="Q52" i="35"/>
  <c r="P52" i="35"/>
  <c r="O52" i="35"/>
  <c r="N52" i="35"/>
  <c r="M52" i="35"/>
  <c r="L52" i="35"/>
  <c r="K52" i="35"/>
  <c r="J52" i="35"/>
  <c r="I52" i="35"/>
  <c r="H52" i="35"/>
  <c r="G52" i="35"/>
  <c r="F52" i="35"/>
  <c r="E52" i="35"/>
  <c r="D52" i="35"/>
  <c r="R51" i="35"/>
  <c r="Q51" i="35"/>
  <c r="P51" i="35"/>
  <c r="O51" i="35"/>
  <c r="N51" i="35"/>
  <c r="M51" i="35"/>
  <c r="L51" i="35"/>
  <c r="K51" i="35"/>
  <c r="J51" i="35"/>
  <c r="I51" i="35"/>
  <c r="H51" i="35"/>
  <c r="G51" i="35"/>
  <c r="F51" i="35"/>
  <c r="E51" i="35"/>
  <c r="D51" i="35"/>
  <c r="R50" i="35"/>
  <c r="Q50" i="35"/>
  <c r="P50" i="35"/>
  <c r="O50" i="35"/>
  <c r="N50" i="35"/>
  <c r="M50" i="35"/>
  <c r="L50" i="35"/>
  <c r="K50" i="35"/>
  <c r="J50" i="35"/>
  <c r="I50" i="35"/>
  <c r="H50" i="35"/>
  <c r="G50" i="35"/>
  <c r="F50" i="35"/>
  <c r="E50" i="35"/>
  <c r="D50" i="35"/>
  <c r="R49" i="35"/>
  <c r="Q49" i="35"/>
  <c r="P49" i="35"/>
  <c r="O49" i="35"/>
  <c r="N49" i="35"/>
  <c r="M49" i="35"/>
  <c r="L49" i="35"/>
  <c r="K49" i="35"/>
  <c r="J49" i="35"/>
  <c r="I49" i="35"/>
  <c r="H49" i="35"/>
  <c r="G49" i="35"/>
  <c r="F49" i="35"/>
  <c r="E49" i="35"/>
  <c r="D49" i="35"/>
  <c r="R48" i="35"/>
  <c r="Q48" i="35"/>
  <c r="P48" i="35"/>
  <c r="O48" i="35"/>
  <c r="N48" i="35"/>
  <c r="M48" i="35"/>
  <c r="L48" i="35"/>
  <c r="K48" i="35"/>
  <c r="J48" i="35"/>
  <c r="I48" i="35"/>
  <c r="H48" i="35"/>
  <c r="G48" i="35"/>
  <c r="F48" i="35"/>
  <c r="E48" i="35"/>
  <c r="D48" i="35"/>
  <c r="R47" i="35"/>
  <c r="Q47" i="35"/>
  <c r="P47" i="35"/>
  <c r="O47" i="35"/>
  <c r="N47" i="35"/>
  <c r="M47" i="35"/>
  <c r="L47" i="35"/>
  <c r="K47" i="35"/>
  <c r="J47" i="35"/>
  <c r="I47" i="35"/>
  <c r="H47" i="35"/>
  <c r="G47" i="35"/>
  <c r="F47" i="35"/>
  <c r="E47" i="35"/>
  <c r="D47" i="35"/>
  <c r="R46" i="35"/>
  <c r="Q46" i="35"/>
  <c r="P46" i="35"/>
  <c r="O46" i="35"/>
  <c r="N46" i="35"/>
  <c r="M46" i="35"/>
  <c r="L46" i="35"/>
  <c r="K46" i="35"/>
  <c r="J46" i="35"/>
  <c r="I46" i="35"/>
  <c r="H46" i="35"/>
  <c r="G46" i="35"/>
  <c r="F46" i="35"/>
  <c r="E46" i="35"/>
  <c r="D46" i="35"/>
  <c r="R45" i="35"/>
  <c r="Q45" i="35"/>
  <c r="P45" i="35"/>
  <c r="O45" i="35"/>
  <c r="N45" i="35"/>
  <c r="M45" i="35"/>
  <c r="L45" i="35"/>
  <c r="K45" i="35"/>
  <c r="J45" i="35"/>
  <c r="I45" i="35"/>
  <c r="H45" i="35"/>
  <c r="G45" i="35"/>
  <c r="F45" i="35"/>
  <c r="E45" i="35"/>
  <c r="D45" i="35"/>
  <c r="R44" i="35"/>
  <c r="Q44" i="35"/>
  <c r="P44" i="35"/>
  <c r="O44" i="35"/>
  <c r="N44" i="35"/>
  <c r="M44" i="35"/>
  <c r="L44" i="35"/>
  <c r="K44" i="35"/>
  <c r="J44" i="35"/>
  <c r="I44" i="35"/>
  <c r="H44" i="35"/>
  <c r="G44" i="35"/>
  <c r="F44" i="35"/>
  <c r="E44" i="35"/>
  <c r="D44" i="35"/>
  <c r="R43" i="35"/>
  <c r="Q43" i="35"/>
  <c r="P43" i="35"/>
  <c r="O43" i="35"/>
  <c r="N43" i="35"/>
  <c r="M43" i="35"/>
  <c r="L43" i="35"/>
  <c r="K43" i="35"/>
  <c r="J43" i="35"/>
  <c r="I43" i="35"/>
  <c r="H43" i="35"/>
  <c r="G43" i="35"/>
  <c r="F43" i="35"/>
  <c r="E43" i="35"/>
  <c r="D43" i="35"/>
  <c r="R42" i="35"/>
  <c r="Q42" i="35"/>
  <c r="P42" i="35"/>
  <c r="P55" i="35" s="1"/>
  <c r="O42" i="35"/>
  <c r="N42" i="35"/>
  <c r="M42" i="35"/>
  <c r="L42" i="35"/>
  <c r="K42" i="35"/>
  <c r="J42" i="35"/>
  <c r="I42" i="35"/>
  <c r="H42" i="35"/>
  <c r="G42" i="35"/>
  <c r="F42" i="35"/>
  <c r="E42" i="35"/>
  <c r="D42" i="35"/>
  <c r="R38" i="35"/>
  <c r="Q38" i="35"/>
  <c r="P38" i="35"/>
  <c r="O38" i="35"/>
  <c r="N38" i="35"/>
  <c r="M38" i="35"/>
  <c r="L38" i="35"/>
  <c r="K38" i="35"/>
  <c r="J38" i="35"/>
  <c r="I38" i="35"/>
  <c r="H38" i="35"/>
  <c r="G38" i="35"/>
  <c r="F38" i="35"/>
  <c r="E38" i="35"/>
  <c r="D38" i="35"/>
  <c r="R37" i="35"/>
  <c r="Q37" i="35"/>
  <c r="P37" i="35"/>
  <c r="O37" i="35"/>
  <c r="N37" i="35"/>
  <c r="M37" i="35"/>
  <c r="L37" i="35"/>
  <c r="K37" i="35"/>
  <c r="J37" i="35"/>
  <c r="I37" i="35"/>
  <c r="H37" i="35"/>
  <c r="G37" i="35"/>
  <c r="F37" i="35"/>
  <c r="E37" i="35"/>
  <c r="D37" i="35"/>
  <c r="R36" i="35"/>
  <c r="Q36" i="35"/>
  <c r="P36" i="35"/>
  <c r="O36" i="35"/>
  <c r="N36" i="35"/>
  <c r="M36" i="35"/>
  <c r="L36" i="35"/>
  <c r="K36" i="35"/>
  <c r="J36" i="35"/>
  <c r="I36" i="35"/>
  <c r="H36" i="35"/>
  <c r="G36" i="35"/>
  <c r="F36" i="35"/>
  <c r="E36" i="35"/>
  <c r="D36" i="35"/>
  <c r="R35" i="35"/>
  <c r="Q35" i="35"/>
  <c r="P35" i="35"/>
  <c r="O35" i="35"/>
  <c r="N35" i="35"/>
  <c r="M35" i="35"/>
  <c r="L35" i="35"/>
  <c r="K35" i="35"/>
  <c r="J35" i="35"/>
  <c r="I35" i="35"/>
  <c r="H35" i="35"/>
  <c r="G35" i="35"/>
  <c r="F35" i="35"/>
  <c r="E35" i="35"/>
  <c r="D35" i="35"/>
  <c r="R32" i="35"/>
  <c r="Q32" i="35"/>
  <c r="P32" i="35"/>
  <c r="O32" i="35"/>
  <c r="N32" i="35"/>
  <c r="M32" i="35"/>
  <c r="L32" i="35"/>
  <c r="K32" i="35"/>
  <c r="J32" i="35"/>
  <c r="I32" i="35"/>
  <c r="H32" i="35"/>
  <c r="G32" i="35"/>
  <c r="F32" i="35"/>
  <c r="E32" i="35"/>
  <c r="D32" i="35"/>
  <c r="R25" i="35"/>
  <c r="Q25" i="35"/>
  <c r="P25" i="35"/>
  <c r="O25" i="35"/>
  <c r="N25" i="35"/>
  <c r="M25" i="35"/>
  <c r="L25" i="35"/>
  <c r="K25" i="35"/>
  <c r="J25" i="35"/>
  <c r="I25" i="35"/>
  <c r="H25" i="35"/>
  <c r="G25" i="35"/>
  <c r="F25" i="35"/>
  <c r="E25" i="35"/>
  <c r="D25" i="35"/>
  <c r="R24" i="35"/>
  <c r="Q24" i="35"/>
  <c r="P24" i="35"/>
  <c r="O24" i="35"/>
  <c r="N24" i="35"/>
  <c r="M24" i="35"/>
  <c r="L24" i="35"/>
  <c r="K24" i="35"/>
  <c r="J24" i="35"/>
  <c r="I24" i="35"/>
  <c r="H24" i="35"/>
  <c r="G24" i="35"/>
  <c r="F24" i="35"/>
  <c r="E24" i="35"/>
  <c r="D24" i="35"/>
  <c r="R23" i="35"/>
  <c r="Q23" i="35"/>
  <c r="P23" i="35"/>
  <c r="O23" i="35"/>
  <c r="N23" i="35"/>
  <c r="M23" i="35"/>
  <c r="L23" i="35"/>
  <c r="K23" i="35"/>
  <c r="J23" i="35"/>
  <c r="I23" i="35"/>
  <c r="H23" i="35"/>
  <c r="G23" i="35"/>
  <c r="F23" i="35"/>
  <c r="E23" i="35"/>
  <c r="D23" i="35"/>
  <c r="R15" i="35"/>
  <c r="Q15" i="35"/>
  <c r="P15" i="35"/>
  <c r="O15" i="35"/>
  <c r="N15" i="35"/>
  <c r="M15" i="35"/>
  <c r="L15" i="35"/>
  <c r="K15" i="35"/>
  <c r="J15" i="35"/>
  <c r="I15" i="35"/>
  <c r="H15" i="35"/>
  <c r="G15" i="35"/>
  <c r="F15" i="35"/>
  <c r="E15" i="35"/>
  <c r="D15" i="35"/>
  <c r="R14" i="35"/>
  <c r="Q14" i="35"/>
  <c r="P14" i="35"/>
  <c r="O14" i="35"/>
  <c r="N14" i="35"/>
  <c r="M14" i="35"/>
  <c r="L14" i="35"/>
  <c r="K14" i="35"/>
  <c r="J14" i="35"/>
  <c r="I14" i="35"/>
  <c r="H14" i="35"/>
  <c r="G14" i="35"/>
  <c r="F14" i="35"/>
  <c r="E14" i="35"/>
  <c r="D14" i="35"/>
  <c r="R13" i="35"/>
  <c r="Q13" i="35"/>
  <c r="P13" i="35"/>
  <c r="O13" i="35"/>
  <c r="N13" i="35"/>
  <c r="M13" i="35"/>
  <c r="L13" i="35"/>
  <c r="K13" i="35"/>
  <c r="J13" i="35"/>
  <c r="I13" i="35"/>
  <c r="H13" i="35"/>
  <c r="G13" i="35"/>
  <c r="F13" i="35"/>
  <c r="E13" i="35"/>
  <c r="D13" i="35"/>
  <c r="E166" i="35"/>
  <c r="D166" i="35"/>
  <c r="C166" i="35"/>
  <c r="O165" i="35"/>
  <c r="N165" i="35"/>
  <c r="M165" i="35"/>
  <c r="L165" i="35"/>
  <c r="K165" i="35"/>
  <c r="J165" i="35"/>
  <c r="I165" i="35"/>
  <c r="H165" i="35"/>
  <c r="G165" i="35"/>
  <c r="C165" i="35"/>
  <c r="O164" i="35"/>
  <c r="N164" i="35"/>
  <c r="M164" i="35"/>
  <c r="L164" i="35"/>
  <c r="K164" i="35"/>
  <c r="J164" i="35"/>
  <c r="I164" i="35"/>
  <c r="H164" i="35"/>
  <c r="G164" i="35"/>
  <c r="C164" i="35"/>
  <c r="C163" i="35"/>
  <c r="C92" i="35"/>
  <c r="B92" i="35"/>
  <c r="C91" i="35"/>
  <c r="B91" i="35"/>
  <c r="C90" i="35"/>
  <c r="B90" i="35"/>
  <c r="C89" i="35"/>
  <c r="B89" i="35"/>
  <c r="C88" i="35"/>
  <c r="B88" i="35"/>
  <c r="C87" i="35"/>
  <c r="B87" i="35"/>
  <c r="C86" i="35"/>
  <c r="B86" i="35"/>
  <c r="C85" i="35"/>
  <c r="B85" i="35"/>
  <c r="C84" i="35"/>
  <c r="B84" i="35"/>
  <c r="C80" i="35"/>
  <c r="B80" i="35"/>
  <c r="C79" i="35"/>
  <c r="B79" i="35"/>
  <c r="C78" i="35"/>
  <c r="B78" i="35"/>
  <c r="C77" i="35"/>
  <c r="B77" i="35"/>
  <c r="C76" i="35"/>
  <c r="B76" i="35"/>
  <c r="C75" i="35"/>
  <c r="B75" i="35"/>
  <c r="C74" i="35"/>
  <c r="B74" i="35"/>
  <c r="C73" i="35"/>
  <c r="B73" i="35"/>
  <c r="C72" i="35"/>
  <c r="B72" i="35"/>
  <c r="C71" i="35"/>
  <c r="B71" i="35"/>
  <c r="C67" i="35"/>
  <c r="B67" i="35"/>
  <c r="C66" i="35"/>
  <c r="B66" i="35"/>
  <c r="C65" i="35"/>
  <c r="B65" i="35"/>
  <c r="C64" i="35"/>
  <c r="B64" i="35"/>
  <c r="C63" i="35"/>
  <c r="B63" i="35"/>
  <c r="C62" i="35"/>
  <c r="B62" i="35"/>
  <c r="C61" i="35"/>
  <c r="B61" i="35"/>
  <c r="C60" i="35"/>
  <c r="B60" i="35"/>
  <c r="C52" i="35"/>
  <c r="B52" i="35"/>
  <c r="C51" i="35"/>
  <c r="B51" i="35"/>
  <c r="C50" i="35"/>
  <c r="B50" i="35"/>
  <c r="C49" i="35"/>
  <c r="B49" i="35"/>
  <c r="C48" i="35"/>
  <c r="B48" i="35"/>
  <c r="C47" i="35"/>
  <c r="B47" i="35"/>
  <c r="C46" i="35"/>
  <c r="B46" i="35"/>
  <c r="C45" i="35"/>
  <c r="B45" i="35"/>
  <c r="C44" i="35"/>
  <c r="B44" i="35"/>
  <c r="C43" i="35"/>
  <c r="B43" i="35"/>
  <c r="C42" i="35"/>
  <c r="B42" i="35"/>
  <c r="C38" i="35"/>
  <c r="B38" i="35"/>
  <c r="C37" i="35"/>
  <c r="B37" i="35"/>
  <c r="C36" i="35"/>
  <c r="B36" i="35"/>
  <c r="C35" i="35"/>
  <c r="B35" i="35"/>
  <c r="C34" i="35"/>
  <c r="B34" i="35"/>
  <c r="C33" i="35"/>
  <c r="B33" i="35"/>
  <c r="C32" i="35"/>
  <c r="B32" i="35"/>
  <c r="C31" i="35"/>
  <c r="B31" i="35"/>
  <c r="C26" i="35"/>
  <c r="B26" i="35"/>
  <c r="C25" i="35"/>
  <c r="B25" i="35"/>
  <c r="C24" i="35"/>
  <c r="B24" i="35"/>
  <c r="C23" i="35"/>
  <c r="B23" i="35"/>
  <c r="C22" i="35"/>
  <c r="B22" i="35"/>
  <c r="C21" i="35"/>
  <c r="B21" i="35"/>
  <c r="C20" i="35"/>
  <c r="B20" i="35"/>
  <c r="C19" i="35"/>
  <c r="B19" i="35"/>
  <c r="C15" i="35"/>
  <c r="B15" i="35"/>
  <c r="C14" i="35"/>
  <c r="B14" i="35"/>
  <c r="C13" i="35"/>
  <c r="B13" i="35"/>
  <c r="C12" i="35"/>
  <c r="B12" i="35"/>
  <c r="A1" i="35"/>
  <c r="G164" i="34"/>
  <c r="H164" i="34"/>
  <c r="I164" i="34"/>
  <c r="J164" i="34"/>
  <c r="G165" i="34"/>
  <c r="H165" i="34"/>
  <c r="I165" i="34"/>
  <c r="J165" i="34"/>
  <c r="D166" i="34"/>
  <c r="E166" i="34"/>
  <c r="G164" i="33"/>
  <c r="H164" i="33"/>
  <c r="I164" i="33"/>
  <c r="J164" i="33"/>
  <c r="G165" i="33"/>
  <c r="H165" i="33"/>
  <c r="I165" i="33"/>
  <c r="J165" i="33"/>
  <c r="D166" i="33"/>
  <c r="E166" i="33"/>
  <c r="R52" i="34"/>
  <c r="Q52" i="34"/>
  <c r="P52" i="34"/>
  <c r="O52" i="34"/>
  <c r="N52" i="34"/>
  <c r="M52" i="34"/>
  <c r="L52" i="34"/>
  <c r="K52" i="34"/>
  <c r="J52" i="34"/>
  <c r="I52" i="34"/>
  <c r="H52" i="34"/>
  <c r="G52" i="34"/>
  <c r="F52" i="34"/>
  <c r="E52" i="34"/>
  <c r="D52" i="34"/>
  <c r="R51" i="34"/>
  <c r="Q51" i="34"/>
  <c r="P51" i="34"/>
  <c r="O51" i="34"/>
  <c r="N51" i="34"/>
  <c r="M51" i="34"/>
  <c r="L51" i="34"/>
  <c r="K51" i="34"/>
  <c r="J51" i="34"/>
  <c r="I51" i="34"/>
  <c r="H51" i="34"/>
  <c r="G51" i="34"/>
  <c r="F51" i="34"/>
  <c r="E51" i="34"/>
  <c r="D51" i="34"/>
  <c r="R50" i="34"/>
  <c r="Q50" i="34"/>
  <c r="P50" i="34"/>
  <c r="O50" i="34"/>
  <c r="N50" i="34"/>
  <c r="M50" i="34"/>
  <c r="L50" i="34"/>
  <c r="K50" i="34"/>
  <c r="J50" i="34"/>
  <c r="I50" i="34"/>
  <c r="H50" i="34"/>
  <c r="G50" i="34"/>
  <c r="F50" i="34"/>
  <c r="E50" i="34"/>
  <c r="D50" i="34"/>
  <c r="R49" i="34"/>
  <c r="Q49" i="34"/>
  <c r="P49" i="34"/>
  <c r="O49" i="34"/>
  <c r="N49" i="34"/>
  <c r="M49" i="34"/>
  <c r="L49" i="34"/>
  <c r="K49" i="34"/>
  <c r="J49" i="34"/>
  <c r="I49" i="34"/>
  <c r="H49" i="34"/>
  <c r="G49" i="34"/>
  <c r="F49" i="34"/>
  <c r="E49" i="34"/>
  <c r="D49" i="34"/>
  <c r="R48" i="34"/>
  <c r="Q48" i="34"/>
  <c r="P48" i="34"/>
  <c r="O48" i="34"/>
  <c r="N48" i="34"/>
  <c r="M48" i="34"/>
  <c r="L48" i="34"/>
  <c r="K48" i="34"/>
  <c r="J48" i="34"/>
  <c r="I48" i="34"/>
  <c r="H48" i="34"/>
  <c r="G48" i="34"/>
  <c r="F48" i="34"/>
  <c r="E48" i="34"/>
  <c r="D48" i="34"/>
  <c r="R47" i="34"/>
  <c r="Q47" i="34"/>
  <c r="P47" i="34"/>
  <c r="O47" i="34"/>
  <c r="N47" i="34"/>
  <c r="M47" i="34"/>
  <c r="L47" i="34"/>
  <c r="K47" i="34"/>
  <c r="J47" i="34"/>
  <c r="I47" i="34"/>
  <c r="H47" i="34"/>
  <c r="G47" i="34"/>
  <c r="F47" i="34"/>
  <c r="E47" i="34"/>
  <c r="D47" i="34"/>
  <c r="R46" i="34"/>
  <c r="Q46" i="34"/>
  <c r="P46" i="34"/>
  <c r="O46" i="34"/>
  <c r="N46" i="34"/>
  <c r="M46" i="34"/>
  <c r="L46" i="34"/>
  <c r="K46" i="34"/>
  <c r="J46" i="34"/>
  <c r="I46" i="34"/>
  <c r="H46" i="34"/>
  <c r="G46" i="34"/>
  <c r="F46" i="34"/>
  <c r="E46" i="34"/>
  <c r="D46" i="34"/>
  <c r="R45" i="34"/>
  <c r="Q45" i="34"/>
  <c r="P45" i="34"/>
  <c r="O45" i="34"/>
  <c r="N45" i="34"/>
  <c r="M45" i="34"/>
  <c r="L45" i="34"/>
  <c r="K45" i="34"/>
  <c r="J45" i="34"/>
  <c r="I45" i="34"/>
  <c r="H45" i="34"/>
  <c r="G45" i="34"/>
  <c r="F45" i="34"/>
  <c r="E45" i="34"/>
  <c r="D45" i="34"/>
  <c r="R44" i="34"/>
  <c r="Q44" i="34"/>
  <c r="P44" i="34"/>
  <c r="O44" i="34"/>
  <c r="N44" i="34"/>
  <c r="M44" i="34"/>
  <c r="L44" i="34"/>
  <c r="K44" i="34"/>
  <c r="J44" i="34"/>
  <c r="I44" i="34"/>
  <c r="H44" i="34"/>
  <c r="G44" i="34"/>
  <c r="F44" i="34"/>
  <c r="E44" i="34"/>
  <c r="D44" i="34"/>
  <c r="R43" i="34"/>
  <c r="Q43" i="34"/>
  <c r="P43" i="34"/>
  <c r="O43" i="34"/>
  <c r="N43" i="34"/>
  <c r="M43" i="34"/>
  <c r="L43" i="34"/>
  <c r="K43" i="34"/>
  <c r="J43" i="34"/>
  <c r="I43" i="34"/>
  <c r="H43" i="34"/>
  <c r="G43" i="34"/>
  <c r="F43" i="34"/>
  <c r="E43" i="34"/>
  <c r="D43" i="34"/>
  <c r="R42" i="34"/>
  <c r="Q42" i="34"/>
  <c r="P42" i="34"/>
  <c r="O42" i="34"/>
  <c r="N42" i="34"/>
  <c r="M42" i="34"/>
  <c r="L42" i="34"/>
  <c r="K42" i="34"/>
  <c r="J42" i="34"/>
  <c r="I42" i="34"/>
  <c r="H42" i="34"/>
  <c r="G42" i="34"/>
  <c r="F42" i="34"/>
  <c r="E42" i="34"/>
  <c r="D42" i="34"/>
  <c r="R38" i="34"/>
  <c r="Q38" i="34"/>
  <c r="P38" i="34"/>
  <c r="O38" i="34"/>
  <c r="N38" i="34"/>
  <c r="M38" i="34"/>
  <c r="L38" i="34"/>
  <c r="K38" i="34"/>
  <c r="J38" i="34"/>
  <c r="I38" i="34"/>
  <c r="H38" i="34"/>
  <c r="G38" i="34"/>
  <c r="F38" i="34"/>
  <c r="E38" i="34"/>
  <c r="D38" i="34"/>
  <c r="R37" i="34"/>
  <c r="Q37" i="34"/>
  <c r="P37" i="34"/>
  <c r="O37" i="34"/>
  <c r="N37" i="34"/>
  <c r="M37" i="34"/>
  <c r="L37" i="34"/>
  <c r="K37" i="34"/>
  <c r="J37" i="34"/>
  <c r="I37" i="34"/>
  <c r="H37" i="34"/>
  <c r="G37" i="34"/>
  <c r="F37" i="34"/>
  <c r="E37" i="34"/>
  <c r="D37" i="34"/>
  <c r="R36" i="34"/>
  <c r="Q36" i="34"/>
  <c r="P36" i="34"/>
  <c r="O36" i="34"/>
  <c r="N36" i="34"/>
  <c r="M36" i="34"/>
  <c r="L36" i="34"/>
  <c r="K36" i="34"/>
  <c r="J36" i="34"/>
  <c r="I36" i="34"/>
  <c r="H36" i="34"/>
  <c r="G36" i="34"/>
  <c r="F36" i="34"/>
  <c r="E36" i="34"/>
  <c r="D36" i="34"/>
  <c r="R35" i="34"/>
  <c r="Q35" i="34"/>
  <c r="P35" i="34"/>
  <c r="O35" i="34"/>
  <c r="N35" i="34"/>
  <c r="M35" i="34"/>
  <c r="L35" i="34"/>
  <c r="K35" i="34"/>
  <c r="J35" i="34"/>
  <c r="I35" i="34"/>
  <c r="H35" i="34"/>
  <c r="G35" i="34"/>
  <c r="F35" i="34"/>
  <c r="E35" i="34"/>
  <c r="D35" i="34"/>
  <c r="R32" i="34"/>
  <c r="Q32" i="34"/>
  <c r="P32" i="34"/>
  <c r="O32" i="34"/>
  <c r="N32" i="34"/>
  <c r="M32" i="34"/>
  <c r="L32" i="34"/>
  <c r="K32" i="34"/>
  <c r="J32" i="34"/>
  <c r="I32" i="34"/>
  <c r="H32" i="34"/>
  <c r="G32" i="34"/>
  <c r="F32" i="34"/>
  <c r="E32" i="34"/>
  <c r="D32" i="34"/>
  <c r="R25" i="34"/>
  <c r="Q25" i="34"/>
  <c r="P25" i="34"/>
  <c r="O25" i="34"/>
  <c r="N25" i="34"/>
  <c r="M25" i="34"/>
  <c r="L25" i="34"/>
  <c r="K25" i="34"/>
  <c r="J25" i="34"/>
  <c r="I25" i="34"/>
  <c r="H25" i="34"/>
  <c r="G25" i="34"/>
  <c r="F25" i="34"/>
  <c r="E25" i="34"/>
  <c r="D25" i="34"/>
  <c r="R24" i="34"/>
  <c r="Q24" i="34"/>
  <c r="P24" i="34"/>
  <c r="O24" i="34"/>
  <c r="N24" i="34"/>
  <c r="M24" i="34"/>
  <c r="L24" i="34"/>
  <c r="K24" i="34"/>
  <c r="J24" i="34"/>
  <c r="I24" i="34"/>
  <c r="H24" i="34"/>
  <c r="G24" i="34"/>
  <c r="F24" i="34"/>
  <c r="E24" i="34"/>
  <c r="D24" i="34"/>
  <c r="R23" i="34"/>
  <c r="Q23" i="34"/>
  <c r="P23" i="34"/>
  <c r="O23" i="34"/>
  <c r="N23" i="34"/>
  <c r="M23" i="34"/>
  <c r="L23" i="34"/>
  <c r="K23" i="34"/>
  <c r="J23" i="34"/>
  <c r="I23" i="34"/>
  <c r="H23" i="34"/>
  <c r="G23" i="34"/>
  <c r="F23" i="34"/>
  <c r="E23" i="34"/>
  <c r="D23" i="34"/>
  <c r="R15" i="34"/>
  <c r="Q15" i="34"/>
  <c r="P15" i="34"/>
  <c r="O15" i="34"/>
  <c r="N15" i="34"/>
  <c r="M15" i="34"/>
  <c r="L15" i="34"/>
  <c r="K15" i="34"/>
  <c r="J15" i="34"/>
  <c r="I15" i="34"/>
  <c r="H15" i="34"/>
  <c r="G15" i="34"/>
  <c r="F15" i="34"/>
  <c r="E15" i="34"/>
  <c r="D15" i="34"/>
  <c r="R14" i="34"/>
  <c r="Q14" i="34"/>
  <c r="P14" i="34"/>
  <c r="O14" i="34"/>
  <c r="N14" i="34"/>
  <c r="M14" i="34"/>
  <c r="L14" i="34"/>
  <c r="K14" i="34"/>
  <c r="J14" i="34"/>
  <c r="I14" i="34"/>
  <c r="H14" i="34"/>
  <c r="G14" i="34"/>
  <c r="F14" i="34"/>
  <c r="E14" i="34"/>
  <c r="D14" i="34"/>
  <c r="R13" i="34"/>
  <c r="Q13" i="34"/>
  <c r="P13" i="34"/>
  <c r="O13" i="34"/>
  <c r="N13" i="34"/>
  <c r="M13" i="34"/>
  <c r="L13" i="34"/>
  <c r="K13" i="34"/>
  <c r="J13" i="34"/>
  <c r="I13" i="34"/>
  <c r="H13" i="34"/>
  <c r="G13" i="34"/>
  <c r="F13" i="34"/>
  <c r="E13" i="34"/>
  <c r="D13" i="34"/>
  <c r="C166" i="34"/>
  <c r="O165" i="34"/>
  <c r="N165" i="34"/>
  <c r="M165" i="34"/>
  <c r="L165" i="34"/>
  <c r="K165" i="34"/>
  <c r="C165" i="34"/>
  <c r="O164" i="34"/>
  <c r="N164" i="34"/>
  <c r="M164" i="34"/>
  <c r="L164" i="34"/>
  <c r="K164" i="34"/>
  <c r="C164" i="34"/>
  <c r="C163" i="34"/>
  <c r="C92" i="34"/>
  <c r="B92" i="34"/>
  <c r="C91" i="34"/>
  <c r="B91" i="34"/>
  <c r="C90" i="34"/>
  <c r="B90" i="34"/>
  <c r="C89" i="34"/>
  <c r="B89" i="34"/>
  <c r="C88" i="34"/>
  <c r="B88" i="34"/>
  <c r="C87" i="34"/>
  <c r="B87" i="34"/>
  <c r="C86" i="34"/>
  <c r="B86" i="34"/>
  <c r="C85" i="34"/>
  <c r="B85" i="34"/>
  <c r="C84" i="34"/>
  <c r="B84" i="34"/>
  <c r="C80" i="34"/>
  <c r="B80" i="34"/>
  <c r="C79" i="34"/>
  <c r="B79" i="34"/>
  <c r="C78" i="34"/>
  <c r="B78" i="34"/>
  <c r="C77" i="34"/>
  <c r="B77" i="34"/>
  <c r="C76" i="34"/>
  <c r="B76" i="34"/>
  <c r="C75" i="34"/>
  <c r="B75" i="34"/>
  <c r="C74" i="34"/>
  <c r="B74" i="34"/>
  <c r="C73" i="34"/>
  <c r="B73" i="34"/>
  <c r="C72" i="34"/>
  <c r="B72" i="34"/>
  <c r="C71" i="34"/>
  <c r="B71" i="34"/>
  <c r="C67" i="34"/>
  <c r="B67" i="34"/>
  <c r="C66" i="34"/>
  <c r="B66" i="34"/>
  <c r="C65" i="34"/>
  <c r="B65" i="34"/>
  <c r="C64" i="34"/>
  <c r="B64" i="34"/>
  <c r="C63" i="34"/>
  <c r="B63" i="34"/>
  <c r="C62" i="34"/>
  <c r="B62" i="34"/>
  <c r="C61" i="34"/>
  <c r="B61" i="34"/>
  <c r="C60" i="34"/>
  <c r="B60" i="34"/>
  <c r="C52" i="34"/>
  <c r="B52" i="34"/>
  <c r="C51" i="34"/>
  <c r="B51" i="34"/>
  <c r="C50" i="34"/>
  <c r="B50" i="34"/>
  <c r="C49" i="34"/>
  <c r="B49" i="34"/>
  <c r="C48" i="34"/>
  <c r="B48" i="34"/>
  <c r="C47" i="34"/>
  <c r="B47" i="34"/>
  <c r="C46" i="34"/>
  <c r="B46" i="34"/>
  <c r="C45" i="34"/>
  <c r="B45" i="34"/>
  <c r="C44" i="34"/>
  <c r="B44" i="34"/>
  <c r="C43" i="34"/>
  <c r="B43" i="34"/>
  <c r="C42" i="34"/>
  <c r="B42" i="34"/>
  <c r="C38" i="34"/>
  <c r="B38" i="34"/>
  <c r="C37" i="34"/>
  <c r="B37" i="34"/>
  <c r="C36" i="34"/>
  <c r="B36" i="34"/>
  <c r="C35" i="34"/>
  <c r="B35" i="34"/>
  <c r="C34" i="34"/>
  <c r="B34" i="34"/>
  <c r="C33" i="34"/>
  <c r="B33" i="34"/>
  <c r="C32" i="34"/>
  <c r="B32" i="34"/>
  <c r="C31" i="34"/>
  <c r="B31" i="34"/>
  <c r="C26" i="34"/>
  <c r="B26" i="34"/>
  <c r="C25" i="34"/>
  <c r="B25" i="34"/>
  <c r="C24" i="34"/>
  <c r="B24" i="34"/>
  <c r="C23" i="34"/>
  <c r="B23" i="34"/>
  <c r="C22" i="34"/>
  <c r="B22" i="34"/>
  <c r="C21" i="34"/>
  <c r="B21" i="34"/>
  <c r="C20" i="34"/>
  <c r="B20" i="34"/>
  <c r="C19" i="34"/>
  <c r="B19" i="34"/>
  <c r="C15" i="34"/>
  <c r="B15" i="34"/>
  <c r="C14" i="34"/>
  <c r="B14" i="34"/>
  <c r="C13" i="34"/>
  <c r="B13" i="34"/>
  <c r="C12" i="34"/>
  <c r="B12" i="34"/>
  <c r="A1" i="34"/>
  <c r="R52" i="33"/>
  <c r="Q52" i="33"/>
  <c r="P52" i="33"/>
  <c r="O52" i="33"/>
  <c r="N52" i="33"/>
  <c r="M52" i="33"/>
  <c r="L52" i="33"/>
  <c r="K52" i="33"/>
  <c r="J52" i="33"/>
  <c r="I52" i="33"/>
  <c r="H52" i="33"/>
  <c r="G52" i="33"/>
  <c r="F52" i="33"/>
  <c r="E52" i="33"/>
  <c r="D52" i="33"/>
  <c r="R51" i="33"/>
  <c r="Q51" i="33"/>
  <c r="P51" i="33"/>
  <c r="O51" i="33"/>
  <c r="N51" i="33"/>
  <c r="M51" i="33"/>
  <c r="L51" i="33"/>
  <c r="K51" i="33"/>
  <c r="J51" i="33"/>
  <c r="I51" i="33"/>
  <c r="H51" i="33"/>
  <c r="G51" i="33"/>
  <c r="F51" i="33"/>
  <c r="E51" i="33"/>
  <c r="D51" i="33"/>
  <c r="R50" i="33"/>
  <c r="Q50" i="33"/>
  <c r="P50" i="33"/>
  <c r="O50" i="33"/>
  <c r="N50" i="33"/>
  <c r="M50" i="33"/>
  <c r="L50" i="33"/>
  <c r="K50" i="33"/>
  <c r="J50" i="33"/>
  <c r="I50" i="33"/>
  <c r="H50" i="33"/>
  <c r="G50" i="33"/>
  <c r="F50" i="33"/>
  <c r="E50" i="33"/>
  <c r="D50" i="33"/>
  <c r="R49" i="33"/>
  <c r="Q49" i="33"/>
  <c r="P49" i="33"/>
  <c r="O49" i="33"/>
  <c r="N49" i="33"/>
  <c r="M49" i="33"/>
  <c r="L49" i="33"/>
  <c r="K49" i="33"/>
  <c r="J49" i="33"/>
  <c r="I49" i="33"/>
  <c r="H49" i="33"/>
  <c r="G49" i="33"/>
  <c r="F49" i="33"/>
  <c r="E49" i="33"/>
  <c r="D49" i="33"/>
  <c r="R48" i="33"/>
  <c r="Q48" i="33"/>
  <c r="P48" i="33"/>
  <c r="O48" i="33"/>
  <c r="N48" i="33"/>
  <c r="M48" i="33"/>
  <c r="L48" i="33"/>
  <c r="K48" i="33"/>
  <c r="J48" i="33"/>
  <c r="I48" i="33"/>
  <c r="H48" i="33"/>
  <c r="G48" i="33"/>
  <c r="F48" i="33"/>
  <c r="E48" i="33"/>
  <c r="D48" i="33"/>
  <c r="R47" i="33"/>
  <c r="Q47" i="33"/>
  <c r="P47" i="33"/>
  <c r="O47" i="33"/>
  <c r="N47" i="33"/>
  <c r="M47" i="33"/>
  <c r="L47" i="33"/>
  <c r="K47" i="33"/>
  <c r="J47" i="33"/>
  <c r="I47" i="33"/>
  <c r="H47" i="33"/>
  <c r="G47" i="33"/>
  <c r="F47" i="33"/>
  <c r="E47" i="33"/>
  <c r="D47" i="33"/>
  <c r="R46" i="33"/>
  <c r="Q46" i="33"/>
  <c r="P46" i="33"/>
  <c r="O46" i="33"/>
  <c r="N46" i="33"/>
  <c r="M46" i="33"/>
  <c r="L46" i="33"/>
  <c r="K46" i="33"/>
  <c r="J46" i="33"/>
  <c r="I46" i="33"/>
  <c r="H46" i="33"/>
  <c r="G46" i="33"/>
  <c r="F46" i="33"/>
  <c r="E46" i="33"/>
  <c r="D46" i="33"/>
  <c r="R45" i="33"/>
  <c r="Q45" i="33"/>
  <c r="P45" i="33"/>
  <c r="O45" i="33"/>
  <c r="N45" i="33"/>
  <c r="M45" i="33"/>
  <c r="L45" i="33"/>
  <c r="K45" i="33"/>
  <c r="J45" i="33"/>
  <c r="I45" i="33"/>
  <c r="H45" i="33"/>
  <c r="G45" i="33"/>
  <c r="F45" i="33"/>
  <c r="E45" i="33"/>
  <c r="D45" i="33"/>
  <c r="R44" i="33"/>
  <c r="Q44" i="33"/>
  <c r="P44" i="33"/>
  <c r="O44" i="33"/>
  <c r="N44" i="33"/>
  <c r="M44" i="33"/>
  <c r="L44" i="33"/>
  <c r="K44" i="33"/>
  <c r="J44" i="33"/>
  <c r="I44" i="33"/>
  <c r="H44" i="33"/>
  <c r="G44" i="33"/>
  <c r="F44" i="33"/>
  <c r="E44" i="33"/>
  <c r="D44" i="33"/>
  <c r="R43" i="33"/>
  <c r="Q43" i="33"/>
  <c r="P43" i="33"/>
  <c r="O43" i="33"/>
  <c r="N43" i="33"/>
  <c r="M43" i="33"/>
  <c r="L43" i="33"/>
  <c r="K43" i="33"/>
  <c r="J43" i="33"/>
  <c r="I43" i="33"/>
  <c r="H43" i="33"/>
  <c r="G43" i="33"/>
  <c r="F43" i="33"/>
  <c r="E43" i="33"/>
  <c r="D43" i="33"/>
  <c r="R42" i="33"/>
  <c r="Q42" i="33"/>
  <c r="P42" i="33"/>
  <c r="O42" i="33"/>
  <c r="N42" i="33"/>
  <c r="M42" i="33"/>
  <c r="L42" i="33"/>
  <c r="K42" i="33"/>
  <c r="J42" i="33"/>
  <c r="I42" i="33"/>
  <c r="H42" i="33"/>
  <c r="G42" i="33"/>
  <c r="F42" i="33"/>
  <c r="E42" i="33"/>
  <c r="D42" i="33"/>
  <c r="R38" i="33"/>
  <c r="Q38" i="33"/>
  <c r="P38" i="33"/>
  <c r="O38" i="33"/>
  <c r="N38" i="33"/>
  <c r="M38" i="33"/>
  <c r="L38" i="33"/>
  <c r="K38" i="33"/>
  <c r="J38" i="33"/>
  <c r="I38" i="33"/>
  <c r="H38" i="33"/>
  <c r="G38" i="33"/>
  <c r="F38" i="33"/>
  <c r="E38" i="33"/>
  <c r="D38" i="33"/>
  <c r="R37" i="33"/>
  <c r="Q37" i="33"/>
  <c r="P37" i="33"/>
  <c r="O37" i="33"/>
  <c r="N37" i="33"/>
  <c r="M37" i="33"/>
  <c r="L37" i="33"/>
  <c r="K37" i="33"/>
  <c r="J37" i="33"/>
  <c r="I37" i="33"/>
  <c r="H37" i="33"/>
  <c r="G37" i="33"/>
  <c r="F37" i="33"/>
  <c r="E37" i="33"/>
  <c r="D37" i="33"/>
  <c r="R36" i="33"/>
  <c r="Q36" i="33"/>
  <c r="P36" i="33"/>
  <c r="O36" i="33"/>
  <c r="N36" i="33"/>
  <c r="M36" i="33"/>
  <c r="L36" i="33"/>
  <c r="K36" i="33"/>
  <c r="J36" i="33"/>
  <c r="I36" i="33"/>
  <c r="H36" i="33"/>
  <c r="G36" i="33"/>
  <c r="F36" i="33"/>
  <c r="E36" i="33"/>
  <c r="D36" i="33"/>
  <c r="R35" i="33"/>
  <c r="Q35" i="33"/>
  <c r="P35" i="33"/>
  <c r="O35" i="33"/>
  <c r="N35" i="33"/>
  <c r="M35" i="33"/>
  <c r="L35" i="33"/>
  <c r="K35" i="33"/>
  <c r="J35" i="33"/>
  <c r="I35" i="33"/>
  <c r="H35" i="33"/>
  <c r="G35" i="33"/>
  <c r="F35" i="33"/>
  <c r="E35" i="33"/>
  <c r="D35" i="33"/>
  <c r="R32" i="33"/>
  <c r="Q32" i="33"/>
  <c r="P32" i="33"/>
  <c r="O32" i="33"/>
  <c r="N32" i="33"/>
  <c r="M32" i="33"/>
  <c r="L32" i="33"/>
  <c r="K32" i="33"/>
  <c r="J32" i="33"/>
  <c r="I32" i="33"/>
  <c r="H32" i="33"/>
  <c r="G32" i="33"/>
  <c r="F32" i="33"/>
  <c r="E32" i="33"/>
  <c r="D32" i="33"/>
  <c r="R25" i="33"/>
  <c r="Q25" i="33"/>
  <c r="P25" i="33"/>
  <c r="O25" i="33"/>
  <c r="N25" i="33"/>
  <c r="M25" i="33"/>
  <c r="L25" i="33"/>
  <c r="K25" i="33"/>
  <c r="J25" i="33"/>
  <c r="I25" i="33"/>
  <c r="H25" i="33"/>
  <c r="G25" i="33"/>
  <c r="F25" i="33"/>
  <c r="E25" i="33"/>
  <c r="D25" i="33"/>
  <c r="R24" i="33"/>
  <c r="Q24" i="33"/>
  <c r="P24" i="33"/>
  <c r="O24" i="33"/>
  <c r="N24" i="33"/>
  <c r="M24" i="33"/>
  <c r="L24" i="33"/>
  <c r="K24" i="33"/>
  <c r="J24" i="33"/>
  <c r="I24" i="33"/>
  <c r="H24" i="33"/>
  <c r="G24" i="33"/>
  <c r="F24" i="33"/>
  <c r="E24" i="33"/>
  <c r="D24" i="33"/>
  <c r="R23" i="33"/>
  <c r="Q23" i="33"/>
  <c r="P23" i="33"/>
  <c r="O23" i="33"/>
  <c r="N23" i="33"/>
  <c r="M23" i="33"/>
  <c r="L23" i="33"/>
  <c r="K23" i="33"/>
  <c r="J23" i="33"/>
  <c r="I23" i="33"/>
  <c r="H23" i="33"/>
  <c r="G23" i="33"/>
  <c r="F23" i="33"/>
  <c r="E23" i="33"/>
  <c r="D23" i="33"/>
  <c r="R15" i="33"/>
  <c r="Q15" i="33"/>
  <c r="P15" i="33"/>
  <c r="O15" i="33"/>
  <c r="N15" i="33"/>
  <c r="M15" i="33"/>
  <c r="L15" i="33"/>
  <c r="K15" i="33"/>
  <c r="J15" i="33"/>
  <c r="I15" i="33"/>
  <c r="H15" i="33"/>
  <c r="G15" i="33"/>
  <c r="F15" i="33"/>
  <c r="E15" i="33"/>
  <c r="D15" i="33"/>
  <c r="R14" i="33"/>
  <c r="Q14" i="33"/>
  <c r="P14" i="33"/>
  <c r="O14" i="33"/>
  <c r="N14" i="33"/>
  <c r="M14" i="33"/>
  <c r="L14" i="33"/>
  <c r="K14" i="33"/>
  <c r="J14" i="33"/>
  <c r="I14" i="33"/>
  <c r="H14" i="33"/>
  <c r="G14" i="33"/>
  <c r="F14" i="33"/>
  <c r="E14" i="33"/>
  <c r="D14" i="33"/>
  <c r="R13" i="33"/>
  <c r="Q13" i="33"/>
  <c r="P13" i="33"/>
  <c r="O13" i="33"/>
  <c r="N13" i="33"/>
  <c r="M13" i="33"/>
  <c r="L13" i="33"/>
  <c r="K13" i="33"/>
  <c r="J13" i="33"/>
  <c r="I13" i="33"/>
  <c r="H13" i="33"/>
  <c r="G13" i="33"/>
  <c r="F13" i="33"/>
  <c r="E13" i="33"/>
  <c r="D13" i="33"/>
  <c r="C166" i="33"/>
  <c r="O165" i="33"/>
  <c r="N165" i="33"/>
  <c r="M165" i="33"/>
  <c r="L165" i="33"/>
  <c r="K165" i="33"/>
  <c r="C165" i="33"/>
  <c r="O164" i="33"/>
  <c r="N164" i="33"/>
  <c r="M164" i="33"/>
  <c r="L164" i="33"/>
  <c r="K164" i="33"/>
  <c r="C164" i="33"/>
  <c r="C163" i="33"/>
  <c r="C92" i="33"/>
  <c r="B92" i="33"/>
  <c r="C91" i="33"/>
  <c r="B91" i="33"/>
  <c r="C90" i="33"/>
  <c r="B90" i="33"/>
  <c r="C89" i="33"/>
  <c r="B89" i="33"/>
  <c r="C88" i="33"/>
  <c r="B88" i="33"/>
  <c r="C87" i="33"/>
  <c r="B87" i="33"/>
  <c r="C86" i="33"/>
  <c r="B86" i="33"/>
  <c r="C85" i="33"/>
  <c r="B85" i="33"/>
  <c r="C84" i="33"/>
  <c r="B84" i="33"/>
  <c r="C80" i="33"/>
  <c r="B80" i="33"/>
  <c r="C79" i="33"/>
  <c r="B79" i="33"/>
  <c r="C78" i="33"/>
  <c r="B78" i="33"/>
  <c r="C77" i="33"/>
  <c r="B77" i="33"/>
  <c r="C76" i="33"/>
  <c r="B76" i="33"/>
  <c r="C75" i="33"/>
  <c r="B75" i="33"/>
  <c r="C74" i="33"/>
  <c r="B74" i="33"/>
  <c r="C73" i="33"/>
  <c r="B73" i="33"/>
  <c r="C72" i="33"/>
  <c r="B72" i="33"/>
  <c r="C71" i="33"/>
  <c r="B71" i="33"/>
  <c r="C67" i="33"/>
  <c r="B67" i="33"/>
  <c r="C66" i="33"/>
  <c r="B66" i="33"/>
  <c r="C65" i="33"/>
  <c r="B65" i="33"/>
  <c r="C64" i="33"/>
  <c r="B64" i="33"/>
  <c r="C63" i="33"/>
  <c r="B63" i="33"/>
  <c r="C62" i="33"/>
  <c r="B62" i="33"/>
  <c r="C61" i="33"/>
  <c r="B61" i="33"/>
  <c r="C60" i="33"/>
  <c r="B60" i="33"/>
  <c r="C52" i="33"/>
  <c r="B52" i="33"/>
  <c r="C51" i="33"/>
  <c r="B51" i="33"/>
  <c r="C50" i="33"/>
  <c r="B50" i="33"/>
  <c r="C49" i="33"/>
  <c r="B49" i="33"/>
  <c r="C48" i="33"/>
  <c r="B48" i="33"/>
  <c r="C47" i="33"/>
  <c r="B47" i="33"/>
  <c r="C46" i="33"/>
  <c r="B46" i="33"/>
  <c r="C45" i="33"/>
  <c r="B45" i="33"/>
  <c r="C44" i="33"/>
  <c r="B44" i="33"/>
  <c r="C43" i="33"/>
  <c r="B43" i="33"/>
  <c r="C42" i="33"/>
  <c r="B42" i="33"/>
  <c r="C38" i="33"/>
  <c r="B38" i="33"/>
  <c r="C37" i="33"/>
  <c r="B37" i="33"/>
  <c r="C36" i="33"/>
  <c r="B36" i="33"/>
  <c r="C35" i="33"/>
  <c r="B35" i="33"/>
  <c r="C34" i="33"/>
  <c r="B34" i="33"/>
  <c r="C33" i="33"/>
  <c r="B33" i="33"/>
  <c r="C32" i="33"/>
  <c r="B32" i="33"/>
  <c r="C31" i="33"/>
  <c r="B31" i="33"/>
  <c r="C26" i="33"/>
  <c r="B26" i="33"/>
  <c r="C25" i="33"/>
  <c r="B25" i="33"/>
  <c r="C24" i="33"/>
  <c r="B24" i="33"/>
  <c r="C23" i="33"/>
  <c r="B23" i="33"/>
  <c r="C22" i="33"/>
  <c r="B22" i="33"/>
  <c r="C21" i="33"/>
  <c r="B21" i="33"/>
  <c r="C20" i="33"/>
  <c r="B20" i="33"/>
  <c r="C19" i="33"/>
  <c r="B19" i="33"/>
  <c r="C15" i="33"/>
  <c r="B15" i="33"/>
  <c r="C14" i="33"/>
  <c r="B14" i="33"/>
  <c r="C13" i="33"/>
  <c r="B13" i="33"/>
  <c r="C12" i="33"/>
  <c r="B12" i="33"/>
  <c r="A1" i="33"/>
  <c r="P42" i="18"/>
  <c r="Q42" i="18"/>
  <c r="R42" i="18"/>
  <c r="P43" i="18"/>
  <c r="Q43" i="18"/>
  <c r="R43" i="18"/>
  <c r="P44" i="18"/>
  <c r="Q44" i="18"/>
  <c r="R44" i="18"/>
  <c r="P45" i="18"/>
  <c r="Q45" i="18"/>
  <c r="R45" i="18"/>
  <c r="P46" i="18"/>
  <c r="Q46" i="18"/>
  <c r="R46" i="18"/>
  <c r="P47" i="18"/>
  <c r="Q47" i="18"/>
  <c r="R47" i="18"/>
  <c r="P48" i="18"/>
  <c r="Q48" i="18"/>
  <c r="R48" i="18"/>
  <c r="P49" i="18"/>
  <c r="Q49" i="18"/>
  <c r="R49" i="18"/>
  <c r="P50" i="18"/>
  <c r="Q50" i="18"/>
  <c r="R50" i="18"/>
  <c r="P51" i="18"/>
  <c r="Q51" i="18"/>
  <c r="R51" i="18"/>
  <c r="P52" i="18"/>
  <c r="Q52" i="18"/>
  <c r="R52" i="18"/>
  <c r="D43" i="18"/>
  <c r="E43" i="18"/>
  <c r="F43" i="18"/>
  <c r="G43" i="18"/>
  <c r="H43" i="18"/>
  <c r="I43" i="18"/>
  <c r="J43" i="18"/>
  <c r="K43" i="18"/>
  <c r="L43" i="18"/>
  <c r="M43" i="18"/>
  <c r="N43" i="18"/>
  <c r="O43" i="18"/>
  <c r="D44" i="18"/>
  <c r="E44" i="18"/>
  <c r="F44" i="18"/>
  <c r="G44" i="18"/>
  <c r="H44" i="18"/>
  <c r="I44" i="18"/>
  <c r="J44" i="18"/>
  <c r="K44" i="18"/>
  <c r="L44" i="18"/>
  <c r="M44" i="18"/>
  <c r="N44" i="18"/>
  <c r="O44" i="18"/>
  <c r="D45" i="18"/>
  <c r="E45" i="18"/>
  <c r="F45" i="18"/>
  <c r="G45" i="18"/>
  <c r="H45" i="18"/>
  <c r="I45" i="18"/>
  <c r="J45" i="18"/>
  <c r="K45" i="18"/>
  <c r="L45" i="18"/>
  <c r="M45" i="18"/>
  <c r="N45" i="18"/>
  <c r="O45" i="18"/>
  <c r="D46" i="18"/>
  <c r="F147" i="25" s="1"/>
  <c r="R147" i="25" s="1"/>
  <c r="E46" i="18"/>
  <c r="F46" i="18"/>
  <c r="G46" i="18"/>
  <c r="I147" i="25" s="1"/>
  <c r="H46" i="18"/>
  <c r="J147" i="25" s="1"/>
  <c r="I46" i="18"/>
  <c r="K147" i="25" s="1"/>
  <c r="J46" i="18"/>
  <c r="K46" i="18"/>
  <c r="L46" i="18"/>
  <c r="N147" i="25" s="1"/>
  <c r="M46" i="18"/>
  <c r="O147" i="25" s="1"/>
  <c r="N46" i="18"/>
  <c r="O46" i="18"/>
  <c r="Q147" i="25" s="1"/>
  <c r="D47" i="18"/>
  <c r="E47" i="18"/>
  <c r="F47" i="18"/>
  <c r="G47" i="18"/>
  <c r="H47" i="18"/>
  <c r="I47" i="18"/>
  <c r="J47" i="18"/>
  <c r="K47" i="18"/>
  <c r="L47" i="18"/>
  <c r="M47" i="18"/>
  <c r="N47" i="18"/>
  <c r="O47" i="18"/>
  <c r="D48" i="18"/>
  <c r="F149" i="25" s="1"/>
  <c r="R149" i="25" s="1"/>
  <c r="E48" i="18"/>
  <c r="G149" i="25" s="1"/>
  <c r="F48" i="18"/>
  <c r="G48" i="18"/>
  <c r="I149" i="25" s="1"/>
  <c r="H48" i="18"/>
  <c r="J149" i="25" s="1"/>
  <c r="I48" i="18"/>
  <c r="K149" i="25" s="1"/>
  <c r="J48" i="18"/>
  <c r="K48" i="18"/>
  <c r="M149" i="25" s="1"/>
  <c r="L48" i="18"/>
  <c r="N149" i="25" s="1"/>
  <c r="M48" i="18"/>
  <c r="O149" i="25" s="1"/>
  <c r="N48" i="18"/>
  <c r="O48" i="18"/>
  <c r="Q149" i="25" s="1"/>
  <c r="D49" i="18"/>
  <c r="F150" i="25" s="1"/>
  <c r="R150" i="25" s="1"/>
  <c r="E49" i="18"/>
  <c r="G150" i="25" s="1"/>
  <c r="F49" i="18"/>
  <c r="G49" i="18"/>
  <c r="I150" i="25" s="1"/>
  <c r="H49" i="18"/>
  <c r="J150" i="25" s="1"/>
  <c r="I49" i="18"/>
  <c r="K150" i="25" s="1"/>
  <c r="J49" i="18"/>
  <c r="K49" i="18"/>
  <c r="M150" i="25" s="1"/>
  <c r="L49" i="18"/>
  <c r="N150" i="25" s="1"/>
  <c r="M49" i="18"/>
  <c r="O150" i="25" s="1"/>
  <c r="N49" i="18"/>
  <c r="O49" i="18"/>
  <c r="Q150" i="25" s="1"/>
  <c r="D50" i="18"/>
  <c r="F151" i="25" s="1"/>
  <c r="E50" i="18"/>
  <c r="G151" i="25" s="1"/>
  <c r="F50" i="18"/>
  <c r="G50" i="18"/>
  <c r="I151" i="25" s="1"/>
  <c r="H50" i="18"/>
  <c r="J151" i="25" s="1"/>
  <c r="I50" i="18"/>
  <c r="K151" i="25" s="1"/>
  <c r="J50" i="18"/>
  <c r="K50" i="18"/>
  <c r="M151" i="25" s="1"/>
  <c r="L50" i="18"/>
  <c r="N151" i="25" s="1"/>
  <c r="M50" i="18"/>
  <c r="O151" i="25" s="1"/>
  <c r="N50" i="18"/>
  <c r="O50" i="18"/>
  <c r="Q151" i="25" s="1"/>
  <c r="D51" i="18"/>
  <c r="E51" i="18"/>
  <c r="F51" i="18"/>
  <c r="G51" i="18"/>
  <c r="H51" i="18"/>
  <c r="I51" i="18"/>
  <c r="J51" i="18"/>
  <c r="K51" i="18"/>
  <c r="L51" i="18"/>
  <c r="M51" i="18"/>
  <c r="N51" i="18"/>
  <c r="O51" i="18"/>
  <c r="D52" i="18"/>
  <c r="F153" i="25" s="1"/>
  <c r="R153" i="25" s="1"/>
  <c r="E52" i="18"/>
  <c r="G153" i="25" s="1"/>
  <c r="F52" i="18"/>
  <c r="G52" i="18"/>
  <c r="I153" i="25" s="1"/>
  <c r="H52" i="18"/>
  <c r="J153" i="25" s="1"/>
  <c r="I52" i="18"/>
  <c r="K153" i="25" s="1"/>
  <c r="J52" i="18"/>
  <c r="K52" i="18"/>
  <c r="M153" i="25" s="1"/>
  <c r="L52" i="18"/>
  <c r="N153" i="25" s="1"/>
  <c r="M52" i="18"/>
  <c r="O153" i="25" s="1"/>
  <c r="N52" i="18"/>
  <c r="O52" i="18"/>
  <c r="Q153" i="25" s="1"/>
  <c r="C43" i="18"/>
  <c r="C44" i="18"/>
  <c r="C45" i="18"/>
  <c r="C46" i="18"/>
  <c r="C47" i="18"/>
  <c r="C48" i="18"/>
  <c r="C49" i="18"/>
  <c r="C50" i="18"/>
  <c r="C51" i="18"/>
  <c r="C52" i="18"/>
  <c r="B43" i="18"/>
  <c r="B44" i="18"/>
  <c r="B45" i="18"/>
  <c r="B46" i="18"/>
  <c r="B47" i="18"/>
  <c r="B48" i="18"/>
  <c r="B49" i="18"/>
  <c r="B50" i="18"/>
  <c r="B51" i="18"/>
  <c r="B52" i="18"/>
  <c r="E25" i="18"/>
  <c r="F25" i="18"/>
  <c r="G25" i="18"/>
  <c r="H25" i="18"/>
  <c r="I25" i="18"/>
  <c r="J25" i="18"/>
  <c r="K25" i="18"/>
  <c r="L25" i="18"/>
  <c r="M25" i="18"/>
  <c r="N25" i="18"/>
  <c r="O25" i="18"/>
  <c r="P25" i="18"/>
  <c r="Q25" i="18"/>
  <c r="R25" i="18"/>
  <c r="D25" i="18"/>
  <c r="D23" i="18"/>
  <c r="E23" i="18"/>
  <c r="F23" i="18"/>
  <c r="G23" i="18"/>
  <c r="H23" i="18"/>
  <c r="I23" i="18"/>
  <c r="J23" i="18"/>
  <c r="K23" i="18"/>
  <c r="L23" i="18"/>
  <c r="M23" i="18"/>
  <c r="N23" i="18"/>
  <c r="O23" i="18"/>
  <c r="P23" i="18"/>
  <c r="Q23" i="18"/>
  <c r="R23" i="18"/>
  <c r="D24" i="18"/>
  <c r="E24" i="18"/>
  <c r="F24" i="18"/>
  <c r="G24" i="18"/>
  <c r="H24" i="18"/>
  <c r="I24" i="18"/>
  <c r="J24" i="18"/>
  <c r="K24" i="18"/>
  <c r="L24" i="18"/>
  <c r="M24" i="18"/>
  <c r="N24" i="18"/>
  <c r="O24" i="18"/>
  <c r="P24" i="18"/>
  <c r="Q24" i="18"/>
  <c r="R24" i="18"/>
  <c r="C20" i="18"/>
  <c r="C21" i="18"/>
  <c r="C22" i="18"/>
  <c r="C23" i="18"/>
  <c r="C24" i="18"/>
  <c r="C25" i="18"/>
  <c r="C26" i="18"/>
  <c r="C19" i="18"/>
  <c r="B20" i="18"/>
  <c r="B21" i="18"/>
  <c r="B22" i="18"/>
  <c r="B23" i="18"/>
  <c r="B24" i="18"/>
  <c r="B25" i="18"/>
  <c r="B26" i="18"/>
  <c r="B19" i="18"/>
  <c r="P13" i="18"/>
  <c r="Q13" i="18"/>
  <c r="R13" i="18"/>
  <c r="P14" i="18"/>
  <c r="Q14" i="18"/>
  <c r="R14" i="18"/>
  <c r="P15" i="18"/>
  <c r="Q15" i="18"/>
  <c r="R15" i="18"/>
  <c r="E15" i="17"/>
  <c r="F15" i="17"/>
  <c r="G15" i="17"/>
  <c r="H15" i="17"/>
  <c r="H15" i="18"/>
  <c r="I15" i="17"/>
  <c r="J15" i="17"/>
  <c r="K15" i="17"/>
  <c r="L15" i="17"/>
  <c r="L15" i="18"/>
  <c r="M15" i="17"/>
  <c r="N15" i="17"/>
  <c r="O15" i="17"/>
  <c r="P15" i="17"/>
  <c r="Q15" i="17"/>
  <c r="R15" i="17"/>
  <c r="D15" i="17"/>
  <c r="D15" i="18"/>
  <c r="D13" i="18"/>
  <c r="E13" i="18"/>
  <c r="F13" i="18"/>
  <c r="G13" i="18"/>
  <c r="H13" i="18"/>
  <c r="I13" i="18"/>
  <c r="J13" i="18"/>
  <c r="K13" i="18"/>
  <c r="L13" i="18"/>
  <c r="M13" i="18"/>
  <c r="N13" i="18"/>
  <c r="O13" i="18"/>
  <c r="D14" i="18"/>
  <c r="F122" i="25" s="1"/>
  <c r="E14" i="18"/>
  <c r="G122" i="25" s="1"/>
  <c r="F14" i="18"/>
  <c r="G14" i="18"/>
  <c r="H14" i="18"/>
  <c r="J122" i="25" s="1"/>
  <c r="I14" i="18"/>
  <c r="K122" i="25" s="1"/>
  <c r="J14" i="18"/>
  <c r="K14" i="18"/>
  <c r="L14" i="18"/>
  <c r="N122" i="25" s="1"/>
  <c r="M14" i="18"/>
  <c r="N14" i="18"/>
  <c r="O14" i="18"/>
  <c r="E15" i="18"/>
  <c r="F15" i="18"/>
  <c r="G15" i="18"/>
  <c r="I15" i="18"/>
  <c r="J15" i="18"/>
  <c r="K15" i="18"/>
  <c r="M15" i="18"/>
  <c r="N15" i="18"/>
  <c r="O15" i="18"/>
  <c r="C13" i="18"/>
  <c r="C14" i="18"/>
  <c r="C15" i="18"/>
  <c r="B13" i="18"/>
  <c r="B14" i="18"/>
  <c r="B15" i="18"/>
  <c r="L38" i="15"/>
  <c r="M38" i="15" s="1"/>
  <c r="N38" i="15" s="1"/>
  <c r="O38" i="15" s="1"/>
  <c r="D56" i="15"/>
  <c r="F11" i="16" s="1"/>
  <c r="E12" i="15"/>
  <c r="G12" i="15"/>
  <c r="H12" i="15"/>
  <c r="L8" i="16" s="1"/>
  <c r="D12" i="15"/>
  <c r="F8" i="16" s="1"/>
  <c r="D29" i="9"/>
  <c r="D16" i="9"/>
  <c r="O30" i="15"/>
  <c r="I12" i="15"/>
  <c r="N8" i="16" s="1"/>
  <c r="I7" i="11"/>
  <c r="E32" i="8"/>
  <c r="G32" i="8"/>
  <c r="H32" i="8"/>
  <c r="G9" i="8"/>
  <c r="H9" i="8"/>
  <c r="I9" i="8" s="1"/>
  <c r="D81" i="8"/>
  <c r="D29" i="8"/>
  <c r="N127" i="18"/>
  <c r="P94" i="25" s="1"/>
  <c r="E81" i="8"/>
  <c r="D84" i="9"/>
  <c r="B99" i="9"/>
  <c r="C99" i="9"/>
  <c r="D99" i="9"/>
  <c r="F99" i="9" s="1"/>
  <c r="B100" i="9"/>
  <c r="C100" i="9"/>
  <c r="C140" i="21" s="1"/>
  <c r="B101" i="9"/>
  <c r="C101" i="9"/>
  <c r="C142" i="27"/>
  <c r="L148" i="18"/>
  <c r="B69" i="9"/>
  <c r="C69" i="9"/>
  <c r="C112" i="26" s="1"/>
  <c r="D69" i="9"/>
  <c r="F69" i="9" s="1"/>
  <c r="N118" i="18"/>
  <c r="P85" i="25" s="1"/>
  <c r="B70" i="9"/>
  <c r="B113" i="27" s="1"/>
  <c r="C70" i="9"/>
  <c r="F119" i="18"/>
  <c r="B71" i="9"/>
  <c r="C71" i="9"/>
  <c r="C120" i="18"/>
  <c r="B72" i="9"/>
  <c r="B115" i="28" s="1"/>
  <c r="C72" i="9"/>
  <c r="D72" i="9"/>
  <c r="F72" i="9" s="1"/>
  <c r="B73" i="9"/>
  <c r="C73" i="9"/>
  <c r="I122" i="18"/>
  <c r="K89" i="25" s="1"/>
  <c r="B74" i="9"/>
  <c r="C74" i="9"/>
  <c r="B75" i="9"/>
  <c r="B118" i="27" s="1"/>
  <c r="C75" i="9"/>
  <c r="C118" i="26" s="1"/>
  <c r="D75" i="9"/>
  <c r="F75" i="9" s="1"/>
  <c r="B76" i="9"/>
  <c r="B119" i="29" s="1"/>
  <c r="C76" i="9"/>
  <c r="C125" i="18"/>
  <c r="H125" i="18"/>
  <c r="B77" i="9"/>
  <c r="C77" i="9"/>
  <c r="C120" i="28"/>
  <c r="D77" i="9"/>
  <c r="D126" i="18" s="1"/>
  <c r="F93" i="25" s="1"/>
  <c r="B78" i="9"/>
  <c r="C78" i="9"/>
  <c r="C127" i="18" s="1"/>
  <c r="B79" i="9"/>
  <c r="C79" i="9"/>
  <c r="L128" i="18"/>
  <c r="N95" i="25"/>
  <c r="B80" i="9"/>
  <c r="B123" i="22" s="1"/>
  <c r="C80" i="9"/>
  <c r="C129" i="18"/>
  <c r="I129" i="18"/>
  <c r="K96" i="25" s="1"/>
  <c r="B81" i="9"/>
  <c r="C81" i="9"/>
  <c r="B82" i="9"/>
  <c r="C82" i="9"/>
  <c r="B83" i="9"/>
  <c r="B126" i="27"/>
  <c r="C83" i="9"/>
  <c r="C126" i="22" s="1"/>
  <c r="B84" i="9"/>
  <c r="B127" i="29"/>
  <c r="C84" i="9"/>
  <c r="C127" i="21" s="1"/>
  <c r="B85" i="9"/>
  <c r="B128" i="29"/>
  <c r="C85" i="9"/>
  <c r="O134" i="18"/>
  <c r="Q101" i="25" s="1"/>
  <c r="B86" i="9"/>
  <c r="C86" i="9"/>
  <c r="N135" i="18"/>
  <c r="P102" i="25" s="1"/>
  <c r="B88" i="9"/>
  <c r="C88" i="9"/>
  <c r="L136" i="18"/>
  <c r="N103" i="25"/>
  <c r="B89" i="9"/>
  <c r="C89" i="9"/>
  <c r="C131" i="21" s="1"/>
  <c r="I137" i="18"/>
  <c r="K104" i="25" s="1"/>
  <c r="B91" i="9"/>
  <c r="C91" i="9"/>
  <c r="D91" i="9"/>
  <c r="F91" i="9" s="1"/>
  <c r="M138" i="18"/>
  <c r="O105" i="25" s="1"/>
  <c r="B92" i="9"/>
  <c r="B133" i="28" s="1"/>
  <c r="C92" i="9"/>
  <c r="D92" i="9"/>
  <c r="B93" i="9"/>
  <c r="B134" i="22"/>
  <c r="C93" i="9"/>
  <c r="D93" i="9"/>
  <c r="F93" i="9" s="1"/>
  <c r="B94" i="9"/>
  <c r="C94" i="9"/>
  <c r="B96" i="9"/>
  <c r="B136" i="29" s="1"/>
  <c r="C96" i="9"/>
  <c r="C136" i="22" s="1"/>
  <c r="B97" i="9"/>
  <c r="C97" i="9"/>
  <c r="C137" i="27"/>
  <c r="B98" i="9"/>
  <c r="B138" i="29"/>
  <c r="C98" i="9"/>
  <c r="C138" i="21"/>
  <c r="D98" i="9"/>
  <c r="F98" i="9" s="1"/>
  <c r="D97" i="18"/>
  <c r="F98" i="18"/>
  <c r="H80" i="25"/>
  <c r="O99" i="18"/>
  <c r="Q81" i="25" s="1"/>
  <c r="D51" i="9"/>
  <c r="F51" i="9" s="1"/>
  <c r="M102" i="18"/>
  <c r="H104" i="18"/>
  <c r="C48" i="9"/>
  <c r="C49" i="9"/>
  <c r="C50" i="9"/>
  <c r="C94" i="22" s="1"/>
  <c r="C51" i="9"/>
  <c r="C52" i="9"/>
  <c r="C53" i="9"/>
  <c r="C97" i="17" s="1"/>
  <c r="C55" i="9"/>
  <c r="B48" i="9"/>
  <c r="B92" i="26" s="1"/>
  <c r="B49" i="9"/>
  <c r="B98" i="18" s="1"/>
  <c r="B50" i="9"/>
  <c r="B94" i="22" s="1"/>
  <c r="B51" i="9"/>
  <c r="B52" i="9"/>
  <c r="B96" i="22" s="1"/>
  <c r="B53" i="9"/>
  <c r="B55" i="9"/>
  <c r="B98" i="22"/>
  <c r="B56" i="9"/>
  <c r="B99" i="27"/>
  <c r="B57" i="9"/>
  <c r="B100" i="21"/>
  <c r="B58" i="9"/>
  <c r="B59" i="9"/>
  <c r="B47" i="9"/>
  <c r="B96" i="18" s="1"/>
  <c r="R94" i="9"/>
  <c r="D94" i="9"/>
  <c r="F94" i="9" s="1"/>
  <c r="R91" i="9"/>
  <c r="R51" i="9"/>
  <c r="R50" i="9"/>
  <c r="G41" i="25"/>
  <c r="H41" i="25"/>
  <c r="I41" i="25"/>
  <c r="J41" i="25"/>
  <c r="K41" i="25"/>
  <c r="L41" i="25"/>
  <c r="M41" i="25"/>
  <c r="N41" i="25"/>
  <c r="O41" i="25"/>
  <c r="P41" i="25"/>
  <c r="Q41" i="25"/>
  <c r="F41" i="25"/>
  <c r="H3" i="25"/>
  <c r="I3" i="25"/>
  <c r="J3" i="25"/>
  <c r="K3" i="25"/>
  <c r="L3" i="25"/>
  <c r="M3" i="25"/>
  <c r="N3" i="25"/>
  <c r="O3" i="25"/>
  <c r="P3" i="25"/>
  <c r="Q3" i="25"/>
  <c r="G3" i="25"/>
  <c r="H5" i="25"/>
  <c r="I5" i="25"/>
  <c r="J5" i="25"/>
  <c r="K5" i="25"/>
  <c r="L5" i="25"/>
  <c r="M5" i="25"/>
  <c r="N5" i="25"/>
  <c r="O5" i="25"/>
  <c r="P5" i="25"/>
  <c r="Q5" i="25"/>
  <c r="G5" i="25"/>
  <c r="Q13" i="28"/>
  <c r="Q13" i="29"/>
  <c r="E13" i="27"/>
  <c r="F13" i="27"/>
  <c r="F13" i="28"/>
  <c r="F13" i="29"/>
  <c r="G13" i="27"/>
  <c r="G13" i="28"/>
  <c r="G13" i="29"/>
  <c r="H13" i="27"/>
  <c r="H13" i="28"/>
  <c r="H13" i="29"/>
  <c r="I13" i="27"/>
  <c r="I13" i="28"/>
  <c r="I13" i="29"/>
  <c r="J13" i="27"/>
  <c r="J13" i="28"/>
  <c r="J13" i="29"/>
  <c r="K13" i="27"/>
  <c r="K13" i="28"/>
  <c r="K13" i="29"/>
  <c r="L13" i="27"/>
  <c r="L13" i="28"/>
  <c r="L13" i="29"/>
  <c r="M13" i="27"/>
  <c r="M13" i="28"/>
  <c r="M13" i="29"/>
  <c r="N13" i="27"/>
  <c r="N13" i="28"/>
  <c r="N13" i="29"/>
  <c r="O13" i="27"/>
  <c r="O13" i="28"/>
  <c r="O13" i="29"/>
  <c r="P13" i="27"/>
  <c r="P13" i="28"/>
  <c r="P13" i="29"/>
  <c r="Q13" i="27"/>
  <c r="R13" i="27"/>
  <c r="R13" i="28"/>
  <c r="R13" i="29"/>
  <c r="D13" i="27"/>
  <c r="D13" i="28"/>
  <c r="D13" i="29"/>
  <c r="E42" i="18"/>
  <c r="G145" i="25"/>
  <c r="F42" i="18"/>
  <c r="H145" i="25" s="1"/>
  <c r="G42" i="18"/>
  <c r="I145" i="25" s="1"/>
  <c r="H42" i="18"/>
  <c r="J145" i="25" s="1"/>
  <c r="I42" i="18"/>
  <c r="J42" i="18"/>
  <c r="L145" i="25" s="1"/>
  <c r="K42" i="18"/>
  <c r="M145" i="25" s="1"/>
  <c r="L42" i="18"/>
  <c r="N145" i="25" s="1"/>
  <c r="M42" i="18"/>
  <c r="N42" i="18"/>
  <c r="P145" i="25" s="1"/>
  <c r="O42" i="18"/>
  <c r="Q145" i="25" s="1"/>
  <c r="H149" i="25"/>
  <c r="L149" i="25"/>
  <c r="P149" i="25"/>
  <c r="H150" i="25"/>
  <c r="L150" i="25"/>
  <c r="P150" i="25"/>
  <c r="H151" i="25"/>
  <c r="L151" i="25"/>
  <c r="P151" i="25"/>
  <c r="H153" i="25"/>
  <c r="L153" i="25"/>
  <c r="P153" i="25"/>
  <c r="G154" i="25"/>
  <c r="H154" i="25"/>
  <c r="I154" i="25"/>
  <c r="J154" i="25"/>
  <c r="K154" i="25"/>
  <c r="L154" i="25"/>
  <c r="M154" i="25"/>
  <c r="N154" i="25"/>
  <c r="O154" i="25"/>
  <c r="P154" i="25"/>
  <c r="Q154" i="25"/>
  <c r="F154" i="25"/>
  <c r="E32" i="18"/>
  <c r="F32" i="18"/>
  <c r="G32" i="18"/>
  <c r="H32" i="18"/>
  <c r="I32" i="18"/>
  <c r="J32" i="18"/>
  <c r="K32" i="18"/>
  <c r="L32" i="18"/>
  <c r="M32" i="18"/>
  <c r="N32" i="18"/>
  <c r="O32" i="18"/>
  <c r="P32" i="18"/>
  <c r="Q32" i="18"/>
  <c r="R32" i="18"/>
  <c r="E35" i="18"/>
  <c r="F35" i="18"/>
  <c r="G35" i="18"/>
  <c r="H35" i="18"/>
  <c r="I35" i="18"/>
  <c r="J35" i="18"/>
  <c r="K35" i="18"/>
  <c r="L35" i="18"/>
  <c r="M35" i="18"/>
  <c r="N35" i="18"/>
  <c r="O35" i="18"/>
  <c r="P35" i="18"/>
  <c r="Q35" i="18"/>
  <c r="R35" i="18"/>
  <c r="E36" i="18"/>
  <c r="F36" i="18"/>
  <c r="G36" i="18"/>
  <c r="H36" i="18"/>
  <c r="I36" i="18"/>
  <c r="J36" i="18"/>
  <c r="K36" i="18"/>
  <c r="L36" i="18"/>
  <c r="M36" i="18"/>
  <c r="N36" i="18"/>
  <c r="O36" i="18"/>
  <c r="P36" i="18"/>
  <c r="Q36" i="18"/>
  <c r="R36" i="18"/>
  <c r="E37" i="18"/>
  <c r="F37" i="18"/>
  <c r="G37" i="18"/>
  <c r="H37" i="18"/>
  <c r="I37" i="18"/>
  <c r="J37" i="18"/>
  <c r="K37" i="18"/>
  <c r="L37" i="18"/>
  <c r="M37" i="18"/>
  <c r="N37" i="18"/>
  <c r="O37" i="18"/>
  <c r="P37" i="18"/>
  <c r="Q37" i="18"/>
  <c r="R37" i="18"/>
  <c r="E38" i="18"/>
  <c r="F38" i="18"/>
  <c r="G38" i="18"/>
  <c r="H38" i="18"/>
  <c r="I38" i="18"/>
  <c r="J38" i="18"/>
  <c r="K38" i="18"/>
  <c r="L38" i="18"/>
  <c r="M38" i="18"/>
  <c r="N38" i="18"/>
  <c r="O38" i="18"/>
  <c r="P38" i="18"/>
  <c r="Q38" i="18"/>
  <c r="R38" i="18"/>
  <c r="D32" i="18"/>
  <c r="D35" i="18"/>
  <c r="D36" i="18"/>
  <c r="D37" i="18"/>
  <c r="D38" i="18"/>
  <c r="G67" i="18"/>
  <c r="I24" i="25" s="1"/>
  <c r="K7" i="10"/>
  <c r="K7" i="11"/>
  <c r="K7" i="12"/>
  <c r="K7" i="13"/>
  <c r="S2" i="13"/>
  <c r="S2" i="12"/>
  <c r="S2" i="11"/>
  <c r="Q2" i="10"/>
  <c r="R2" i="10"/>
  <c r="S2" i="10"/>
  <c r="V2" i="10"/>
  <c r="O79" i="18"/>
  <c r="L80" i="18"/>
  <c r="D8" i="11"/>
  <c r="D8" i="13"/>
  <c r="E8" i="11"/>
  <c r="E8" i="13"/>
  <c r="I8" i="11"/>
  <c r="C8" i="11"/>
  <c r="B84" i="11"/>
  <c r="C84" i="11"/>
  <c r="D84" i="11"/>
  <c r="E84" i="11"/>
  <c r="F84" i="11"/>
  <c r="K8" i="11"/>
  <c r="K8" i="13"/>
  <c r="L8" i="11"/>
  <c r="L8" i="13"/>
  <c r="C7" i="10"/>
  <c r="C7" i="11"/>
  <c r="C7" i="13"/>
  <c r="D7" i="10"/>
  <c r="D7" i="11"/>
  <c r="D7" i="12"/>
  <c r="E7" i="10"/>
  <c r="E7" i="11"/>
  <c r="E7" i="12"/>
  <c r="E7" i="13"/>
  <c r="R4" i="25"/>
  <c r="F5" i="25"/>
  <c r="F3" i="25"/>
  <c r="L7" i="10"/>
  <c r="L7" i="11"/>
  <c r="L7" i="12"/>
  <c r="L7" i="13"/>
  <c r="N7" i="10"/>
  <c r="P7" i="10"/>
  <c r="T7" i="10"/>
  <c r="T88" i="10" s="1"/>
  <c r="R37" i="9" s="1"/>
  <c r="D22" i="14"/>
  <c r="D54" i="14"/>
  <c r="D55" i="14"/>
  <c r="D51" i="14"/>
  <c r="D52" i="14"/>
  <c r="D62" i="14" s="1"/>
  <c r="D53" i="14"/>
  <c r="D49" i="14"/>
  <c r="D50" i="14"/>
  <c r="D61" i="14" s="1"/>
  <c r="R84" i="9"/>
  <c r="R70" i="9"/>
  <c r="R71" i="9"/>
  <c r="R73" i="9"/>
  <c r="R74" i="9"/>
  <c r="R77" i="9"/>
  <c r="E87" i="13"/>
  <c r="L34" i="15"/>
  <c r="M34" i="15" s="1"/>
  <c r="N34" i="15" s="1"/>
  <c r="O34" i="15" s="1"/>
  <c r="P7" i="1"/>
  <c r="R52" i="9"/>
  <c r="R55" i="9"/>
  <c r="K103" i="33" s="1"/>
  <c r="R53" i="9"/>
  <c r="B12" i="18"/>
  <c r="C12" i="18"/>
  <c r="D42" i="14"/>
  <c r="D43" i="14"/>
  <c r="D44" i="14"/>
  <c r="D45" i="14"/>
  <c r="D59" i="14" s="1"/>
  <c r="D46" i="14"/>
  <c r="D47" i="14"/>
  <c r="D48" i="14"/>
  <c r="D12" i="17"/>
  <c r="E12" i="17"/>
  <c r="F12" i="17"/>
  <c r="G12" i="17"/>
  <c r="H12" i="17"/>
  <c r="I12" i="17"/>
  <c r="J12" i="17"/>
  <c r="K12" i="17"/>
  <c r="L12" i="17"/>
  <c r="M12" i="17"/>
  <c r="N12" i="17"/>
  <c r="O12" i="17"/>
  <c r="P12" i="17"/>
  <c r="Q12" i="17"/>
  <c r="R12" i="17"/>
  <c r="M17" i="17"/>
  <c r="B31" i="18"/>
  <c r="C31" i="18"/>
  <c r="B32" i="18"/>
  <c r="C32" i="18"/>
  <c r="B33" i="18"/>
  <c r="C33" i="18"/>
  <c r="B34" i="18"/>
  <c r="C34" i="18"/>
  <c r="B35" i="18"/>
  <c r="C35" i="18"/>
  <c r="B36" i="18"/>
  <c r="C36" i="18"/>
  <c r="B37" i="18"/>
  <c r="C37" i="18"/>
  <c r="B38" i="18"/>
  <c r="C38" i="18"/>
  <c r="B42" i="18"/>
  <c r="C42" i="18"/>
  <c r="D42" i="18"/>
  <c r="F145" i="25" s="1"/>
  <c r="B60" i="18"/>
  <c r="C60" i="18"/>
  <c r="B61" i="18"/>
  <c r="C61" i="18"/>
  <c r="B62" i="18"/>
  <c r="C62" i="18"/>
  <c r="B63" i="18"/>
  <c r="C63" i="18"/>
  <c r="B64" i="18"/>
  <c r="C64" i="18"/>
  <c r="B65" i="18"/>
  <c r="C65" i="18"/>
  <c r="B66" i="18"/>
  <c r="C66" i="18"/>
  <c r="B67" i="18"/>
  <c r="C67" i="18"/>
  <c r="B71" i="18"/>
  <c r="C71" i="18"/>
  <c r="B72" i="18"/>
  <c r="C72" i="18"/>
  <c r="B73" i="18"/>
  <c r="C73" i="18"/>
  <c r="B74" i="18"/>
  <c r="C74" i="18"/>
  <c r="B75" i="18"/>
  <c r="C75" i="18"/>
  <c r="B76" i="18"/>
  <c r="C76" i="18"/>
  <c r="B77" i="18"/>
  <c r="C77" i="18"/>
  <c r="B78" i="18"/>
  <c r="C78" i="18"/>
  <c r="B79" i="18"/>
  <c r="C79" i="18"/>
  <c r="B80" i="18"/>
  <c r="C80" i="18"/>
  <c r="B84" i="18"/>
  <c r="C84" i="18"/>
  <c r="B85" i="18"/>
  <c r="C85" i="18"/>
  <c r="B86" i="18"/>
  <c r="C86" i="18"/>
  <c r="B87" i="18"/>
  <c r="C87" i="18"/>
  <c r="B88" i="18"/>
  <c r="C88" i="18"/>
  <c r="B89" i="18"/>
  <c r="C89" i="18"/>
  <c r="B90" i="18"/>
  <c r="C90" i="18"/>
  <c r="B91" i="18"/>
  <c r="C91" i="18"/>
  <c r="W35" i="1"/>
  <c r="D40" i="9"/>
  <c r="B92" i="18"/>
  <c r="C92" i="18"/>
  <c r="X35" i="1"/>
  <c r="D41" i="9"/>
  <c r="F41" i="9" s="1"/>
  <c r="C47" i="9"/>
  <c r="O96" i="18"/>
  <c r="Q78" i="25" s="1"/>
  <c r="C56" i="9"/>
  <c r="C99" i="27"/>
  <c r="D56" i="9"/>
  <c r="F56" i="9" s="1"/>
  <c r="C57" i="9"/>
  <c r="C100" i="29"/>
  <c r="D57" i="9"/>
  <c r="H106" i="18" s="1"/>
  <c r="C58" i="9"/>
  <c r="C101" i="28"/>
  <c r="D58" i="9"/>
  <c r="L107" i="18" s="1"/>
  <c r="C59" i="9"/>
  <c r="C103" i="17"/>
  <c r="D59" i="9"/>
  <c r="F59" i="9" s="1"/>
  <c r="B60" i="9"/>
  <c r="B109" i="18"/>
  <c r="C60" i="9"/>
  <c r="D60" i="9"/>
  <c r="F60" i="9" s="1"/>
  <c r="O109" i="18"/>
  <c r="B61" i="9"/>
  <c r="B105" i="17" s="1"/>
  <c r="C61" i="9"/>
  <c r="C110" i="18"/>
  <c r="D61" i="9"/>
  <c r="B62" i="9"/>
  <c r="B105" i="26"/>
  <c r="C62" i="9"/>
  <c r="D62" i="9"/>
  <c r="M111" i="18" s="1"/>
  <c r="B63" i="9"/>
  <c r="B112" i="18"/>
  <c r="C63" i="9"/>
  <c r="C106" i="22" s="1"/>
  <c r="D63" i="9"/>
  <c r="F63" i="9" s="1"/>
  <c r="I112" i="18"/>
  <c r="B64" i="9"/>
  <c r="B107" i="21" s="1"/>
  <c r="C64" i="9"/>
  <c r="C107" i="29"/>
  <c r="G113" i="18"/>
  <c r="B68" i="9"/>
  <c r="C68" i="9"/>
  <c r="C117" i="18"/>
  <c r="L117" i="18"/>
  <c r="N84" i="25" s="1"/>
  <c r="B102" i="9"/>
  <c r="B143" i="22"/>
  <c r="C102" i="9"/>
  <c r="D102" i="9"/>
  <c r="L149" i="18"/>
  <c r="B106" i="9"/>
  <c r="B153" i="18" s="1"/>
  <c r="C106" i="9"/>
  <c r="C147" i="22" s="1"/>
  <c r="D106" i="9"/>
  <c r="D153" i="18"/>
  <c r="B110" i="9"/>
  <c r="B151" i="27" s="1"/>
  <c r="C110" i="9"/>
  <c r="C157" i="18"/>
  <c r="D110" i="9"/>
  <c r="F157" i="18" s="1"/>
  <c r="B111" i="9"/>
  <c r="B158" i="18"/>
  <c r="C111" i="9"/>
  <c r="C153" i="22" s="1"/>
  <c r="D111" i="9"/>
  <c r="H158" i="18"/>
  <c r="B112" i="9"/>
  <c r="B154" i="27" s="1"/>
  <c r="C112" i="9"/>
  <c r="C154" i="28"/>
  <c r="A1" i="1"/>
  <c r="L35" i="1"/>
  <c r="X2" i="1"/>
  <c r="E22" i="14"/>
  <c r="F22" i="14"/>
  <c r="G22" i="14"/>
  <c r="R46" i="21"/>
  <c r="H22" i="14"/>
  <c r="U111" i="9"/>
  <c r="E42" i="14"/>
  <c r="E43" i="14"/>
  <c r="E44" i="14"/>
  <c r="E45" i="14"/>
  <c r="E46" i="14"/>
  <c r="E47" i="14"/>
  <c r="E48" i="14"/>
  <c r="E60" i="14" s="1"/>
  <c r="E49" i="14"/>
  <c r="E50" i="14"/>
  <c r="E61" i="14" s="1"/>
  <c r="E51" i="14"/>
  <c r="E52" i="14"/>
  <c r="E53" i="14"/>
  <c r="E54" i="14"/>
  <c r="E62" i="14" s="1"/>
  <c r="E55" i="14"/>
  <c r="F42" i="14"/>
  <c r="F43" i="14"/>
  <c r="F44" i="14"/>
  <c r="F59" i="14" s="1"/>
  <c r="F45" i="14"/>
  <c r="F46" i="14"/>
  <c r="F47" i="14"/>
  <c r="F48" i="14"/>
  <c r="F49" i="14"/>
  <c r="F50" i="14"/>
  <c r="F61" i="14" s="1"/>
  <c r="F51" i="14"/>
  <c r="F52" i="14"/>
  <c r="F62" i="14" s="1"/>
  <c r="F53" i="14"/>
  <c r="F54" i="14"/>
  <c r="F55" i="14"/>
  <c r="G42" i="14"/>
  <c r="G59" i="14" s="1"/>
  <c r="G43" i="14"/>
  <c r="G44" i="14"/>
  <c r="G45" i="14"/>
  <c r="G46" i="14"/>
  <c r="G60" i="14" s="1"/>
  <c r="G47" i="14"/>
  <c r="G48" i="14"/>
  <c r="G49" i="14"/>
  <c r="G50" i="14"/>
  <c r="G61" i="14" s="1"/>
  <c r="G51" i="14"/>
  <c r="G52" i="14"/>
  <c r="G53" i="14"/>
  <c r="G54" i="14"/>
  <c r="G62" i="14" s="1"/>
  <c r="G55" i="14"/>
  <c r="H42" i="14"/>
  <c r="H43" i="14"/>
  <c r="H44" i="14"/>
  <c r="H45" i="14"/>
  <c r="H46" i="14"/>
  <c r="H47" i="14"/>
  <c r="H48" i="14"/>
  <c r="H60" i="14" s="1"/>
  <c r="H49" i="14"/>
  <c r="H50" i="14"/>
  <c r="H51" i="14"/>
  <c r="H62" i="14" s="1"/>
  <c r="H52" i="14"/>
  <c r="H53" i="14"/>
  <c r="H54" i="14"/>
  <c r="H55" i="14"/>
  <c r="R7" i="25"/>
  <c r="R8" i="25"/>
  <c r="R10" i="25"/>
  <c r="R11" i="25"/>
  <c r="R13" i="25"/>
  <c r="R14" i="25"/>
  <c r="R16" i="25"/>
  <c r="R17" i="25"/>
  <c r="R19" i="25"/>
  <c r="R20" i="25"/>
  <c r="R22" i="25"/>
  <c r="R23" i="25"/>
  <c r="R25" i="25"/>
  <c r="R26" i="25"/>
  <c r="R28" i="25"/>
  <c r="R29" i="25"/>
  <c r="R31" i="25"/>
  <c r="R32" i="25"/>
  <c r="R34" i="25"/>
  <c r="R35" i="25"/>
  <c r="R37" i="25"/>
  <c r="R38" i="25"/>
  <c r="R40" i="25"/>
  <c r="R43" i="25"/>
  <c r="R44" i="25"/>
  <c r="R46" i="25"/>
  <c r="R47" i="25"/>
  <c r="R49" i="25"/>
  <c r="R50" i="25"/>
  <c r="R52" i="25"/>
  <c r="R53" i="25"/>
  <c r="R55" i="25"/>
  <c r="R56" i="25"/>
  <c r="R58" i="25"/>
  <c r="R59" i="25"/>
  <c r="R61" i="25"/>
  <c r="R62" i="25"/>
  <c r="R64" i="25"/>
  <c r="R65" i="25"/>
  <c r="R67" i="25"/>
  <c r="R68" i="25"/>
  <c r="R70" i="25"/>
  <c r="R71" i="25"/>
  <c r="R73" i="25"/>
  <c r="R74" i="25"/>
  <c r="R76" i="25"/>
  <c r="R77" i="25"/>
  <c r="R86" i="25"/>
  <c r="R108" i="25"/>
  <c r="R109" i="25"/>
  <c r="R111" i="25"/>
  <c r="R112" i="25"/>
  <c r="R115" i="25"/>
  <c r="R116" i="25"/>
  <c r="R126" i="25"/>
  <c r="R133" i="25"/>
  <c r="R134" i="25"/>
  <c r="R141" i="25"/>
  <c r="R156" i="25"/>
  <c r="L10" i="15"/>
  <c r="M10" i="15"/>
  <c r="N10" i="15"/>
  <c r="O10" i="15"/>
  <c r="Q9" i="29"/>
  <c r="L9" i="29"/>
  <c r="N9" i="28"/>
  <c r="N9" i="29"/>
  <c r="N12" i="29"/>
  <c r="N12" i="21"/>
  <c r="M9" i="28"/>
  <c r="M9" i="29"/>
  <c r="R9" i="27"/>
  <c r="R9" i="28"/>
  <c r="R9" i="29"/>
  <c r="R12" i="29"/>
  <c r="P9" i="27"/>
  <c r="P9" i="28"/>
  <c r="P9" i="29"/>
  <c r="O9" i="27"/>
  <c r="O9" i="28"/>
  <c r="O9" i="29"/>
  <c r="M9" i="26"/>
  <c r="N9" i="26"/>
  <c r="L9" i="26"/>
  <c r="L9" i="27"/>
  <c r="K9" i="26"/>
  <c r="J9" i="26"/>
  <c r="J9" i="27"/>
  <c r="J9" i="28"/>
  <c r="J9" i="29"/>
  <c r="J12" i="29"/>
  <c r="I9" i="26"/>
  <c r="I9" i="27"/>
  <c r="I9" i="28"/>
  <c r="I12" i="28"/>
  <c r="H9" i="26"/>
  <c r="H9" i="27"/>
  <c r="H9" i="28"/>
  <c r="G9" i="26"/>
  <c r="G9" i="27"/>
  <c r="G9" i="28"/>
  <c r="F9" i="26"/>
  <c r="F9" i="27"/>
  <c r="E9" i="26"/>
  <c r="E9" i="27"/>
  <c r="E9" i="28"/>
  <c r="E9" i="29"/>
  <c r="E12" i="29"/>
  <c r="E12" i="21"/>
  <c r="S14" i="17"/>
  <c r="S13" i="17"/>
  <c r="S13" i="26"/>
  <c r="P14" i="26"/>
  <c r="P14" i="27"/>
  <c r="P14" i="28"/>
  <c r="P14" i="29"/>
  <c r="O14" i="26"/>
  <c r="O14" i="27"/>
  <c r="O14" i="28"/>
  <c r="O14" i="29"/>
  <c r="N14" i="26"/>
  <c r="N14" i="27"/>
  <c r="N14" i="28"/>
  <c r="N14" i="29"/>
  <c r="M14" i="26"/>
  <c r="M14" i="27"/>
  <c r="L14" i="26"/>
  <c r="L14" i="27"/>
  <c r="L14" i="28"/>
  <c r="L14" i="29"/>
  <c r="K14" i="26"/>
  <c r="J14" i="26"/>
  <c r="J14" i="27"/>
  <c r="J14" i="28"/>
  <c r="J14" i="29"/>
  <c r="I14" i="26"/>
  <c r="H14" i="26"/>
  <c r="H14" i="27"/>
  <c r="H14" i="28"/>
  <c r="H14" i="29"/>
  <c r="G14" i="26"/>
  <c r="G14" i="27"/>
  <c r="G14" i="28"/>
  <c r="G14" i="29"/>
  <c r="F14" i="26"/>
  <c r="E14" i="26"/>
  <c r="K14" i="27"/>
  <c r="K14" i="28"/>
  <c r="K14" i="29"/>
  <c r="I14" i="27"/>
  <c r="I14" i="28"/>
  <c r="I14" i="29"/>
  <c r="F14" i="27"/>
  <c r="F14" i="28"/>
  <c r="F14" i="29"/>
  <c r="M14" i="28"/>
  <c r="M14" i="29"/>
  <c r="C14" i="26"/>
  <c r="B14" i="26"/>
  <c r="C13" i="26"/>
  <c r="B13" i="26"/>
  <c r="C14" i="27"/>
  <c r="B14" i="27"/>
  <c r="C13" i="27"/>
  <c r="B13" i="27"/>
  <c r="C14" i="28"/>
  <c r="B14" i="28"/>
  <c r="C13" i="28"/>
  <c r="B13" i="28"/>
  <c r="C14" i="29"/>
  <c r="B14" i="29"/>
  <c r="C13" i="29"/>
  <c r="B13" i="29"/>
  <c r="C14" i="21"/>
  <c r="B14" i="21"/>
  <c r="C13" i="21"/>
  <c r="B13" i="21"/>
  <c r="C14" i="22"/>
  <c r="B14" i="22"/>
  <c r="C13" i="22"/>
  <c r="B13" i="22"/>
  <c r="C14" i="17"/>
  <c r="B14" i="17"/>
  <c r="C13" i="17"/>
  <c r="B13" i="17"/>
  <c r="J10" i="17"/>
  <c r="G10" i="17"/>
  <c r="D9" i="26"/>
  <c r="D9" i="27"/>
  <c r="F69" i="14"/>
  <c r="O162" i="17"/>
  <c r="N162" i="17"/>
  <c r="M162" i="17"/>
  <c r="L162" i="17"/>
  <c r="S162" i="17"/>
  <c r="K162" i="17"/>
  <c r="J162" i="17"/>
  <c r="I162" i="17"/>
  <c r="H162" i="17"/>
  <c r="G162" i="17"/>
  <c r="F162" i="17"/>
  <c r="S48" i="17"/>
  <c r="C48" i="17"/>
  <c r="B48" i="17"/>
  <c r="S47" i="17"/>
  <c r="C47" i="17"/>
  <c r="B47" i="17"/>
  <c r="S46" i="17"/>
  <c r="C46" i="17"/>
  <c r="B46" i="17"/>
  <c r="R48" i="26"/>
  <c r="R48" i="27"/>
  <c r="R48" i="28"/>
  <c r="R48" i="29"/>
  <c r="Q48" i="26"/>
  <c r="Q48" i="27"/>
  <c r="Q48" i="28"/>
  <c r="Q48" i="29"/>
  <c r="P48" i="26"/>
  <c r="P48" i="27"/>
  <c r="P48" i="28"/>
  <c r="P48" i="29"/>
  <c r="O48" i="26"/>
  <c r="O48" i="27"/>
  <c r="O48" i="28"/>
  <c r="O48" i="29"/>
  <c r="N48" i="26"/>
  <c r="M48" i="26"/>
  <c r="M48" i="27"/>
  <c r="M48" i="28"/>
  <c r="M48" i="29"/>
  <c r="L48" i="26"/>
  <c r="L48" i="27"/>
  <c r="L48" i="28"/>
  <c r="L48" i="29"/>
  <c r="K48" i="26"/>
  <c r="K48" i="27"/>
  <c r="K48" i="28"/>
  <c r="K48" i="29"/>
  <c r="J48" i="26"/>
  <c r="J48" i="27"/>
  <c r="J48" i="28"/>
  <c r="J48" i="29"/>
  <c r="I48" i="26"/>
  <c r="I48" i="27"/>
  <c r="I48" i="28"/>
  <c r="I48" i="29"/>
  <c r="H48" i="26"/>
  <c r="H48" i="27"/>
  <c r="H48" i="28"/>
  <c r="H48" i="29"/>
  <c r="G48" i="26"/>
  <c r="G48" i="27"/>
  <c r="G48" i="28"/>
  <c r="G48" i="29"/>
  <c r="F48" i="26"/>
  <c r="E48" i="26"/>
  <c r="D48" i="26"/>
  <c r="D48" i="27"/>
  <c r="C48" i="26"/>
  <c r="B48" i="26"/>
  <c r="R47" i="26"/>
  <c r="R47" i="27"/>
  <c r="R47" i="28"/>
  <c r="R47" i="29"/>
  <c r="Q47" i="26"/>
  <c r="Q47" i="27"/>
  <c r="Q47" i="28"/>
  <c r="Q47" i="29"/>
  <c r="P47" i="26"/>
  <c r="P47" i="27"/>
  <c r="P47" i="28"/>
  <c r="P47" i="29"/>
  <c r="O47" i="26"/>
  <c r="N47" i="26"/>
  <c r="N47" i="27"/>
  <c r="N47" i="28"/>
  <c r="N47" i="29"/>
  <c r="M47" i="26"/>
  <c r="M47" i="27"/>
  <c r="M47" i="28"/>
  <c r="M47" i="29"/>
  <c r="L47" i="26"/>
  <c r="L47" i="27"/>
  <c r="L47" i="28"/>
  <c r="L47" i="29"/>
  <c r="K47" i="26"/>
  <c r="J47" i="26"/>
  <c r="J47" i="27"/>
  <c r="J47" i="28"/>
  <c r="J47" i="29"/>
  <c r="I47" i="26"/>
  <c r="I47" i="27"/>
  <c r="I47" i="28"/>
  <c r="I47" i="29"/>
  <c r="H47" i="26"/>
  <c r="H47" i="27"/>
  <c r="H47" i="28"/>
  <c r="H47" i="29"/>
  <c r="G47" i="26"/>
  <c r="G47" i="27"/>
  <c r="G47" i="28"/>
  <c r="G47" i="29"/>
  <c r="F47" i="26"/>
  <c r="E47" i="26"/>
  <c r="E47" i="27"/>
  <c r="D47" i="26"/>
  <c r="D47" i="27"/>
  <c r="D47" i="28"/>
  <c r="D47" i="29"/>
  <c r="C47" i="26"/>
  <c r="B47" i="26"/>
  <c r="R46" i="26"/>
  <c r="R46" i="27"/>
  <c r="R46" i="28"/>
  <c r="Q46" i="26"/>
  <c r="Q46" i="27"/>
  <c r="Q46" i="28"/>
  <c r="Q46" i="29"/>
  <c r="P46" i="26"/>
  <c r="P46" i="27"/>
  <c r="P46" i="28"/>
  <c r="P46" i="29"/>
  <c r="O46" i="26"/>
  <c r="O46" i="27"/>
  <c r="O46" i="28"/>
  <c r="O46" i="29"/>
  <c r="N46" i="26"/>
  <c r="N46" i="27"/>
  <c r="N46" i="28"/>
  <c r="N46" i="29"/>
  <c r="M46" i="26"/>
  <c r="M46" i="27"/>
  <c r="M46" i="28"/>
  <c r="M46" i="29"/>
  <c r="L46" i="26"/>
  <c r="L46" i="27"/>
  <c r="L46" i="28"/>
  <c r="L46" i="29"/>
  <c r="K46" i="26"/>
  <c r="K46" i="27"/>
  <c r="K46" i="28"/>
  <c r="K46" i="29"/>
  <c r="J46" i="26"/>
  <c r="J46" i="27"/>
  <c r="J46" i="28"/>
  <c r="J46" i="29"/>
  <c r="I46" i="26"/>
  <c r="I46" i="27"/>
  <c r="I46" i="28"/>
  <c r="I46" i="29"/>
  <c r="H46" i="26"/>
  <c r="H46" i="27"/>
  <c r="H46" i="28"/>
  <c r="H46" i="29"/>
  <c r="G46" i="26"/>
  <c r="G46" i="27"/>
  <c r="G46" i="28"/>
  <c r="G46" i="29"/>
  <c r="F46" i="26"/>
  <c r="F46" i="27"/>
  <c r="F46" i="28"/>
  <c r="F46" i="29"/>
  <c r="E46" i="26"/>
  <c r="E46" i="27"/>
  <c r="E46" i="28"/>
  <c r="E46" i="29"/>
  <c r="D46" i="26"/>
  <c r="C46" i="26"/>
  <c r="B46" i="26"/>
  <c r="N48" i="27"/>
  <c r="N48" i="28"/>
  <c r="N48" i="29"/>
  <c r="F48" i="27"/>
  <c r="F48" i="28"/>
  <c r="F48" i="29"/>
  <c r="C48" i="27"/>
  <c r="B48" i="27"/>
  <c r="O47" i="27"/>
  <c r="O47" i="28"/>
  <c r="O47" i="29"/>
  <c r="K47" i="27"/>
  <c r="K47" i="28"/>
  <c r="K47" i="29"/>
  <c r="C47" i="27"/>
  <c r="B47" i="27"/>
  <c r="R46" i="29"/>
  <c r="D46" i="27"/>
  <c r="C46" i="27"/>
  <c r="B46" i="27"/>
  <c r="C48" i="28"/>
  <c r="B48" i="28"/>
  <c r="C47" i="28"/>
  <c r="B47" i="28"/>
  <c r="C46" i="28"/>
  <c r="B46" i="28"/>
  <c r="C48" i="29"/>
  <c r="B48" i="29"/>
  <c r="C47" i="29"/>
  <c r="B47" i="29"/>
  <c r="C46" i="29"/>
  <c r="B46" i="29"/>
  <c r="R21" i="26"/>
  <c r="R21" i="27"/>
  <c r="R21" i="28"/>
  <c r="R21" i="29"/>
  <c r="Q21" i="26"/>
  <c r="Q21" i="27"/>
  <c r="Q21" i="28"/>
  <c r="Q21" i="29"/>
  <c r="P21" i="26"/>
  <c r="P21" i="27"/>
  <c r="P21" i="28"/>
  <c r="P21" i="29"/>
  <c r="O21" i="26"/>
  <c r="O21" i="27"/>
  <c r="O21" i="28"/>
  <c r="O21" i="29"/>
  <c r="N21" i="26"/>
  <c r="N21" i="27"/>
  <c r="N21" i="28"/>
  <c r="N21" i="29"/>
  <c r="M21" i="26"/>
  <c r="M21" i="27"/>
  <c r="M21" i="28"/>
  <c r="M21" i="29"/>
  <c r="L21" i="26"/>
  <c r="L21" i="27"/>
  <c r="L21" i="28"/>
  <c r="L21" i="29"/>
  <c r="K21" i="26"/>
  <c r="K21" i="27"/>
  <c r="K21" i="28"/>
  <c r="K21" i="29"/>
  <c r="J21" i="26"/>
  <c r="J21" i="27"/>
  <c r="J21" i="28"/>
  <c r="J21" i="29"/>
  <c r="I21" i="26"/>
  <c r="I21" i="27"/>
  <c r="I21" i="28"/>
  <c r="I21" i="29"/>
  <c r="H21" i="26"/>
  <c r="H21" i="27"/>
  <c r="H21" i="28"/>
  <c r="H21" i="29"/>
  <c r="G21" i="26"/>
  <c r="G21" i="27"/>
  <c r="G21" i="28"/>
  <c r="G21" i="29"/>
  <c r="F21" i="26"/>
  <c r="F21" i="27"/>
  <c r="F21" i="28"/>
  <c r="F21" i="29"/>
  <c r="E21" i="26"/>
  <c r="E21" i="27"/>
  <c r="E21" i="28"/>
  <c r="E21" i="29"/>
  <c r="D21" i="26"/>
  <c r="D21" i="27"/>
  <c r="C21" i="17"/>
  <c r="B21" i="17"/>
  <c r="C21" i="26"/>
  <c r="B21" i="26"/>
  <c r="C21" i="27"/>
  <c r="B21" i="27"/>
  <c r="C21" i="28"/>
  <c r="B21" i="28"/>
  <c r="C21" i="29"/>
  <c r="B21" i="29"/>
  <c r="R49" i="26"/>
  <c r="R49" i="27"/>
  <c r="R49" i="28"/>
  <c r="R49" i="29"/>
  <c r="Q49" i="26"/>
  <c r="Q49" i="27"/>
  <c r="Q49" i="28"/>
  <c r="Q49" i="29"/>
  <c r="P49" i="26"/>
  <c r="P49" i="27"/>
  <c r="P49" i="28"/>
  <c r="P49" i="29"/>
  <c r="O49" i="26"/>
  <c r="O49" i="27"/>
  <c r="O49" i="28"/>
  <c r="O49" i="29"/>
  <c r="N49" i="26"/>
  <c r="N49" i="27"/>
  <c r="N49" i="28"/>
  <c r="N49" i="29"/>
  <c r="M49" i="26"/>
  <c r="L49" i="26"/>
  <c r="L49" i="27"/>
  <c r="L49" i="28"/>
  <c r="L49" i="29"/>
  <c r="K49" i="26"/>
  <c r="K49" i="27"/>
  <c r="K49" i="28"/>
  <c r="K49" i="29"/>
  <c r="J49" i="26"/>
  <c r="J49" i="27"/>
  <c r="J49" i="28"/>
  <c r="J49" i="29"/>
  <c r="I49" i="26"/>
  <c r="I49" i="27"/>
  <c r="I49" i="28"/>
  <c r="I49" i="29"/>
  <c r="H49" i="26"/>
  <c r="H49" i="27"/>
  <c r="H49" i="28"/>
  <c r="G49" i="26"/>
  <c r="G49" i="27"/>
  <c r="G49" i="28"/>
  <c r="G49" i="29"/>
  <c r="D49" i="26"/>
  <c r="D49" i="27"/>
  <c r="D49" i="28"/>
  <c r="E49" i="26"/>
  <c r="F49" i="26"/>
  <c r="F49" i="27"/>
  <c r="F49" i="28"/>
  <c r="F49" i="29"/>
  <c r="M49" i="27"/>
  <c r="M49" i="28"/>
  <c r="M49" i="29"/>
  <c r="R49" i="21"/>
  <c r="Q49" i="21"/>
  <c r="P49" i="21"/>
  <c r="O49" i="21"/>
  <c r="N49" i="21"/>
  <c r="M49" i="21"/>
  <c r="L49" i="21"/>
  <c r="K49" i="21"/>
  <c r="J49" i="21"/>
  <c r="I49" i="21"/>
  <c r="H49" i="21"/>
  <c r="G49" i="21"/>
  <c r="F49" i="21"/>
  <c r="E49" i="21"/>
  <c r="D49" i="21"/>
  <c r="C49" i="21"/>
  <c r="B49" i="21"/>
  <c r="R48" i="21"/>
  <c r="Q48" i="21"/>
  <c r="P48" i="21"/>
  <c r="O48" i="21"/>
  <c r="N48" i="21"/>
  <c r="M48" i="21"/>
  <c r="L48" i="21"/>
  <c r="K48" i="21"/>
  <c r="J48" i="21"/>
  <c r="I48" i="21"/>
  <c r="H48" i="21"/>
  <c r="G48" i="21"/>
  <c r="F48" i="21"/>
  <c r="E48" i="21"/>
  <c r="D48" i="21"/>
  <c r="C48" i="21"/>
  <c r="B48" i="21"/>
  <c r="R47" i="21"/>
  <c r="Q47" i="21"/>
  <c r="P47" i="21"/>
  <c r="O47" i="21"/>
  <c r="N47" i="21"/>
  <c r="M47" i="21"/>
  <c r="L47" i="21"/>
  <c r="K47" i="21"/>
  <c r="J47" i="21"/>
  <c r="I47" i="21"/>
  <c r="H47" i="21"/>
  <c r="G47" i="21"/>
  <c r="F47" i="21"/>
  <c r="E47" i="21"/>
  <c r="D47" i="21"/>
  <c r="C47" i="21"/>
  <c r="B47" i="21"/>
  <c r="Q46" i="21"/>
  <c r="O46" i="21"/>
  <c r="M46" i="21"/>
  <c r="K46" i="21"/>
  <c r="I46" i="21"/>
  <c r="G46" i="21"/>
  <c r="E46" i="21"/>
  <c r="C46" i="21"/>
  <c r="B46" i="21"/>
  <c r="R49" i="22"/>
  <c r="Q49" i="22"/>
  <c r="P49" i="22"/>
  <c r="O49" i="22"/>
  <c r="N49" i="22"/>
  <c r="M49" i="22"/>
  <c r="L49" i="22"/>
  <c r="K49" i="22"/>
  <c r="J49" i="22"/>
  <c r="I49" i="22"/>
  <c r="H49" i="22"/>
  <c r="G49" i="22"/>
  <c r="F49" i="22"/>
  <c r="E49" i="22"/>
  <c r="D49" i="22"/>
  <c r="C49" i="22"/>
  <c r="B49" i="22"/>
  <c r="R48" i="22"/>
  <c r="Q48" i="22"/>
  <c r="P48" i="22"/>
  <c r="O48" i="22"/>
  <c r="N48" i="22"/>
  <c r="M48" i="22"/>
  <c r="L48" i="22"/>
  <c r="K48" i="22"/>
  <c r="J48" i="22"/>
  <c r="I48" i="22"/>
  <c r="H48" i="22"/>
  <c r="G48" i="22"/>
  <c r="F48" i="22"/>
  <c r="E48" i="22"/>
  <c r="D48" i="22"/>
  <c r="C48" i="22"/>
  <c r="B48" i="22"/>
  <c r="R47" i="22"/>
  <c r="Q47" i="22"/>
  <c r="P47" i="22"/>
  <c r="O47" i="22"/>
  <c r="N47" i="22"/>
  <c r="M47" i="22"/>
  <c r="L47" i="22"/>
  <c r="K47" i="22"/>
  <c r="J47" i="22"/>
  <c r="I47" i="22"/>
  <c r="H47" i="22"/>
  <c r="G47" i="22"/>
  <c r="F47" i="22"/>
  <c r="E47" i="22"/>
  <c r="D47" i="22"/>
  <c r="C47" i="22"/>
  <c r="B47" i="22"/>
  <c r="R46" i="22"/>
  <c r="Q46" i="22"/>
  <c r="P46" i="22"/>
  <c r="O46" i="22"/>
  <c r="N46" i="22"/>
  <c r="M46" i="22"/>
  <c r="L46" i="22"/>
  <c r="K46" i="22"/>
  <c r="J46" i="22"/>
  <c r="I46" i="22"/>
  <c r="H49" i="29"/>
  <c r="H46" i="22"/>
  <c r="G46" i="22"/>
  <c r="F46" i="22"/>
  <c r="E46" i="22"/>
  <c r="D46" i="22"/>
  <c r="C46" i="22"/>
  <c r="B46" i="22"/>
  <c r="C21" i="21"/>
  <c r="B21" i="21"/>
  <c r="C21" i="22"/>
  <c r="B21" i="22"/>
  <c r="S107" i="17"/>
  <c r="S106" i="17"/>
  <c r="S105" i="17"/>
  <c r="S104" i="17"/>
  <c r="S103" i="17"/>
  <c r="S102" i="17"/>
  <c r="S101" i="17"/>
  <c r="S100" i="17"/>
  <c r="S99" i="17"/>
  <c r="S97" i="17"/>
  <c r="R106" i="26"/>
  <c r="R106" i="27"/>
  <c r="R106" i="28"/>
  <c r="R106" i="29"/>
  <c r="Q106" i="26"/>
  <c r="Q106" i="27"/>
  <c r="Q106" i="28"/>
  <c r="Q106" i="29"/>
  <c r="P106" i="26"/>
  <c r="P106" i="27"/>
  <c r="P106" i="28"/>
  <c r="P106" i="29"/>
  <c r="O106" i="26"/>
  <c r="N106" i="26"/>
  <c r="N106" i="27"/>
  <c r="N106" i="28"/>
  <c r="N106" i="29"/>
  <c r="M106" i="26"/>
  <c r="M106" i="27"/>
  <c r="M106" i="28"/>
  <c r="M106" i="29"/>
  <c r="L106" i="26"/>
  <c r="L106" i="27"/>
  <c r="L106" i="28"/>
  <c r="L106" i="29"/>
  <c r="K106" i="26"/>
  <c r="K106" i="27"/>
  <c r="K106" i="28"/>
  <c r="J106" i="26"/>
  <c r="J106" i="27"/>
  <c r="J106" i="28"/>
  <c r="J106" i="29"/>
  <c r="I106" i="26"/>
  <c r="I106" i="27"/>
  <c r="I106" i="28"/>
  <c r="I106" i="29"/>
  <c r="H106" i="26"/>
  <c r="H106" i="27"/>
  <c r="G106" i="26"/>
  <c r="F106" i="26"/>
  <c r="F106" i="27"/>
  <c r="F106" i="28"/>
  <c r="F106" i="29"/>
  <c r="E106" i="26"/>
  <c r="E106" i="27"/>
  <c r="E106" i="28"/>
  <c r="E106" i="29"/>
  <c r="D106" i="26"/>
  <c r="D106" i="27"/>
  <c r="D106" i="28"/>
  <c r="D106" i="29"/>
  <c r="R105" i="26"/>
  <c r="R105" i="27"/>
  <c r="R105" i="28"/>
  <c r="R105" i="29"/>
  <c r="Q105" i="26"/>
  <c r="Q105" i="27"/>
  <c r="Q105" i="28"/>
  <c r="Q105" i="29"/>
  <c r="P105" i="26"/>
  <c r="P105" i="27"/>
  <c r="P105" i="28"/>
  <c r="P105" i="29"/>
  <c r="O105" i="26"/>
  <c r="O105" i="27"/>
  <c r="O105" i="28"/>
  <c r="O105" i="29"/>
  <c r="N105" i="26"/>
  <c r="M105" i="26"/>
  <c r="M105" i="27"/>
  <c r="M105" i="28"/>
  <c r="M105" i="29"/>
  <c r="L105" i="26"/>
  <c r="L105" i="27"/>
  <c r="L105" i="28"/>
  <c r="L105" i="29"/>
  <c r="K105" i="26"/>
  <c r="K105" i="27"/>
  <c r="K105" i="28"/>
  <c r="K105" i="29"/>
  <c r="J105" i="26"/>
  <c r="J105" i="27"/>
  <c r="J105" i="28"/>
  <c r="I105" i="26"/>
  <c r="I105" i="27"/>
  <c r="I105" i="28"/>
  <c r="I105" i="29"/>
  <c r="H105" i="26"/>
  <c r="H105" i="27"/>
  <c r="H105" i="28"/>
  <c r="H105" i="29"/>
  <c r="G105" i="26"/>
  <c r="G105" i="27"/>
  <c r="F105" i="26"/>
  <c r="E105" i="26"/>
  <c r="E105" i="27"/>
  <c r="E105" i="28"/>
  <c r="E105" i="29"/>
  <c r="D105" i="26"/>
  <c r="D105" i="27"/>
  <c r="D105" i="28"/>
  <c r="D105" i="29"/>
  <c r="R104" i="26"/>
  <c r="R104" i="27"/>
  <c r="R104" i="28"/>
  <c r="R104" i="29"/>
  <c r="Q104" i="26"/>
  <c r="P104" i="26"/>
  <c r="P104" i="27"/>
  <c r="P104" i="28"/>
  <c r="P104" i="29"/>
  <c r="O104" i="26"/>
  <c r="O104" i="27"/>
  <c r="O104" i="28"/>
  <c r="O104" i="29"/>
  <c r="N104" i="26"/>
  <c r="N104" i="27"/>
  <c r="N104" i="28"/>
  <c r="N104" i="29"/>
  <c r="M104" i="26"/>
  <c r="L104" i="26"/>
  <c r="L104" i="27"/>
  <c r="L104" i="28"/>
  <c r="L104" i="29"/>
  <c r="K104" i="26"/>
  <c r="K104" i="27"/>
  <c r="K104" i="28"/>
  <c r="K104" i="29"/>
  <c r="J104" i="26"/>
  <c r="J104" i="27"/>
  <c r="J104" i="28"/>
  <c r="J104" i="29"/>
  <c r="I104" i="26"/>
  <c r="I104" i="27"/>
  <c r="I104" i="28"/>
  <c r="H104" i="26"/>
  <c r="H104" i="27"/>
  <c r="H104" i="28"/>
  <c r="H104" i="29"/>
  <c r="G104" i="26"/>
  <c r="G104" i="27"/>
  <c r="G104" i="28"/>
  <c r="G104" i="29"/>
  <c r="F104" i="26"/>
  <c r="F104" i="27"/>
  <c r="E104" i="26"/>
  <c r="E104" i="27"/>
  <c r="E104" i="28"/>
  <c r="E104" i="29"/>
  <c r="D104" i="26"/>
  <c r="D104" i="27"/>
  <c r="D104" i="28"/>
  <c r="D104" i="29"/>
  <c r="R103" i="26"/>
  <c r="R103" i="27"/>
  <c r="R103" i="28"/>
  <c r="R103" i="29"/>
  <c r="Q103" i="26"/>
  <c r="Q103" i="27"/>
  <c r="Q103" i="28"/>
  <c r="Q103" i="29"/>
  <c r="P103" i="26"/>
  <c r="P103" i="27"/>
  <c r="P103" i="28"/>
  <c r="P103" i="29"/>
  <c r="O103" i="26"/>
  <c r="O103" i="27"/>
  <c r="O103" i="28"/>
  <c r="O103" i="29"/>
  <c r="N103" i="26"/>
  <c r="N103" i="27"/>
  <c r="N103" i="28"/>
  <c r="N103" i="29"/>
  <c r="M103" i="26"/>
  <c r="M103" i="27"/>
  <c r="M103" i="28"/>
  <c r="M103" i="29"/>
  <c r="L103" i="26"/>
  <c r="L103" i="27"/>
  <c r="L103" i="28"/>
  <c r="L103" i="29"/>
  <c r="K103" i="26"/>
  <c r="K103" i="27"/>
  <c r="K103" i="28"/>
  <c r="K103" i="29"/>
  <c r="J103" i="26"/>
  <c r="J103" i="27"/>
  <c r="J103" i="28"/>
  <c r="J103" i="29"/>
  <c r="I103" i="26"/>
  <c r="I103" i="27"/>
  <c r="I103" i="28"/>
  <c r="I103" i="29"/>
  <c r="H103" i="26"/>
  <c r="H103" i="27"/>
  <c r="H103" i="28"/>
  <c r="H103" i="29"/>
  <c r="G103" i="26"/>
  <c r="G103" i="27"/>
  <c r="G103" i="28"/>
  <c r="G103" i="29"/>
  <c r="F103" i="26"/>
  <c r="F103" i="27"/>
  <c r="F103" i="28"/>
  <c r="F103" i="29"/>
  <c r="E103" i="26"/>
  <c r="E103" i="27"/>
  <c r="D103" i="26"/>
  <c r="R102" i="26"/>
  <c r="R102" i="27"/>
  <c r="R102" i="28"/>
  <c r="R102" i="29"/>
  <c r="Q102" i="26"/>
  <c r="Q102" i="27"/>
  <c r="Q102" i="28"/>
  <c r="Q102" i="29"/>
  <c r="P102" i="26"/>
  <c r="P102" i="27"/>
  <c r="P102" i="28"/>
  <c r="P102" i="29"/>
  <c r="O102" i="26"/>
  <c r="O102" i="27"/>
  <c r="O102" i="28"/>
  <c r="O102" i="29"/>
  <c r="N102" i="26"/>
  <c r="N102" i="27"/>
  <c r="N102" i="28"/>
  <c r="N102" i="29"/>
  <c r="M102" i="26"/>
  <c r="M102" i="27"/>
  <c r="M102" i="28"/>
  <c r="M102" i="29"/>
  <c r="L102" i="26"/>
  <c r="L102" i="27"/>
  <c r="L102" i="28"/>
  <c r="L102" i="29"/>
  <c r="K102" i="26"/>
  <c r="K102" i="27"/>
  <c r="K102" i="28"/>
  <c r="K102" i="29"/>
  <c r="J102" i="26"/>
  <c r="J102" i="27"/>
  <c r="J102" i="28"/>
  <c r="J102" i="29"/>
  <c r="I102" i="26"/>
  <c r="I102" i="27"/>
  <c r="I102" i="28"/>
  <c r="I102" i="29"/>
  <c r="H102" i="26"/>
  <c r="H102" i="27"/>
  <c r="H102" i="28"/>
  <c r="H102" i="29"/>
  <c r="G102" i="26"/>
  <c r="F102" i="26"/>
  <c r="F102" i="27"/>
  <c r="F102" i="28"/>
  <c r="F102" i="29"/>
  <c r="E102" i="26"/>
  <c r="E102" i="27"/>
  <c r="E102" i="28"/>
  <c r="E102" i="29"/>
  <c r="D102" i="26"/>
  <c r="D102" i="27"/>
  <c r="D102" i="28"/>
  <c r="R101" i="26"/>
  <c r="Q101" i="26"/>
  <c r="Q101" i="27"/>
  <c r="Q101" i="28"/>
  <c r="Q101" i="29"/>
  <c r="P101" i="26"/>
  <c r="P101" i="27"/>
  <c r="P101" i="28"/>
  <c r="P101" i="29"/>
  <c r="O101" i="26"/>
  <c r="O101" i="27"/>
  <c r="O101" i="28"/>
  <c r="O101" i="29"/>
  <c r="N101" i="26"/>
  <c r="N101" i="27"/>
  <c r="N101" i="28"/>
  <c r="N101" i="29"/>
  <c r="M101" i="26"/>
  <c r="M101" i="27"/>
  <c r="M101" i="28"/>
  <c r="M101" i="29"/>
  <c r="L101" i="26"/>
  <c r="L101" i="27"/>
  <c r="L101" i="28"/>
  <c r="L101" i="29"/>
  <c r="K101" i="26"/>
  <c r="K101" i="27"/>
  <c r="K101" i="28"/>
  <c r="K101" i="29"/>
  <c r="J101" i="26"/>
  <c r="J101" i="27"/>
  <c r="J101" i="28"/>
  <c r="J101" i="29"/>
  <c r="I101" i="26"/>
  <c r="I101" i="27"/>
  <c r="I101" i="28"/>
  <c r="I101" i="29"/>
  <c r="H101" i="26"/>
  <c r="H101" i="27"/>
  <c r="H101" i="28"/>
  <c r="H101" i="29"/>
  <c r="G101" i="26"/>
  <c r="G101" i="27"/>
  <c r="G101" i="28"/>
  <c r="G101" i="29"/>
  <c r="F101" i="26"/>
  <c r="F101" i="27"/>
  <c r="F101" i="28"/>
  <c r="F101" i="29"/>
  <c r="E101" i="26"/>
  <c r="E101" i="27"/>
  <c r="E101" i="28"/>
  <c r="D101" i="26"/>
  <c r="D101" i="27"/>
  <c r="R100" i="26"/>
  <c r="R100" i="27"/>
  <c r="R100" i="28"/>
  <c r="R100" i="29"/>
  <c r="Q100" i="26"/>
  <c r="Q100" i="27"/>
  <c r="Q100" i="28"/>
  <c r="Q100" i="29"/>
  <c r="P100" i="26"/>
  <c r="P100" i="27"/>
  <c r="P100" i="28"/>
  <c r="P100" i="29"/>
  <c r="O100" i="26"/>
  <c r="O100" i="27"/>
  <c r="O100" i="28"/>
  <c r="O100" i="29"/>
  <c r="N100" i="26"/>
  <c r="N100" i="27"/>
  <c r="N100" i="28"/>
  <c r="N100" i="29"/>
  <c r="M100" i="26"/>
  <c r="M100" i="27"/>
  <c r="M100" i="28"/>
  <c r="M100" i="29"/>
  <c r="L100" i="26"/>
  <c r="L100" i="27"/>
  <c r="L100" i="28"/>
  <c r="L100" i="29"/>
  <c r="K100" i="26"/>
  <c r="K100" i="27"/>
  <c r="K100" i="28"/>
  <c r="K100" i="29"/>
  <c r="J100" i="26"/>
  <c r="J100" i="27"/>
  <c r="J100" i="28"/>
  <c r="J100" i="29"/>
  <c r="I100" i="26"/>
  <c r="I100" i="27"/>
  <c r="I100" i="28"/>
  <c r="I100" i="29"/>
  <c r="H100" i="26"/>
  <c r="G100" i="26"/>
  <c r="G100" i="27"/>
  <c r="G100" i="28"/>
  <c r="G100" i="29"/>
  <c r="F100" i="26"/>
  <c r="F100" i="27"/>
  <c r="F100" i="28"/>
  <c r="F100" i="29"/>
  <c r="E100" i="26"/>
  <c r="E100" i="27"/>
  <c r="E100" i="28"/>
  <c r="E100" i="29"/>
  <c r="D100" i="26"/>
  <c r="D100" i="27"/>
  <c r="D100" i="28"/>
  <c r="R99" i="26"/>
  <c r="R99" i="27"/>
  <c r="R99" i="28"/>
  <c r="R99" i="29"/>
  <c r="Q99" i="26"/>
  <c r="Q99" i="27"/>
  <c r="Q99" i="28"/>
  <c r="Q99" i="29"/>
  <c r="P99" i="26"/>
  <c r="P99" i="27"/>
  <c r="P99" i="28"/>
  <c r="P99" i="29"/>
  <c r="O99" i="26"/>
  <c r="O99" i="27"/>
  <c r="O99" i="28"/>
  <c r="O99" i="29"/>
  <c r="N99" i="26"/>
  <c r="N99" i="27"/>
  <c r="N99" i="28"/>
  <c r="N99" i="29"/>
  <c r="M99" i="26"/>
  <c r="M99" i="27"/>
  <c r="M99" i="28"/>
  <c r="M99" i="29"/>
  <c r="L99" i="26"/>
  <c r="L99" i="27"/>
  <c r="L99" i="28"/>
  <c r="L99" i="29"/>
  <c r="K99" i="26"/>
  <c r="K99" i="27"/>
  <c r="K99" i="28"/>
  <c r="K99" i="29"/>
  <c r="J99" i="26"/>
  <c r="J99" i="27"/>
  <c r="J99" i="28"/>
  <c r="J99" i="29"/>
  <c r="I99" i="26"/>
  <c r="I99" i="27"/>
  <c r="I99" i="28"/>
  <c r="I99" i="29"/>
  <c r="H99" i="26"/>
  <c r="H99" i="27"/>
  <c r="H99" i="28"/>
  <c r="H99" i="29"/>
  <c r="G99" i="26"/>
  <c r="G99" i="27"/>
  <c r="G99" i="28"/>
  <c r="G99" i="29"/>
  <c r="F99" i="26"/>
  <c r="F99" i="27"/>
  <c r="F99" i="28"/>
  <c r="F99" i="29"/>
  <c r="E99" i="26"/>
  <c r="E99" i="27"/>
  <c r="E99" i="28"/>
  <c r="E99" i="29"/>
  <c r="D99" i="26"/>
  <c r="D99" i="27"/>
  <c r="R98" i="26"/>
  <c r="R98" i="27"/>
  <c r="R98" i="28"/>
  <c r="R98" i="29"/>
  <c r="Q98" i="26"/>
  <c r="Q98" i="27"/>
  <c r="Q98" i="28"/>
  <c r="Q98" i="29"/>
  <c r="P98" i="26"/>
  <c r="P98" i="27"/>
  <c r="P98" i="28"/>
  <c r="P98" i="29"/>
  <c r="O98" i="26"/>
  <c r="O98" i="27"/>
  <c r="O98" i="28"/>
  <c r="O98" i="29"/>
  <c r="N98" i="26"/>
  <c r="N98" i="27"/>
  <c r="N98" i="28"/>
  <c r="N98" i="29"/>
  <c r="M98" i="26"/>
  <c r="M98" i="27"/>
  <c r="M98" i="28"/>
  <c r="M98" i="29"/>
  <c r="L98" i="26"/>
  <c r="L98" i="27"/>
  <c r="L98" i="28"/>
  <c r="L98" i="29"/>
  <c r="K98" i="26"/>
  <c r="K98" i="27"/>
  <c r="K98" i="28"/>
  <c r="K98" i="29"/>
  <c r="J98" i="26"/>
  <c r="J98" i="27"/>
  <c r="I98" i="26"/>
  <c r="I98" i="27"/>
  <c r="I98" i="28"/>
  <c r="I98" i="29"/>
  <c r="H98" i="26"/>
  <c r="H98" i="27"/>
  <c r="H98" i="28"/>
  <c r="H98" i="29"/>
  <c r="G98" i="26"/>
  <c r="G98" i="27"/>
  <c r="G98" i="28"/>
  <c r="G98" i="29"/>
  <c r="F98" i="26"/>
  <c r="F98" i="27"/>
  <c r="F98" i="28"/>
  <c r="F98" i="29"/>
  <c r="E98" i="26"/>
  <c r="E98" i="27"/>
  <c r="E98" i="28"/>
  <c r="E98" i="29"/>
  <c r="D98" i="26"/>
  <c r="D98" i="27"/>
  <c r="D98" i="28"/>
  <c r="D98" i="29"/>
  <c r="R97" i="26"/>
  <c r="R97" i="27"/>
  <c r="R97" i="28"/>
  <c r="R97" i="29"/>
  <c r="Q97" i="26"/>
  <c r="Q97" i="27"/>
  <c r="Q97" i="28"/>
  <c r="Q97" i="29"/>
  <c r="P97" i="26"/>
  <c r="P97" i="27"/>
  <c r="P97" i="28"/>
  <c r="P97" i="29"/>
  <c r="O97" i="26"/>
  <c r="O97" i="27"/>
  <c r="O97" i="28"/>
  <c r="O97" i="29"/>
  <c r="N97" i="26"/>
  <c r="N97" i="27"/>
  <c r="N97" i="28"/>
  <c r="N97" i="29"/>
  <c r="M97" i="26"/>
  <c r="M97" i="27"/>
  <c r="M97" i="28"/>
  <c r="M97" i="29"/>
  <c r="L97" i="26"/>
  <c r="L97" i="27"/>
  <c r="L97" i="28"/>
  <c r="L97" i="29"/>
  <c r="K97" i="26"/>
  <c r="K97" i="27"/>
  <c r="K97" i="28"/>
  <c r="K97" i="29"/>
  <c r="J97" i="26"/>
  <c r="J97" i="27"/>
  <c r="J97" i="28"/>
  <c r="J97" i="29"/>
  <c r="I97" i="26"/>
  <c r="I97" i="27"/>
  <c r="I97" i="28"/>
  <c r="I97" i="29"/>
  <c r="H97" i="26"/>
  <c r="H97" i="27"/>
  <c r="H97" i="28"/>
  <c r="H97" i="29"/>
  <c r="G97" i="26"/>
  <c r="G97" i="27"/>
  <c r="G97" i="28"/>
  <c r="G97" i="29"/>
  <c r="F97" i="26"/>
  <c r="F97" i="27"/>
  <c r="F97" i="28"/>
  <c r="F97" i="29"/>
  <c r="E97" i="26"/>
  <c r="E97" i="27"/>
  <c r="E97" i="28"/>
  <c r="E97" i="29"/>
  <c r="D97" i="26"/>
  <c r="D97" i="27"/>
  <c r="O106" i="27"/>
  <c r="O106" i="28"/>
  <c r="O106" i="29"/>
  <c r="G106" i="27"/>
  <c r="G106" i="28"/>
  <c r="G106" i="29"/>
  <c r="N105" i="27"/>
  <c r="N105" i="28"/>
  <c r="N105" i="29"/>
  <c r="F105" i="27"/>
  <c r="F105" i="28"/>
  <c r="F105" i="29"/>
  <c r="Q104" i="27"/>
  <c r="Q104" i="28"/>
  <c r="Q104" i="29"/>
  <c r="M104" i="27"/>
  <c r="M104" i="28"/>
  <c r="M104" i="29"/>
  <c r="D103" i="27"/>
  <c r="D103" i="28"/>
  <c r="D103" i="29"/>
  <c r="R101" i="27"/>
  <c r="R101" i="28"/>
  <c r="R101" i="29"/>
  <c r="S142" i="17"/>
  <c r="S141" i="17"/>
  <c r="S140" i="17"/>
  <c r="S139" i="17"/>
  <c r="S138" i="17"/>
  <c r="S137" i="17"/>
  <c r="S136" i="17"/>
  <c r="S135" i="17"/>
  <c r="S134" i="17"/>
  <c r="R141" i="26"/>
  <c r="R141" i="27"/>
  <c r="R141" i="28"/>
  <c r="R141" i="29"/>
  <c r="Q141" i="26"/>
  <c r="Q141" i="27"/>
  <c r="Q141" i="28"/>
  <c r="Q141" i="29"/>
  <c r="P141" i="26"/>
  <c r="P141" i="27"/>
  <c r="P141" i="28"/>
  <c r="P141" i="29"/>
  <c r="O141" i="26"/>
  <c r="O141" i="27"/>
  <c r="O141" i="28"/>
  <c r="O141" i="29"/>
  <c r="N141" i="26"/>
  <c r="N141" i="27"/>
  <c r="N141" i="28"/>
  <c r="N141" i="29"/>
  <c r="M141" i="26"/>
  <c r="M141" i="27"/>
  <c r="M141" i="28"/>
  <c r="M141" i="29"/>
  <c r="L141" i="26"/>
  <c r="L141" i="27"/>
  <c r="L141" i="28"/>
  <c r="L141" i="29"/>
  <c r="K141" i="26"/>
  <c r="K141" i="27"/>
  <c r="J141" i="26"/>
  <c r="J141" i="27"/>
  <c r="J141" i="28"/>
  <c r="J141" i="29"/>
  <c r="I141" i="26"/>
  <c r="I141" i="27"/>
  <c r="I141" i="28"/>
  <c r="I141" i="29"/>
  <c r="H141" i="26"/>
  <c r="H141" i="27"/>
  <c r="H141" i="28"/>
  <c r="H141" i="29"/>
  <c r="G141" i="26"/>
  <c r="G141" i="27"/>
  <c r="G141" i="28"/>
  <c r="G141" i="29"/>
  <c r="F141" i="26"/>
  <c r="F141" i="27"/>
  <c r="F141" i="28"/>
  <c r="F141" i="29"/>
  <c r="E141" i="26"/>
  <c r="D141" i="26"/>
  <c r="D141" i="27"/>
  <c r="D141" i="28"/>
  <c r="D141" i="29"/>
  <c r="R140" i="26"/>
  <c r="R140" i="27"/>
  <c r="R140" i="28"/>
  <c r="R140" i="29"/>
  <c r="Q140" i="26"/>
  <c r="Q140" i="27"/>
  <c r="Q140" i="28"/>
  <c r="Q140" i="29"/>
  <c r="P140" i="26"/>
  <c r="P140" i="27"/>
  <c r="P140" i="28"/>
  <c r="P140" i="29"/>
  <c r="O140" i="26"/>
  <c r="O140" i="27"/>
  <c r="O140" i="28"/>
  <c r="O140" i="29"/>
  <c r="N140" i="26"/>
  <c r="N140" i="27"/>
  <c r="N140" i="28"/>
  <c r="N140" i="29"/>
  <c r="M140" i="26"/>
  <c r="M140" i="27"/>
  <c r="M140" i="28"/>
  <c r="M140" i="29"/>
  <c r="L140" i="26"/>
  <c r="L140" i="27"/>
  <c r="L140" i="28"/>
  <c r="L140" i="29"/>
  <c r="K140" i="26"/>
  <c r="K140" i="27"/>
  <c r="K140" i="28"/>
  <c r="K140" i="29"/>
  <c r="J140" i="26"/>
  <c r="J140" i="27"/>
  <c r="J140" i="28"/>
  <c r="J140" i="29"/>
  <c r="I140" i="26"/>
  <c r="I140" i="27"/>
  <c r="I140" i="28"/>
  <c r="I140" i="29"/>
  <c r="H140" i="26"/>
  <c r="H140" i="27"/>
  <c r="H140" i="28"/>
  <c r="H140" i="29"/>
  <c r="G140" i="26"/>
  <c r="G140" i="27"/>
  <c r="G140" i="28"/>
  <c r="G140" i="29"/>
  <c r="F140" i="26"/>
  <c r="F140" i="27"/>
  <c r="F140" i="28"/>
  <c r="F140" i="29"/>
  <c r="E140" i="26"/>
  <c r="E140" i="27"/>
  <c r="E140" i="28"/>
  <c r="E140" i="29"/>
  <c r="D140" i="26"/>
  <c r="R139" i="26"/>
  <c r="R139" i="27"/>
  <c r="R139" i="28"/>
  <c r="R139" i="29"/>
  <c r="Q139" i="26"/>
  <c r="Q139" i="27"/>
  <c r="Q139" i="28"/>
  <c r="Q139" i="29"/>
  <c r="P139" i="26"/>
  <c r="P139" i="27"/>
  <c r="P139" i="28"/>
  <c r="P139" i="29"/>
  <c r="O139" i="26"/>
  <c r="O139" i="27"/>
  <c r="O139" i="28"/>
  <c r="O139" i="29"/>
  <c r="N139" i="26"/>
  <c r="N139" i="27"/>
  <c r="N139" i="28"/>
  <c r="N139" i="29"/>
  <c r="M139" i="26"/>
  <c r="M139" i="27"/>
  <c r="M139" i="28"/>
  <c r="M139" i="29"/>
  <c r="L139" i="26"/>
  <c r="L139" i="27"/>
  <c r="L139" i="28"/>
  <c r="L139" i="29"/>
  <c r="K139" i="26"/>
  <c r="K139" i="27"/>
  <c r="K139" i="28"/>
  <c r="K139" i="29"/>
  <c r="J139" i="26"/>
  <c r="J139" i="27"/>
  <c r="J139" i="28"/>
  <c r="J139" i="29"/>
  <c r="I139" i="26"/>
  <c r="I139" i="27"/>
  <c r="I139" i="28"/>
  <c r="I139" i="29"/>
  <c r="H139" i="26"/>
  <c r="H139" i="27"/>
  <c r="H139" i="28"/>
  <c r="H139" i="29"/>
  <c r="G139" i="26"/>
  <c r="G139" i="27"/>
  <c r="G139" i="28"/>
  <c r="G139" i="29"/>
  <c r="F139" i="26"/>
  <c r="F139" i="27"/>
  <c r="F139" i="28"/>
  <c r="F139" i="29"/>
  <c r="E139" i="26"/>
  <c r="D139" i="26"/>
  <c r="D139" i="27"/>
  <c r="D139" i="28"/>
  <c r="D139" i="29"/>
  <c r="R138" i="26"/>
  <c r="R138" i="27"/>
  <c r="R138" i="28"/>
  <c r="R138" i="29"/>
  <c r="Q138" i="26"/>
  <c r="Q138" i="27"/>
  <c r="Q138" i="28"/>
  <c r="Q138" i="29"/>
  <c r="P138" i="26"/>
  <c r="P138" i="27"/>
  <c r="P138" i="28"/>
  <c r="P138" i="29"/>
  <c r="O138" i="26"/>
  <c r="O138" i="27"/>
  <c r="O138" i="28"/>
  <c r="O138" i="29"/>
  <c r="N138" i="26"/>
  <c r="N138" i="27"/>
  <c r="N138" i="28"/>
  <c r="N138" i="29"/>
  <c r="M138" i="26"/>
  <c r="M138" i="27"/>
  <c r="M138" i="28"/>
  <c r="M138" i="29"/>
  <c r="L138" i="26"/>
  <c r="L138" i="27"/>
  <c r="L138" i="28"/>
  <c r="L138" i="29"/>
  <c r="K138" i="26"/>
  <c r="K138" i="27"/>
  <c r="K138" i="28"/>
  <c r="K138" i="29"/>
  <c r="J138" i="26"/>
  <c r="J138" i="27"/>
  <c r="J138" i="28"/>
  <c r="J138" i="29"/>
  <c r="I138" i="26"/>
  <c r="I138" i="27"/>
  <c r="I138" i="28"/>
  <c r="I138" i="29"/>
  <c r="H138" i="26"/>
  <c r="H138" i="27"/>
  <c r="H138" i="28"/>
  <c r="H138" i="29"/>
  <c r="G138" i="26"/>
  <c r="G138" i="27"/>
  <c r="G138" i="28"/>
  <c r="G138" i="29"/>
  <c r="F138" i="26"/>
  <c r="F138" i="27"/>
  <c r="F138" i="28"/>
  <c r="F138" i="29"/>
  <c r="E138" i="26"/>
  <c r="E138" i="27"/>
  <c r="E138" i="28"/>
  <c r="E138" i="29"/>
  <c r="D138" i="26"/>
  <c r="R137" i="26"/>
  <c r="R137" i="27"/>
  <c r="R137" i="28"/>
  <c r="R137" i="29"/>
  <c r="Q137" i="26"/>
  <c r="Q137" i="27"/>
  <c r="Q137" i="28"/>
  <c r="Q137" i="29"/>
  <c r="P137" i="26"/>
  <c r="P137" i="27"/>
  <c r="P137" i="28"/>
  <c r="P137" i="29"/>
  <c r="O137" i="26"/>
  <c r="O137" i="27"/>
  <c r="O137" i="28"/>
  <c r="O137" i="29"/>
  <c r="N137" i="26"/>
  <c r="N137" i="27"/>
  <c r="N137" i="28"/>
  <c r="N137" i="29"/>
  <c r="M137" i="26"/>
  <c r="M137" i="27"/>
  <c r="M137" i="28"/>
  <c r="M137" i="29"/>
  <c r="L137" i="26"/>
  <c r="L137" i="27"/>
  <c r="L137" i="28"/>
  <c r="L137" i="29"/>
  <c r="K137" i="26"/>
  <c r="K137" i="27"/>
  <c r="K137" i="28"/>
  <c r="K137" i="29"/>
  <c r="J137" i="26"/>
  <c r="J137" i="27"/>
  <c r="J137" i="28"/>
  <c r="J137" i="29"/>
  <c r="I137" i="26"/>
  <c r="I137" i="27"/>
  <c r="I137" i="28"/>
  <c r="I137" i="29"/>
  <c r="H137" i="26"/>
  <c r="H137" i="27"/>
  <c r="H137" i="28"/>
  <c r="H137" i="29"/>
  <c r="G137" i="26"/>
  <c r="G137" i="27"/>
  <c r="G137" i="28"/>
  <c r="G137" i="29"/>
  <c r="F137" i="26"/>
  <c r="E137" i="26"/>
  <c r="E137" i="27"/>
  <c r="E137" i="28"/>
  <c r="E137" i="29"/>
  <c r="D137" i="26"/>
  <c r="D137" i="27"/>
  <c r="D137" i="28"/>
  <c r="R136" i="26"/>
  <c r="R136" i="27"/>
  <c r="R136" i="28"/>
  <c r="R136" i="29"/>
  <c r="Q136" i="26"/>
  <c r="Q136" i="27"/>
  <c r="Q136" i="28"/>
  <c r="Q136" i="29"/>
  <c r="P136" i="26"/>
  <c r="P136" i="27"/>
  <c r="P136" i="28"/>
  <c r="P136" i="29"/>
  <c r="O136" i="26"/>
  <c r="O136" i="27"/>
  <c r="O136" i="28"/>
  <c r="O136" i="29"/>
  <c r="N136" i="26"/>
  <c r="N136" i="27"/>
  <c r="N136" i="28"/>
  <c r="N136" i="29"/>
  <c r="M136" i="26"/>
  <c r="M136" i="27"/>
  <c r="M136" i="28"/>
  <c r="M136" i="29"/>
  <c r="L136" i="26"/>
  <c r="L136" i="27"/>
  <c r="L136" i="28"/>
  <c r="L136" i="29"/>
  <c r="K136" i="26"/>
  <c r="K136" i="27"/>
  <c r="K136" i="28"/>
  <c r="K136" i="29"/>
  <c r="J136" i="26"/>
  <c r="J136" i="27"/>
  <c r="J136" i="28"/>
  <c r="J136" i="29"/>
  <c r="I136" i="26"/>
  <c r="I136" i="27"/>
  <c r="I136" i="28"/>
  <c r="I136" i="29"/>
  <c r="H136" i="26"/>
  <c r="H136" i="27"/>
  <c r="H136" i="28"/>
  <c r="H136" i="29"/>
  <c r="G136" i="26"/>
  <c r="G136" i="27"/>
  <c r="G136" i="28"/>
  <c r="G136" i="29"/>
  <c r="F136" i="26"/>
  <c r="F136" i="27"/>
  <c r="F136" i="28"/>
  <c r="F136" i="29"/>
  <c r="E136" i="26"/>
  <c r="E136" i="27"/>
  <c r="E136" i="28"/>
  <c r="E136" i="29"/>
  <c r="D136" i="26"/>
  <c r="R135" i="26"/>
  <c r="R135" i="27"/>
  <c r="R135" i="28"/>
  <c r="R135" i="29"/>
  <c r="Q135" i="26"/>
  <c r="Q135" i="27"/>
  <c r="Q135" i="28"/>
  <c r="Q135" i="29"/>
  <c r="P135" i="26"/>
  <c r="P135" i="27"/>
  <c r="P135" i="28"/>
  <c r="P135" i="29"/>
  <c r="O135" i="26"/>
  <c r="O135" i="27"/>
  <c r="O135" i="28"/>
  <c r="O135" i="29"/>
  <c r="N135" i="26"/>
  <c r="N135" i="27"/>
  <c r="N135" i="28"/>
  <c r="N135" i="29"/>
  <c r="M135" i="26"/>
  <c r="M135" i="27"/>
  <c r="M135" i="28"/>
  <c r="M135" i="29"/>
  <c r="L135" i="26"/>
  <c r="L135" i="27"/>
  <c r="L135" i="28"/>
  <c r="L135" i="29"/>
  <c r="K135" i="26"/>
  <c r="K135" i="27"/>
  <c r="K135" i="28"/>
  <c r="K135" i="29"/>
  <c r="J135" i="26"/>
  <c r="J135" i="27"/>
  <c r="J135" i="28"/>
  <c r="J135" i="29"/>
  <c r="I135" i="26"/>
  <c r="I135" i="27"/>
  <c r="I135" i="28"/>
  <c r="I135" i="29"/>
  <c r="H135" i="26"/>
  <c r="H135" i="27"/>
  <c r="H135" i="28"/>
  <c r="H135" i="29"/>
  <c r="G135" i="26"/>
  <c r="G135" i="27"/>
  <c r="G135" i="28"/>
  <c r="G135" i="29"/>
  <c r="F135" i="26"/>
  <c r="F135" i="27"/>
  <c r="F135" i="28"/>
  <c r="F135" i="29"/>
  <c r="E135" i="26"/>
  <c r="E135" i="27"/>
  <c r="E135" i="28"/>
  <c r="E135" i="29"/>
  <c r="D135" i="26"/>
  <c r="D135" i="27"/>
  <c r="D135" i="28"/>
  <c r="R134" i="26"/>
  <c r="R134" i="27"/>
  <c r="R134" i="28"/>
  <c r="R134" i="29"/>
  <c r="Q134" i="26"/>
  <c r="Q134" i="27"/>
  <c r="Q134" i="28"/>
  <c r="Q134" i="29"/>
  <c r="P134" i="26"/>
  <c r="P134" i="27"/>
  <c r="P134" i="28"/>
  <c r="P134" i="29"/>
  <c r="O134" i="26"/>
  <c r="O134" i="27"/>
  <c r="O134" i="28"/>
  <c r="O134" i="29"/>
  <c r="N134" i="26"/>
  <c r="N134" i="27"/>
  <c r="N134" i="28"/>
  <c r="N134" i="29"/>
  <c r="M134" i="26"/>
  <c r="M134" i="27"/>
  <c r="M134" i="28"/>
  <c r="M134" i="29"/>
  <c r="L134" i="26"/>
  <c r="L134" i="27"/>
  <c r="L134" i="28"/>
  <c r="L134" i="29"/>
  <c r="K134" i="26"/>
  <c r="K134" i="27"/>
  <c r="K134" i="28"/>
  <c r="K134" i="29"/>
  <c r="J134" i="26"/>
  <c r="J134" i="27"/>
  <c r="J134" i="28"/>
  <c r="J134" i="29"/>
  <c r="I134" i="26"/>
  <c r="I134" i="27"/>
  <c r="I134" i="28"/>
  <c r="I134" i="29"/>
  <c r="H134" i="26"/>
  <c r="H134" i="27"/>
  <c r="H134" i="28"/>
  <c r="H134" i="29"/>
  <c r="G134" i="26"/>
  <c r="G134" i="27"/>
  <c r="G134" i="28"/>
  <c r="G134" i="29"/>
  <c r="F134" i="26"/>
  <c r="F134" i="27"/>
  <c r="F134" i="28"/>
  <c r="F134" i="29"/>
  <c r="E134" i="26"/>
  <c r="E134" i="27"/>
  <c r="E134" i="28"/>
  <c r="D134" i="26"/>
  <c r="D134" i="27"/>
  <c r="D134" i="28"/>
  <c r="D134" i="29"/>
  <c r="R133" i="26"/>
  <c r="R133" i="27"/>
  <c r="R133" i="28"/>
  <c r="R133" i="29"/>
  <c r="Q133" i="26"/>
  <c r="Q133" i="27"/>
  <c r="Q133" i="28"/>
  <c r="Q133" i="29"/>
  <c r="P133" i="26"/>
  <c r="P133" i="27"/>
  <c r="P133" i="28"/>
  <c r="P133" i="29"/>
  <c r="O133" i="26"/>
  <c r="O133" i="27"/>
  <c r="O133" i="28"/>
  <c r="O133" i="29"/>
  <c r="N133" i="26"/>
  <c r="N133" i="27"/>
  <c r="N133" i="28"/>
  <c r="N133" i="29"/>
  <c r="M133" i="26"/>
  <c r="M133" i="27"/>
  <c r="M133" i="28"/>
  <c r="M133" i="29"/>
  <c r="L133" i="26"/>
  <c r="L133" i="27"/>
  <c r="L133" i="28"/>
  <c r="L133" i="29"/>
  <c r="K133" i="26"/>
  <c r="K133" i="27"/>
  <c r="K133" i="28"/>
  <c r="K133" i="29"/>
  <c r="J133" i="26"/>
  <c r="J133" i="27"/>
  <c r="J133" i="28"/>
  <c r="J133" i="29"/>
  <c r="I133" i="26"/>
  <c r="I133" i="27"/>
  <c r="I133" i="28"/>
  <c r="I133" i="29"/>
  <c r="H133" i="26"/>
  <c r="H133" i="27"/>
  <c r="H133" i="28"/>
  <c r="H133" i="29"/>
  <c r="G133" i="26"/>
  <c r="G133" i="27"/>
  <c r="G133" i="28"/>
  <c r="G133" i="29"/>
  <c r="F133" i="26"/>
  <c r="F133" i="27"/>
  <c r="F133" i="28"/>
  <c r="F133" i="29"/>
  <c r="E133" i="26"/>
  <c r="E133" i="27"/>
  <c r="E133" i="28"/>
  <c r="E133" i="29"/>
  <c r="D133" i="26"/>
  <c r="D133" i="27"/>
  <c r="D133" i="28"/>
  <c r="X2" i="10"/>
  <c r="X2" i="11"/>
  <c r="X2" i="12"/>
  <c r="X2" i="13"/>
  <c r="E48" i="27"/>
  <c r="E48" i="28"/>
  <c r="E48" i="29"/>
  <c r="S21" i="17"/>
  <c r="I85" i="11"/>
  <c r="I85" i="12"/>
  <c r="C162" i="22"/>
  <c r="C161" i="22"/>
  <c r="C160" i="22"/>
  <c r="C159" i="22"/>
  <c r="M40" i="22"/>
  <c r="R33" i="22"/>
  <c r="Q33" i="22"/>
  <c r="P33" i="22"/>
  <c r="O33" i="22"/>
  <c r="N33" i="22"/>
  <c r="M33" i="22"/>
  <c r="L33" i="22"/>
  <c r="K33" i="22"/>
  <c r="J33" i="22"/>
  <c r="I33" i="22"/>
  <c r="H33" i="22"/>
  <c r="G33" i="22"/>
  <c r="F33" i="22"/>
  <c r="E33" i="22"/>
  <c r="D33" i="22"/>
  <c r="R32" i="22"/>
  <c r="Q32" i="22"/>
  <c r="P32" i="22"/>
  <c r="O32" i="22"/>
  <c r="N32" i="22"/>
  <c r="M32" i="22"/>
  <c r="L32" i="22"/>
  <c r="K32" i="22"/>
  <c r="J32" i="22"/>
  <c r="I32" i="22"/>
  <c r="H32" i="22"/>
  <c r="G32" i="22"/>
  <c r="F32" i="22"/>
  <c r="E32" i="22"/>
  <c r="D32" i="22"/>
  <c r="M31" i="22"/>
  <c r="L31" i="22"/>
  <c r="R27" i="26"/>
  <c r="R27" i="27"/>
  <c r="R27" i="28"/>
  <c r="Q27" i="26"/>
  <c r="Q27" i="27"/>
  <c r="Q27" i="28"/>
  <c r="P27" i="26"/>
  <c r="P27" i="27"/>
  <c r="P27" i="28"/>
  <c r="P27" i="29"/>
  <c r="P27" i="22"/>
  <c r="O27" i="26"/>
  <c r="O27" i="27"/>
  <c r="O27" i="28"/>
  <c r="O27" i="29"/>
  <c r="O27" i="22"/>
  <c r="N27" i="26"/>
  <c r="N27" i="27"/>
  <c r="N27" i="28"/>
  <c r="N27" i="29"/>
  <c r="N27" i="22"/>
  <c r="M27" i="26"/>
  <c r="M27" i="27"/>
  <c r="M27" i="28"/>
  <c r="L27" i="26"/>
  <c r="L27" i="27"/>
  <c r="L27" i="28"/>
  <c r="L27" i="29"/>
  <c r="L27" i="22"/>
  <c r="K27" i="26"/>
  <c r="K27" i="27"/>
  <c r="K27" i="28"/>
  <c r="K27" i="29"/>
  <c r="K27" i="22"/>
  <c r="J27" i="26"/>
  <c r="J27" i="27"/>
  <c r="J27" i="28"/>
  <c r="J27" i="29"/>
  <c r="J27" i="22"/>
  <c r="I27" i="26"/>
  <c r="I27" i="27"/>
  <c r="I27" i="28"/>
  <c r="H27" i="26"/>
  <c r="H27" i="27"/>
  <c r="H27" i="28"/>
  <c r="H27" i="29"/>
  <c r="H27" i="22"/>
  <c r="G27" i="26"/>
  <c r="G27" i="27"/>
  <c r="G27" i="28"/>
  <c r="G27" i="29"/>
  <c r="G27" i="22"/>
  <c r="F27" i="26"/>
  <c r="F27" i="27"/>
  <c r="F27" i="28"/>
  <c r="F27" i="29"/>
  <c r="F27" i="22"/>
  <c r="E27" i="26"/>
  <c r="E27" i="27"/>
  <c r="D27" i="26"/>
  <c r="D27" i="27"/>
  <c r="D27" i="28"/>
  <c r="R15" i="22"/>
  <c r="Q15" i="22"/>
  <c r="P15" i="22"/>
  <c r="O15" i="22"/>
  <c r="N15" i="22"/>
  <c r="M15" i="22"/>
  <c r="L15" i="22"/>
  <c r="K15" i="22"/>
  <c r="J15" i="22"/>
  <c r="I15" i="22"/>
  <c r="H15" i="22"/>
  <c r="G15" i="22"/>
  <c r="C162" i="21"/>
  <c r="C161" i="21"/>
  <c r="C160" i="21"/>
  <c r="C159" i="21"/>
  <c r="N40" i="21"/>
  <c r="R33" i="21"/>
  <c r="Q33" i="21"/>
  <c r="P33" i="21"/>
  <c r="O33" i="21"/>
  <c r="N33" i="21"/>
  <c r="M33" i="21"/>
  <c r="L33" i="21"/>
  <c r="K33" i="21"/>
  <c r="J33" i="21"/>
  <c r="I33" i="21"/>
  <c r="H33" i="21"/>
  <c r="G33" i="21"/>
  <c r="F33" i="21"/>
  <c r="E33" i="21"/>
  <c r="D33" i="21"/>
  <c r="R32" i="21"/>
  <c r="Q32" i="21"/>
  <c r="P32" i="21"/>
  <c r="O32" i="21"/>
  <c r="N32" i="21"/>
  <c r="M32" i="21"/>
  <c r="L32" i="21"/>
  <c r="K32" i="21"/>
  <c r="J32" i="21"/>
  <c r="I32" i="21"/>
  <c r="H32" i="21"/>
  <c r="G32" i="21"/>
  <c r="F32" i="21"/>
  <c r="E32" i="21"/>
  <c r="D32" i="21"/>
  <c r="K31" i="21"/>
  <c r="D31" i="21"/>
  <c r="P27" i="21"/>
  <c r="N27" i="21"/>
  <c r="L27" i="21"/>
  <c r="J27" i="21"/>
  <c r="H27" i="21"/>
  <c r="F27" i="21"/>
  <c r="R15" i="21"/>
  <c r="Q15" i="21"/>
  <c r="P15" i="21"/>
  <c r="O15" i="21"/>
  <c r="N15" i="21"/>
  <c r="M15" i="21"/>
  <c r="L15" i="21"/>
  <c r="K15" i="21"/>
  <c r="J15" i="21"/>
  <c r="I15" i="21"/>
  <c r="H15" i="21"/>
  <c r="G15" i="21"/>
  <c r="C87" i="29"/>
  <c r="B87" i="29"/>
  <c r="C86" i="29"/>
  <c r="B86" i="29"/>
  <c r="C85" i="29"/>
  <c r="B85" i="29"/>
  <c r="C84" i="29"/>
  <c r="B84" i="29"/>
  <c r="C83" i="29"/>
  <c r="B83" i="29"/>
  <c r="C82" i="29"/>
  <c r="B82" i="29"/>
  <c r="C81" i="29"/>
  <c r="B81" i="29"/>
  <c r="C80" i="29"/>
  <c r="B80" i="29"/>
  <c r="C79" i="29"/>
  <c r="B79" i="29"/>
  <c r="C75" i="29"/>
  <c r="B75" i="29"/>
  <c r="C74" i="29"/>
  <c r="B74" i="29"/>
  <c r="C73" i="29"/>
  <c r="B73" i="29"/>
  <c r="C72" i="29"/>
  <c r="B72" i="29"/>
  <c r="C71" i="29"/>
  <c r="B71" i="29"/>
  <c r="C70" i="29"/>
  <c r="B70" i="29"/>
  <c r="C69" i="29"/>
  <c r="B69" i="29"/>
  <c r="C68" i="29"/>
  <c r="B68" i="29"/>
  <c r="C67" i="29"/>
  <c r="B67" i="29"/>
  <c r="C66" i="29"/>
  <c r="B66" i="29"/>
  <c r="C62" i="29"/>
  <c r="B62" i="29"/>
  <c r="C61" i="29"/>
  <c r="B61" i="29"/>
  <c r="C60" i="29"/>
  <c r="B60" i="29"/>
  <c r="C59" i="29"/>
  <c r="B59" i="29"/>
  <c r="C58" i="29"/>
  <c r="B58" i="29"/>
  <c r="C57" i="29"/>
  <c r="B57" i="29"/>
  <c r="C56" i="29"/>
  <c r="B56" i="29"/>
  <c r="C55" i="29"/>
  <c r="B55" i="29"/>
  <c r="C49" i="29"/>
  <c r="B49" i="29"/>
  <c r="C45" i="29"/>
  <c r="B45" i="29"/>
  <c r="C44" i="29"/>
  <c r="B44" i="29"/>
  <c r="C43" i="29"/>
  <c r="B43" i="29"/>
  <c r="C42" i="29"/>
  <c r="B42" i="29"/>
  <c r="C41" i="29"/>
  <c r="B41" i="29"/>
  <c r="C40" i="29"/>
  <c r="B40" i="29"/>
  <c r="C39" i="29"/>
  <c r="B39" i="29"/>
  <c r="C38" i="29"/>
  <c r="B38" i="29"/>
  <c r="C37" i="29"/>
  <c r="B37" i="29"/>
  <c r="C33" i="29"/>
  <c r="B33" i="29"/>
  <c r="C32" i="29"/>
  <c r="B32" i="29"/>
  <c r="C31" i="29"/>
  <c r="B31" i="29"/>
  <c r="C30" i="29"/>
  <c r="B30" i="29"/>
  <c r="C29" i="29"/>
  <c r="B29" i="29"/>
  <c r="C28" i="29"/>
  <c r="B28" i="29"/>
  <c r="C27" i="29"/>
  <c r="B27" i="29"/>
  <c r="C26" i="29"/>
  <c r="B26" i="29"/>
  <c r="C22" i="29"/>
  <c r="B22" i="29"/>
  <c r="C20" i="29"/>
  <c r="B20" i="29"/>
  <c r="C19" i="29"/>
  <c r="B19" i="29"/>
  <c r="C18" i="29"/>
  <c r="B18" i="29"/>
  <c r="C17" i="29"/>
  <c r="B17" i="29"/>
  <c r="C16" i="29"/>
  <c r="B16" i="29"/>
  <c r="C15" i="29"/>
  <c r="B15" i="29"/>
  <c r="C12" i="29"/>
  <c r="B12" i="29"/>
  <c r="A1" i="29"/>
  <c r="C87" i="28"/>
  <c r="B87" i="28"/>
  <c r="C86" i="28"/>
  <c r="B86" i="28"/>
  <c r="C85" i="28"/>
  <c r="B85" i="28"/>
  <c r="C84" i="28"/>
  <c r="B84" i="28"/>
  <c r="C83" i="28"/>
  <c r="B83" i="28"/>
  <c r="C82" i="28"/>
  <c r="B82" i="28"/>
  <c r="C81" i="28"/>
  <c r="B81" i="28"/>
  <c r="C80" i="28"/>
  <c r="B80" i="28"/>
  <c r="C79" i="28"/>
  <c r="B79" i="28"/>
  <c r="C75" i="28"/>
  <c r="B75" i="28"/>
  <c r="C74" i="28"/>
  <c r="B74" i="28"/>
  <c r="C73" i="28"/>
  <c r="B73" i="28"/>
  <c r="C72" i="28"/>
  <c r="B72" i="28"/>
  <c r="C71" i="28"/>
  <c r="B71" i="28"/>
  <c r="C70" i="28"/>
  <c r="B70" i="28"/>
  <c r="C69" i="28"/>
  <c r="B69" i="28"/>
  <c r="C68" i="28"/>
  <c r="B68" i="28"/>
  <c r="C67" i="28"/>
  <c r="B67" i="28"/>
  <c r="C66" i="28"/>
  <c r="B66" i="28"/>
  <c r="C62" i="28"/>
  <c r="B62" i="28"/>
  <c r="C61" i="28"/>
  <c r="B61" i="28"/>
  <c r="C60" i="28"/>
  <c r="B60" i="28"/>
  <c r="C59" i="28"/>
  <c r="B59" i="28"/>
  <c r="C58" i="28"/>
  <c r="B58" i="28"/>
  <c r="C57" i="28"/>
  <c r="B57" i="28"/>
  <c r="C56" i="28"/>
  <c r="B56" i="28"/>
  <c r="C55" i="28"/>
  <c r="B55" i="28"/>
  <c r="C49" i="28"/>
  <c r="B49" i="28"/>
  <c r="C45" i="28"/>
  <c r="B45" i="28"/>
  <c r="C44" i="28"/>
  <c r="B44" i="28"/>
  <c r="C43" i="28"/>
  <c r="B43" i="28"/>
  <c r="C42" i="28"/>
  <c r="B42" i="28"/>
  <c r="C41" i="28"/>
  <c r="B41" i="28"/>
  <c r="C40" i="28"/>
  <c r="B40" i="28"/>
  <c r="C39" i="28"/>
  <c r="B39" i="28"/>
  <c r="C38" i="28"/>
  <c r="B38" i="28"/>
  <c r="C37" i="28"/>
  <c r="B37" i="28"/>
  <c r="C33" i="28"/>
  <c r="B33" i="28"/>
  <c r="C32" i="28"/>
  <c r="B32" i="28"/>
  <c r="C31" i="28"/>
  <c r="B31" i="28"/>
  <c r="C30" i="28"/>
  <c r="B30" i="28"/>
  <c r="C29" i="28"/>
  <c r="B29" i="28"/>
  <c r="C28" i="28"/>
  <c r="B28" i="28"/>
  <c r="C27" i="28"/>
  <c r="B27" i="28"/>
  <c r="C26" i="28"/>
  <c r="B26" i="28"/>
  <c r="C22" i="28"/>
  <c r="B22" i="28"/>
  <c r="C20" i="28"/>
  <c r="B20" i="28"/>
  <c r="C19" i="28"/>
  <c r="B19" i="28"/>
  <c r="C18" i="28"/>
  <c r="B18" i="28"/>
  <c r="C17" i="28"/>
  <c r="B17" i="28"/>
  <c r="C16" i="28"/>
  <c r="B16" i="28"/>
  <c r="C15" i="28"/>
  <c r="B15" i="28"/>
  <c r="C12" i="28"/>
  <c r="B12" i="28"/>
  <c r="A1" i="28"/>
  <c r="C87" i="27"/>
  <c r="B87" i="27"/>
  <c r="C86" i="27"/>
  <c r="B86" i="27"/>
  <c r="C85" i="27"/>
  <c r="B85" i="27"/>
  <c r="C84" i="27"/>
  <c r="B84" i="27"/>
  <c r="C83" i="27"/>
  <c r="B83" i="27"/>
  <c r="C82" i="27"/>
  <c r="B82" i="27"/>
  <c r="C81" i="27"/>
  <c r="B81" i="27"/>
  <c r="C80" i="27"/>
  <c r="B80" i="27"/>
  <c r="C79" i="27"/>
  <c r="B79" i="27"/>
  <c r="C75" i="27"/>
  <c r="B75" i="27"/>
  <c r="C74" i="27"/>
  <c r="B74" i="27"/>
  <c r="C73" i="27"/>
  <c r="B73" i="27"/>
  <c r="C72" i="27"/>
  <c r="B72" i="27"/>
  <c r="C71" i="27"/>
  <c r="B71" i="27"/>
  <c r="C70" i="27"/>
  <c r="B70" i="27"/>
  <c r="C69" i="27"/>
  <c r="B69" i="27"/>
  <c r="C68" i="27"/>
  <c r="B68" i="27"/>
  <c r="C67" i="27"/>
  <c r="B67" i="27"/>
  <c r="C66" i="27"/>
  <c r="B66" i="27"/>
  <c r="C62" i="27"/>
  <c r="B62" i="27"/>
  <c r="C61" i="27"/>
  <c r="B61" i="27"/>
  <c r="C60" i="27"/>
  <c r="B60" i="27"/>
  <c r="C59" i="27"/>
  <c r="B59" i="27"/>
  <c r="C58" i="27"/>
  <c r="B58" i="27"/>
  <c r="C57" i="27"/>
  <c r="B57" i="27"/>
  <c r="C56" i="27"/>
  <c r="B56" i="27"/>
  <c r="C55" i="27"/>
  <c r="B55" i="27"/>
  <c r="C49" i="27"/>
  <c r="B49" i="27"/>
  <c r="C45" i="27"/>
  <c r="B45" i="27"/>
  <c r="C44" i="27"/>
  <c r="B44" i="27"/>
  <c r="C43" i="27"/>
  <c r="B43" i="27"/>
  <c r="C42" i="27"/>
  <c r="B42" i="27"/>
  <c r="C41" i="27"/>
  <c r="B41" i="27"/>
  <c r="C40" i="27"/>
  <c r="B40" i="27"/>
  <c r="C39" i="27"/>
  <c r="B39" i="27"/>
  <c r="C38" i="27"/>
  <c r="B38" i="27"/>
  <c r="C37" i="27"/>
  <c r="B37" i="27"/>
  <c r="C33" i="27"/>
  <c r="B33" i="27"/>
  <c r="C32" i="27"/>
  <c r="B32" i="27"/>
  <c r="C31" i="27"/>
  <c r="B31" i="27"/>
  <c r="C30" i="27"/>
  <c r="B30" i="27"/>
  <c r="C29" i="27"/>
  <c r="B29" i="27"/>
  <c r="C28" i="27"/>
  <c r="B28" i="27"/>
  <c r="C27" i="27"/>
  <c r="B27" i="27"/>
  <c r="C26" i="27"/>
  <c r="B26" i="27"/>
  <c r="C22" i="27"/>
  <c r="B22" i="27"/>
  <c r="C20" i="27"/>
  <c r="B20" i="27"/>
  <c r="C19" i="27"/>
  <c r="B19" i="27"/>
  <c r="C18" i="27"/>
  <c r="B18" i="27"/>
  <c r="C17" i="27"/>
  <c r="B17" i="27"/>
  <c r="C16" i="27"/>
  <c r="B16" i="27"/>
  <c r="C15" i="27"/>
  <c r="B15" i="27"/>
  <c r="C12" i="27"/>
  <c r="B12" i="27"/>
  <c r="A1" i="27"/>
  <c r="T17" i="26"/>
  <c r="T17" i="27"/>
  <c r="T17" i="28"/>
  <c r="T17" i="29"/>
  <c r="R161" i="26"/>
  <c r="R161" i="27"/>
  <c r="R161" i="28"/>
  <c r="R161" i="29"/>
  <c r="Q161" i="26"/>
  <c r="Q161" i="27"/>
  <c r="Q161" i="28"/>
  <c r="Q161" i="29"/>
  <c r="P161" i="26"/>
  <c r="P161" i="27"/>
  <c r="P161" i="28"/>
  <c r="P161" i="29"/>
  <c r="E161" i="26"/>
  <c r="E161" i="27"/>
  <c r="E161" i="28"/>
  <c r="E161" i="29"/>
  <c r="D161" i="26"/>
  <c r="D161" i="27"/>
  <c r="D161" i="28"/>
  <c r="D161" i="29"/>
  <c r="R160" i="26"/>
  <c r="R160" i="27"/>
  <c r="R160" i="28"/>
  <c r="R160" i="29"/>
  <c r="Q160" i="26"/>
  <c r="Q160" i="27"/>
  <c r="Q160" i="28"/>
  <c r="Q160" i="29"/>
  <c r="P160" i="26"/>
  <c r="P160" i="27"/>
  <c r="P160" i="28"/>
  <c r="P160" i="29"/>
  <c r="O160" i="26"/>
  <c r="O160" i="27"/>
  <c r="O160" i="28"/>
  <c r="O160" i="29"/>
  <c r="N160" i="26"/>
  <c r="N160" i="27"/>
  <c r="N160" i="28"/>
  <c r="N160" i="29"/>
  <c r="M160" i="26"/>
  <c r="M160" i="27"/>
  <c r="M160" i="28"/>
  <c r="M160" i="29"/>
  <c r="L160" i="26"/>
  <c r="L160" i="27"/>
  <c r="L160" i="28"/>
  <c r="L160" i="29"/>
  <c r="K160" i="26"/>
  <c r="K160" i="27"/>
  <c r="K160" i="28"/>
  <c r="K160" i="29"/>
  <c r="J160" i="26"/>
  <c r="J160" i="27"/>
  <c r="J160" i="28"/>
  <c r="J160" i="29"/>
  <c r="I160" i="26"/>
  <c r="H160" i="26"/>
  <c r="G160" i="26"/>
  <c r="G160" i="27"/>
  <c r="G160" i="28"/>
  <c r="G160" i="29"/>
  <c r="F160" i="26"/>
  <c r="E160" i="26"/>
  <c r="D160" i="26"/>
  <c r="R159" i="26"/>
  <c r="R159" i="27"/>
  <c r="R159" i="28"/>
  <c r="R159" i="29"/>
  <c r="Q159" i="26"/>
  <c r="Q159" i="27"/>
  <c r="Q159" i="28"/>
  <c r="Q159" i="29"/>
  <c r="P159" i="26"/>
  <c r="P159" i="27"/>
  <c r="P159" i="28"/>
  <c r="P159" i="29"/>
  <c r="O159" i="26"/>
  <c r="N159" i="26"/>
  <c r="M159" i="26"/>
  <c r="M159" i="27"/>
  <c r="M159" i="28"/>
  <c r="M159" i="29"/>
  <c r="L159" i="26"/>
  <c r="K159" i="26"/>
  <c r="K159" i="27"/>
  <c r="K159" i="28"/>
  <c r="J159" i="26"/>
  <c r="J159" i="27"/>
  <c r="J159" i="28"/>
  <c r="J159" i="29"/>
  <c r="I159" i="26"/>
  <c r="I159" i="27"/>
  <c r="I159" i="28"/>
  <c r="I159" i="29"/>
  <c r="H159" i="26"/>
  <c r="G159" i="26"/>
  <c r="F159" i="26"/>
  <c r="E159" i="26"/>
  <c r="D159" i="26"/>
  <c r="R158" i="26"/>
  <c r="R158" i="27"/>
  <c r="R158" i="28"/>
  <c r="R158" i="29"/>
  <c r="Q158" i="26"/>
  <c r="Q158" i="27"/>
  <c r="Q158" i="28"/>
  <c r="Q158" i="29"/>
  <c r="P158" i="26"/>
  <c r="P158" i="27"/>
  <c r="P158" i="28"/>
  <c r="P158" i="29"/>
  <c r="O158" i="26"/>
  <c r="O158" i="27"/>
  <c r="O158" i="28"/>
  <c r="N158" i="26"/>
  <c r="M158" i="26"/>
  <c r="M158" i="27"/>
  <c r="M158" i="28"/>
  <c r="L158" i="26"/>
  <c r="L158" i="27"/>
  <c r="L158" i="28"/>
  <c r="K158" i="26"/>
  <c r="K158" i="27"/>
  <c r="K158" i="28"/>
  <c r="K158" i="29"/>
  <c r="K159" i="22"/>
  <c r="J158" i="26"/>
  <c r="J158" i="27"/>
  <c r="J158" i="28"/>
  <c r="J159" i="21"/>
  <c r="I158" i="26"/>
  <c r="I158" i="27"/>
  <c r="I158" i="28"/>
  <c r="H158" i="26"/>
  <c r="H158" i="27"/>
  <c r="H158" i="28"/>
  <c r="G158" i="26"/>
  <c r="G158" i="27"/>
  <c r="G158" i="28"/>
  <c r="G158" i="29"/>
  <c r="G159" i="22"/>
  <c r="F158" i="26"/>
  <c r="F158" i="27"/>
  <c r="F158" i="28"/>
  <c r="F159" i="21"/>
  <c r="E158" i="26"/>
  <c r="E158" i="27"/>
  <c r="E158" i="28"/>
  <c r="E159" i="21"/>
  <c r="D158" i="26"/>
  <c r="D158" i="27"/>
  <c r="D158" i="28"/>
  <c r="D158" i="29"/>
  <c r="R154" i="26"/>
  <c r="R154" i="27"/>
  <c r="R154" i="28"/>
  <c r="R154" i="29"/>
  <c r="Q154" i="26"/>
  <c r="Q154" i="27"/>
  <c r="Q154" i="28"/>
  <c r="Q154" i="29"/>
  <c r="P154" i="26"/>
  <c r="P154" i="27"/>
  <c r="P154" i="28"/>
  <c r="P154" i="29"/>
  <c r="O154" i="26"/>
  <c r="O154" i="27"/>
  <c r="O154" i="28"/>
  <c r="O154" i="29"/>
  <c r="N154" i="26"/>
  <c r="N154" i="27"/>
  <c r="N154" i="28"/>
  <c r="N154" i="29"/>
  <c r="M154" i="26"/>
  <c r="M154" i="27"/>
  <c r="M154" i="28"/>
  <c r="M154" i="29"/>
  <c r="L154" i="26"/>
  <c r="L154" i="27"/>
  <c r="L154" i="28"/>
  <c r="L154" i="29"/>
  <c r="K154" i="26"/>
  <c r="K154" i="27"/>
  <c r="K154" i="28"/>
  <c r="K154" i="29"/>
  <c r="J154" i="26"/>
  <c r="J154" i="27"/>
  <c r="J154" i="28"/>
  <c r="J154" i="29"/>
  <c r="I154" i="26"/>
  <c r="I154" i="27"/>
  <c r="I154" i="28"/>
  <c r="I154" i="29"/>
  <c r="H154" i="26"/>
  <c r="H154" i="27"/>
  <c r="H154" i="28"/>
  <c r="H154" i="29"/>
  <c r="G154" i="26"/>
  <c r="G154" i="27"/>
  <c r="G154" i="28"/>
  <c r="G154" i="29"/>
  <c r="F154" i="26"/>
  <c r="F154" i="27"/>
  <c r="F154" i="28"/>
  <c r="F154" i="29"/>
  <c r="E154" i="26"/>
  <c r="E154" i="27"/>
  <c r="E154" i="28"/>
  <c r="E154" i="29"/>
  <c r="D154" i="26"/>
  <c r="D154" i="27"/>
  <c r="D154" i="28"/>
  <c r="R153" i="26"/>
  <c r="R153" i="27"/>
  <c r="R153" i="28"/>
  <c r="R153" i="29"/>
  <c r="Q153" i="26"/>
  <c r="Q153" i="27"/>
  <c r="Q153" i="28"/>
  <c r="Q153" i="29"/>
  <c r="P153" i="26"/>
  <c r="P153" i="27"/>
  <c r="P153" i="28"/>
  <c r="P153" i="29"/>
  <c r="O153" i="26"/>
  <c r="O153" i="27"/>
  <c r="O153" i="28"/>
  <c r="O153" i="29"/>
  <c r="N153" i="26"/>
  <c r="N153" i="27"/>
  <c r="N153" i="28"/>
  <c r="N153" i="29"/>
  <c r="M153" i="26"/>
  <c r="M153" i="27"/>
  <c r="M153" i="28"/>
  <c r="M153" i="29"/>
  <c r="L153" i="26"/>
  <c r="L153" i="27"/>
  <c r="L153" i="28"/>
  <c r="L153" i="29"/>
  <c r="K153" i="26"/>
  <c r="K153" i="27"/>
  <c r="K153" i="28"/>
  <c r="K153" i="29"/>
  <c r="J153" i="26"/>
  <c r="J153" i="27"/>
  <c r="J153" i="28"/>
  <c r="J153" i="29"/>
  <c r="I153" i="26"/>
  <c r="I153" i="27"/>
  <c r="I153" i="28"/>
  <c r="I153" i="29"/>
  <c r="H153" i="26"/>
  <c r="H153" i="27"/>
  <c r="H153" i="28"/>
  <c r="H153" i="29"/>
  <c r="G153" i="26"/>
  <c r="G153" i="27"/>
  <c r="G153" i="28"/>
  <c r="G153" i="29"/>
  <c r="F153" i="26"/>
  <c r="F153" i="27"/>
  <c r="F153" i="28"/>
  <c r="F153" i="29"/>
  <c r="E153" i="26"/>
  <c r="E153" i="27"/>
  <c r="E153" i="28"/>
  <c r="E153" i="29"/>
  <c r="D153" i="26"/>
  <c r="R152" i="26"/>
  <c r="R152" i="27"/>
  <c r="R152" i="28"/>
  <c r="R152" i="29"/>
  <c r="Q152" i="26"/>
  <c r="Q152" i="27"/>
  <c r="Q152" i="28"/>
  <c r="Q152" i="29"/>
  <c r="P152" i="26"/>
  <c r="P152" i="27"/>
  <c r="P152" i="28"/>
  <c r="P152" i="29"/>
  <c r="O152" i="26"/>
  <c r="O152" i="27"/>
  <c r="O152" i="28"/>
  <c r="N152" i="26"/>
  <c r="N152" i="27"/>
  <c r="N152" i="28"/>
  <c r="N152" i="29"/>
  <c r="M152" i="26"/>
  <c r="M152" i="27"/>
  <c r="M152" i="28"/>
  <c r="M152" i="29"/>
  <c r="L152" i="26"/>
  <c r="L152" i="27"/>
  <c r="L152" i="28"/>
  <c r="K152" i="26"/>
  <c r="K152" i="27"/>
  <c r="K152" i="28"/>
  <c r="K152" i="29"/>
  <c r="J152" i="26"/>
  <c r="J152" i="27"/>
  <c r="J152" i="28"/>
  <c r="I152" i="26"/>
  <c r="I152" i="27"/>
  <c r="I152" i="28"/>
  <c r="H152" i="26"/>
  <c r="H152" i="27"/>
  <c r="H152" i="28"/>
  <c r="G152" i="26"/>
  <c r="G152" i="27"/>
  <c r="G152" i="28"/>
  <c r="F152" i="26"/>
  <c r="F152" i="27"/>
  <c r="F152" i="28"/>
  <c r="E152" i="26"/>
  <c r="E152" i="27"/>
  <c r="E152" i="28"/>
  <c r="E152" i="29"/>
  <c r="D152" i="26"/>
  <c r="D152" i="27"/>
  <c r="D152" i="28"/>
  <c r="R151" i="26"/>
  <c r="R151" i="27"/>
  <c r="R151" i="28"/>
  <c r="R151" i="29"/>
  <c r="Q151" i="26"/>
  <c r="Q151" i="27"/>
  <c r="Q151" i="28"/>
  <c r="Q151" i="29"/>
  <c r="P151" i="26"/>
  <c r="P151" i="27"/>
  <c r="P151" i="28"/>
  <c r="P151" i="29"/>
  <c r="O151" i="26"/>
  <c r="O151" i="27"/>
  <c r="O151" i="28"/>
  <c r="O151" i="29"/>
  <c r="N151" i="26"/>
  <c r="N151" i="27"/>
  <c r="N151" i="28"/>
  <c r="N151" i="29"/>
  <c r="M151" i="26"/>
  <c r="M151" i="27"/>
  <c r="M151" i="28"/>
  <c r="M151" i="29"/>
  <c r="L151" i="26"/>
  <c r="L151" i="27"/>
  <c r="L151" i="28"/>
  <c r="L151" i="29"/>
  <c r="K151" i="26"/>
  <c r="K151" i="27"/>
  <c r="K151" i="28"/>
  <c r="K151" i="29"/>
  <c r="J151" i="26"/>
  <c r="J151" i="27"/>
  <c r="J151" i="28"/>
  <c r="J151" i="29"/>
  <c r="I151" i="26"/>
  <c r="I151" i="27"/>
  <c r="I151" i="28"/>
  <c r="I151" i="29"/>
  <c r="H151" i="26"/>
  <c r="H151" i="27"/>
  <c r="H151" i="28"/>
  <c r="H151" i="29"/>
  <c r="G151" i="26"/>
  <c r="G151" i="27"/>
  <c r="G151" i="28"/>
  <c r="G151" i="29"/>
  <c r="F151" i="26"/>
  <c r="F151" i="27"/>
  <c r="F151" i="28"/>
  <c r="F151" i="29"/>
  <c r="E151" i="26"/>
  <c r="E151" i="27"/>
  <c r="E151" i="28"/>
  <c r="E151" i="29"/>
  <c r="D151" i="26"/>
  <c r="D151" i="27"/>
  <c r="D151" i="28"/>
  <c r="R147" i="26"/>
  <c r="R147" i="27"/>
  <c r="R147" i="28"/>
  <c r="R147" i="29"/>
  <c r="Q147" i="26"/>
  <c r="Q147" i="27"/>
  <c r="Q147" i="28"/>
  <c r="Q147" i="29"/>
  <c r="P147" i="26"/>
  <c r="P147" i="27"/>
  <c r="P147" i="28"/>
  <c r="P147" i="29"/>
  <c r="O147" i="26"/>
  <c r="O147" i="27"/>
  <c r="O147" i="28"/>
  <c r="O147" i="29"/>
  <c r="N147" i="26"/>
  <c r="N147" i="27"/>
  <c r="N147" i="28"/>
  <c r="N147" i="29"/>
  <c r="M147" i="26"/>
  <c r="M147" i="27"/>
  <c r="M147" i="28"/>
  <c r="M147" i="29"/>
  <c r="L147" i="26"/>
  <c r="L147" i="27"/>
  <c r="L147" i="28"/>
  <c r="L147" i="29"/>
  <c r="K147" i="26"/>
  <c r="K147" i="27"/>
  <c r="K147" i="28"/>
  <c r="K147" i="29"/>
  <c r="J147" i="26"/>
  <c r="J147" i="27"/>
  <c r="J147" i="28"/>
  <c r="J147" i="29"/>
  <c r="I147" i="26"/>
  <c r="I147" i="27"/>
  <c r="I147" i="28"/>
  <c r="I147" i="29"/>
  <c r="H147" i="26"/>
  <c r="H147" i="27"/>
  <c r="H147" i="28"/>
  <c r="H147" i="29"/>
  <c r="G147" i="26"/>
  <c r="G147" i="27"/>
  <c r="G147" i="28"/>
  <c r="G147" i="29"/>
  <c r="F147" i="26"/>
  <c r="F147" i="27"/>
  <c r="F147" i="28"/>
  <c r="F147" i="29"/>
  <c r="E147" i="26"/>
  <c r="D147" i="26"/>
  <c r="D147" i="27"/>
  <c r="D147" i="28"/>
  <c r="D147" i="29"/>
  <c r="R143" i="26"/>
  <c r="R143" i="27"/>
  <c r="R143" i="28"/>
  <c r="R143" i="29"/>
  <c r="Q143" i="26"/>
  <c r="Q143" i="27"/>
  <c r="Q143" i="28"/>
  <c r="Q143" i="29"/>
  <c r="P143" i="26"/>
  <c r="P143" i="27"/>
  <c r="P143" i="28"/>
  <c r="P143" i="29"/>
  <c r="O143" i="26"/>
  <c r="O143" i="27"/>
  <c r="O143" i="28"/>
  <c r="O143" i="29"/>
  <c r="N143" i="26"/>
  <c r="N143" i="27"/>
  <c r="N143" i="28"/>
  <c r="N143" i="29"/>
  <c r="M143" i="26"/>
  <c r="M143" i="27"/>
  <c r="M143" i="28"/>
  <c r="M143" i="29"/>
  <c r="L143" i="26"/>
  <c r="L143" i="27"/>
  <c r="L143" i="28"/>
  <c r="L143" i="29"/>
  <c r="K143" i="26"/>
  <c r="K143" i="27"/>
  <c r="K143" i="28"/>
  <c r="K143" i="29"/>
  <c r="J143" i="26"/>
  <c r="J143" i="27"/>
  <c r="J143" i="28"/>
  <c r="J143" i="29"/>
  <c r="I143" i="26"/>
  <c r="I143" i="27"/>
  <c r="I143" i="28"/>
  <c r="I143" i="29"/>
  <c r="H143" i="26"/>
  <c r="H143" i="27"/>
  <c r="H143" i="28"/>
  <c r="H143" i="29"/>
  <c r="G143" i="26"/>
  <c r="G143" i="27"/>
  <c r="G143" i="28"/>
  <c r="G143" i="29"/>
  <c r="F143" i="26"/>
  <c r="F143" i="27"/>
  <c r="F143" i="28"/>
  <c r="F143" i="29"/>
  <c r="E143" i="26"/>
  <c r="E143" i="27"/>
  <c r="E143" i="28"/>
  <c r="E143" i="29"/>
  <c r="D143" i="26"/>
  <c r="D143" i="27"/>
  <c r="R142" i="26"/>
  <c r="R142" i="27"/>
  <c r="R142" i="28"/>
  <c r="R142" i="29"/>
  <c r="Q142" i="26"/>
  <c r="Q142" i="27"/>
  <c r="Q142" i="28"/>
  <c r="Q142" i="29"/>
  <c r="P142" i="26"/>
  <c r="P142" i="27"/>
  <c r="P142" i="28"/>
  <c r="P142" i="29"/>
  <c r="O142" i="26"/>
  <c r="O142" i="27"/>
  <c r="O142" i="28"/>
  <c r="O142" i="29"/>
  <c r="N142" i="26"/>
  <c r="N142" i="27"/>
  <c r="N142" i="28"/>
  <c r="N142" i="29"/>
  <c r="M142" i="26"/>
  <c r="M142" i="27"/>
  <c r="M142" i="28"/>
  <c r="M142" i="29"/>
  <c r="L142" i="26"/>
  <c r="L142" i="27"/>
  <c r="L142" i="28"/>
  <c r="L142" i="29"/>
  <c r="K142" i="26"/>
  <c r="K142" i="27"/>
  <c r="K142" i="28"/>
  <c r="K142" i="29"/>
  <c r="J142" i="26"/>
  <c r="J142" i="27"/>
  <c r="J142" i="28"/>
  <c r="J142" i="29"/>
  <c r="I142" i="26"/>
  <c r="I142" i="27"/>
  <c r="I142" i="28"/>
  <c r="I142" i="29"/>
  <c r="H142" i="26"/>
  <c r="H142" i="27"/>
  <c r="H142" i="28"/>
  <c r="H142" i="29"/>
  <c r="G142" i="26"/>
  <c r="G142" i="27"/>
  <c r="G142" i="28"/>
  <c r="G142" i="29"/>
  <c r="F142" i="26"/>
  <c r="F142" i="27"/>
  <c r="F142" i="28"/>
  <c r="F142" i="29"/>
  <c r="E142" i="26"/>
  <c r="E142" i="27"/>
  <c r="E142" i="28"/>
  <c r="E142" i="29"/>
  <c r="D142" i="26"/>
  <c r="R132" i="26"/>
  <c r="R132" i="27"/>
  <c r="R132" i="28"/>
  <c r="R132" i="29"/>
  <c r="Q132" i="26"/>
  <c r="Q132" i="27"/>
  <c r="Q132" i="28"/>
  <c r="Q132" i="29"/>
  <c r="P132" i="26"/>
  <c r="P132" i="27"/>
  <c r="P132" i="28"/>
  <c r="P132" i="29"/>
  <c r="O132" i="26"/>
  <c r="O132" i="27"/>
  <c r="O132" i="28"/>
  <c r="O132" i="29"/>
  <c r="N132" i="26"/>
  <c r="N132" i="27"/>
  <c r="N132" i="28"/>
  <c r="N132" i="29"/>
  <c r="M132" i="26"/>
  <c r="M132" i="27"/>
  <c r="M132" i="28"/>
  <c r="M132" i="29"/>
  <c r="L132" i="26"/>
  <c r="L132" i="27"/>
  <c r="L132" i="28"/>
  <c r="L132" i="29"/>
  <c r="K132" i="26"/>
  <c r="K132" i="27"/>
  <c r="K132" i="28"/>
  <c r="K132" i="29"/>
  <c r="J132" i="26"/>
  <c r="J132" i="27"/>
  <c r="J132" i="28"/>
  <c r="J132" i="29"/>
  <c r="I132" i="26"/>
  <c r="I132" i="27"/>
  <c r="I132" i="28"/>
  <c r="I132" i="29"/>
  <c r="H132" i="26"/>
  <c r="H132" i="27"/>
  <c r="H132" i="28"/>
  <c r="H132" i="29"/>
  <c r="G132" i="26"/>
  <c r="G132" i="27"/>
  <c r="G132" i="28"/>
  <c r="G132" i="29"/>
  <c r="F132" i="26"/>
  <c r="F132" i="27"/>
  <c r="F132" i="28"/>
  <c r="F132" i="29"/>
  <c r="E132" i="26"/>
  <c r="D132" i="26"/>
  <c r="D132" i="27"/>
  <c r="D132" i="28"/>
  <c r="R131" i="26"/>
  <c r="R131" i="27"/>
  <c r="R131" i="28"/>
  <c r="R131" i="29"/>
  <c r="Q131" i="26"/>
  <c r="Q131" i="27"/>
  <c r="Q131" i="28"/>
  <c r="Q131" i="29"/>
  <c r="P131" i="26"/>
  <c r="P131" i="27"/>
  <c r="P131" i="28"/>
  <c r="P131" i="29"/>
  <c r="O131" i="26"/>
  <c r="O131" i="27"/>
  <c r="O131" i="28"/>
  <c r="O131" i="29"/>
  <c r="N131" i="26"/>
  <c r="N131" i="27"/>
  <c r="M131" i="26"/>
  <c r="M131" i="27"/>
  <c r="L131" i="26"/>
  <c r="L131" i="27"/>
  <c r="K131" i="26"/>
  <c r="K131" i="27"/>
  <c r="K131" i="28"/>
  <c r="K131" i="29"/>
  <c r="J131" i="26"/>
  <c r="J131" i="27"/>
  <c r="J131" i="28"/>
  <c r="J131" i="29"/>
  <c r="I131" i="26"/>
  <c r="I131" i="27"/>
  <c r="H131" i="26"/>
  <c r="H131" i="27"/>
  <c r="H131" i="28"/>
  <c r="H131" i="29"/>
  <c r="G131" i="26"/>
  <c r="G131" i="27"/>
  <c r="F131" i="26"/>
  <c r="F131" i="27"/>
  <c r="E131" i="26"/>
  <c r="E131" i="27"/>
  <c r="E131" i="28"/>
  <c r="E131" i="29"/>
  <c r="D131" i="26"/>
  <c r="R130" i="26"/>
  <c r="R130" i="27"/>
  <c r="R130" i="28"/>
  <c r="R130" i="29"/>
  <c r="Q130" i="26"/>
  <c r="Q130" i="27"/>
  <c r="Q130" i="28"/>
  <c r="Q130" i="29"/>
  <c r="P130" i="26"/>
  <c r="P130" i="27"/>
  <c r="P130" i="28"/>
  <c r="P130" i="29"/>
  <c r="O130" i="26"/>
  <c r="O130" i="27"/>
  <c r="O130" i="28"/>
  <c r="O130" i="29"/>
  <c r="N130" i="26"/>
  <c r="N130" i="27"/>
  <c r="M130" i="26"/>
  <c r="M130" i="27"/>
  <c r="M130" i="28"/>
  <c r="M130" i="29"/>
  <c r="L130" i="26"/>
  <c r="L130" i="27"/>
  <c r="K130" i="26"/>
  <c r="K130" i="27"/>
  <c r="J130" i="26"/>
  <c r="J130" i="27"/>
  <c r="J130" i="28"/>
  <c r="J130" i="29"/>
  <c r="I130" i="26"/>
  <c r="I130" i="27"/>
  <c r="I130" i="28"/>
  <c r="I130" i="29"/>
  <c r="H130" i="26"/>
  <c r="H130" i="27"/>
  <c r="H130" i="28"/>
  <c r="H130" i="29"/>
  <c r="G130" i="26"/>
  <c r="G130" i="27"/>
  <c r="G130" i="28"/>
  <c r="G130" i="29"/>
  <c r="F130" i="26"/>
  <c r="F130" i="27"/>
  <c r="F130" i="28"/>
  <c r="F130" i="29"/>
  <c r="E130" i="26"/>
  <c r="E130" i="27"/>
  <c r="D130" i="26"/>
  <c r="D130" i="27"/>
  <c r="D130" i="28"/>
  <c r="D130" i="29"/>
  <c r="R129" i="26"/>
  <c r="R129" i="27"/>
  <c r="R129" i="28"/>
  <c r="R129" i="29"/>
  <c r="Q129" i="26"/>
  <c r="Q129" i="27"/>
  <c r="Q129" i="28"/>
  <c r="Q129" i="29"/>
  <c r="P129" i="26"/>
  <c r="P129" i="27"/>
  <c r="P129" i="28"/>
  <c r="P129" i="29"/>
  <c r="O129" i="26"/>
  <c r="O129" i="27"/>
  <c r="O129" i="28"/>
  <c r="O129" i="29"/>
  <c r="N129" i="26"/>
  <c r="N129" i="27"/>
  <c r="N129" i="28"/>
  <c r="N129" i="29"/>
  <c r="M129" i="26"/>
  <c r="M129" i="27"/>
  <c r="M129" i="28"/>
  <c r="M129" i="29"/>
  <c r="L129" i="26"/>
  <c r="L129" i="27"/>
  <c r="L129" i="28"/>
  <c r="K129" i="26"/>
  <c r="K129" i="27"/>
  <c r="K129" i="28"/>
  <c r="K129" i="29"/>
  <c r="J129" i="26"/>
  <c r="J129" i="27"/>
  <c r="J129" i="28"/>
  <c r="J129" i="29"/>
  <c r="I129" i="26"/>
  <c r="I129" i="27"/>
  <c r="I129" i="28"/>
  <c r="I129" i="29"/>
  <c r="H129" i="26"/>
  <c r="H129" i="27"/>
  <c r="H129" i="28"/>
  <c r="H129" i="29"/>
  <c r="G129" i="26"/>
  <c r="G129" i="27"/>
  <c r="G129" i="28"/>
  <c r="G129" i="29"/>
  <c r="F129" i="26"/>
  <c r="F129" i="27"/>
  <c r="F129" i="28"/>
  <c r="F129" i="29"/>
  <c r="E129" i="26"/>
  <c r="E129" i="27"/>
  <c r="E129" i="28"/>
  <c r="E129" i="29"/>
  <c r="D129" i="26"/>
  <c r="R128" i="26"/>
  <c r="R128" i="27"/>
  <c r="R128" i="28"/>
  <c r="R128" i="29"/>
  <c r="Q128" i="26"/>
  <c r="Q128" i="27"/>
  <c r="Q128" i="28"/>
  <c r="Q128" i="29"/>
  <c r="P128" i="26"/>
  <c r="P128" i="27"/>
  <c r="P128" i="28"/>
  <c r="P128" i="29"/>
  <c r="O128" i="26"/>
  <c r="O128" i="27"/>
  <c r="O128" i="28"/>
  <c r="O128" i="29"/>
  <c r="N128" i="26"/>
  <c r="N128" i="27"/>
  <c r="M128" i="26"/>
  <c r="M128" i="27"/>
  <c r="L128" i="26"/>
  <c r="L128" i="27"/>
  <c r="K128" i="26"/>
  <c r="K128" i="27"/>
  <c r="J128" i="26"/>
  <c r="J128" i="27"/>
  <c r="I128" i="26"/>
  <c r="I128" i="27"/>
  <c r="H128" i="26"/>
  <c r="H128" i="27"/>
  <c r="G128" i="26"/>
  <c r="G128" i="27"/>
  <c r="G128" i="28"/>
  <c r="G128" i="29"/>
  <c r="F128" i="26"/>
  <c r="F128" i="27"/>
  <c r="E128" i="26"/>
  <c r="D128" i="26"/>
  <c r="D128" i="27"/>
  <c r="R127" i="26"/>
  <c r="R127" i="27"/>
  <c r="R127" i="28"/>
  <c r="R127" i="29"/>
  <c r="Q127" i="26"/>
  <c r="Q127" i="27"/>
  <c r="Q127" i="28"/>
  <c r="Q127" i="29"/>
  <c r="P127" i="26"/>
  <c r="P127" i="27"/>
  <c r="P127" i="28"/>
  <c r="P127" i="29"/>
  <c r="O127" i="26"/>
  <c r="O127" i="27"/>
  <c r="O127" i="28"/>
  <c r="O127" i="29"/>
  <c r="N127" i="26"/>
  <c r="N127" i="27"/>
  <c r="N127" i="28"/>
  <c r="N127" i="29"/>
  <c r="M127" i="26"/>
  <c r="M127" i="27"/>
  <c r="M127" i="28"/>
  <c r="M127" i="29"/>
  <c r="L127" i="26"/>
  <c r="L127" i="27"/>
  <c r="L127" i="28"/>
  <c r="L127" i="29"/>
  <c r="K127" i="26"/>
  <c r="K127" i="27"/>
  <c r="K127" i="28"/>
  <c r="K127" i="29"/>
  <c r="J127" i="26"/>
  <c r="J127" i="27"/>
  <c r="J127" i="28"/>
  <c r="J127" i="29"/>
  <c r="I127" i="26"/>
  <c r="I127" i="27"/>
  <c r="I127" i="28"/>
  <c r="I127" i="29"/>
  <c r="H127" i="26"/>
  <c r="H127" i="27"/>
  <c r="H127" i="28"/>
  <c r="H127" i="29"/>
  <c r="G127" i="26"/>
  <c r="G127" i="27"/>
  <c r="G127" i="28"/>
  <c r="G127" i="29"/>
  <c r="F127" i="26"/>
  <c r="F127" i="27"/>
  <c r="F127" i="28"/>
  <c r="F127" i="29"/>
  <c r="E127" i="26"/>
  <c r="E127" i="27"/>
  <c r="E127" i="28"/>
  <c r="E127" i="29"/>
  <c r="D127" i="26"/>
  <c r="R126" i="26"/>
  <c r="R126" i="27"/>
  <c r="R126" i="28"/>
  <c r="R126" i="29"/>
  <c r="Q126" i="26"/>
  <c r="Q126" i="27"/>
  <c r="Q126" i="28"/>
  <c r="Q126" i="29"/>
  <c r="P126" i="26"/>
  <c r="P126" i="27"/>
  <c r="P126" i="28"/>
  <c r="P126" i="29"/>
  <c r="O126" i="26"/>
  <c r="O126" i="27"/>
  <c r="O126" i="28"/>
  <c r="N126" i="26"/>
  <c r="N126" i="27"/>
  <c r="M126" i="26"/>
  <c r="M126" i="27"/>
  <c r="L126" i="26"/>
  <c r="L126" i="27"/>
  <c r="K126" i="26"/>
  <c r="K126" i="27"/>
  <c r="K126" i="28"/>
  <c r="J126" i="26"/>
  <c r="J126" i="27"/>
  <c r="I126" i="26"/>
  <c r="I126" i="27"/>
  <c r="I126" i="28"/>
  <c r="I126" i="29"/>
  <c r="H126" i="26"/>
  <c r="H126" i="27"/>
  <c r="H126" i="28"/>
  <c r="H126" i="29"/>
  <c r="G126" i="26"/>
  <c r="G126" i="27"/>
  <c r="F126" i="26"/>
  <c r="F126" i="27"/>
  <c r="E126" i="26"/>
  <c r="E126" i="27"/>
  <c r="D126" i="26"/>
  <c r="D126" i="27"/>
  <c r="R125" i="26"/>
  <c r="R125" i="27"/>
  <c r="R125" i="28"/>
  <c r="R125" i="29"/>
  <c r="Q125" i="26"/>
  <c r="Q125" i="27"/>
  <c r="Q125" i="28"/>
  <c r="Q125" i="29"/>
  <c r="P125" i="26"/>
  <c r="P125" i="27"/>
  <c r="P125" i="28"/>
  <c r="P125" i="29"/>
  <c r="O125" i="26"/>
  <c r="O125" i="27"/>
  <c r="O125" i="28"/>
  <c r="O125" i="29"/>
  <c r="N125" i="26"/>
  <c r="N125" i="27"/>
  <c r="N125" i="28"/>
  <c r="N125" i="29"/>
  <c r="M125" i="26"/>
  <c r="M125" i="27"/>
  <c r="M125" i="28"/>
  <c r="M125" i="29"/>
  <c r="L125" i="26"/>
  <c r="L125" i="27"/>
  <c r="L125" i="28"/>
  <c r="L125" i="29"/>
  <c r="K125" i="26"/>
  <c r="K125" i="27"/>
  <c r="K125" i="28"/>
  <c r="K125" i="29"/>
  <c r="J125" i="26"/>
  <c r="J125" i="27"/>
  <c r="J125" i="28"/>
  <c r="J125" i="29"/>
  <c r="I125" i="26"/>
  <c r="I125" i="27"/>
  <c r="I125" i="28"/>
  <c r="I125" i="29"/>
  <c r="H125" i="26"/>
  <c r="H125" i="27"/>
  <c r="H125" i="28"/>
  <c r="H125" i="29"/>
  <c r="G125" i="26"/>
  <c r="G125" i="27"/>
  <c r="G125" i="28"/>
  <c r="G125" i="29"/>
  <c r="F125" i="26"/>
  <c r="F125" i="27"/>
  <c r="F125" i="28"/>
  <c r="F125" i="29"/>
  <c r="E125" i="26"/>
  <c r="E125" i="27"/>
  <c r="E125" i="28"/>
  <c r="E125" i="29"/>
  <c r="D125" i="26"/>
  <c r="R124" i="26"/>
  <c r="R124" i="27"/>
  <c r="R124" i="28"/>
  <c r="R124" i="29"/>
  <c r="Q124" i="26"/>
  <c r="Q124" i="27"/>
  <c r="Q124" i="28"/>
  <c r="Q124" i="29"/>
  <c r="P124" i="26"/>
  <c r="P124" i="27"/>
  <c r="P124" i="28"/>
  <c r="P124" i="29"/>
  <c r="O124" i="26"/>
  <c r="O124" i="27"/>
  <c r="O124" i="28"/>
  <c r="N124" i="26"/>
  <c r="N124" i="27"/>
  <c r="N124" i="28"/>
  <c r="N124" i="29"/>
  <c r="M124" i="26"/>
  <c r="M124" i="27"/>
  <c r="M124" i="28"/>
  <c r="L124" i="26"/>
  <c r="L124" i="27"/>
  <c r="L124" i="28"/>
  <c r="L124" i="29"/>
  <c r="K124" i="26"/>
  <c r="K124" i="27"/>
  <c r="K124" i="28"/>
  <c r="J124" i="26"/>
  <c r="J124" i="27"/>
  <c r="J124" i="28"/>
  <c r="J124" i="29"/>
  <c r="I124" i="26"/>
  <c r="I124" i="27"/>
  <c r="I124" i="28"/>
  <c r="I124" i="29"/>
  <c r="H124" i="26"/>
  <c r="H124" i="27"/>
  <c r="H124" i="28"/>
  <c r="G124" i="26"/>
  <c r="G124" i="27"/>
  <c r="G124" i="28"/>
  <c r="F124" i="26"/>
  <c r="F124" i="27"/>
  <c r="F124" i="28"/>
  <c r="E124" i="26"/>
  <c r="E124" i="27"/>
  <c r="D124" i="26"/>
  <c r="D124" i="27"/>
  <c r="D124" i="28"/>
  <c r="D124" i="29"/>
  <c r="R123" i="26"/>
  <c r="R123" i="27"/>
  <c r="R123" i="28"/>
  <c r="R123" i="29"/>
  <c r="Q123" i="26"/>
  <c r="Q123" i="27"/>
  <c r="Q123" i="28"/>
  <c r="Q123" i="29"/>
  <c r="P123" i="26"/>
  <c r="P123" i="27"/>
  <c r="P123" i="28"/>
  <c r="P123" i="29"/>
  <c r="O123" i="26"/>
  <c r="O123" i="27"/>
  <c r="O123" i="28"/>
  <c r="O123" i="29"/>
  <c r="N123" i="26"/>
  <c r="N123" i="27"/>
  <c r="N123" i="28"/>
  <c r="N123" i="29"/>
  <c r="M123" i="26"/>
  <c r="M123" i="27"/>
  <c r="M123" i="28"/>
  <c r="M123" i="29"/>
  <c r="L123" i="26"/>
  <c r="L123" i="27"/>
  <c r="L123" i="28"/>
  <c r="L123" i="29"/>
  <c r="K123" i="26"/>
  <c r="K123" i="27"/>
  <c r="K123" i="28"/>
  <c r="K123" i="29"/>
  <c r="J123" i="26"/>
  <c r="J123" i="27"/>
  <c r="J123" i="28"/>
  <c r="J123" i="29"/>
  <c r="I123" i="26"/>
  <c r="I123" i="27"/>
  <c r="I123" i="28"/>
  <c r="I123" i="29"/>
  <c r="H123" i="26"/>
  <c r="H123" i="27"/>
  <c r="H123" i="28"/>
  <c r="H123" i="29"/>
  <c r="G123" i="26"/>
  <c r="F123" i="26"/>
  <c r="F123" i="27"/>
  <c r="F123" i="28"/>
  <c r="F123" i="29"/>
  <c r="E123" i="26"/>
  <c r="E123" i="27"/>
  <c r="E123" i="28"/>
  <c r="E123" i="29"/>
  <c r="D123" i="26"/>
  <c r="R122" i="26"/>
  <c r="R122" i="27"/>
  <c r="R122" i="28"/>
  <c r="R122" i="29"/>
  <c r="Q122" i="26"/>
  <c r="Q122" i="27"/>
  <c r="Q122" i="28"/>
  <c r="Q122" i="29"/>
  <c r="P122" i="26"/>
  <c r="P122" i="27"/>
  <c r="P122" i="28"/>
  <c r="P122" i="29"/>
  <c r="O122" i="26"/>
  <c r="O122" i="27"/>
  <c r="O122" i="28"/>
  <c r="N122" i="26"/>
  <c r="N122" i="27"/>
  <c r="N122" i="28"/>
  <c r="M122" i="26"/>
  <c r="M122" i="27"/>
  <c r="M122" i="28"/>
  <c r="M122" i="29"/>
  <c r="L122" i="26"/>
  <c r="L122" i="27"/>
  <c r="L122" i="28"/>
  <c r="L122" i="29"/>
  <c r="K122" i="26"/>
  <c r="K122" i="27"/>
  <c r="K122" i="28"/>
  <c r="J122" i="26"/>
  <c r="J122" i="27"/>
  <c r="J122" i="28"/>
  <c r="J122" i="29"/>
  <c r="I122" i="26"/>
  <c r="I122" i="27"/>
  <c r="I122" i="28"/>
  <c r="I122" i="29"/>
  <c r="H122" i="26"/>
  <c r="H122" i="27"/>
  <c r="H122" i="28"/>
  <c r="G122" i="26"/>
  <c r="G122" i="27"/>
  <c r="G122" i="28"/>
  <c r="F122" i="26"/>
  <c r="F122" i="27"/>
  <c r="F122" i="28"/>
  <c r="E122" i="26"/>
  <c r="E122" i="27"/>
  <c r="E122" i="28"/>
  <c r="D122" i="26"/>
  <c r="D122" i="27"/>
  <c r="D122" i="28"/>
  <c r="R121" i="26"/>
  <c r="R121" i="27"/>
  <c r="R121" i="28"/>
  <c r="R121" i="29"/>
  <c r="Q121" i="26"/>
  <c r="Q121" i="27"/>
  <c r="Q121" i="28"/>
  <c r="Q121" i="29"/>
  <c r="P121" i="26"/>
  <c r="P121" i="27"/>
  <c r="P121" i="28"/>
  <c r="P121" i="29"/>
  <c r="O121" i="26"/>
  <c r="O121" i="27"/>
  <c r="O121" i="28"/>
  <c r="O121" i="29"/>
  <c r="N121" i="26"/>
  <c r="N121" i="27"/>
  <c r="N121" i="28"/>
  <c r="N121" i="29"/>
  <c r="M121" i="26"/>
  <c r="M121" i="27"/>
  <c r="M121" i="28"/>
  <c r="M121" i="29"/>
  <c r="L121" i="26"/>
  <c r="L121" i="27"/>
  <c r="L121" i="28"/>
  <c r="L121" i="29"/>
  <c r="K121" i="26"/>
  <c r="K121" i="27"/>
  <c r="K121" i="28"/>
  <c r="K121" i="29"/>
  <c r="J121" i="26"/>
  <c r="J121" i="27"/>
  <c r="J121" i="28"/>
  <c r="J121" i="29"/>
  <c r="I121" i="26"/>
  <c r="I121" i="27"/>
  <c r="I121" i="28"/>
  <c r="I121" i="29"/>
  <c r="H121" i="26"/>
  <c r="H121" i="27"/>
  <c r="H121" i="28"/>
  <c r="H121" i="29"/>
  <c r="G121" i="26"/>
  <c r="G121" i="27"/>
  <c r="G121" i="28"/>
  <c r="G121" i="29"/>
  <c r="F121" i="26"/>
  <c r="F121" i="27"/>
  <c r="F121" i="28"/>
  <c r="F121" i="29"/>
  <c r="E121" i="26"/>
  <c r="E121" i="27"/>
  <c r="E121" i="28"/>
  <c r="E121" i="29"/>
  <c r="D121" i="26"/>
  <c r="R120" i="26"/>
  <c r="R120" i="27"/>
  <c r="R120" i="28"/>
  <c r="R120" i="29"/>
  <c r="Q120" i="26"/>
  <c r="Q120" i="27"/>
  <c r="Q120" i="28"/>
  <c r="Q120" i="29"/>
  <c r="P120" i="26"/>
  <c r="P120" i="27"/>
  <c r="P120" i="28"/>
  <c r="P120" i="29"/>
  <c r="O120" i="26"/>
  <c r="O120" i="27"/>
  <c r="O120" i="28"/>
  <c r="O120" i="29"/>
  <c r="N120" i="26"/>
  <c r="N120" i="27"/>
  <c r="N120" i="28"/>
  <c r="M120" i="26"/>
  <c r="M120" i="27"/>
  <c r="M120" i="28"/>
  <c r="M120" i="29"/>
  <c r="L120" i="26"/>
  <c r="L120" i="27"/>
  <c r="L120" i="28"/>
  <c r="L120" i="29"/>
  <c r="K120" i="26"/>
  <c r="K120" i="27"/>
  <c r="K120" i="28"/>
  <c r="J120" i="26"/>
  <c r="J120" i="27"/>
  <c r="J120" i="28"/>
  <c r="I120" i="26"/>
  <c r="I120" i="27"/>
  <c r="I120" i="28"/>
  <c r="H120" i="26"/>
  <c r="H120" i="27"/>
  <c r="H120" i="28"/>
  <c r="H120" i="29"/>
  <c r="G120" i="26"/>
  <c r="G120" i="27"/>
  <c r="G120" i="28"/>
  <c r="F120" i="26"/>
  <c r="E120" i="26"/>
  <c r="E120" i="27"/>
  <c r="E120" i="28"/>
  <c r="E120" i="29"/>
  <c r="D120" i="26"/>
  <c r="D120" i="27"/>
  <c r="D120" i="28"/>
  <c r="D120" i="29"/>
  <c r="R119" i="26"/>
  <c r="R119" i="27"/>
  <c r="R119" i="28"/>
  <c r="R119" i="29"/>
  <c r="Q119" i="26"/>
  <c r="Q119" i="27"/>
  <c r="Q119" i="28"/>
  <c r="Q119" i="29"/>
  <c r="P119" i="26"/>
  <c r="P119" i="27"/>
  <c r="P119" i="28"/>
  <c r="P119" i="29"/>
  <c r="O119" i="26"/>
  <c r="O119" i="27"/>
  <c r="O119" i="28"/>
  <c r="O119" i="29"/>
  <c r="N119" i="26"/>
  <c r="N119" i="27"/>
  <c r="N119" i="28"/>
  <c r="N119" i="29"/>
  <c r="M119" i="26"/>
  <c r="M119" i="27"/>
  <c r="M119" i="28"/>
  <c r="M119" i="29"/>
  <c r="L119" i="26"/>
  <c r="L119" i="27"/>
  <c r="L119" i="28"/>
  <c r="L119" i="29"/>
  <c r="K119" i="26"/>
  <c r="K119" i="27"/>
  <c r="K119" i="28"/>
  <c r="K119" i="29"/>
  <c r="J119" i="26"/>
  <c r="J119" i="27"/>
  <c r="J119" i="28"/>
  <c r="J119" i="29"/>
  <c r="I119" i="26"/>
  <c r="I119" i="27"/>
  <c r="I119" i="28"/>
  <c r="I119" i="29"/>
  <c r="H119" i="26"/>
  <c r="G119" i="26"/>
  <c r="G119" i="27"/>
  <c r="G119" i="28"/>
  <c r="G119" i="29"/>
  <c r="F119" i="26"/>
  <c r="F119" i="27"/>
  <c r="F119" i="28"/>
  <c r="F119" i="29"/>
  <c r="E119" i="26"/>
  <c r="E119" i="27"/>
  <c r="E119" i="28"/>
  <c r="E119" i="29"/>
  <c r="D119" i="26"/>
  <c r="D119" i="27"/>
  <c r="D119" i="28"/>
  <c r="D119" i="29"/>
  <c r="R118" i="26"/>
  <c r="R118" i="27"/>
  <c r="R118" i="28"/>
  <c r="R118" i="29"/>
  <c r="Q118" i="26"/>
  <c r="Q118" i="27"/>
  <c r="Q118" i="28"/>
  <c r="Q118" i="29"/>
  <c r="P118" i="26"/>
  <c r="P118" i="27"/>
  <c r="P118" i="28"/>
  <c r="P118" i="29"/>
  <c r="O118" i="26"/>
  <c r="O118" i="27"/>
  <c r="N118" i="26"/>
  <c r="N118" i="27"/>
  <c r="M118" i="26"/>
  <c r="M118" i="27"/>
  <c r="L118" i="26"/>
  <c r="L118" i="27"/>
  <c r="K118" i="26"/>
  <c r="K118" i="27"/>
  <c r="J118" i="26"/>
  <c r="J118" i="27"/>
  <c r="J118" i="28"/>
  <c r="J118" i="29"/>
  <c r="I118" i="26"/>
  <c r="I118" i="27"/>
  <c r="I118" i="28"/>
  <c r="I118" i="29"/>
  <c r="H118" i="26"/>
  <c r="H118" i="27"/>
  <c r="H118" i="28"/>
  <c r="H118" i="29"/>
  <c r="G118" i="26"/>
  <c r="G118" i="27"/>
  <c r="F118" i="26"/>
  <c r="F118" i="27"/>
  <c r="E118" i="26"/>
  <c r="E118" i="27"/>
  <c r="D118" i="26"/>
  <c r="D118" i="27"/>
  <c r="R117" i="26"/>
  <c r="R117" i="27"/>
  <c r="R117" i="28"/>
  <c r="R117" i="29"/>
  <c r="Q117" i="26"/>
  <c r="Q117" i="27"/>
  <c r="Q117" i="28"/>
  <c r="Q117" i="29"/>
  <c r="P117" i="26"/>
  <c r="P117" i="27"/>
  <c r="P117" i="28"/>
  <c r="P117" i="29"/>
  <c r="O117" i="26"/>
  <c r="O117" i="27"/>
  <c r="O117" i="28"/>
  <c r="O117" i="29"/>
  <c r="N117" i="26"/>
  <c r="N117" i="27"/>
  <c r="N117" i="28"/>
  <c r="N117" i="29"/>
  <c r="M117" i="26"/>
  <c r="M117" i="27"/>
  <c r="M117" i="28"/>
  <c r="M117" i="29"/>
  <c r="L117" i="26"/>
  <c r="L117" i="27"/>
  <c r="L117" i="28"/>
  <c r="L117" i="29"/>
  <c r="K117" i="26"/>
  <c r="K117" i="27"/>
  <c r="K117" i="28"/>
  <c r="K117" i="29"/>
  <c r="J117" i="26"/>
  <c r="J117" i="27"/>
  <c r="J117" i="28"/>
  <c r="J117" i="29"/>
  <c r="I117" i="26"/>
  <c r="I117" i="27"/>
  <c r="I117" i="28"/>
  <c r="I117" i="29"/>
  <c r="H117" i="26"/>
  <c r="G117" i="26"/>
  <c r="G117" i="27"/>
  <c r="G117" i="28"/>
  <c r="G117" i="29"/>
  <c r="F117" i="26"/>
  <c r="F117" i="27"/>
  <c r="F117" i="28"/>
  <c r="F117" i="29"/>
  <c r="E117" i="26"/>
  <c r="E117" i="27"/>
  <c r="E117" i="28"/>
  <c r="E117" i="29"/>
  <c r="D117" i="26"/>
  <c r="R116" i="26"/>
  <c r="R116" i="27"/>
  <c r="R116" i="28"/>
  <c r="R116" i="29"/>
  <c r="Q116" i="26"/>
  <c r="Q116" i="27"/>
  <c r="Q116" i="28"/>
  <c r="Q116" i="29"/>
  <c r="P116" i="26"/>
  <c r="P116" i="27"/>
  <c r="P116" i="28"/>
  <c r="P116" i="29"/>
  <c r="O116" i="26"/>
  <c r="O116" i="27"/>
  <c r="O116" i="28"/>
  <c r="O116" i="29"/>
  <c r="N116" i="26"/>
  <c r="N116" i="27"/>
  <c r="N116" i="28"/>
  <c r="N116" i="29"/>
  <c r="M116" i="26"/>
  <c r="M116" i="27"/>
  <c r="M116" i="28"/>
  <c r="M116" i="29"/>
  <c r="L116" i="26"/>
  <c r="L116" i="27"/>
  <c r="L116" i="28"/>
  <c r="L116" i="29"/>
  <c r="K116" i="26"/>
  <c r="K116" i="27"/>
  <c r="K116" i="28"/>
  <c r="K116" i="29"/>
  <c r="J116" i="26"/>
  <c r="J116" i="27"/>
  <c r="J116" i="28"/>
  <c r="J116" i="29"/>
  <c r="I116" i="26"/>
  <c r="I116" i="27"/>
  <c r="I116" i="28"/>
  <c r="I116" i="29"/>
  <c r="H116" i="26"/>
  <c r="H116" i="27"/>
  <c r="H116" i="28"/>
  <c r="H116" i="29"/>
  <c r="G116" i="26"/>
  <c r="F116" i="26"/>
  <c r="F116" i="27"/>
  <c r="F116" i="28"/>
  <c r="F116" i="29"/>
  <c r="E116" i="26"/>
  <c r="E116" i="27"/>
  <c r="E116" i="28"/>
  <c r="E116" i="29"/>
  <c r="D116" i="26"/>
  <c r="D116" i="27"/>
  <c r="D116" i="28"/>
  <c r="D116" i="29"/>
  <c r="R115" i="26"/>
  <c r="R115" i="27"/>
  <c r="R115" i="28"/>
  <c r="R115" i="29"/>
  <c r="Q115" i="26"/>
  <c r="Q115" i="27"/>
  <c r="Q115" i="28"/>
  <c r="Q115" i="29"/>
  <c r="P115" i="26"/>
  <c r="P115" i="27"/>
  <c r="P115" i="28"/>
  <c r="P115" i="29"/>
  <c r="O115" i="26"/>
  <c r="O115" i="27"/>
  <c r="O115" i="28"/>
  <c r="O115" i="29"/>
  <c r="N115" i="26"/>
  <c r="N115" i="27"/>
  <c r="N115" i="28"/>
  <c r="N115" i="29"/>
  <c r="M115" i="26"/>
  <c r="M115" i="27"/>
  <c r="M115" i="28"/>
  <c r="M115" i="29"/>
  <c r="L115" i="26"/>
  <c r="L115" i="27"/>
  <c r="L115" i="28"/>
  <c r="L115" i="29"/>
  <c r="K115" i="26"/>
  <c r="K115" i="27"/>
  <c r="K115" i="28"/>
  <c r="K115" i="29"/>
  <c r="J115" i="26"/>
  <c r="J115" i="27"/>
  <c r="J115" i="28"/>
  <c r="J115" i="29"/>
  <c r="I115" i="26"/>
  <c r="I115" i="27"/>
  <c r="I115" i="28"/>
  <c r="I115" i="29"/>
  <c r="H115" i="26"/>
  <c r="H115" i="27"/>
  <c r="H115" i="28"/>
  <c r="H115" i="29"/>
  <c r="G115" i="26"/>
  <c r="G115" i="27"/>
  <c r="G115" i="28"/>
  <c r="G115" i="29"/>
  <c r="F115" i="26"/>
  <c r="F115" i="27"/>
  <c r="F115" i="28"/>
  <c r="F115" i="29"/>
  <c r="E115" i="26"/>
  <c r="D115" i="26"/>
  <c r="R114" i="26"/>
  <c r="R114" i="27"/>
  <c r="R114" i="28"/>
  <c r="R114" i="29"/>
  <c r="Q114" i="26"/>
  <c r="Q114" i="27"/>
  <c r="Q114" i="28"/>
  <c r="Q114" i="29"/>
  <c r="P114" i="26"/>
  <c r="P114" i="27"/>
  <c r="P114" i="28"/>
  <c r="P114" i="29"/>
  <c r="O114" i="26"/>
  <c r="O114" i="27"/>
  <c r="O114" i="28"/>
  <c r="O114" i="29"/>
  <c r="N114" i="26"/>
  <c r="N114" i="27"/>
  <c r="N114" i="28"/>
  <c r="N114" i="29"/>
  <c r="M114" i="26"/>
  <c r="M114" i="27"/>
  <c r="M114" i="28"/>
  <c r="M114" i="29"/>
  <c r="L114" i="26"/>
  <c r="L114" i="27"/>
  <c r="L114" i="28"/>
  <c r="L114" i="29"/>
  <c r="K114" i="26"/>
  <c r="K114" i="27"/>
  <c r="K114" i="28"/>
  <c r="K114" i="29"/>
  <c r="J114" i="26"/>
  <c r="J114" i="27"/>
  <c r="J114" i="28"/>
  <c r="J114" i="29"/>
  <c r="I114" i="26"/>
  <c r="I114" i="27"/>
  <c r="I114" i="28"/>
  <c r="I114" i="29"/>
  <c r="H114" i="26"/>
  <c r="H114" i="27"/>
  <c r="H114" i="28"/>
  <c r="H114" i="29"/>
  <c r="G114" i="26"/>
  <c r="G114" i="27"/>
  <c r="G114" i="28"/>
  <c r="G114" i="29"/>
  <c r="F114" i="26"/>
  <c r="F114" i="27"/>
  <c r="F114" i="28"/>
  <c r="F114" i="29"/>
  <c r="E114" i="26"/>
  <c r="E114" i="27"/>
  <c r="E114" i="28"/>
  <c r="E114" i="29"/>
  <c r="D114" i="26"/>
  <c r="D114" i="27"/>
  <c r="D114" i="28"/>
  <c r="R113" i="26"/>
  <c r="R113" i="27"/>
  <c r="R113" i="28"/>
  <c r="R113" i="29"/>
  <c r="Q113" i="26"/>
  <c r="Q113" i="27"/>
  <c r="Q113" i="28"/>
  <c r="Q113" i="29"/>
  <c r="P113" i="26"/>
  <c r="P113" i="27"/>
  <c r="P113" i="28"/>
  <c r="P113" i="29"/>
  <c r="O113" i="26"/>
  <c r="O113" i="27"/>
  <c r="O113" i="28"/>
  <c r="O113" i="29"/>
  <c r="N113" i="26"/>
  <c r="N113" i="27"/>
  <c r="N113" i="28"/>
  <c r="N113" i="29"/>
  <c r="M113" i="26"/>
  <c r="M113" i="27"/>
  <c r="M113" i="28"/>
  <c r="M113" i="29"/>
  <c r="L113" i="26"/>
  <c r="L113" i="27"/>
  <c r="L113" i="28"/>
  <c r="L113" i="29"/>
  <c r="K113" i="26"/>
  <c r="K113" i="27"/>
  <c r="K113" i="28"/>
  <c r="K113" i="29"/>
  <c r="J113" i="26"/>
  <c r="J113" i="27"/>
  <c r="J113" i="28"/>
  <c r="J113" i="29"/>
  <c r="I113" i="26"/>
  <c r="I113" i="27"/>
  <c r="I113" i="28"/>
  <c r="I113" i="29"/>
  <c r="H113" i="26"/>
  <c r="H113" i="27"/>
  <c r="H113" i="28"/>
  <c r="H113" i="29"/>
  <c r="G113" i="26"/>
  <c r="G113" i="27"/>
  <c r="G113" i="28"/>
  <c r="G113" i="29"/>
  <c r="F113" i="26"/>
  <c r="F113" i="27"/>
  <c r="F113" i="28"/>
  <c r="F113" i="29"/>
  <c r="E113" i="26"/>
  <c r="E113" i="27"/>
  <c r="E113" i="28"/>
  <c r="E113" i="29"/>
  <c r="D113" i="26"/>
  <c r="R112" i="26"/>
  <c r="R112" i="27"/>
  <c r="R112" i="28"/>
  <c r="R112" i="29"/>
  <c r="Q112" i="26"/>
  <c r="Q112" i="27"/>
  <c r="Q112" i="28"/>
  <c r="Q112" i="29"/>
  <c r="P112" i="26"/>
  <c r="P112" i="27"/>
  <c r="P112" i="28"/>
  <c r="P112" i="29"/>
  <c r="O112" i="26"/>
  <c r="O112" i="27"/>
  <c r="O112" i="28"/>
  <c r="O112" i="29"/>
  <c r="N112" i="26"/>
  <c r="N112" i="27"/>
  <c r="N112" i="28"/>
  <c r="N112" i="29"/>
  <c r="M112" i="26"/>
  <c r="M112" i="27"/>
  <c r="M112" i="28"/>
  <c r="L112" i="26"/>
  <c r="L112" i="27"/>
  <c r="L112" i="28"/>
  <c r="L112" i="29"/>
  <c r="K112" i="26"/>
  <c r="K112" i="27"/>
  <c r="K112" i="28"/>
  <c r="J112" i="26"/>
  <c r="J112" i="27"/>
  <c r="J112" i="28"/>
  <c r="J112" i="29"/>
  <c r="I112" i="26"/>
  <c r="I112" i="27"/>
  <c r="I112" i="28"/>
  <c r="I112" i="29"/>
  <c r="H112" i="26"/>
  <c r="H112" i="27"/>
  <c r="H112" i="28"/>
  <c r="H112" i="29"/>
  <c r="G112" i="26"/>
  <c r="G112" i="27"/>
  <c r="G112" i="28"/>
  <c r="F112" i="26"/>
  <c r="F112" i="27"/>
  <c r="E112" i="26"/>
  <c r="E112" i="27"/>
  <c r="E112" i="28"/>
  <c r="E112" i="29"/>
  <c r="D112" i="26"/>
  <c r="D112" i="27"/>
  <c r="D112" i="28"/>
  <c r="D112" i="29"/>
  <c r="R111" i="26"/>
  <c r="R111" i="27"/>
  <c r="R111" i="28"/>
  <c r="R111" i="29"/>
  <c r="Q111" i="26"/>
  <c r="Q111" i="27"/>
  <c r="Q111" i="28"/>
  <c r="Q111" i="29"/>
  <c r="P111" i="26"/>
  <c r="P111" i="27"/>
  <c r="P111" i="28"/>
  <c r="P111" i="29"/>
  <c r="O111" i="26"/>
  <c r="O111" i="27"/>
  <c r="O111" i="28"/>
  <c r="O111" i="29"/>
  <c r="N111" i="26"/>
  <c r="N111" i="27"/>
  <c r="N111" i="28"/>
  <c r="N111" i="29"/>
  <c r="M111" i="26"/>
  <c r="M111" i="27"/>
  <c r="M111" i="28"/>
  <c r="M111" i="29"/>
  <c r="L111" i="26"/>
  <c r="L111" i="27"/>
  <c r="L111" i="28"/>
  <c r="L111" i="29"/>
  <c r="K111" i="26"/>
  <c r="K111" i="27"/>
  <c r="K111" i="28"/>
  <c r="K111" i="29"/>
  <c r="J111" i="26"/>
  <c r="J111" i="27"/>
  <c r="J111" i="28"/>
  <c r="J111" i="29"/>
  <c r="I111" i="26"/>
  <c r="H111" i="26"/>
  <c r="H111" i="27"/>
  <c r="H111" i="28"/>
  <c r="H111" i="29"/>
  <c r="G111" i="26"/>
  <c r="G111" i="27"/>
  <c r="G111" i="28"/>
  <c r="G111" i="29"/>
  <c r="F111" i="26"/>
  <c r="F111" i="27"/>
  <c r="F111" i="28"/>
  <c r="F111" i="29"/>
  <c r="E111" i="26"/>
  <c r="E111" i="27"/>
  <c r="E111" i="28"/>
  <c r="E111" i="29"/>
  <c r="D111" i="26"/>
  <c r="R107" i="26"/>
  <c r="R107" i="27"/>
  <c r="R107" i="28"/>
  <c r="R107" i="29"/>
  <c r="Q107" i="26"/>
  <c r="Q107" i="27"/>
  <c r="Q107" i="28"/>
  <c r="Q107" i="29"/>
  <c r="P107" i="26"/>
  <c r="P107" i="27"/>
  <c r="P107" i="28"/>
  <c r="P107" i="29"/>
  <c r="O107" i="26"/>
  <c r="O107" i="27"/>
  <c r="O107" i="28"/>
  <c r="O107" i="29"/>
  <c r="N107" i="26"/>
  <c r="N107" i="27"/>
  <c r="N107" i="28"/>
  <c r="N107" i="29"/>
  <c r="M107" i="26"/>
  <c r="M107" i="27"/>
  <c r="M107" i="28"/>
  <c r="M107" i="29"/>
  <c r="L107" i="26"/>
  <c r="L107" i="27"/>
  <c r="L107" i="28"/>
  <c r="L107" i="29"/>
  <c r="K107" i="26"/>
  <c r="K107" i="27"/>
  <c r="K107" i="28"/>
  <c r="K107" i="29"/>
  <c r="J107" i="26"/>
  <c r="J107" i="27"/>
  <c r="J107" i="28"/>
  <c r="J107" i="29"/>
  <c r="I107" i="26"/>
  <c r="I107" i="27"/>
  <c r="I107" i="28"/>
  <c r="I107" i="29"/>
  <c r="H107" i="26"/>
  <c r="H107" i="27"/>
  <c r="H107" i="28"/>
  <c r="H107" i="29"/>
  <c r="G107" i="26"/>
  <c r="G107" i="27"/>
  <c r="G107" i="28"/>
  <c r="G107" i="29"/>
  <c r="F107" i="26"/>
  <c r="F107" i="27"/>
  <c r="F107" i="28"/>
  <c r="F107" i="29"/>
  <c r="E107" i="26"/>
  <c r="E107" i="27"/>
  <c r="D107" i="26"/>
  <c r="D107" i="27"/>
  <c r="D107" i="28"/>
  <c r="D107" i="29"/>
  <c r="R96" i="26"/>
  <c r="R96" i="27"/>
  <c r="R96" i="28"/>
  <c r="R96" i="29"/>
  <c r="Q96" i="26"/>
  <c r="Q96" i="27"/>
  <c r="Q96" i="28"/>
  <c r="Q96" i="29"/>
  <c r="P96" i="26"/>
  <c r="P96" i="27"/>
  <c r="P96" i="28"/>
  <c r="P96" i="29"/>
  <c r="O96" i="26"/>
  <c r="O96" i="27"/>
  <c r="O96" i="28"/>
  <c r="O96" i="29"/>
  <c r="N96" i="26"/>
  <c r="N96" i="27"/>
  <c r="N96" i="28"/>
  <c r="N96" i="29"/>
  <c r="M96" i="26"/>
  <c r="M96" i="27"/>
  <c r="M96" i="28"/>
  <c r="M96" i="29"/>
  <c r="L96" i="26"/>
  <c r="L96" i="27"/>
  <c r="L96" i="28"/>
  <c r="L96" i="29"/>
  <c r="K96" i="26"/>
  <c r="K96" i="27"/>
  <c r="K96" i="28"/>
  <c r="K96" i="29"/>
  <c r="J96" i="26"/>
  <c r="J96" i="27"/>
  <c r="J96" i="28"/>
  <c r="J96" i="29"/>
  <c r="I96" i="26"/>
  <c r="I96" i="27"/>
  <c r="I96" i="28"/>
  <c r="I96" i="29"/>
  <c r="H96" i="26"/>
  <c r="H96" i="27"/>
  <c r="G96" i="26"/>
  <c r="G96" i="27"/>
  <c r="G96" i="28"/>
  <c r="F96" i="26"/>
  <c r="F96" i="27"/>
  <c r="F96" i="28"/>
  <c r="F96" i="29"/>
  <c r="E96" i="26"/>
  <c r="E96" i="27"/>
  <c r="E96" i="28"/>
  <c r="D96" i="26"/>
  <c r="D96" i="27"/>
  <c r="D96" i="28"/>
  <c r="R95" i="26"/>
  <c r="R95" i="27"/>
  <c r="R95" i="28"/>
  <c r="R95" i="29"/>
  <c r="Q95" i="26"/>
  <c r="Q95" i="27"/>
  <c r="Q95" i="28"/>
  <c r="Q95" i="29"/>
  <c r="P95" i="26"/>
  <c r="P95" i="27"/>
  <c r="P95" i="28"/>
  <c r="P95" i="29"/>
  <c r="O95" i="26"/>
  <c r="O95" i="27"/>
  <c r="O95" i="28"/>
  <c r="O95" i="29"/>
  <c r="N95" i="26"/>
  <c r="N95" i="27"/>
  <c r="N95" i="28"/>
  <c r="N95" i="29"/>
  <c r="M95" i="26"/>
  <c r="M95" i="27"/>
  <c r="M95" i="28"/>
  <c r="M95" i="29"/>
  <c r="L95" i="26"/>
  <c r="L95" i="27"/>
  <c r="L95" i="28"/>
  <c r="L95" i="29"/>
  <c r="K95" i="26"/>
  <c r="K95" i="27"/>
  <c r="K95" i="28"/>
  <c r="K95" i="29"/>
  <c r="J95" i="26"/>
  <c r="J95" i="27"/>
  <c r="J95" i="28"/>
  <c r="J95" i="29"/>
  <c r="I95" i="26"/>
  <c r="I95" i="27"/>
  <c r="I95" i="28"/>
  <c r="I95" i="29"/>
  <c r="H95" i="26"/>
  <c r="H95" i="27"/>
  <c r="H95" i="28"/>
  <c r="H95" i="29"/>
  <c r="G95" i="26"/>
  <c r="G95" i="27"/>
  <c r="G95" i="28"/>
  <c r="G95" i="29"/>
  <c r="F95" i="26"/>
  <c r="F95" i="27"/>
  <c r="E95" i="26"/>
  <c r="E95" i="27"/>
  <c r="E95" i="28"/>
  <c r="D95" i="26"/>
  <c r="D95" i="27"/>
  <c r="D95" i="28"/>
  <c r="D95" i="29"/>
  <c r="R94" i="26"/>
  <c r="R94" i="27"/>
  <c r="R94" i="28"/>
  <c r="R94" i="29"/>
  <c r="Q94" i="26"/>
  <c r="Q94" i="27"/>
  <c r="Q94" i="28"/>
  <c r="Q94" i="29"/>
  <c r="P94" i="26"/>
  <c r="P94" i="27"/>
  <c r="P94" i="28"/>
  <c r="P94" i="29"/>
  <c r="O94" i="26"/>
  <c r="O94" i="27"/>
  <c r="O94" i="28"/>
  <c r="O94" i="29"/>
  <c r="N94" i="26"/>
  <c r="N94" i="27"/>
  <c r="N94" i="28"/>
  <c r="N94" i="29"/>
  <c r="M94" i="26"/>
  <c r="M94" i="27"/>
  <c r="M94" i="28"/>
  <c r="M94" i="29"/>
  <c r="L94" i="26"/>
  <c r="L94" i="27"/>
  <c r="K94" i="26"/>
  <c r="K94" i="27"/>
  <c r="K94" i="28"/>
  <c r="K94" i="29"/>
  <c r="J94" i="26"/>
  <c r="J94" i="27"/>
  <c r="J94" i="28"/>
  <c r="J94" i="29"/>
  <c r="I94" i="26"/>
  <c r="I94" i="27"/>
  <c r="H94" i="26"/>
  <c r="H94" i="27"/>
  <c r="H94" i="28"/>
  <c r="H94" i="29"/>
  <c r="G94" i="26"/>
  <c r="G94" i="27"/>
  <c r="F94" i="26"/>
  <c r="E94" i="26"/>
  <c r="E94" i="27"/>
  <c r="E94" i="28"/>
  <c r="E94" i="29"/>
  <c r="D94" i="26"/>
  <c r="D94" i="27"/>
  <c r="D94" i="28"/>
  <c r="R93" i="26"/>
  <c r="R93" i="27"/>
  <c r="R93" i="28"/>
  <c r="R93" i="29"/>
  <c r="Q93" i="26"/>
  <c r="Q93" i="27"/>
  <c r="Q93" i="28"/>
  <c r="Q93" i="29"/>
  <c r="P93" i="26"/>
  <c r="P93" i="27"/>
  <c r="P93" i="28"/>
  <c r="P93" i="29"/>
  <c r="O93" i="26"/>
  <c r="O93" i="27"/>
  <c r="O93" i="28"/>
  <c r="O93" i="29"/>
  <c r="N93" i="26"/>
  <c r="N93" i="27"/>
  <c r="N93" i="28"/>
  <c r="N93" i="29"/>
  <c r="M93" i="26"/>
  <c r="M93" i="27"/>
  <c r="M93" i="28"/>
  <c r="M93" i="29"/>
  <c r="L93" i="26"/>
  <c r="L93" i="27"/>
  <c r="L93" i="28"/>
  <c r="K93" i="26"/>
  <c r="J93" i="26"/>
  <c r="J93" i="27"/>
  <c r="J93" i="28"/>
  <c r="J93" i="29"/>
  <c r="I93" i="26"/>
  <c r="I93" i="27"/>
  <c r="I93" i="28"/>
  <c r="I93" i="29"/>
  <c r="H93" i="26"/>
  <c r="H93" i="27"/>
  <c r="G93" i="26"/>
  <c r="G93" i="27"/>
  <c r="G93" i="28"/>
  <c r="G93" i="29"/>
  <c r="F93" i="26"/>
  <c r="F93" i="27"/>
  <c r="E93" i="26"/>
  <c r="E93" i="27"/>
  <c r="E93" i="28"/>
  <c r="E93" i="29"/>
  <c r="D93" i="26"/>
  <c r="D93" i="27"/>
  <c r="R92" i="26"/>
  <c r="R92" i="27"/>
  <c r="R92" i="28"/>
  <c r="R92" i="29"/>
  <c r="Q92" i="26"/>
  <c r="Q92" i="27"/>
  <c r="Q92" i="28"/>
  <c r="Q92" i="29"/>
  <c r="P92" i="26"/>
  <c r="P92" i="27"/>
  <c r="P92" i="28"/>
  <c r="P92" i="29"/>
  <c r="O92" i="26"/>
  <c r="O92" i="27"/>
  <c r="O92" i="28"/>
  <c r="O92" i="29"/>
  <c r="N92" i="26"/>
  <c r="N92" i="27"/>
  <c r="N92" i="28"/>
  <c r="N92" i="29"/>
  <c r="M92" i="26"/>
  <c r="M92" i="27"/>
  <c r="M92" i="28"/>
  <c r="M92" i="29"/>
  <c r="L92" i="26"/>
  <c r="L92" i="27"/>
  <c r="L92" i="28"/>
  <c r="L92" i="29"/>
  <c r="K92" i="26"/>
  <c r="K92" i="27"/>
  <c r="K92" i="28"/>
  <c r="K92" i="29"/>
  <c r="J92" i="26"/>
  <c r="J92" i="27"/>
  <c r="J92" i="28"/>
  <c r="J92" i="29"/>
  <c r="I92" i="26"/>
  <c r="I92" i="27"/>
  <c r="I92" i="28"/>
  <c r="I92" i="29"/>
  <c r="H92" i="26"/>
  <c r="H92" i="27"/>
  <c r="H92" i="28"/>
  <c r="H92" i="29"/>
  <c r="G92" i="26"/>
  <c r="G92" i="27"/>
  <c r="G92" i="28"/>
  <c r="G92" i="29"/>
  <c r="F92" i="26"/>
  <c r="F92" i="27"/>
  <c r="F92" i="28"/>
  <c r="F92" i="29"/>
  <c r="E92" i="26"/>
  <c r="E92" i="27"/>
  <c r="E92" i="28"/>
  <c r="E92" i="29"/>
  <c r="D92" i="26"/>
  <c r="D92" i="27"/>
  <c r="D92" i="28"/>
  <c r="D92" i="29"/>
  <c r="R91" i="26"/>
  <c r="R91" i="27"/>
  <c r="R91" i="28"/>
  <c r="R91" i="29"/>
  <c r="Q91" i="26"/>
  <c r="Q91" i="27"/>
  <c r="Q91" i="28"/>
  <c r="Q91" i="29"/>
  <c r="P91" i="26"/>
  <c r="P91" i="27"/>
  <c r="P91" i="28"/>
  <c r="P91" i="29"/>
  <c r="O91" i="26"/>
  <c r="O91" i="27"/>
  <c r="O91" i="28"/>
  <c r="O91" i="29"/>
  <c r="N91" i="26"/>
  <c r="N91" i="27"/>
  <c r="N91" i="28"/>
  <c r="N91" i="29"/>
  <c r="M91" i="26"/>
  <c r="M91" i="27"/>
  <c r="M91" i="28"/>
  <c r="M91" i="29"/>
  <c r="L91" i="26"/>
  <c r="L91" i="27"/>
  <c r="L91" i="28"/>
  <c r="L91" i="29"/>
  <c r="K91" i="26"/>
  <c r="K91" i="27"/>
  <c r="K91" i="28"/>
  <c r="K91" i="29"/>
  <c r="J91" i="26"/>
  <c r="J91" i="27"/>
  <c r="J91" i="28"/>
  <c r="J91" i="29"/>
  <c r="I91" i="26"/>
  <c r="I91" i="27"/>
  <c r="I91" i="28"/>
  <c r="I91" i="29"/>
  <c r="H91" i="26"/>
  <c r="H91" i="27"/>
  <c r="H91" i="28"/>
  <c r="H91" i="29"/>
  <c r="G91" i="26"/>
  <c r="G91" i="27"/>
  <c r="F91" i="26"/>
  <c r="F91" i="27"/>
  <c r="E91" i="26"/>
  <c r="E91" i="27"/>
  <c r="E91" i="28"/>
  <c r="E91" i="29"/>
  <c r="D91" i="26"/>
  <c r="D91" i="27"/>
  <c r="D91" i="28"/>
  <c r="R87" i="26"/>
  <c r="R87" i="27"/>
  <c r="R87" i="28"/>
  <c r="R87" i="29"/>
  <c r="Q87" i="26"/>
  <c r="Q87" i="27"/>
  <c r="Q87" i="28"/>
  <c r="Q87" i="29"/>
  <c r="P87" i="26"/>
  <c r="P87" i="27"/>
  <c r="P87" i="28"/>
  <c r="P87" i="29"/>
  <c r="O87" i="26"/>
  <c r="O87" i="27"/>
  <c r="O87" i="28"/>
  <c r="O87" i="29"/>
  <c r="N87" i="26"/>
  <c r="N87" i="27"/>
  <c r="N87" i="28"/>
  <c r="N87" i="29"/>
  <c r="M87" i="26"/>
  <c r="M87" i="27"/>
  <c r="M87" i="28"/>
  <c r="M87" i="29"/>
  <c r="L87" i="26"/>
  <c r="L87" i="27"/>
  <c r="L87" i="28"/>
  <c r="L87" i="29"/>
  <c r="K87" i="26"/>
  <c r="K87" i="27"/>
  <c r="K87" i="28"/>
  <c r="K87" i="29"/>
  <c r="J87" i="26"/>
  <c r="J87" i="27"/>
  <c r="J87" i="28"/>
  <c r="J87" i="29"/>
  <c r="I87" i="26"/>
  <c r="I87" i="27"/>
  <c r="I87" i="28"/>
  <c r="I87" i="29"/>
  <c r="H87" i="26"/>
  <c r="H87" i="27"/>
  <c r="G87" i="26"/>
  <c r="G87" i="27"/>
  <c r="G87" i="28"/>
  <c r="G87" i="29"/>
  <c r="F87" i="26"/>
  <c r="F87" i="27"/>
  <c r="F87" i="28"/>
  <c r="F87" i="29"/>
  <c r="E87" i="26"/>
  <c r="E87" i="27"/>
  <c r="E87" i="28"/>
  <c r="E87" i="29"/>
  <c r="D87" i="26"/>
  <c r="D87" i="27"/>
  <c r="D87" i="28"/>
  <c r="R86" i="26"/>
  <c r="R86" i="27"/>
  <c r="R86" i="28"/>
  <c r="R86" i="29"/>
  <c r="Q86" i="26"/>
  <c r="Q86" i="27"/>
  <c r="Q86" i="28"/>
  <c r="Q86" i="29"/>
  <c r="P86" i="26"/>
  <c r="P86" i="27"/>
  <c r="P86" i="28"/>
  <c r="P86" i="29"/>
  <c r="O86" i="26"/>
  <c r="O86" i="27"/>
  <c r="O86" i="28"/>
  <c r="O86" i="29"/>
  <c r="N86" i="26"/>
  <c r="N86" i="27"/>
  <c r="N86" i="28"/>
  <c r="N86" i="29"/>
  <c r="M86" i="26"/>
  <c r="M86" i="27"/>
  <c r="M86" i="28"/>
  <c r="M86" i="29"/>
  <c r="L86" i="26"/>
  <c r="L86" i="27"/>
  <c r="L86" i="28"/>
  <c r="L86" i="29"/>
  <c r="K86" i="26"/>
  <c r="K86" i="27"/>
  <c r="K86" i="28"/>
  <c r="K86" i="29"/>
  <c r="J86" i="26"/>
  <c r="J86" i="27"/>
  <c r="J86" i="28"/>
  <c r="J86" i="29"/>
  <c r="I86" i="26"/>
  <c r="I86" i="27"/>
  <c r="I86" i="28"/>
  <c r="I86" i="29"/>
  <c r="H86" i="26"/>
  <c r="H86" i="27"/>
  <c r="H86" i="28"/>
  <c r="H86" i="29"/>
  <c r="G86" i="26"/>
  <c r="G86" i="27"/>
  <c r="G86" i="28"/>
  <c r="G86" i="29"/>
  <c r="F86" i="26"/>
  <c r="F86" i="27"/>
  <c r="F86" i="28"/>
  <c r="F86" i="29"/>
  <c r="E86" i="26"/>
  <c r="E86" i="27"/>
  <c r="D86" i="26"/>
  <c r="D86" i="27"/>
  <c r="D86" i="28"/>
  <c r="R85" i="26"/>
  <c r="R85" i="27"/>
  <c r="R85" i="28"/>
  <c r="R85" i="29"/>
  <c r="Q85" i="26"/>
  <c r="Q85" i="27"/>
  <c r="Q85" i="28"/>
  <c r="Q85" i="29"/>
  <c r="P85" i="26"/>
  <c r="P85" i="27"/>
  <c r="P85" i="28"/>
  <c r="P85" i="29"/>
  <c r="O85" i="26"/>
  <c r="O85" i="27"/>
  <c r="O85" i="28"/>
  <c r="O85" i="29"/>
  <c r="N85" i="26"/>
  <c r="N85" i="27"/>
  <c r="N85" i="28"/>
  <c r="N85" i="29"/>
  <c r="M85" i="26"/>
  <c r="M85" i="27"/>
  <c r="M85" i="28"/>
  <c r="M85" i="29"/>
  <c r="L85" i="26"/>
  <c r="L85" i="27"/>
  <c r="L85" i="28"/>
  <c r="L85" i="29"/>
  <c r="K85" i="26"/>
  <c r="K85" i="27"/>
  <c r="K85" i="28"/>
  <c r="K85" i="29"/>
  <c r="J85" i="26"/>
  <c r="J85" i="27"/>
  <c r="J85" i="28"/>
  <c r="J85" i="29"/>
  <c r="I85" i="26"/>
  <c r="I85" i="27"/>
  <c r="I85" i="28"/>
  <c r="I85" i="29"/>
  <c r="H85" i="26"/>
  <c r="H85" i="27"/>
  <c r="H85" i="28"/>
  <c r="H85" i="29"/>
  <c r="G85" i="26"/>
  <c r="G85" i="27"/>
  <c r="G85" i="28"/>
  <c r="G85" i="29"/>
  <c r="F85" i="26"/>
  <c r="E85" i="26"/>
  <c r="E85" i="27"/>
  <c r="E85" i="28"/>
  <c r="E85" i="29"/>
  <c r="D85" i="26"/>
  <c r="D85" i="27"/>
  <c r="D85" i="28"/>
  <c r="D85" i="29"/>
  <c r="R84" i="26"/>
  <c r="R84" i="27"/>
  <c r="R84" i="28"/>
  <c r="R84" i="29"/>
  <c r="Q84" i="26"/>
  <c r="Q84" i="27"/>
  <c r="Q84" i="28"/>
  <c r="Q84" i="29"/>
  <c r="P84" i="26"/>
  <c r="P84" i="27"/>
  <c r="P84" i="28"/>
  <c r="P84" i="29"/>
  <c r="O84" i="26"/>
  <c r="O84" i="27"/>
  <c r="O84" i="28"/>
  <c r="O84" i="29"/>
  <c r="N84" i="26"/>
  <c r="N84" i="27"/>
  <c r="N84" i="28"/>
  <c r="N84" i="29"/>
  <c r="M84" i="26"/>
  <c r="M84" i="27"/>
  <c r="M84" i="28"/>
  <c r="M84" i="29"/>
  <c r="L84" i="26"/>
  <c r="L84" i="27"/>
  <c r="L84" i="28"/>
  <c r="L84" i="29"/>
  <c r="K84" i="26"/>
  <c r="K84" i="27"/>
  <c r="K84" i="28"/>
  <c r="K84" i="29"/>
  <c r="J84" i="26"/>
  <c r="J84" i="27"/>
  <c r="J84" i="28"/>
  <c r="J84" i="29"/>
  <c r="I84" i="26"/>
  <c r="I84" i="27"/>
  <c r="I84" i="28"/>
  <c r="I84" i="29"/>
  <c r="H84" i="26"/>
  <c r="H84" i="27"/>
  <c r="H84" i="28"/>
  <c r="H84" i="29"/>
  <c r="G84" i="26"/>
  <c r="G84" i="27"/>
  <c r="G84" i="28"/>
  <c r="G84" i="29"/>
  <c r="F84" i="26"/>
  <c r="F84" i="27"/>
  <c r="F84" i="28"/>
  <c r="F84" i="29"/>
  <c r="E84" i="26"/>
  <c r="E84" i="27"/>
  <c r="D84" i="26"/>
  <c r="R83" i="26"/>
  <c r="R83" i="27"/>
  <c r="R83" i="28"/>
  <c r="R83" i="29"/>
  <c r="Q83" i="26"/>
  <c r="Q83" i="27"/>
  <c r="Q83" i="28"/>
  <c r="Q83" i="29"/>
  <c r="P83" i="26"/>
  <c r="P83" i="27"/>
  <c r="P83" i="28"/>
  <c r="P83" i="29"/>
  <c r="O83" i="26"/>
  <c r="O83" i="27"/>
  <c r="O83" i="28"/>
  <c r="O83" i="29"/>
  <c r="N83" i="26"/>
  <c r="N83" i="27"/>
  <c r="N83" i="28"/>
  <c r="N83" i="29"/>
  <c r="M83" i="26"/>
  <c r="M83" i="27"/>
  <c r="M83" i="28"/>
  <c r="M83" i="29"/>
  <c r="L83" i="26"/>
  <c r="L83" i="27"/>
  <c r="L83" i="28"/>
  <c r="L83" i="29"/>
  <c r="K83" i="26"/>
  <c r="K83" i="27"/>
  <c r="K83" i="28"/>
  <c r="K83" i="29"/>
  <c r="J83" i="26"/>
  <c r="J83" i="27"/>
  <c r="J83" i="28"/>
  <c r="J83" i="29"/>
  <c r="I83" i="26"/>
  <c r="I83" i="27"/>
  <c r="I83" i="28"/>
  <c r="I83" i="29"/>
  <c r="H83" i="26"/>
  <c r="H83" i="27"/>
  <c r="H83" i="28"/>
  <c r="H83" i="29"/>
  <c r="G83" i="26"/>
  <c r="G83" i="27"/>
  <c r="G83" i="28"/>
  <c r="G83" i="29"/>
  <c r="F83" i="26"/>
  <c r="F83" i="27"/>
  <c r="F83" i="28"/>
  <c r="F83" i="29"/>
  <c r="E83" i="26"/>
  <c r="E83" i="27"/>
  <c r="E83" i="28"/>
  <c r="E83" i="29"/>
  <c r="D83" i="26"/>
  <c r="D83" i="27"/>
  <c r="D83" i="28"/>
  <c r="R82" i="26"/>
  <c r="R82" i="27"/>
  <c r="R82" i="28"/>
  <c r="R82" i="29"/>
  <c r="Q82" i="26"/>
  <c r="Q82" i="27"/>
  <c r="Q82" i="28"/>
  <c r="Q82" i="29"/>
  <c r="P82" i="26"/>
  <c r="P82" i="27"/>
  <c r="P82" i="28"/>
  <c r="P82" i="29"/>
  <c r="O82" i="26"/>
  <c r="O82" i="27"/>
  <c r="O82" i="28"/>
  <c r="O82" i="29"/>
  <c r="N82" i="26"/>
  <c r="N82" i="27"/>
  <c r="N82" i="28"/>
  <c r="N82" i="29"/>
  <c r="M82" i="26"/>
  <c r="M82" i="27"/>
  <c r="M82" i="28"/>
  <c r="M82" i="29"/>
  <c r="L82" i="26"/>
  <c r="L82" i="27"/>
  <c r="L82" i="28"/>
  <c r="L82" i="29"/>
  <c r="K82" i="26"/>
  <c r="K82" i="27"/>
  <c r="K82" i="28"/>
  <c r="K82" i="29"/>
  <c r="J82" i="26"/>
  <c r="J82" i="27"/>
  <c r="J82" i="28"/>
  <c r="J82" i="29"/>
  <c r="I82" i="26"/>
  <c r="I82" i="27"/>
  <c r="I82" i="28"/>
  <c r="I82" i="29"/>
  <c r="H82" i="26"/>
  <c r="G82" i="26"/>
  <c r="G82" i="27"/>
  <c r="G82" i="28"/>
  <c r="G82" i="29"/>
  <c r="F82" i="26"/>
  <c r="F82" i="27"/>
  <c r="F82" i="28"/>
  <c r="F82" i="29"/>
  <c r="E82" i="26"/>
  <c r="E82" i="27"/>
  <c r="E82" i="28"/>
  <c r="E82" i="29"/>
  <c r="D82" i="26"/>
  <c r="D82" i="27"/>
  <c r="R81" i="26"/>
  <c r="R81" i="27"/>
  <c r="R81" i="28"/>
  <c r="R81" i="29"/>
  <c r="Q81" i="26"/>
  <c r="Q81" i="27"/>
  <c r="Q81" i="28"/>
  <c r="Q81" i="29"/>
  <c r="P81" i="26"/>
  <c r="P81" i="27"/>
  <c r="P81" i="28"/>
  <c r="P81" i="29"/>
  <c r="O81" i="26"/>
  <c r="O81" i="27"/>
  <c r="O81" i="28"/>
  <c r="O81" i="29"/>
  <c r="N81" i="26"/>
  <c r="N81" i="27"/>
  <c r="N81" i="28"/>
  <c r="N81" i="29"/>
  <c r="M81" i="26"/>
  <c r="M81" i="27"/>
  <c r="M81" i="28"/>
  <c r="M81" i="29"/>
  <c r="L81" i="26"/>
  <c r="L81" i="27"/>
  <c r="L81" i="28"/>
  <c r="L81" i="29"/>
  <c r="K81" i="26"/>
  <c r="K81" i="27"/>
  <c r="K81" i="28"/>
  <c r="K81" i="29"/>
  <c r="J81" i="26"/>
  <c r="J81" i="27"/>
  <c r="J81" i="28"/>
  <c r="J81" i="29"/>
  <c r="I81" i="26"/>
  <c r="I81" i="27"/>
  <c r="I81" i="28"/>
  <c r="I81" i="29"/>
  <c r="H81" i="26"/>
  <c r="H81" i="27"/>
  <c r="H81" i="28"/>
  <c r="H81" i="29"/>
  <c r="G81" i="26"/>
  <c r="G81" i="27"/>
  <c r="G81" i="28"/>
  <c r="G81" i="29"/>
  <c r="F81" i="26"/>
  <c r="F81" i="27"/>
  <c r="F81" i="28"/>
  <c r="F81" i="29"/>
  <c r="E81" i="26"/>
  <c r="E81" i="27"/>
  <c r="E81" i="28"/>
  <c r="E81" i="29"/>
  <c r="D81" i="26"/>
  <c r="D81" i="27"/>
  <c r="D81" i="28"/>
  <c r="R80" i="26"/>
  <c r="R80" i="27"/>
  <c r="R80" i="28"/>
  <c r="R80" i="29"/>
  <c r="Q80" i="26"/>
  <c r="Q80" i="27"/>
  <c r="Q80" i="28"/>
  <c r="Q80" i="29"/>
  <c r="P80" i="26"/>
  <c r="P80" i="27"/>
  <c r="P80" i="28"/>
  <c r="P80" i="29"/>
  <c r="O80" i="26"/>
  <c r="O80" i="27"/>
  <c r="O80" i="28"/>
  <c r="O80" i="29"/>
  <c r="N80" i="26"/>
  <c r="N80" i="27"/>
  <c r="N80" i="28"/>
  <c r="N80" i="29"/>
  <c r="M80" i="26"/>
  <c r="M80" i="27"/>
  <c r="M80" i="28"/>
  <c r="M80" i="29"/>
  <c r="L80" i="26"/>
  <c r="L80" i="27"/>
  <c r="L80" i="28"/>
  <c r="L80" i="29"/>
  <c r="K80" i="26"/>
  <c r="K80" i="27"/>
  <c r="K80" i="28"/>
  <c r="K80" i="29"/>
  <c r="J80" i="26"/>
  <c r="J80" i="27"/>
  <c r="J80" i="28"/>
  <c r="J80" i="29"/>
  <c r="I80" i="26"/>
  <c r="I80" i="27"/>
  <c r="I80" i="28"/>
  <c r="I80" i="29"/>
  <c r="H80" i="26"/>
  <c r="H80" i="27"/>
  <c r="H80" i="28"/>
  <c r="H80" i="29"/>
  <c r="G80" i="26"/>
  <c r="G80" i="27"/>
  <c r="G80" i="28"/>
  <c r="G80" i="29"/>
  <c r="F80" i="26"/>
  <c r="F80" i="27"/>
  <c r="F80" i="28"/>
  <c r="F80" i="29"/>
  <c r="E80" i="26"/>
  <c r="E80" i="27"/>
  <c r="D80" i="26"/>
  <c r="D80" i="27"/>
  <c r="D80" i="28"/>
  <c r="D80" i="29"/>
  <c r="R79" i="26"/>
  <c r="R79" i="27"/>
  <c r="R79" i="28"/>
  <c r="R79" i="29"/>
  <c r="Q79" i="26"/>
  <c r="Q79" i="27"/>
  <c r="Q79" i="28"/>
  <c r="Q79" i="29"/>
  <c r="P79" i="26"/>
  <c r="P79" i="27"/>
  <c r="P79" i="28"/>
  <c r="P79" i="29"/>
  <c r="O79" i="26"/>
  <c r="O79" i="27"/>
  <c r="O79" i="28"/>
  <c r="O79" i="29"/>
  <c r="N79" i="26"/>
  <c r="N79" i="27"/>
  <c r="N79" i="28"/>
  <c r="N79" i="29"/>
  <c r="M79" i="26"/>
  <c r="M79" i="27"/>
  <c r="M79" i="28"/>
  <c r="M79" i="29"/>
  <c r="L79" i="26"/>
  <c r="L79" i="27"/>
  <c r="L79" i="28"/>
  <c r="L79" i="29"/>
  <c r="K79" i="26"/>
  <c r="K79" i="27"/>
  <c r="K79" i="28"/>
  <c r="K79" i="29"/>
  <c r="J79" i="26"/>
  <c r="J79" i="27"/>
  <c r="J79" i="28"/>
  <c r="J79" i="29"/>
  <c r="I79" i="26"/>
  <c r="I79" i="27"/>
  <c r="I79" i="28"/>
  <c r="I79" i="29"/>
  <c r="H79" i="26"/>
  <c r="H79" i="27"/>
  <c r="H79" i="28"/>
  <c r="H79" i="29"/>
  <c r="G79" i="26"/>
  <c r="F79" i="26"/>
  <c r="F79" i="27"/>
  <c r="F79" i="28"/>
  <c r="F79" i="29"/>
  <c r="E79" i="26"/>
  <c r="E79" i="27"/>
  <c r="E79" i="28"/>
  <c r="E79" i="29"/>
  <c r="D79" i="26"/>
  <c r="D79" i="27"/>
  <c r="R75" i="26"/>
  <c r="R75" i="27"/>
  <c r="R75" i="28"/>
  <c r="R75" i="29"/>
  <c r="Q75" i="26"/>
  <c r="Q75" i="27"/>
  <c r="Q75" i="28"/>
  <c r="Q75" i="29"/>
  <c r="P75" i="26"/>
  <c r="P75" i="27"/>
  <c r="P75" i="28"/>
  <c r="P75" i="29"/>
  <c r="O75" i="26"/>
  <c r="O75" i="27"/>
  <c r="O75" i="28"/>
  <c r="O75" i="29"/>
  <c r="N75" i="26"/>
  <c r="N75" i="27"/>
  <c r="N75" i="28"/>
  <c r="N75" i="29"/>
  <c r="M75" i="26"/>
  <c r="M75" i="27"/>
  <c r="M75" i="28"/>
  <c r="M75" i="29"/>
  <c r="L75" i="26"/>
  <c r="L75" i="27"/>
  <c r="L75" i="28"/>
  <c r="L75" i="29"/>
  <c r="K75" i="26"/>
  <c r="K75" i="27"/>
  <c r="K75" i="28"/>
  <c r="K75" i="29"/>
  <c r="J75" i="26"/>
  <c r="J75" i="27"/>
  <c r="J75" i="28"/>
  <c r="J75" i="29"/>
  <c r="I75" i="26"/>
  <c r="I75" i="27"/>
  <c r="I75" i="28"/>
  <c r="I75" i="29"/>
  <c r="H75" i="26"/>
  <c r="H75" i="27"/>
  <c r="H75" i="28"/>
  <c r="H75" i="29"/>
  <c r="G75" i="26"/>
  <c r="G75" i="27"/>
  <c r="G75" i="28"/>
  <c r="G75" i="29"/>
  <c r="F75" i="26"/>
  <c r="F75" i="27"/>
  <c r="F75" i="28"/>
  <c r="F75" i="29"/>
  <c r="E75" i="26"/>
  <c r="E75" i="27"/>
  <c r="D75" i="26"/>
  <c r="D75" i="27"/>
  <c r="D75" i="28"/>
  <c r="D75" i="29"/>
  <c r="R74" i="26"/>
  <c r="R74" i="27"/>
  <c r="R74" i="28"/>
  <c r="R74" i="29"/>
  <c r="Q74" i="26"/>
  <c r="Q74" i="27"/>
  <c r="Q74" i="28"/>
  <c r="Q74" i="29"/>
  <c r="P74" i="26"/>
  <c r="P74" i="27"/>
  <c r="P74" i="28"/>
  <c r="P74" i="29"/>
  <c r="O74" i="26"/>
  <c r="O74" i="27"/>
  <c r="O74" i="28"/>
  <c r="O74" i="29"/>
  <c r="N74" i="26"/>
  <c r="N74" i="27"/>
  <c r="N74" i="28"/>
  <c r="N74" i="29"/>
  <c r="M74" i="26"/>
  <c r="M74" i="27"/>
  <c r="M74" i="28"/>
  <c r="M74" i="29"/>
  <c r="L74" i="26"/>
  <c r="L74" i="27"/>
  <c r="L74" i="28"/>
  <c r="L74" i="29"/>
  <c r="K74" i="26"/>
  <c r="K74" i="27"/>
  <c r="K74" i="28"/>
  <c r="K74" i="29"/>
  <c r="J74" i="26"/>
  <c r="J74" i="27"/>
  <c r="J74" i="28"/>
  <c r="J74" i="29"/>
  <c r="I74" i="26"/>
  <c r="I74" i="27"/>
  <c r="I74" i="28"/>
  <c r="I74" i="29"/>
  <c r="H74" i="26"/>
  <c r="H74" i="27"/>
  <c r="H74" i="28"/>
  <c r="H74" i="29"/>
  <c r="G74" i="26"/>
  <c r="G74" i="27"/>
  <c r="G74" i="28"/>
  <c r="G74" i="29"/>
  <c r="F74" i="26"/>
  <c r="F74" i="27"/>
  <c r="F74" i="28"/>
  <c r="F74" i="29"/>
  <c r="E74" i="26"/>
  <c r="D74" i="26"/>
  <c r="D74" i="27"/>
  <c r="D74" i="28"/>
  <c r="R73" i="26"/>
  <c r="R73" i="27"/>
  <c r="R73" i="28"/>
  <c r="R73" i="29"/>
  <c r="Q73" i="26"/>
  <c r="Q73" i="27"/>
  <c r="Q73" i="28"/>
  <c r="Q73" i="29"/>
  <c r="P73" i="26"/>
  <c r="P73" i="27"/>
  <c r="O73" i="26"/>
  <c r="O73" i="27"/>
  <c r="O73" i="28"/>
  <c r="O73" i="29"/>
  <c r="N73" i="26"/>
  <c r="N73" i="27"/>
  <c r="N73" i="28"/>
  <c r="N73" i="29"/>
  <c r="M73" i="26"/>
  <c r="M73" i="27"/>
  <c r="M73" i="28"/>
  <c r="M73" i="29"/>
  <c r="L73" i="26"/>
  <c r="L73" i="27"/>
  <c r="L73" i="28"/>
  <c r="L73" i="29"/>
  <c r="K73" i="26"/>
  <c r="K73" i="27"/>
  <c r="K73" i="28"/>
  <c r="K73" i="29"/>
  <c r="J73" i="26"/>
  <c r="J73" i="27"/>
  <c r="J73" i="28"/>
  <c r="J73" i="29"/>
  <c r="I73" i="26"/>
  <c r="I73" i="27"/>
  <c r="I73" i="28"/>
  <c r="I73" i="29"/>
  <c r="H73" i="26"/>
  <c r="H73" i="27"/>
  <c r="H73" i="28"/>
  <c r="H73" i="29"/>
  <c r="G73" i="26"/>
  <c r="G73" i="27"/>
  <c r="G73" i="28"/>
  <c r="G73" i="29"/>
  <c r="F73" i="26"/>
  <c r="F73" i="27"/>
  <c r="F73" i="28"/>
  <c r="F73" i="29"/>
  <c r="E73" i="26"/>
  <c r="E73" i="27"/>
  <c r="E73" i="28"/>
  <c r="E73" i="29"/>
  <c r="D73" i="26"/>
  <c r="D73" i="27"/>
  <c r="R72" i="26"/>
  <c r="R72" i="27"/>
  <c r="R72" i="28"/>
  <c r="R72" i="29"/>
  <c r="Q72" i="26"/>
  <c r="Q72" i="27"/>
  <c r="Q72" i="28"/>
  <c r="Q72" i="29"/>
  <c r="P72" i="26"/>
  <c r="P72" i="27"/>
  <c r="P72" i="28"/>
  <c r="P72" i="29"/>
  <c r="O72" i="26"/>
  <c r="O72" i="27"/>
  <c r="O72" i="28"/>
  <c r="O72" i="29"/>
  <c r="N72" i="26"/>
  <c r="N72" i="27"/>
  <c r="N72" i="28"/>
  <c r="N72" i="29"/>
  <c r="M72" i="26"/>
  <c r="M72" i="27"/>
  <c r="M72" i="28"/>
  <c r="M72" i="29"/>
  <c r="L72" i="26"/>
  <c r="L72" i="27"/>
  <c r="L72" i="28"/>
  <c r="L72" i="29"/>
  <c r="K72" i="26"/>
  <c r="K72" i="27"/>
  <c r="K72" i="28"/>
  <c r="K72" i="29"/>
  <c r="J72" i="26"/>
  <c r="J72" i="27"/>
  <c r="J72" i="28"/>
  <c r="J72" i="29"/>
  <c r="I72" i="26"/>
  <c r="I72" i="27"/>
  <c r="I72" i="28"/>
  <c r="I72" i="29"/>
  <c r="H72" i="26"/>
  <c r="H72" i="27"/>
  <c r="H72" i="28"/>
  <c r="H72" i="29"/>
  <c r="G72" i="26"/>
  <c r="G72" i="27"/>
  <c r="G72" i="28"/>
  <c r="G72" i="29"/>
  <c r="F72" i="26"/>
  <c r="F72" i="27"/>
  <c r="F72" i="28"/>
  <c r="F72" i="29"/>
  <c r="E72" i="26"/>
  <c r="E72" i="27"/>
  <c r="E72" i="28"/>
  <c r="E72" i="29"/>
  <c r="D72" i="26"/>
  <c r="D72" i="27"/>
  <c r="R71" i="26"/>
  <c r="R71" i="27"/>
  <c r="R71" i="28"/>
  <c r="R71" i="29"/>
  <c r="Q71" i="26"/>
  <c r="Q71" i="27"/>
  <c r="Q71" i="28"/>
  <c r="Q71" i="29"/>
  <c r="P71" i="26"/>
  <c r="P71" i="27"/>
  <c r="P71" i="28"/>
  <c r="P71" i="29"/>
  <c r="O71" i="26"/>
  <c r="O71" i="27"/>
  <c r="O71" i="28"/>
  <c r="O71" i="29"/>
  <c r="N71" i="26"/>
  <c r="N71" i="27"/>
  <c r="N71" i="28"/>
  <c r="N71" i="29"/>
  <c r="M71" i="26"/>
  <c r="M71" i="27"/>
  <c r="M71" i="28"/>
  <c r="M71" i="29"/>
  <c r="L71" i="26"/>
  <c r="L71" i="27"/>
  <c r="L71" i="28"/>
  <c r="L71" i="29"/>
  <c r="K71" i="26"/>
  <c r="K71" i="27"/>
  <c r="K71" i="28"/>
  <c r="K71" i="29"/>
  <c r="J71" i="26"/>
  <c r="J71" i="27"/>
  <c r="J71" i="28"/>
  <c r="J71" i="29"/>
  <c r="I71" i="26"/>
  <c r="I71" i="27"/>
  <c r="I71" i="28"/>
  <c r="I71" i="29"/>
  <c r="H71" i="26"/>
  <c r="H71" i="27"/>
  <c r="H71" i="28"/>
  <c r="H71" i="29"/>
  <c r="G71" i="26"/>
  <c r="G71" i="27"/>
  <c r="G71" i="28"/>
  <c r="G71" i="29"/>
  <c r="F71" i="26"/>
  <c r="F71" i="27"/>
  <c r="F71" i="28"/>
  <c r="F71" i="29"/>
  <c r="E71" i="26"/>
  <c r="E71" i="27"/>
  <c r="E71" i="28"/>
  <c r="E71" i="29"/>
  <c r="D71" i="26"/>
  <c r="D71" i="27"/>
  <c r="D71" i="28"/>
  <c r="R70" i="26"/>
  <c r="R70" i="27"/>
  <c r="R70" i="28"/>
  <c r="R70" i="29"/>
  <c r="Q70" i="26"/>
  <c r="Q70" i="27"/>
  <c r="Q70" i="28"/>
  <c r="Q70" i="29"/>
  <c r="P70" i="26"/>
  <c r="P70" i="27"/>
  <c r="P70" i="28"/>
  <c r="P70" i="29"/>
  <c r="O70" i="26"/>
  <c r="O70" i="27"/>
  <c r="O70" i="28"/>
  <c r="O70" i="29"/>
  <c r="N70" i="26"/>
  <c r="N70" i="27"/>
  <c r="N70" i="28"/>
  <c r="N70" i="29"/>
  <c r="M70" i="26"/>
  <c r="M70" i="27"/>
  <c r="M70" i="28"/>
  <c r="M70" i="29"/>
  <c r="L70" i="26"/>
  <c r="L70" i="27"/>
  <c r="L70" i="28"/>
  <c r="L70" i="29"/>
  <c r="K70" i="26"/>
  <c r="K70" i="27"/>
  <c r="K70" i="28"/>
  <c r="K70" i="29"/>
  <c r="J70" i="26"/>
  <c r="J70" i="27"/>
  <c r="J70" i="28"/>
  <c r="J70" i="29"/>
  <c r="I70" i="26"/>
  <c r="I70" i="27"/>
  <c r="I70" i="28"/>
  <c r="I70" i="29"/>
  <c r="H70" i="26"/>
  <c r="H70" i="27"/>
  <c r="H70" i="28"/>
  <c r="H70" i="29"/>
  <c r="G70" i="26"/>
  <c r="G70" i="27"/>
  <c r="G70" i="28"/>
  <c r="G70" i="29"/>
  <c r="F70" i="26"/>
  <c r="F70" i="27"/>
  <c r="F70" i="28"/>
  <c r="F70" i="29"/>
  <c r="E70" i="26"/>
  <c r="E70" i="27"/>
  <c r="E70" i="28"/>
  <c r="E70" i="29"/>
  <c r="D70" i="26"/>
  <c r="D70" i="27"/>
  <c r="R69" i="26"/>
  <c r="R69" i="27"/>
  <c r="R69" i="28"/>
  <c r="R69" i="29"/>
  <c r="Q69" i="26"/>
  <c r="Q69" i="27"/>
  <c r="Q69" i="28"/>
  <c r="Q69" i="29"/>
  <c r="P69" i="26"/>
  <c r="P69" i="27"/>
  <c r="P69" i="28"/>
  <c r="P69" i="29"/>
  <c r="O69" i="26"/>
  <c r="O69" i="27"/>
  <c r="O69" i="28"/>
  <c r="O69" i="29"/>
  <c r="N69" i="26"/>
  <c r="N69" i="27"/>
  <c r="N69" i="28"/>
  <c r="N69" i="29"/>
  <c r="M69" i="26"/>
  <c r="M69" i="27"/>
  <c r="M69" i="28"/>
  <c r="M69" i="29"/>
  <c r="L69" i="26"/>
  <c r="L69" i="27"/>
  <c r="L69" i="28"/>
  <c r="L69" i="29"/>
  <c r="K69" i="26"/>
  <c r="K69" i="27"/>
  <c r="K69" i="28"/>
  <c r="K69" i="29"/>
  <c r="J69" i="26"/>
  <c r="J69" i="27"/>
  <c r="J69" i="28"/>
  <c r="J69" i="29"/>
  <c r="I69" i="26"/>
  <c r="I69" i="27"/>
  <c r="I69" i="28"/>
  <c r="I69" i="29"/>
  <c r="H69" i="26"/>
  <c r="H69" i="27"/>
  <c r="H69" i="28"/>
  <c r="H69" i="29"/>
  <c r="G69" i="26"/>
  <c r="G69" i="27"/>
  <c r="G69" i="28"/>
  <c r="G69" i="29"/>
  <c r="F69" i="26"/>
  <c r="F69" i="27"/>
  <c r="F69" i="28"/>
  <c r="F69" i="29"/>
  <c r="E69" i="26"/>
  <c r="E69" i="27"/>
  <c r="D69" i="26"/>
  <c r="D69" i="27"/>
  <c r="D69" i="28"/>
  <c r="R68" i="26"/>
  <c r="R68" i="27"/>
  <c r="R68" i="28"/>
  <c r="R68" i="29"/>
  <c r="Q68" i="26"/>
  <c r="Q68" i="27"/>
  <c r="Q68" i="28"/>
  <c r="Q68" i="29"/>
  <c r="P68" i="26"/>
  <c r="P68" i="27"/>
  <c r="P68" i="28"/>
  <c r="P68" i="29"/>
  <c r="O68" i="26"/>
  <c r="O68" i="27"/>
  <c r="O68" i="28"/>
  <c r="O68" i="29"/>
  <c r="N68" i="26"/>
  <c r="N68" i="27"/>
  <c r="N68" i="28"/>
  <c r="N68" i="29"/>
  <c r="M68" i="26"/>
  <c r="M68" i="27"/>
  <c r="M68" i="28"/>
  <c r="M68" i="29"/>
  <c r="L68" i="26"/>
  <c r="L68" i="27"/>
  <c r="L68" i="28"/>
  <c r="L68" i="29"/>
  <c r="K68" i="26"/>
  <c r="K68" i="27"/>
  <c r="K68" i="28"/>
  <c r="K68" i="29"/>
  <c r="J68" i="26"/>
  <c r="J68" i="27"/>
  <c r="J68" i="28"/>
  <c r="J68" i="29"/>
  <c r="I68" i="26"/>
  <c r="I68" i="27"/>
  <c r="I68" i="28"/>
  <c r="I68" i="29"/>
  <c r="H68" i="26"/>
  <c r="H68" i="27"/>
  <c r="H68" i="28"/>
  <c r="H68" i="29"/>
  <c r="G68" i="26"/>
  <c r="G68" i="27"/>
  <c r="G68" i="28"/>
  <c r="G68" i="29"/>
  <c r="F68" i="26"/>
  <c r="F68" i="27"/>
  <c r="F68" i="28"/>
  <c r="F68" i="29"/>
  <c r="E68" i="26"/>
  <c r="E68" i="27"/>
  <c r="D68" i="26"/>
  <c r="D68" i="27"/>
  <c r="D68" i="28"/>
  <c r="R67" i="26"/>
  <c r="R67" i="27"/>
  <c r="R67" i="28"/>
  <c r="R67" i="29"/>
  <c r="Q67" i="26"/>
  <c r="Q67" i="27"/>
  <c r="Q67" i="28"/>
  <c r="Q67" i="29"/>
  <c r="P67" i="26"/>
  <c r="P67" i="27"/>
  <c r="P67" i="28"/>
  <c r="P67" i="29"/>
  <c r="O67" i="26"/>
  <c r="O67" i="27"/>
  <c r="O67" i="28"/>
  <c r="O67" i="29"/>
  <c r="N67" i="26"/>
  <c r="N67" i="27"/>
  <c r="N67" i="28"/>
  <c r="N67" i="29"/>
  <c r="M67" i="26"/>
  <c r="M67" i="27"/>
  <c r="M67" i="28"/>
  <c r="M67" i="29"/>
  <c r="L67" i="26"/>
  <c r="L67" i="27"/>
  <c r="L67" i="28"/>
  <c r="L67" i="29"/>
  <c r="K67" i="26"/>
  <c r="K67" i="27"/>
  <c r="K67" i="28"/>
  <c r="K67" i="29"/>
  <c r="J67" i="26"/>
  <c r="J67" i="27"/>
  <c r="J67" i="28"/>
  <c r="J67" i="29"/>
  <c r="I67" i="26"/>
  <c r="I67" i="27"/>
  <c r="I67" i="28"/>
  <c r="I67" i="29"/>
  <c r="H67" i="26"/>
  <c r="H67" i="27"/>
  <c r="H67" i="28"/>
  <c r="H67" i="29"/>
  <c r="G67" i="26"/>
  <c r="G67" i="27"/>
  <c r="G67" i="28"/>
  <c r="G67" i="29"/>
  <c r="F67" i="26"/>
  <c r="F67" i="27"/>
  <c r="F67" i="28"/>
  <c r="F67" i="29"/>
  <c r="E67" i="26"/>
  <c r="E67" i="27"/>
  <c r="E67" i="28"/>
  <c r="E67" i="29"/>
  <c r="D67" i="26"/>
  <c r="D67" i="27"/>
  <c r="D67" i="28"/>
  <c r="R66" i="26"/>
  <c r="R66" i="27"/>
  <c r="R66" i="28"/>
  <c r="R66" i="29"/>
  <c r="Q66" i="26"/>
  <c r="Q66" i="27"/>
  <c r="Q66" i="28"/>
  <c r="Q66" i="29"/>
  <c r="P66" i="26"/>
  <c r="P66" i="27"/>
  <c r="P66" i="28"/>
  <c r="P66" i="29"/>
  <c r="O66" i="26"/>
  <c r="O66" i="27"/>
  <c r="O66" i="28"/>
  <c r="O66" i="29"/>
  <c r="N66" i="26"/>
  <c r="N66" i="27"/>
  <c r="N66" i="28"/>
  <c r="N66" i="29"/>
  <c r="M66" i="26"/>
  <c r="M66" i="27"/>
  <c r="M66" i="28"/>
  <c r="M66" i="29"/>
  <c r="L66" i="26"/>
  <c r="L66" i="27"/>
  <c r="L66" i="28"/>
  <c r="L66" i="29"/>
  <c r="K66" i="26"/>
  <c r="K66" i="27"/>
  <c r="K66" i="28"/>
  <c r="K66" i="29"/>
  <c r="J66" i="26"/>
  <c r="J66" i="27"/>
  <c r="J66" i="28"/>
  <c r="J66" i="29"/>
  <c r="I66" i="26"/>
  <c r="I66" i="27"/>
  <c r="I66" i="28"/>
  <c r="I66" i="29"/>
  <c r="H66" i="26"/>
  <c r="H66" i="27"/>
  <c r="H66" i="28"/>
  <c r="H66" i="29"/>
  <c r="G66" i="26"/>
  <c r="G66" i="27"/>
  <c r="G66" i="28"/>
  <c r="G66" i="29"/>
  <c r="F66" i="26"/>
  <c r="E66" i="26"/>
  <c r="E66" i="27"/>
  <c r="E66" i="28"/>
  <c r="E66" i="29"/>
  <c r="D66" i="26"/>
  <c r="D66" i="27"/>
  <c r="D66" i="28"/>
  <c r="R62" i="26"/>
  <c r="R62" i="27"/>
  <c r="R62" i="28"/>
  <c r="R62" i="29"/>
  <c r="Q62" i="26"/>
  <c r="Q62" i="27"/>
  <c r="Q62" i="28"/>
  <c r="Q62" i="29"/>
  <c r="P62" i="26"/>
  <c r="P62" i="27"/>
  <c r="P62" i="28"/>
  <c r="P62" i="29"/>
  <c r="O62" i="26"/>
  <c r="O62" i="27"/>
  <c r="O62" i="28"/>
  <c r="O62" i="29"/>
  <c r="N62" i="26"/>
  <c r="N62" i="27"/>
  <c r="N62" i="28"/>
  <c r="N62" i="29"/>
  <c r="M62" i="26"/>
  <c r="M62" i="27"/>
  <c r="M62" i="28"/>
  <c r="M62" i="29"/>
  <c r="L62" i="26"/>
  <c r="L62" i="27"/>
  <c r="L62" i="28"/>
  <c r="L62" i="29"/>
  <c r="K62" i="26"/>
  <c r="K62" i="27"/>
  <c r="K62" i="28"/>
  <c r="K62" i="29"/>
  <c r="J62" i="26"/>
  <c r="J62" i="27"/>
  <c r="J62" i="28"/>
  <c r="J62" i="29"/>
  <c r="I62" i="26"/>
  <c r="I62" i="27"/>
  <c r="I62" i="28"/>
  <c r="I62" i="29"/>
  <c r="H62" i="26"/>
  <c r="H62" i="27"/>
  <c r="H62" i="28"/>
  <c r="H62" i="29"/>
  <c r="G62" i="26"/>
  <c r="G62" i="27"/>
  <c r="G62" i="28"/>
  <c r="G62" i="29"/>
  <c r="F62" i="26"/>
  <c r="F62" i="27"/>
  <c r="F62" i="28"/>
  <c r="F62" i="29"/>
  <c r="E62" i="26"/>
  <c r="E62" i="27"/>
  <c r="E62" i="28"/>
  <c r="E62" i="29"/>
  <c r="D62" i="26"/>
  <c r="D62" i="27"/>
  <c r="R61" i="26"/>
  <c r="R61" i="27"/>
  <c r="R61" i="28"/>
  <c r="R61" i="29"/>
  <c r="Q61" i="26"/>
  <c r="Q61" i="27"/>
  <c r="Q61" i="28"/>
  <c r="Q61" i="29"/>
  <c r="P61" i="26"/>
  <c r="P61" i="27"/>
  <c r="P61" i="28"/>
  <c r="P61" i="29"/>
  <c r="O61" i="26"/>
  <c r="O61" i="27"/>
  <c r="O61" i="28"/>
  <c r="O61" i="29"/>
  <c r="N61" i="26"/>
  <c r="N61" i="27"/>
  <c r="N61" i="28"/>
  <c r="N61" i="29"/>
  <c r="M61" i="26"/>
  <c r="M61" i="27"/>
  <c r="M61" i="28"/>
  <c r="M61" i="29"/>
  <c r="L61" i="26"/>
  <c r="L61" i="27"/>
  <c r="L61" i="28"/>
  <c r="L61" i="29"/>
  <c r="K61" i="26"/>
  <c r="K61" i="27"/>
  <c r="K61" i="28"/>
  <c r="K61" i="29"/>
  <c r="J61" i="26"/>
  <c r="J61" i="27"/>
  <c r="J61" i="28"/>
  <c r="J61" i="29"/>
  <c r="I61" i="26"/>
  <c r="I61" i="27"/>
  <c r="I61" i="28"/>
  <c r="I61" i="29"/>
  <c r="H61" i="26"/>
  <c r="H61" i="27"/>
  <c r="H61" i="28"/>
  <c r="H61" i="29"/>
  <c r="G61" i="26"/>
  <c r="G61" i="27"/>
  <c r="G61" i="28"/>
  <c r="G61" i="29"/>
  <c r="F61" i="26"/>
  <c r="F61" i="27"/>
  <c r="F61" i="28"/>
  <c r="F61" i="29"/>
  <c r="E61" i="26"/>
  <c r="E61" i="27"/>
  <c r="E61" i="28"/>
  <c r="E61" i="29"/>
  <c r="D61" i="26"/>
  <c r="D61" i="27"/>
  <c r="R60" i="26"/>
  <c r="R60" i="27"/>
  <c r="R60" i="28"/>
  <c r="R60" i="29"/>
  <c r="Q60" i="26"/>
  <c r="Q60" i="27"/>
  <c r="Q60" i="28"/>
  <c r="Q60" i="29"/>
  <c r="P60" i="26"/>
  <c r="P60" i="27"/>
  <c r="P60" i="28"/>
  <c r="P60" i="29"/>
  <c r="O60" i="26"/>
  <c r="O60" i="27"/>
  <c r="O60" i="28"/>
  <c r="O60" i="29"/>
  <c r="N60" i="26"/>
  <c r="N60" i="27"/>
  <c r="N60" i="28"/>
  <c r="N60" i="29"/>
  <c r="M60" i="26"/>
  <c r="M60" i="27"/>
  <c r="M60" i="28"/>
  <c r="M60" i="29"/>
  <c r="L60" i="26"/>
  <c r="L60" i="27"/>
  <c r="L60" i="28"/>
  <c r="L60" i="29"/>
  <c r="K60" i="26"/>
  <c r="K60" i="27"/>
  <c r="K60" i="28"/>
  <c r="K60" i="29"/>
  <c r="J60" i="26"/>
  <c r="J60" i="27"/>
  <c r="J60" i="28"/>
  <c r="J60" i="29"/>
  <c r="I60" i="26"/>
  <c r="I60" i="27"/>
  <c r="H60" i="26"/>
  <c r="G60" i="26"/>
  <c r="G60" i="27"/>
  <c r="G60" i="28"/>
  <c r="G60" i="29"/>
  <c r="F60" i="26"/>
  <c r="F60" i="27"/>
  <c r="F60" i="28"/>
  <c r="F60" i="29"/>
  <c r="E60" i="26"/>
  <c r="E60" i="27"/>
  <c r="D60" i="26"/>
  <c r="D60" i="27"/>
  <c r="D60" i="28"/>
  <c r="D60" i="29"/>
  <c r="R59" i="26"/>
  <c r="R59" i="27"/>
  <c r="R59" i="28"/>
  <c r="R59" i="29"/>
  <c r="Q59" i="26"/>
  <c r="Q59" i="27"/>
  <c r="Q59" i="28"/>
  <c r="Q59" i="29"/>
  <c r="P59" i="26"/>
  <c r="P59" i="27"/>
  <c r="P59" i="28"/>
  <c r="P59" i="29"/>
  <c r="O59" i="26"/>
  <c r="O59" i="27"/>
  <c r="O59" i="28"/>
  <c r="O59" i="29"/>
  <c r="N59" i="26"/>
  <c r="N59" i="27"/>
  <c r="N59" i="28"/>
  <c r="N59" i="29"/>
  <c r="M59" i="26"/>
  <c r="M59" i="27"/>
  <c r="M59" i="28"/>
  <c r="M59" i="29"/>
  <c r="L59" i="26"/>
  <c r="L59" i="27"/>
  <c r="L59" i="28"/>
  <c r="L59" i="29"/>
  <c r="K59" i="26"/>
  <c r="K59" i="27"/>
  <c r="K59" i="28"/>
  <c r="K59" i="29"/>
  <c r="J59" i="26"/>
  <c r="J59" i="27"/>
  <c r="J59" i="28"/>
  <c r="J59" i="29"/>
  <c r="I59" i="26"/>
  <c r="I59" i="27"/>
  <c r="I59" i="28"/>
  <c r="I59" i="29"/>
  <c r="H59" i="26"/>
  <c r="H59" i="27"/>
  <c r="H59" i="28"/>
  <c r="H59" i="29"/>
  <c r="G59" i="26"/>
  <c r="G59" i="27"/>
  <c r="G59" i="28"/>
  <c r="G59" i="29"/>
  <c r="F59" i="26"/>
  <c r="F59" i="27"/>
  <c r="F59" i="28"/>
  <c r="F59" i="29"/>
  <c r="E59" i="26"/>
  <c r="E59" i="27"/>
  <c r="E59" i="28"/>
  <c r="E59" i="29"/>
  <c r="D59" i="26"/>
  <c r="D59" i="27"/>
  <c r="D59" i="28"/>
  <c r="R58" i="26"/>
  <c r="R58" i="27"/>
  <c r="R58" i="28"/>
  <c r="R58" i="29"/>
  <c r="Q58" i="26"/>
  <c r="Q58" i="27"/>
  <c r="Q58" i="28"/>
  <c r="Q58" i="29"/>
  <c r="P58" i="26"/>
  <c r="P58" i="27"/>
  <c r="P58" i="28"/>
  <c r="P58" i="29"/>
  <c r="O58" i="26"/>
  <c r="O58" i="27"/>
  <c r="O58" i="28"/>
  <c r="O58" i="29"/>
  <c r="N58" i="26"/>
  <c r="N58" i="27"/>
  <c r="N58" i="28"/>
  <c r="N58" i="29"/>
  <c r="M58" i="26"/>
  <c r="M58" i="27"/>
  <c r="M58" i="28"/>
  <c r="M58" i="29"/>
  <c r="L58" i="26"/>
  <c r="L58" i="27"/>
  <c r="L58" i="28"/>
  <c r="L58" i="29"/>
  <c r="K58" i="26"/>
  <c r="K58" i="27"/>
  <c r="K58" i="28"/>
  <c r="K58" i="29"/>
  <c r="J58" i="26"/>
  <c r="J58" i="27"/>
  <c r="J58" i="28"/>
  <c r="J58" i="29"/>
  <c r="I58" i="26"/>
  <c r="I58" i="27"/>
  <c r="I58" i="28"/>
  <c r="I58" i="29"/>
  <c r="H58" i="26"/>
  <c r="H58" i="27"/>
  <c r="H58" i="28"/>
  <c r="H58" i="29"/>
  <c r="G58" i="26"/>
  <c r="G58" i="27"/>
  <c r="G58" i="28"/>
  <c r="G58" i="29"/>
  <c r="F58" i="26"/>
  <c r="F58" i="27"/>
  <c r="F58" i="28"/>
  <c r="F58" i="29"/>
  <c r="E58" i="26"/>
  <c r="E58" i="27"/>
  <c r="E58" i="28"/>
  <c r="E58" i="29"/>
  <c r="D58" i="26"/>
  <c r="D58" i="27"/>
  <c r="D58" i="28"/>
  <c r="D58" i="29"/>
  <c r="R57" i="26"/>
  <c r="R57" i="27"/>
  <c r="R57" i="28"/>
  <c r="R57" i="29"/>
  <c r="Q57" i="26"/>
  <c r="Q57" i="27"/>
  <c r="Q57" i="28"/>
  <c r="Q57" i="29"/>
  <c r="P57" i="26"/>
  <c r="P57" i="27"/>
  <c r="P57" i="28"/>
  <c r="P57" i="29"/>
  <c r="O57" i="26"/>
  <c r="O57" i="27"/>
  <c r="O57" i="28"/>
  <c r="O57" i="29"/>
  <c r="N57" i="26"/>
  <c r="N57" i="27"/>
  <c r="N57" i="28"/>
  <c r="N57" i="29"/>
  <c r="M57" i="26"/>
  <c r="M57" i="27"/>
  <c r="M57" i="28"/>
  <c r="M57" i="29"/>
  <c r="L57" i="26"/>
  <c r="L57" i="27"/>
  <c r="L57" i="28"/>
  <c r="L57" i="29"/>
  <c r="K57" i="26"/>
  <c r="K57" i="27"/>
  <c r="K57" i="28"/>
  <c r="K57" i="29"/>
  <c r="J57" i="26"/>
  <c r="J57" i="27"/>
  <c r="J57" i="28"/>
  <c r="J57" i="29"/>
  <c r="I57" i="26"/>
  <c r="I57" i="27"/>
  <c r="I57" i="28"/>
  <c r="I57" i="29"/>
  <c r="H57" i="26"/>
  <c r="H57" i="27"/>
  <c r="H57" i="28"/>
  <c r="H57" i="29"/>
  <c r="G57" i="26"/>
  <c r="G57" i="27"/>
  <c r="G57" i="28"/>
  <c r="G57" i="29"/>
  <c r="F57" i="26"/>
  <c r="F57" i="27"/>
  <c r="F57" i="28"/>
  <c r="F57" i="29"/>
  <c r="E57" i="26"/>
  <c r="D57" i="26"/>
  <c r="D57" i="27"/>
  <c r="R56" i="26"/>
  <c r="R56" i="27"/>
  <c r="R56" i="28"/>
  <c r="R56" i="29"/>
  <c r="Q56" i="26"/>
  <c r="Q56" i="27"/>
  <c r="Q56" i="28"/>
  <c r="Q56" i="29"/>
  <c r="P56" i="26"/>
  <c r="P56" i="27"/>
  <c r="P56" i="28"/>
  <c r="P56" i="29"/>
  <c r="O56" i="26"/>
  <c r="O56" i="27"/>
  <c r="O56" i="28"/>
  <c r="O56" i="29"/>
  <c r="N56" i="26"/>
  <c r="N56" i="27"/>
  <c r="N56" i="28"/>
  <c r="N56" i="29"/>
  <c r="M56" i="26"/>
  <c r="M56" i="27"/>
  <c r="M56" i="28"/>
  <c r="M56" i="29"/>
  <c r="L56" i="26"/>
  <c r="L56" i="27"/>
  <c r="L56" i="28"/>
  <c r="L56" i="29"/>
  <c r="K56" i="26"/>
  <c r="K56" i="27"/>
  <c r="J56" i="26"/>
  <c r="J56" i="27"/>
  <c r="J56" i="28"/>
  <c r="I56" i="26"/>
  <c r="I56" i="27"/>
  <c r="I56" i="28"/>
  <c r="I56" i="29"/>
  <c r="H56" i="26"/>
  <c r="H56" i="27"/>
  <c r="H56" i="28"/>
  <c r="H56" i="29"/>
  <c r="G56" i="26"/>
  <c r="G56" i="27"/>
  <c r="G56" i="28"/>
  <c r="G56" i="29"/>
  <c r="F56" i="26"/>
  <c r="F56" i="27"/>
  <c r="F56" i="28"/>
  <c r="F56" i="29"/>
  <c r="E56" i="26"/>
  <c r="E56" i="27"/>
  <c r="E56" i="28"/>
  <c r="E56" i="29"/>
  <c r="D56" i="26"/>
  <c r="D56" i="27"/>
  <c r="D56" i="28"/>
  <c r="D56" i="29"/>
  <c r="R55" i="26"/>
  <c r="R55" i="27"/>
  <c r="R55" i="28"/>
  <c r="R55" i="29"/>
  <c r="Q55" i="26"/>
  <c r="Q55" i="27"/>
  <c r="Q55" i="28"/>
  <c r="Q55" i="29"/>
  <c r="P55" i="26"/>
  <c r="P55" i="27"/>
  <c r="O55" i="26"/>
  <c r="O55" i="27"/>
  <c r="O55" i="28"/>
  <c r="O55" i="29"/>
  <c r="N55" i="26"/>
  <c r="N55" i="27"/>
  <c r="N55" i="28"/>
  <c r="N55" i="29"/>
  <c r="M55" i="26"/>
  <c r="M55" i="27"/>
  <c r="M55" i="28"/>
  <c r="M55" i="29"/>
  <c r="L55" i="26"/>
  <c r="L55" i="27"/>
  <c r="L55" i="28"/>
  <c r="L55" i="29"/>
  <c r="K55" i="26"/>
  <c r="K55" i="27"/>
  <c r="K55" i="28"/>
  <c r="K55" i="29"/>
  <c r="J55" i="26"/>
  <c r="J55" i="27"/>
  <c r="J55" i="28"/>
  <c r="J55" i="29"/>
  <c r="I55" i="26"/>
  <c r="I55" i="27"/>
  <c r="I55" i="28"/>
  <c r="I55" i="29"/>
  <c r="H55" i="26"/>
  <c r="H55" i="27"/>
  <c r="H55" i="28"/>
  <c r="H55" i="29"/>
  <c r="G55" i="26"/>
  <c r="G55" i="27"/>
  <c r="F55" i="26"/>
  <c r="F55" i="27"/>
  <c r="F55" i="28"/>
  <c r="E55" i="26"/>
  <c r="E55" i="27"/>
  <c r="E55" i="28"/>
  <c r="E55" i="29"/>
  <c r="D55" i="26"/>
  <c r="R45" i="26"/>
  <c r="R45" i="27"/>
  <c r="R45" i="28"/>
  <c r="Q45" i="26"/>
  <c r="Q45" i="27"/>
  <c r="Q45" i="28"/>
  <c r="P45" i="26"/>
  <c r="P45" i="27"/>
  <c r="P45" i="28"/>
  <c r="O45" i="26"/>
  <c r="O45" i="27"/>
  <c r="O45" i="28"/>
  <c r="N45" i="26"/>
  <c r="N45" i="27"/>
  <c r="N45" i="28"/>
  <c r="M45" i="26"/>
  <c r="M45" i="27"/>
  <c r="M45" i="28"/>
  <c r="L45" i="26"/>
  <c r="L45" i="27"/>
  <c r="L45" i="28"/>
  <c r="K45" i="26"/>
  <c r="K45" i="27"/>
  <c r="K45" i="28"/>
  <c r="J45" i="26"/>
  <c r="I45" i="26"/>
  <c r="I45" i="27"/>
  <c r="I45" i="28"/>
  <c r="H45" i="26"/>
  <c r="H45" i="27"/>
  <c r="H45" i="28"/>
  <c r="G45" i="26"/>
  <c r="G45" i="27"/>
  <c r="G45" i="28"/>
  <c r="F45" i="26"/>
  <c r="F45" i="27"/>
  <c r="F45" i="28"/>
  <c r="E45" i="26"/>
  <c r="E45" i="27"/>
  <c r="D45" i="26"/>
  <c r="R44" i="26"/>
  <c r="R44" i="27"/>
  <c r="R44" i="28"/>
  <c r="R44" i="29"/>
  <c r="R44" i="22"/>
  <c r="Q44" i="26"/>
  <c r="Q44" i="27"/>
  <c r="Q44" i="28"/>
  <c r="Q44" i="29"/>
  <c r="P44" i="26"/>
  <c r="P44" i="27"/>
  <c r="P44" i="28"/>
  <c r="P44" i="29"/>
  <c r="P44" i="22"/>
  <c r="O44" i="26"/>
  <c r="O44" i="27"/>
  <c r="N44" i="26"/>
  <c r="N44" i="27"/>
  <c r="N44" i="28"/>
  <c r="N44" i="29"/>
  <c r="M44" i="26"/>
  <c r="M44" i="27"/>
  <c r="M44" i="28"/>
  <c r="M44" i="29"/>
  <c r="M44" i="22"/>
  <c r="L44" i="26"/>
  <c r="L44" i="27"/>
  <c r="K44" i="26"/>
  <c r="K44" i="27"/>
  <c r="K44" i="28"/>
  <c r="K44" i="29"/>
  <c r="J44" i="26"/>
  <c r="J44" i="27"/>
  <c r="J44" i="28"/>
  <c r="J44" i="29"/>
  <c r="J44" i="22"/>
  <c r="I44" i="26"/>
  <c r="I44" i="27"/>
  <c r="I44" i="28"/>
  <c r="I44" i="29"/>
  <c r="I44" i="22"/>
  <c r="H44" i="26"/>
  <c r="H44" i="27"/>
  <c r="G44" i="26"/>
  <c r="G44" i="27"/>
  <c r="G44" i="28"/>
  <c r="G44" i="29"/>
  <c r="G44" i="22"/>
  <c r="F44" i="26"/>
  <c r="F44" i="27"/>
  <c r="F44" i="28"/>
  <c r="F44" i="29"/>
  <c r="F44" i="22"/>
  <c r="E44" i="26"/>
  <c r="D44" i="26"/>
  <c r="R43" i="26"/>
  <c r="R43" i="27"/>
  <c r="R43" i="28"/>
  <c r="Q43" i="26"/>
  <c r="Q43" i="27"/>
  <c r="Q43" i="28"/>
  <c r="P43" i="26"/>
  <c r="P43" i="27"/>
  <c r="P43" i="28"/>
  <c r="O43" i="26"/>
  <c r="O43" i="27"/>
  <c r="O43" i="28"/>
  <c r="O43" i="21"/>
  <c r="N43" i="26"/>
  <c r="M43" i="26"/>
  <c r="L43" i="26"/>
  <c r="K43" i="26"/>
  <c r="J43" i="26"/>
  <c r="I43" i="26"/>
  <c r="H43" i="26"/>
  <c r="G43" i="26"/>
  <c r="F43" i="26"/>
  <c r="E43" i="26"/>
  <c r="E43" i="27"/>
  <c r="D43" i="26"/>
  <c r="R42" i="26"/>
  <c r="R42" i="27"/>
  <c r="R42" i="28"/>
  <c r="Q42" i="26"/>
  <c r="Q42" i="27"/>
  <c r="Q42" i="28"/>
  <c r="P42" i="26"/>
  <c r="P42" i="27"/>
  <c r="P42" i="28"/>
  <c r="O42" i="26"/>
  <c r="O42" i="27"/>
  <c r="O42" i="28"/>
  <c r="N42" i="26"/>
  <c r="N42" i="27"/>
  <c r="N42" i="28"/>
  <c r="M42" i="26"/>
  <c r="M42" i="27"/>
  <c r="M42" i="28"/>
  <c r="L42" i="26"/>
  <c r="L42" i="27"/>
  <c r="L42" i="28"/>
  <c r="K42" i="26"/>
  <c r="K42" i="27"/>
  <c r="K42" i="28"/>
  <c r="J42" i="26"/>
  <c r="J42" i="27"/>
  <c r="J42" i="28"/>
  <c r="I42" i="26"/>
  <c r="I42" i="27"/>
  <c r="I42" i="28"/>
  <c r="H42" i="26"/>
  <c r="H42" i="27"/>
  <c r="H42" i="28"/>
  <c r="G42" i="26"/>
  <c r="G42" i="27"/>
  <c r="G42" i="28"/>
  <c r="F42" i="26"/>
  <c r="F42" i="27"/>
  <c r="E42" i="26"/>
  <c r="E42" i="27"/>
  <c r="D42" i="26"/>
  <c r="R41" i="26"/>
  <c r="R41" i="27"/>
  <c r="R41" i="28"/>
  <c r="R41" i="29"/>
  <c r="Q41" i="26"/>
  <c r="Q41" i="27"/>
  <c r="Q41" i="28"/>
  <c r="Q41" i="29"/>
  <c r="P41" i="26"/>
  <c r="P41" i="27"/>
  <c r="O41" i="26"/>
  <c r="O41" i="27"/>
  <c r="O41" i="28"/>
  <c r="O41" i="29"/>
  <c r="N41" i="26"/>
  <c r="N41" i="27"/>
  <c r="N41" i="28"/>
  <c r="N41" i="29"/>
  <c r="M41" i="26"/>
  <c r="M41" i="27"/>
  <c r="M41" i="28"/>
  <c r="M41" i="29"/>
  <c r="L41" i="26"/>
  <c r="L41" i="27"/>
  <c r="L41" i="28"/>
  <c r="L41" i="29"/>
  <c r="K41" i="26"/>
  <c r="K41" i="27"/>
  <c r="K41" i="28"/>
  <c r="K41" i="29"/>
  <c r="J41" i="26"/>
  <c r="J41" i="27"/>
  <c r="J41" i="28"/>
  <c r="J41" i="29"/>
  <c r="I41" i="26"/>
  <c r="I41" i="27"/>
  <c r="I41" i="28"/>
  <c r="I41" i="29"/>
  <c r="H41" i="26"/>
  <c r="H41" i="27"/>
  <c r="H41" i="28"/>
  <c r="H41" i="29"/>
  <c r="G41" i="26"/>
  <c r="G41" i="27"/>
  <c r="G41" i="28"/>
  <c r="G41" i="29"/>
  <c r="F41" i="26"/>
  <c r="F41" i="27"/>
  <c r="F41" i="28"/>
  <c r="F41" i="29"/>
  <c r="E41" i="26"/>
  <c r="E41" i="27"/>
  <c r="D41" i="26"/>
  <c r="R40" i="26"/>
  <c r="R40" i="27"/>
  <c r="R40" i="28"/>
  <c r="R40" i="29"/>
  <c r="R40" i="22"/>
  <c r="Q40" i="26"/>
  <c r="Q40" i="27"/>
  <c r="Q40" i="28"/>
  <c r="Q40" i="29"/>
  <c r="Q40" i="22"/>
  <c r="P40" i="26"/>
  <c r="P40" i="27"/>
  <c r="P40" i="28"/>
  <c r="P40" i="29"/>
  <c r="P40" i="22"/>
  <c r="O40" i="26"/>
  <c r="O40" i="27"/>
  <c r="O40" i="28"/>
  <c r="O40" i="29"/>
  <c r="O40" i="22"/>
  <c r="N40" i="26"/>
  <c r="N40" i="27"/>
  <c r="N40" i="28"/>
  <c r="N40" i="29"/>
  <c r="N40" i="22"/>
  <c r="M40" i="26"/>
  <c r="M40" i="27"/>
  <c r="M40" i="28"/>
  <c r="M40" i="29"/>
  <c r="L40" i="26"/>
  <c r="L40" i="27"/>
  <c r="L40" i="28"/>
  <c r="L40" i="29"/>
  <c r="L40" i="22"/>
  <c r="K40" i="26"/>
  <c r="K40" i="27"/>
  <c r="K40" i="28"/>
  <c r="K40" i="29"/>
  <c r="K40" i="22"/>
  <c r="J40" i="26"/>
  <c r="J40" i="27"/>
  <c r="J40" i="28"/>
  <c r="J40" i="29"/>
  <c r="J40" i="22"/>
  <c r="I40" i="26"/>
  <c r="I40" i="27"/>
  <c r="I40" i="28"/>
  <c r="I40" i="29"/>
  <c r="I40" i="22"/>
  <c r="H40" i="26"/>
  <c r="H40" i="27"/>
  <c r="H40" i="28"/>
  <c r="G40" i="26"/>
  <c r="G40" i="27"/>
  <c r="G40" i="28"/>
  <c r="G40" i="29"/>
  <c r="G40" i="22"/>
  <c r="F40" i="26"/>
  <c r="F40" i="27"/>
  <c r="F40" i="28"/>
  <c r="F40" i="29"/>
  <c r="F40" i="22"/>
  <c r="E40" i="26"/>
  <c r="E40" i="27"/>
  <c r="D40" i="26"/>
  <c r="D40" i="27"/>
  <c r="D40" i="28"/>
  <c r="D40" i="29"/>
  <c r="D40" i="22"/>
  <c r="R39" i="26"/>
  <c r="R39" i="27"/>
  <c r="R39" i="28"/>
  <c r="Q39" i="26"/>
  <c r="Q39" i="27"/>
  <c r="Q39" i="28"/>
  <c r="P39" i="26"/>
  <c r="P39" i="27"/>
  <c r="P39" i="28"/>
  <c r="O39" i="26"/>
  <c r="O39" i="27"/>
  <c r="O39" i="28"/>
  <c r="N39" i="26"/>
  <c r="N39" i="27"/>
  <c r="N39" i="28"/>
  <c r="M39" i="26"/>
  <c r="M39" i="27"/>
  <c r="M39" i="28"/>
  <c r="L39" i="26"/>
  <c r="L39" i="27"/>
  <c r="L39" i="28"/>
  <c r="K39" i="26"/>
  <c r="K39" i="27"/>
  <c r="K39" i="28"/>
  <c r="J39" i="26"/>
  <c r="J39" i="27"/>
  <c r="J39" i="28"/>
  <c r="I39" i="26"/>
  <c r="I39" i="27"/>
  <c r="I39" i="28"/>
  <c r="H39" i="26"/>
  <c r="H39" i="27"/>
  <c r="H39" i="28"/>
  <c r="G39" i="26"/>
  <c r="G39" i="27"/>
  <c r="G39" i="28"/>
  <c r="F39" i="26"/>
  <c r="F39" i="27"/>
  <c r="F39" i="28"/>
  <c r="E39" i="26"/>
  <c r="E39" i="27"/>
  <c r="E39" i="28"/>
  <c r="D39" i="26"/>
  <c r="D39" i="27"/>
  <c r="R38" i="26"/>
  <c r="R38" i="27"/>
  <c r="Q38" i="26"/>
  <c r="Q38" i="27"/>
  <c r="P38" i="26"/>
  <c r="P38" i="27"/>
  <c r="O38" i="26"/>
  <c r="O38" i="27"/>
  <c r="N38" i="26"/>
  <c r="N38" i="27"/>
  <c r="M38" i="26"/>
  <c r="M38" i="27"/>
  <c r="L38" i="26"/>
  <c r="L38" i="27"/>
  <c r="K38" i="26"/>
  <c r="K38" i="27"/>
  <c r="J38" i="26"/>
  <c r="J38" i="27"/>
  <c r="I38" i="26"/>
  <c r="I38" i="27"/>
  <c r="H38" i="26"/>
  <c r="H38" i="27"/>
  <c r="G38" i="26"/>
  <c r="G38" i="27"/>
  <c r="F38" i="26"/>
  <c r="F38" i="27"/>
  <c r="E38" i="26"/>
  <c r="E38" i="27"/>
  <c r="E38" i="28"/>
  <c r="E38" i="21"/>
  <c r="D38" i="26"/>
  <c r="R37" i="26"/>
  <c r="R37" i="27"/>
  <c r="Q37" i="26"/>
  <c r="Q37" i="27"/>
  <c r="P37" i="26"/>
  <c r="P37" i="27"/>
  <c r="O37" i="26"/>
  <c r="O37" i="27"/>
  <c r="N37" i="26"/>
  <c r="N37" i="27"/>
  <c r="M37" i="26"/>
  <c r="M37" i="27"/>
  <c r="L37" i="26"/>
  <c r="L37" i="27"/>
  <c r="K37" i="26"/>
  <c r="K37" i="27"/>
  <c r="J37" i="26"/>
  <c r="J37" i="27"/>
  <c r="I37" i="26"/>
  <c r="I37" i="27"/>
  <c r="H37" i="26"/>
  <c r="H37" i="27"/>
  <c r="G37" i="26"/>
  <c r="G37" i="27"/>
  <c r="F37" i="26"/>
  <c r="F37" i="27"/>
  <c r="E37" i="26"/>
  <c r="E37" i="27"/>
  <c r="D37" i="26"/>
  <c r="D37" i="27"/>
  <c r="R33" i="26"/>
  <c r="R33" i="27"/>
  <c r="R33" i="28"/>
  <c r="R33" i="29"/>
  <c r="Q33" i="26"/>
  <c r="Q33" i="27"/>
  <c r="Q33" i="28"/>
  <c r="Q33" i="29"/>
  <c r="P33" i="26"/>
  <c r="P33" i="27"/>
  <c r="P33" i="28"/>
  <c r="P33" i="29"/>
  <c r="O33" i="26"/>
  <c r="O33" i="27"/>
  <c r="O33" i="28"/>
  <c r="O33" i="29"/>
  <c r="N33" i="26"/>
  <c r="N33" i="27"/>
  <c r="N33" i="28"/>
  <c r="N33" i="29"/>
  <c r="M33" i="26"/>
  <c r="M33" i="27"/>
  <c r="M33" i="28"/>
  <c r="M33" i="29"/>
  <c r="L33" i="26"/>
  <c r="L33" i="27"/>
  <c r="L33" i="28"/>
  <c r="L33" i="29"/>
  <c r="K33" i="26"/>
  <c r="K33" i="27"/>
  <c r="K33" i="28"/>
  <c r="K33" i="29"/>
  <c r="J33" i="26"/>
  <c r="J33" i="27"/>
  <c r="J33" i="28"/>
  <c r="J33" i="29"/>
  <c r="I33" i="26"/>
  <c r="H33" i="26"/>
  <c r="H33" i="27"/>
  <c r="H33" i="28"/>
  <c r="H33" i="29"/>
  <c r="G33" i="26"/>
  <c r="G33" i="27"/>
  <c r="G33" i="28"/>
  <c r="G33" i="29"/>
  <c r="F33" i="26"/>
  <c r="F33" i="27"/>
  <c r="F33" i="28"/>
  <c r="F33" i="29"/>
  <c r="E33" i="26"/>
  <c r="E33" i="27"/>
  <c r="D33" i="26"/>
  <c r="R32" i="26"/>
  <c r="R32" i="27"/>
  <c r="R32" i="28"/>
  <c r="R32" i="29"/>
  <c r="Q32" i="26"/>
  <c r="Q32" i="27"/>
  <c r="Q32" i="28"/>
  <c r="Q32" i="29"/>
  <c r="P32" i="26"/>
  <c r="P32" i="27"/>
  <c r="P32" i="28"/>
  <c r="P32" i="29"/>
  <c r="O32" i="26"/>
  <c r="O32" i="27"/>
  <c r="O32" i="28"/>
  <c r="O32" i="29"/>
  <c r="N32" i="26"/>
  <c r="N32" i="27"/>
  <c r="N32" i="28"/>
  <c r="N32" i="29"/>
  <c r="M32" i="26"/>
  <c r="M32" i="27"/>
  <c r="M32" i="28"/>
  <c r="M32" i="29"/>
  <c r="L32" i="26"/>
  <c r="L32" i="27"/>
  <c r="L32" i="28"/>
  <c r="L32" i="29"/>
  <c r="K32" i="26"/>
  <c r="K32" i="27"/>
  <c r="K32" i="28"/>
  <c r="K32" i="29"/>
  <c r="J32" i="26"/>
  <c r="J32" i="27"/>
  <c r="J32" i="28"/>
  <c r="J32" i="29"/>
  <c r="I32" i="26"/>
  <c r="I32" i="27"/>
  <c r="I32" i="28"/>
  <c r="I32" i="29"/>
  <c r="H32" i="26"/>
  <c r="H32" i="27"/>
  <c r="H32" i="28"/>
  <c r="H32" i="29"/>
  <c r="G32" i="26"/>
  <c r="G32" i="27"/>
  <c r="G32" i="28"/>
  <c r="G32" i="29"/>
  <c r="F32" i="26"/>
  <c r="F32" i="27"/>
  <c r="F32" i="28"/>
  <c r="F32" i="29"/>
  <c r="E32" i="26"/>
  <c r="E32" i="27"/>
  <c r="E32" i="28"/>
  <c r="E32" i="29"/>
  <c r="D32" i="26"/>
  <c r="D32" i="27"/>
  <c r="R31" i="26"/>
  <c r="R31" i="27"/>
  <c r="R31" i="28"/>
  <c r="R31" i="29"/>
  <c r="R31" i="22"/>
  <c r="Q31" i="26"/>
  <c r="Q31" i="27"/>
  <c r="Q31" i="28"/>
  <c r="Q31" i="29"/>
  <c r="Q31" i="22"/>
  <c r="P31" i="26"/>
  <c r="P31" i="27"/>
  <c r="P31" i="28"/>
  <c r="P31" i="29"/>
  <c r="P31" i="22"/>
  <c r="O31" i="26"/>
  <c r="O31" i="27"/>
  <c r="O31" i="28"/>
  <c r="O31" i="29"/>
  <c r="O31" i="22"/>
  <c r="N31" i="26"/>
  <c r="N31" i="27"/>
  <c r="N31" i="28"/>
  <c r="N31" i="29"/>
  <c r="N31" i="22"/>
  <c r="M31" i="26"/>
  <c r="M31" i="27"/>
  <c r="M31" i="28"/>
  <c r="M31" i="29"/>
  <c r="L31" i="26"/>
  <c r="L31" i="27"/>
  <c r="L31" i="28"/>
  <c r="L31" i="29"/>
  <c r="K31" i="26"/>
  <c r="K31" i="27"/>
  <c r="K31" i="28"/>
  <c r="K31" i="29"/>
  <c r="K31" i="22"/>
  <c r="J31" i="26"/>
  <c r="J31" i="27"/>
  <c r="J31" i="28"/>
  <c r="J31" i="29"/>
  <c r="J31" i="22"/>
  <c r="I31" i="26"/>
  <c r="I31" i="27"/>
  <c r="I31" i="28"/>
  <c r="I31" i="29"/>
  <c r="I31" i="22"/>
  <c r="H31" i="26"/>
  <c r="H31" i="27"/>
  <c r="H31" i="28"/>
  <c r="H31" i="29"/>
  <c r="H31" i="22"/>
  <c r="G31" i="26"/>
  <c r="G31" i="27"/>
  <c r="G31" i="28"/>
  <c r="G31" i="29"/>
  <c r="G31" i="22"/>
  <c r="F31" i="26"/>
  <c r="F31" i="27"/>
  <c r="F31" i="28"/>
  <c r="E31" i="26"/>
  <c r="D31" i="26"/>
  <c r="D31" i="27"/>
  <c r="D31" i="28"/>
  <c r="R30" i="26"/>
  <c r="R30" i="27"/>
  <c r="R30" i="28"/>
  <c r="Q30" i="26"/>
  <c r="Q30" i="27"/>
  <c r="Q30" i="28"/>
  <c r="P30" i="26"/>
  <c r="P30" i="27"/>
  <c r="P30" i="28"/>
  <c r="O30" i="26"/>
  <c r="O30" i="27"/>
  <c r="N30" i="26"/>
  <c r="N30" i="27"/>
  <c r="M30" i="26"/>
  <c r="M30" i="27"/>
  <c r="L30" i="26"/>
  <c r="L30" i="27"/>
  <c r="K30" i="26"/>
  <c r="K30" i="27"/>
  <c r="J30" i="26"/>
  <c r="J30" i="27"/>
  <c r="I30" i="26"/>
  <c r="I30" i="27"/>
  <c r="H30" i="26"/>
  <c r="H30" i="27"/>
  <c r="G30" i="26"/>
  <c r="G30" i="27"/>
  <c r="F30" i="26"/>
  <c r="F30" i="27"/>
  <c r="E30" i="26"/>
  <c r="E30" i="27"/>
  <c r="D30" i="26"/>
  <c r="D30" i="27"/>
  <c r="R29" i="26"/>
  <c r="R29" i="27"/>
  <c r="R29" i="28"/>
  <c r="R29" i="29"/>
  <c r="Q29" i="26"/>
  <c r="Q29" i="27"/>
  <c r="Q29" i="28"/>
  <c r="Q29" i="29"/>
  <c r="P29" i="26"/>
  <c r="P29" i="27"/>
  <c r="P29" i="28"/>
  <c r="P29" i="29"/>
  <c r="O29" i="26"/>
  <c r="O29" i="27"/>
  <c r="O29" i="28"/>
  <c r="O29" i="29"/>
  <c r="N29" i="26"/>
  <c r="N29" i="27"/>
  <c r="N29" i="28"/>
  <c r="N29" i="29"/>
  <c r="M29" i="26"/>
  <c r="M29" i="27"/>
  <c r="M29" i="28"/>
  <c r="M29" i="29"/>
  <c r="L29" i="26"/>
  <c r="L29" i="27"/>
  <c r="L29" i="28"/>
  <c r="L29" i="29"/>
  <c r="K29" i="26"/>
  <c r="K29" i="27"/>
  <c r="K29" i="28"/>
  <c r="K29" i="29"/>
  <c r="J29" i="26"/>
  <c r="J29" i="27"/>
  <c r="J29" i="28"/>
  <c r="J29" i="29"/>
  <c r="I29" i="26"/>
  <c r="I29" i="27"/>
  <c r="I29" i="28"/>
  <c r="I29" i="29"/>
  <c r="H29" i="26"/>
  <c r="H29" i="27"/>
  <c r="H29" i="28"/>
  <c r="H29" i="29"/>
  <c r="G29" i="26"/>
  <c r="G29" i="27"/>
  <c r="G29" i="28"/>
  <c r="G29" i="29"/>
  <c r="F29" i="26"/>
  <c r="F29" i="27"/>
  <c r="F29" i="28"/>
  <c r="F29" i="29"/>
  <c r="E29" i="26"/>
  <c r="E29" i="27"/>
  <c r="E29" i="28"/>
  <c r="E29" i="29"/>
  <c r="D29" i="26"/>
  <c r="D29" i="27"/>
  <c r="R28" i="26"/>
  <c r="R28" i="27"/>
  <c r="R28" i="28"/>
  <c r="R28" i="29"/>
  <c r="Q28" i="26"/>
  <c r="Q28" i="27"/>
  <c r="Q28" i="28"/>
  <c r="P28" i="26"/>
  <c r="P28" i="27"/>
  <c r="P28" i="28"/>
  <c r="O28" i="26"/>
  <c r="O28" i="27"/>
  <c r="O28" i="28"/>
  <c r="O28" i="29"/>
  <c r="N28" i="26"/>
  <c r="N28" i="27"/>
  <c r="N28" i="28"/>
  <c r="N28" i="29"/>
  <c r="M28" i="26"/>
  <c r="M28" i="27"/>
  <c r="M28" i="28"/>
  <c r="M28" i="29"/>
  <c r="L28" i="26"/>
  <c r="L28" i="27"/>
  <c r="L28" i="28"/>
  <c r="K28" i="26"/>
  <c r="K28" i="27"/>
  <c r="K28" i="28"/>
  <c r="K28" i="29"/>
  <c r="J28" i="26"/>
  <c r="J28" i="27"/>
  <c r="J28" i="28"/>
  <c r="J28" i="29"/>
  <c r="I28" i="26"/>
  <c r="I28" i="27"/>
  <c r="I28" i="28"/>
  <c r="H28" i="26"/>
  <c r="H28" i="27"/>
  <c r="G28" i="26"/>
  <c r="G28" i="27"/>
  <c r="G28" i="28"/>
  <c r="F28" i="26"/>
  <c r="F28" i="27"/>
  <c r="F28" i="28"/>
  <c r="F28" i="29"/>
  <c r="E28" i="26"/>
  <c r="E28" i="27"/>
  <c r="E28" i="28"/>
  <c r="D28" i="26"/>
  <c r="D28" i="27"/>
  <c r="D28" i="28"/>
  <c r="D28" i="29"/>
  <c r="R26" i="26"/>
  <c r="R26" i="27"/>
  <c r="R26" i="28"/>
  <c r="R26" i="29"/>
  <c r="Q26" i="26"/>
  <c r="Q26" i="27"/>
  <c r="P26" i="26"/>
  <c r="P26" i="27"/>
  <c r="P26" i="28"/>
  <c r="P26" i="29"/>
  <c r="O26" i="26"/>
  <c r="O26" i="27"/>
  <c r="O26" i="28"/>
  <c r="O26" i="29"/>
  <c r="N26" i="26"/>
  <c r="N26" i="27"/>
  <c r="N26" i="28"/>
  <c r="N26" i="29"/>
  <c r="M26" i="26"/>
  <c r="M26" i="27"/>
  <c r="M26" i="28"/>
  <c r="M26" i="29"/>
  <c r="L26" i="26"/>
  <c r="L26" i="27"/>
  <c r="L26" i="28"/>
  <c r="L26" i="29"/>
  <c r="K26" i="26"/>
  <c r="K26" i="27"/>
  <c r="K26" i="28"/>
  <c r="K26" i="29"/>
  <c r="J26" i="26"/>
  <c r="J26" i="27"/>
  <c r="J26" i="28"/>
  <c r="J26" i="29"/>
  <c r="I26" i="26"/>
  <c r="I26" i="27"/>
  <c r="I26" i="28"/>
  <c r="I26" i="29"/>
  <c r="H26" i="26"/>
  <c r="H26" i="27"/>
  <c r="H26" i="28"/>
  <c r="H26" i="29"/>
  <c r="G26" i="26"/>
  <c r="G26" i="27"/>
  <c r="F26" i="26"/>
  <c r="F26" i="27"/>
  <c r="F26" i="28"/>
  <c r="F26" i="29"/>
  <c r="E26" i="26"/>
  <c r="E26" i="27"/>
  <c r="E26" i="28"/>
  <c r="E26" i="29"/>
  <c r="D26" i="26"/>
  <c r="D26" i="27"/>
  <c r="D26" i="28"/>
  <c r="D26" i="29"/>
  <c r="R19" i="26"/>
  <c r="R19" i="27"/>
  <c r="R19" i="28"/>
  <c r="R19" i="29"/>
  <c r="Q19" i="26"/>
  <c r="Q19" i="27"/>
  <c r="Q19" i="28"/>
  <c r="Q19" i="29"/>
  <c r="P19" i="26"/>
  <c r="P19" i="27"/>
  <c r="P19" i="28"/>
  <c r="P19" i="29"/>
  <c r="O19" i="26"/>
  <c r="O19" i="27"/>
  <c r="O19" i="28"/>
  <c r="O19" i="29"/>
  <c r="N19" i="26"/>
  <c r="N19" i="27"/>
  <c r="N19" i="28"/>
  <c r="N19" i="29"/>
  <c r="M19" i="26"/>
  <c r="M19" i="27"/>
  <c r="M19" i="28"/>
  <c r="M19" i="29"/>
  <c r="L19" i="26"/>
  <c r="L19" i="27"/>
  <c r="L19" i="28"/>
  <c r="L19" i="29"/>
  <c r="K19" i="26"/>
  <c r="K19" i="27"/>
  <c r="K19" i="28"/>
  <c r="K19" i="29"/>
  <c r="J19" i="26"/>
  <c r="J19" i="27"/>
  <c r="J19" i="28"/>
  <c r="J19" i="29"/>
  <c r="I19" i="26"/>
  <c r="I19" i="27"/>
  <c r="I19" i="28"/>
  <c r="I19" i="29"/>
  <c r="H19" i="26"/>
  <c r="H19" i="27"/>
  <c r="H19" i="28"/>
  <c r="H19" i="29"/>
  <c r="G19" i="26"/>
  <c r="G19" i="27"/>
  <c r="G19" i="28"/>
  <c r="G19" i="29"/>
  <c r="F19" i="26"/>
  <c r="F19" i="27"/>
  <c r="F19" i="28"/>
  <c r="F19" i="29"/>
  <c r="E19" i="26"/>
  <c r="E19" i="27"/>
  <c r="E19" i="28"/>
  <c r="E19" i="29"/>
  <c r="D19" i="26"/>
  <c r="D19" i="27"/>
  <c r="R18" i="26"/>
  <c r="Q18" i="26"/>
  <c r="P18" i="26"/>
  <c r="O18" i="26"/>
  <c r="N18" i="26"/>
  <c r="M18" i="26"/>
  <c r="L18" i="26"/>
  <c r="K18" i="26"/>
  <c r="J18" i="26"/>
  <c r="I18" i="26"/>
  <c r="H18" i="26"/>
  <c r="G18" i="26"/>
  <c r="F18" i="26"/>
  <c r="E18" i="26"/>
  <c r="D18" i="26"/>
  <c r="L17" i="26"/>
  <c r="L17" i="27"/>
  <c r="L17" i="28"/>
  <c r="L17" i="29"/>
  <c r="J17" i="26"/>
  <c r="J17" i="27"/>
  <c r="J17" i="28"/>
  <c r="J17" i="29"/>
  <c r="I17" i="26"/>
  <c r="I17" i="27"/>
  <c r="I17" i="28"/>
  <c r="I17" i="29"/>
  <c r="R15" i="26"/>
  <c r="R15" i="27"/>
  <c r="R15" i="28"/>
  <c r="R15" i="29"/>
  <c r="Q15" i="26"/>
  <c r="Q15" i="27"/>
  <c r="Q15" i="28"/>
  <c r="Q15" i="29"/>
  <c r="P15" i="26"/>
  <c r="P15" i="27"/>
  <c r="P15" i="28"/>
  <c r="P15" i="29"/>
  <c r="O15" i="26"/>
  <c r="O15" i="27"/>
  <c r="O15" i="28"/>
  <c r="O15" i="29"/>
  <c r="N15" i="26"/>
  <c r="N15" i="27"/>
  <c r="N15" i="28"/>
  <c r="N15" i="29"/>
  <c r="M15" i="26"/>
  <c r="M15" i="27"/>
  <c r="M15" i="28"/>
  <c r="M15" i="29"/>
  <c r="L15" i="26"/>
  <c r="L15" i="27"/>
  <c r="L15" i="28"/>
  <c r="L15" i="29"/>
  <c r="K15" i="26"/>
  <c r="K15" i="27"/>
  <c r="K15" i="28"/>
  <c r="K15" i="29"/>
  <c r="J15" i="26"/>
  <c r="J15" i="27"/>
  <c r="J15" i="28"/>
  <c r="J15" i="29"/>
  <c r="I15" i="26"/>
  <c r="I15" i="27"/>
  <c r="I15" i="28"/>
  <c r="I15" i="29"/>
  <c r="H15" i="26"/>
  <c r="H15" i="27"/>
  <c r="H15" i="28"/>
  <c r="H15" i="29"/>
  <c r="G15" i="26"/>
  <c r="G15" i="27"/>
  <c r="G15" i="28"/>
  <c r="G15" i="29"/>
  <c r="T10" i="26"/>
  <c r="T10" i="27"/>
  <c r="T10" i="28"/>
  <c r="T10" i="29"/>
  <c r="T9" i="27"/>
  <c r="K10" i="26"/>
  <c r="K10" i="27"/>
  <c r="K10" i="28"/>
  <c r="K10" i="29"/>
  <c r="J10" i="26"/>
  <c r="J10" i="27"/>
  <c r="J10" i="28"/>
  <c r="J10" i="29"/>
  <c r="I10" i="26"/>
  <c r="I10" i="27"/>
  <c r="I10" i="28"/>
  <c r="I10" i="29"/>
  <c r="H10" i="26"/>
  <c r="H10" i="27"/>
  <c r="H10" i="28"/>
  <c r="H10" i="29"/>
  <c r="G10" i="26"/>
  <c r="G10" i="27"/>
  <c r="G10" i="28"/>
  <c r="G10" i="29"/>
  <c r="F10" i="26"/>
  <c r="F10" i="27"/>
  <c r="F10" i="28"/>
  <c r="F10" i="29"/>
  <c r="E10" i="26"/>
  <c r="E10" i="27"/>
  <c r="E10" i="28"/>
  <c r="E10" i="29"/>
  <c r="D10" i="26"/>
  <c r="D10" i="27"/>
  <c r="C87" i="26"/>
  <c r="B87" i="26"/>
  <c r="C86" i="26"/>
  <c r="B86" i="26"/>
  <c r="C85" i="26"/>
  <c r="B85" i="26"/>
  <c r="C84" i="26"/>
  <c r="B84" i="26"/>
  <c r="C83" i="26"/>
  <c r="B83" i="26"/>
  <c r="C82" i="26"/>
  <c r="B82" i="26"/>
  <c r="C81" i="26"/>
  <c r="B81" i="26"/>
  <c r="C80" i="26"/>
  <c r="B80" i="26"/>
  <c r="C79" i="26"/>
  <c r="B79" i="26"/>
  <c r="C75" i="26"/>
  <c r="B75" i="26"/>
  <c r="C74" i="26"/>
  <c r="B74" i="26"/>
  <c r="C73" i="26"/>
  <c r="B73" i="26"/>
  <c r="C72" i="26"/>
  <c r="B72" i="26"/>
  <c r="C71" i="26"/>
  <c r="B71" i="26"/>
  <c r="C70" i="26"/>
  <c r="B70" i="26"/>
  <c r="C69" i="26"/>
  <c r="B69" i="26"/>
  <c r="C68" i="26"/>
  <c r="B68" i="26"/>
  <c r="C67" i="26"/>
  <c r="B67" i="26"/>
  <c r="C66" i="26"/>
  <c r="B66" i="26"/>
  <c r="C62" i="26"/>
  <c r="B62" i="26"/>
  <c r="C61" i="26"/>
  <c r="B61" i="26"/>
  <c r="C60" i="26"/>
  <c r="B60" i="26"/>
  <c r="C59" i="26"/>
  <c r="B59" i="26"/>
  <c r="C58" i="26"/>
  <c r="B58" i="26"/>
  <c r="C57" i="26"/>
  <c r="B57" i="26"/>
  <c r="C56" i="26"/>
  <c r="B56" i="26"/>
  <c r="C55" i="26"/>
  <c r="B55" i="26"/>
  <c r="C49" i="26"/>
  <c r="B49" i="26"/>
  <c r="C45" i="26"/>
  <c r="B45" i="26"/>
  <c r="C44" i="26"/>
  <c r="B44" i="26"/>
  <c r="C43" i="26"/>
  <c r="B43" i="26"/>
  <c r="C42" i="26"/>
  <c r="B42" i="26"/>
  <c r="C41" i="26"/>
  <c r="B41" i="26"/>
  <c r="C40" i="26"/>
  <c r="B40" i="26"/>
  <c r="C39" i="26"/>
  <c r="B39" i="26"/>
  <c r="C38" i="26"/>
  <c r="B38" i="26"/>
  <c r="C37" i="26"/>
  <c r="B37" i="26"/>
  <c r="C33" i="26"/>
  <c r="B33" i="26"/>
  <c r="C32" i="26"/>
  <c r="B32" i="26"/>
  <c r="C31" i="26"/>
  <c r="B31" i="26"/>
  <c r="C30" i="26"/>
  <c r="B30" i="26"/>
  <c r="C29" i="26"/>
  <c r="B29" i="26"/>
  <c r="C28" i="26"/>
  <c r="B28" i="26"/>
  <c r="C27" i="26"/>
  <c r="B27" i="26"/>
  <c r="C26" i="26"/>
  <c r="B26" i="26"/>
  <c r="C22" i="26"/>
  <c r="B22" i="26"/>
  <c r="C20" i="26"/>
  <c r="B20" i="26"/>
  <c r="C19" i="26"/>
  <c r="B19" i="26"/>
  <c r="C18" i="26"/>
  <c r="B18" i="26"/>
  <c r="C17" i="26"/>
  <c r="B17" i="26"/>
  <c r="C16" i="26"/>
  <c r="B16" i="26"/>
  <c r="C15" i="26"/>
  <c r="B15" i="26"/>
  <c r="C12" i="26"/>
  <c r="B12" i="26"/>
  <c r="A1" i="26"/>
  <c r="O17" i="26"/>
  <c r="O17" i="27"/>
  <c r="O17" i="28"/>
  <c r="O17" i="29"/>
  <c r="P17" i="26"/>
  <c r="P17" i="27"/>
  <c r="P17" i="28"/>
  <c r="P17" i="29"/>
  <c r="N85" i="11"/>
  <c r="N85" i="12"/>
  <c r="L85" i="11"/>
  <c r="L85" i="12"/>
  <c r="K85" i="11"/>
  <c r="F85" i="11"/>
  <c r="E85" i="11"/>
  <c r="D85" i="11"/>
  <c r="D85" i="12"/>
  <c r="C85" i="11"/>
  <c r="M17" i="26"/>
  <c r="M17" i="27"/>
  <c r="M17" i="28"/>
  <c r="M17" i="29"/>
  <c r="R10" i="17"/>
  <c r="R10" i="26"/>
  <c r="R10" i="27"/>
  <c r="R10" i="28"/>
  <c r="R10" i="29"/>
  <c r="Q10" i="17"/>
  <c r="Q10" i="26"/>
  <c r="Q10" i="27"/>
  <c r="Q10" i="28"/>
  <c r="Q10" i="29"/>
  <c r="P10" i="17"/>
  <c r="P10" i="26"/>
  <c r="P10" i="27"/>
  <c r="P10" i="28"/>
  <c r="O10" i="17"/>
  <c r="O10" i="26"/>
  <c r="O10" i="27"/>
  <c r="O10" i="28"/>
  <c r="O10" i="29"/>
  <c r="N10" i="17"/>
  <c r="M10" i="17"/>
  <c r="M10" i="26"/>
  <c r="M10" i="27"/>
  <c r="M10" i="28"/>
  <c r="M10" i="29"/>
  <c r="L10" i="17"/>
  <c r="L10" i="26"/>
  <c r="L10" i="27"/>
  <c r="L10" i="28"/>
  <c r="L10" i="29"/>
  <c r="A3" i="16"/>
  <c r="A3" i="23"/>
  <c r="A3" i="8"/>
  <c r="C11" i="23"/>
  <c r="C32" i="23"/>
  <c r="E167" i="18"/>
  <c r="E168" i="18"/>
  <c r="D167" i="18"/>
  <c r="D168" i="18"/>
  <c r="C167" i="18"/>
  <c r="C166" i="18"/>
  <c r="C165" i="18"/>
  <c r="C164" i="18"/>
  <c r="O167" i="18"/>
  <c r="N161" i="26"/>
  <c r="N161" i="27"/>
  <c r="N161" i="28"/>
  <c r="N161" i="29"/>
  <c r="M167" i="18"/>
  <c r="L161" i="26"/>
  <c r="L161" i="27"/>
  <c r="L161" i="28"/>
  <c r="L161" i="29"/>
  <c r="K167" i="18"/>
  <c r="K168" i="18"/>
  <c r="J161" i="26"/>
  <c r="J161" i="27"/>
  <c r="J161" i="28"/>
  <c r="J161" i="29"/>
  <c r="I167" i="18"/>
  <c r="I168" i="18"/>
  <c r="H161" i="26"/>
  <c r="H161" i="27"/>
  <c r="H161" i="28"/>
  <c r="H161" i="29"/>
  <c r="G167" i="18"/>
  <c r="G168" i="18"/>
  <c r="F161" i="26"/>
  <c r="F161" i="27"/>
  <c r="S161" i="17"/>
  <c r="S160" i="17"/>
  <c r="S159" i="17"/>
  <c r="A34" i="23"/>
  <c r="A27" i="23"/>
  <c r="A20" i="23"/>
  <c r="A13" i="23"/>
  <c r="A6" i="23"/>
  <c r="A1" i="23"/>
  <c r="A3" i="22"/>
  <c r="A3" i="29"/>
  <c r="C87" i="22"/>
  <c r="B87" i="22"/>
  <c r="C86" i="22"/>
  <c r="B86" i="22"/>
  <c r="C85" i="22"/>
  <c r="B85" i="22"/>
  <c r="C84" i="22"/>
  <c r="B84" i="22"/>
  <c r="C83" i="22"/>
  <c r="B83" i="22"/>
  <c r="C82" i="22"/>
  <c r="B82" i="22"/>
  <c r="C81" i="22"/>
  <c r="B81" i="22"/>
  <c r="C80" i="22"/>
  <c r="B80" i="22"/>
  <c r="C79" i="22"/>
  <c r="B79" i="22"/>
  <c r="C75" i="22"/>
  <c r="B75" i="22"/>
  <c r="C74" i="22"/>
  <c r="B74" i="22"/>
  <c r="C73" i="22"/>
  <c r="B73" i="22"/>
  <c r="C72" i="22"/>
  <c r="B72" i="22"/>
  <c r="C71" i="22"/>
  <c r="B71" i="22"/>
  <c r="C70" i="22"/>
  <c r="B70" i="22"/>
  <c r="C69" i="22"/>
  <c r="B69" i="22"/>
  <c r="C68" i="22"/>
  <c r="B68" i="22"/>
  <c r="C67" i="22"/>
  <c r="B67" i="22"/>
  <c r="C66" i="22"/>
  <c r="B66" i="22"/>
  <c r="C62" i="22"/>
  <c r="B62" i="22"/>
  <c r="C61" i="22"/>
  <c r="B61" i="22"/>
  <c r="C60" i="22"/>
  <c r="B60" i="22"/>
  <c r="C59" i="22"/>
  <c r="B59" i="22"/>
  <c r="C58" i="22"/>
  <c r="B58" i="22"/>
  <c r="C57" i="22"/>
  <c r="B57" i="22"/>
  <c r="C56" i="22"/>
  <c r="B56" i="22"/>
  <c r="C55" i="22"/>
  <c r="B55" i="22"/>
  <c r="C45" i="22"/>
  <c r="B45" i="22"/>
  <c r="C44" i="22"/>
  <c r="B44" i="22"/>
  <c r="C43" i="22"/>
  <c r="B43" i="22"/>
  <c r="C42" i="22"/>
  <c r="B42" i="22"/>
  <c r="C41" i="22"/>
  <c r="B41" i="22"/>
  <c r="C40" i="22"/>
  <c r="B40" i="22"/>
  <c r="C39" i="22"/>
  <c r="B39" i="22"/>
  <c r="C38" i="22"/>
  <c r="B38" i="22"/>
  <c r="C37" i="22"/>
  <c r="B37" i="22"/>
  <c r="C33" i="22"/>
  <c r="B33" i="22"/>
  <c r="C32" i="22"/>
  <c r="B32" i="22"/>
  <c r="C31" i="22"/>
  <c r="B31" i="22"/>
  <c r="C30" i="22"/>
  <c r="B30" i="22"/>
  <c r="C29" i="22"/>
  <c r="B29" i="22"/>
  <c r="C28" i="22"/>
  <c r="B28" i="22"/>
  <c r="C27" i="22"/>
  <c r="B27" i="22"/>
  <c r="C26" i="22"/>
  <c r="B26" i="22"/>
  <c r="C22" i="22"/>
  <c r="B22" i="22"/>
  <c r="C20" i="22"/>
  <c r="B20" i="22"/>
  <c r="C19" i="22"/>
  <c r="B19" i="22"/>
  <c r="C18" i="22"/>
  <c r="B18" i="22"/>
  <c r="C17" i="22"/>
  <c r="B17" i="22"/>
  <c r="C16" i="22"/>
  <c r="B16" i="22"/>
  <c r="C15" i="22"/>
  <c r="B15" i="22"/>
  <c r="C12" i="22"/>
  <c r="B12" i="22"/>
  <c r="A1" i="22"/>
  <c r="A3" i="21"/>
  <c r="A3" i="28" s="1"/>
  <c r="C87" i="21"/>
  <c r="B87" i="21"/>
  <c r="C86" i="21"/>
  <c r="B86" i="21"/>
  <c r="C85" i="21"/>
  <c r="B85" i="21"/>
  <c r="C84" i="21"/>
  <c r="B84" i="21"/>
  <c r="C83" i="21"/>
  <c r="B83" i="21"/>
  <c r="C82" i="21"/>
  <c r="B82" i="21"/>
  <c r="C81" i="21"/>
  <c r="B81" i="21"/>
  <c r="C80" i="21"/>
  <c r="B80" i="21"/>
  <c r="C79" i="21"/>
  <c r="B79" i="21"/>
  <c r="C75" i="21"/>
  <c r="B75" i="21"/>
  <c r="C74" i="21"/>
  <c r="B74" i="21"/>
  <c r="C73" i="21"/>
  <c r="B73" i="21"/>
  <c r="C72" i="21"/>
  <c r="B72" i="21"/>
  <c r="C71" i="21"/>
  <c r="B71" i="21"/>
  <c r="C70" i="21"/>
  <c r="B70" i="21"/>
  <c r="C69" i="21"/>
  <c r="B69" i="21"/>
  <c r="C68" i="21"/>
  <c r="B68" i="21"/>
  <c r="C67" i="21"/>
  <c r="B67" i="21"/>
  <c r="C66" i="21"/>
  <c r="B66" i="21"/>
  <c r="C62" i="21"/>
  <c r="B62" i="21"/>
  <c r="C61" i="21"/>
  <c r="B61" i="21"/>
  <c r="C60" i="21"/>
  <c r="B60" i="21"/>
  <c r="C59" i="21"/>
  <c r="B59" i="21"/>
  <c r="C58" i="21"/>
  <c r="B58" i="21"/>
  <c r="C57" i="21"/>
  <c r="B57" i="21"/>
  <c r="C56" i="21"/>
  <c r="B56" i="21"/>
  <c r="C55" i="21"/>
  <c r="B55" i="21"/>
  <c r="C45" i="21"/>
  <c r="B45" i="21"/>
  <c r="C44" i="21"/>
  <c r="B44" i="21"/>
  <c r="C43" i="21"/>
  <c r="B43" i="21"/>
  <c r="C42" i="21"/>
  <c r="B42" i="21"/>
  <c r="C41" i="21"/>
  <c r="B41" i="21"/>
  <c r="C40" i="21"/>
  <c r="B40" i="21"/>
  <c r="C39" i="21"/>
  <c r="B39" i="21"/>
  <c r="C38" i="21"/>
  <c r="B38" i="21"/>
  <c r="C37" i="21"/>
  <c r="B37" i="21"/>
  <c r="C33" i="21"/>
  <c r="B33" i="21"/>
  <c r="C32" i="21"/>
  <c r="B32" i="21"/>
  <c r="C31" i="21"/>
  <c r="B31" i="21"/>
  <c r="C30" i="21"/>
  <c r="B30" i="21"/>
  <c r="C29" i="21"/>
  <c r="B29" i="21"/>
  <c r="C28" i="21"/>
  <c r="B28" i="21"/>
  <c r="C27" i="21"/>
  <c r="B27" i="21"/>
  <c r="C26" i="21"/>
  <c r="B26" i="21"/>
  <c r="C22" i="21"/>
  <c r="B22" i="21"/>
  <c r="C20" i="21"/>
  <c r="B20" i="21"/>
  <c r="C19" i="21"/>
  <c r="B19" i="21"/>
  <c r="C18" i="21"/>
  <c r="B18" i="21"/>
  <c r="C17" i="21"/>
  <c r="B17" i="21"/>
  <c r="C16" i="21"/>
  <c r="B16" i="21"/>
  <c r="C15" i="21"/>
  <c r="B15" i="21"/>
  <c r="C12" i="21"/>
  <c r="B12" i="21"/>
  <c r="A1" i="21"/>
  <c r="A3" i="27"/>
  <c r="A3" i="26"/>
  <c r="C87" i="17"/>
  <c r="B87" i="17"/>
  <c r="C86" i="17"/>
  <c r="B86" i="17"/>
  <c r="C85" i="17"/>
  <c r="B85" i="17"/>
  <c r="C84" i="17"/>
  <c r="B84" i="17"/>
  <c r="C83" i="17"/>
  <c r="B83" i="17"/>
  <c r="C82" i="17"/>
  <c r="B82" i="17"/>
  <c r="C81" i="17"/>
  <c r="B81" i="17"/>
  <c r="C80" i="17"/>
  <c r="B80" i="17"/>
  <c r="C79" i="17"/>
  <c r="B79" i="17"/>
  <c r="C75" i="17"/>
  <c r="B75" i="17"/>
  <c r="C74" i="17"/>
  <c r="B74" i="17"/>
  <c r="C73" i="17"/>
  <c r="B73" i="17"/>
  <c r="C72" i="17"/>
  <c r="B72" i="17"/>
  <c r="C71" i="17"/>
  <c r="B71" i="17"/>
  <c r="C70" i="17"/>
  <c r="B70" i="17"/>
  <c r="C69" i="17"/>
  <c r="B69" i="17"/>
  <c r="C68" i="17"/>
  <c r="B68" i="17"/>
  <c r="C67" i="17"/>
  <c r="B67" i="17"/>
  <c r="C66" i="17"/>
  <c r="B66" i="17"/>
  <c r="C62" i="17"/>
  <c r="B62" i="17"/>
  <c r="C61" i="17"/>
  <c r="B61" i="17"/>
  <c r="C60" i="17"/>
  <c r="B60" i="17"/>
  <c r="C59" i="17"/>
  <c r="B59" i="17"/>
  <c r="C58" i="17"/>
  <c r="B58" i="17"/>
  <c r="C57" i="17"/>
  <c r="B57" i="17"/>
  <c r="C56" i="17"/>
  <c r="B56" i="17"/>
  <c r="B55" i="17"/>
  <c r="C55" i="17"/>
  <c r="C49" i="17"/>
  <c r="B49" i="17"/>
  <c r="C45" i="17"/>
  <c r="B45" i="17"/>
  <c r="C44" i="17"/>
  <c r="B44" i="17"/>
  <c r="C43" i="17"/>
  <c r="B43" i="17"/>
  <c r="C42" i="17"/>
  <c r="B42" i="17"/>
  <c r="C41" i="17"/>
  <c r="B41" i="17"/>
  <c r="C40" i="17"/>
  <c r="B40" i="17"/>
  <c r="C39" i="17"/>
  <c r="B39" i="17"/>
  <c r="C38" i="17"/>
  <c r="B38" i="17"/>
  <c r="C37" i="17"/>
  <c r="B37" i="17"/>
  <c r="C33" i="17"/>
  <c r="B33" i="17"/>
  <c r="C32" i="17"/>
  <c r="B32" i="17"/>
  <c r="C31" i="17"/>
  <c r="B31" i="17"/>
  <c r="C30" i="17"/>
  <c r="B30" i="17"/>
  <c r="C29" i="17"/>
  <c r="B29" i="17"/>
  <c r="C28" i="17"/>
  <c r="B28" i="17"/>
  <c r="C27" i="17"/>
  <c r="B27" i="17"/>
  <c r="C26" i="17"/>
  <c r="B26" i="17"/>
  <c r="C22" i="17"/>
  <c r="B22" i="17"/>
  <c r="C20" i="17"/>
  <c r="B20" i="17"/>
  <c r="C19" i="17"/>
  <c r="B19" i="17"/>
  <c r="C18" i="17"/>
  <c r="B18" i="17"/>
  <c r="C17" i="17"/>
  <c r="B17" i="17"/>
  <c r="C16" i="17"/>
  <c r="B16" i="17"/>
  <c r="C15" i="17"/>
  <c r="B15" i="17"/>
  <c r="C12" i="17"/>
  <c r="B12" i="17"/>
  <c r="A3" i="18"/>
  <c r="A3" i="17" s="1"/>
  <c r="T158" i="17" s="1"/>
  <c r="A1" i="18"/>
  <c r="S133" i="17"/>
  <c r="S132" i="17"/>
  <c r="S95" i="17"/>
  <c r="S87" i="17"/>
  <c r="S86" i="17"/>
  <c r="S85" i="17"/>
  <c r="S84" i="17"/>
  <c r="S83" i="17"/>
  <c r="S82" i="17"/>
  <c r="S81" i="17"/>
  <c r="S80" i="17"/>
  <c r="S71" i="17"/>
  <c r="S70" i="17"/>
  <c r="S61" i="17"/>
  <c r="S59" i="17"/>
  <c r="R17" i="26"/>
  <c r="R17" i="27"/>
  <c r="R17" i="28"/>
  <c r="R17" i="29"/>
  <c r="F17" i="26"/>
  <c r="F17" i="27"/>
  <c r="F17" i="28"/>
  <c r="F17" i="29"/>
  <c r="Q17" i="26"/>
  <c r="Q17" i="27"/>
  <c r="Q17" i="28"/>
  <c r="Q17" i="29"/>
  <c r="N17" i="26"/>
  <c r="N17" i="27"/>
  <c r="N17" i="28"/>
  <c r="N17" i="29"/>
  <c r="K17" i="26"/>
  <c r="K17" i="27"/>
  <c r="K17" i="28"/>
  <c r="K17" i="29"/>
  <c r="H17" i="26"/>
  <c r="H17" i="27"/>
  <c r="H17" i="28"/>
  <c r="H17" i="29"/>
  <c r="G17" i="26"/>
  <c r="G17" i="27"/>
  <c r="G17" i="28"/>
  <c r="G17" i="29"/>
  <c r="E17" i="26"/>
  <c r="D17" i="26"/>
  <c r="F15" i="26"/>
  <c r="F15" i="27"/>
  <c r="F15" i="28"/>
  <c r="F15" i="29"/>
  <c r="E15" i="26"/>
  <c r="E15" i="27"/>
  <c r="E15" i="28"/>
  <c r="E15" i="29"/>
  <c r="D15" i="26"/>
  <c r="D15" i="27"/>
  <c r="D15" i="28"/>
  <c r="D15" i="29"/>
  <c r="R22" i="26"/>
  <c r="R22" i="27"/>
  <c r="R22" i="28"/>
  <c r="R22" i="29"/>
  <c r="P22" i="26"/>
  <c r="P22" i="27"/>
  <c r="P22" i="28"/>
  <c r="P22" i="29"/>
  <c r="O22" i="26"/>
  <c r="O22" i="27"/>
  <c r="O22" i="28"/>
  <c r="O22" i="29"/>
  <c r="N22" i="26"/>
  <c r="N22" i="27"/>
  <c r="N22" i="28"/>
  <c r="N22" i="29"/>
  <c r="M22" i="26"/>
  <c r="M22" i="27"/>
  <c r="M22" i="28"/>
  <c r="M22" i="29"/>
  <c r="L22" i="26"/>
  <c r="L22" i="27"/>
  <c r="L22" i="28"/>
  <c r="L22" i="29"/>
  <c r="K22" i="26"/>
  <c r="K22" i="27"/>
  <c r="K22" i="28"/>
  <c r="K22" i="29"/>
  <c r="J22" i="26"/>
  <c r="J22" i="27"/>
  <c r="J22" i="28"/>
  <c r="J22" i="29"/>
  <c r="I22" i="26"/>
  <c r="I22" i="27"/>
  <c r="I22" i="28"/>
  <c r="I22" i="29"/>
  <c r="H22" i="26"/>
  <c r="H22" i="27"/>
  <c r="H22" i="28"/>
  <c r="H22" i="29"/>
  <c r="G22" i="26"/>
  <c r="G22" i="27"/>
  <c r="G22" i="28"/>
  <c r="G22" i="29"/>
  <c r="F22" i="26"/>
  <c r="F22" i="27"/>
  <c r="F22" i="28"/>
  <c r="F22" i="29"/>
  <c r="E22" i="26"/>
  <c r="E22" i="27"/>
  <c r="E22" i="28"/>
  <c r="E22" i="29"/>
  <c r="D22" i="26"/>
  <c r="D22" i="27"/>
  <c r="P20" i="26"/>
  <c r="P20" i="27"/>
  <c r="P20" i="28"/>
  <c r="P20" i="29"/>
  <c r="N20" i="26"/>
  <c r="N20" i="27"/>
  <c r="N20" i="28"/>
  <c r="N20" i="29"/>
  <c r="M20" i="26"/>
  <c r="M20" i="27"/>
  <c r="M20" i="28"/>
  <c r="M20" i="29"/>
  <c r="M20" i="22"/>
  <c r="L20" i="26"/>
  <c r="L20" i="27"/>
  <c r="L20" i="28"/>
  <c r="L20" i="29"/>
  <c r="K20" i="26"/>
  <c r="K20" i="27"/>
  <c r="K20" i="28"/>
  <c r="K20" i="29"/>
  <c r="K20" i="22"/>
  <c r="J20" i="26"/>
  <c r="J20" i="27"/>
  <c r="J20" i="28"/>
  <c r="J20" i="29"/>
  <c r="J20" i="22"/>
  <c r="I20" i="26"/>
  <c r="I20" i="27"/>
  <c r="I20" i="28"/>
  <c r="I20" i="29"/>
  <c r="H20" i="26"/>
  <c r="H20" i="27"/>
  <c r="H20" i="28"/>
  <c r="H20" i="29"/>
  <c r="G20" i="26"/>
  <c r="G20" i="27"/>
  <c r="G20" i="28"/>
  <c r="G20" i="29"/>
  <c r="F20" i="26"/>
  <c r="F20" i="27"/>
  <c r="F20" i="28"/>
  <c r="F20" i="29"/>
  <c r="E20" i="26"/>
  <c r="E20" i="27"/>
  <c r="E20" i="28"/>
  <c r="E20" i="29"/>
  <c r="E20" i="22"/>
  <c r="D20" i="26"/>
  <c r="D20" i="27"/>
  <c r="R16" i="17"/>
  <c r="R16" i="26"/>
  <c r="R16" i="27"/>
  <c r="R16" i="28"/>
  <c r="R16" i="29"/>
  <c r="Q16" i="17"/>
  <c r="Q16" i="26"/>
  <c r="Q16" i="27"/>
  <c r="Q16" i="28"/>
  <c r="Q16" i="29"/>
  <c r="P16" i="17"/>
  <c r="P16" i="26"/>
  <c r="P16" i="27"/>
  <c r="P16" i="28"/>
  <c r="P16" i="29"/>
  <c r="O16" i="17"/>
  <c r="O16" i="26"/>
  <c r="O16" i="27"/>
  <c r="O16" i="28"/>
  <c r="O16" i="29"/>
  <c r="N16" i="17"/>
  <c r="N16" i="26"/>
  <c r="N16" i="27"/>
  <c r="N16" i="28"/>
  <c r="N16" i="29"/>
  <c r="M16" i="17"/>
  <c r="M16" i="26"/>
  <c r="M16" i="27"/>
  <c r="M16" i="28"/>
  <c r="M16" i="29"/>
  <c r="L16" i="17"/>
  <c r="L16" i="26"/>
  <c r="L16" i="27"/>
  <c r="L16" i="28"/>
  <c r="L16" i="29"/>
  <c r="K16" i="17"/>
  <c r="K16" i="26"/>
  <c r="K16" i="27"/>
  <c r="K16" i="28"/>
  <c r="K16" i="29"/>
  <c r="J16" i="17"/>
  <c r="J16" i="26"/>
  <c r="J16" i="27"/>
  <c r="J16" i="28"/>
  <c r="J16" i="29"/>
  <c r="I16" i="17"/>
  <c r="I16" i="26"/>
  <c r="I16" i="27"/>
  <c r="I16" i="28"/>
  <c r="I16" i="29"/>
  <c r="H16" i="17"/>
  <c r="H16" i="26"/>
  <c r="H16" i="27"/>
  <c r="H16" i="28"/>
  <c r="H16" i="29"/>
  <c r="G16" i="17"/>
  <c r="G16" i="26"/>
  <c r="G16" i="27"/>
  <c r="G16" i="28"/>
  <c r="G16" i="29"/>
  <c r="F16" i="17"/>
  <c r="F16" i="26"/>
  <c r="E16" i="17"/>
  <c r="E16" i="26"/>
  <c r="D16" i="17"/>
  <c r="D16" i="26"/>
  <c r="S9" i="17"/>
  <c r="S155" i="17"/>
  <c r="S154" i="17"/>
  <c r="S153" i="17"/>
  <c r="S152" i="17"/>
  <c r="S148" i="17"/>
  <c r="S144" i="17"/>
  <c r="S143" i="17"/>
  <c r="S131" i="17"/>
  <c r="S130" i="17"/>
  <c r="S129" i="17"/>
  <c r="S128" i="17"/>
  <c r="S127" i="17"/>
  <c r="S126" i="17"/>
  <c r="S125" i="17"/>
  <c r="S124" i="17"/>
  <c r="S123" i="17"/>
  <c r="S122" i="17"/>
  <c r="S121" i="17"/>
  <c r="S120" i="17"/>
  <c r="S119" i="17"/>
  <c r="S118" i="17"/>
  <c r="S117" i="17"/>
  <c r="S116" i="17"/>
  <c r="S115" i="17"/>
  <c r="S114" i="17"/>
  <c r="S113" i="17"/>
  <c r="S112" i="17"/>
  <c r="S108" i="17"/>
  <c r="S96" i="17"/>
  <c r="S94" i="17"/>
  <c r="S93" i="17"/>
  <c r="S92" i="17"/>
  <c r="S91" i="17"/>
  <c r="S79" i="17"/>
  <c r="S75" i="17"/>
  <c r="S74" i="17"/>
  <c r="S73" i="17"/>
  <c r="S72" i="17"/>
  <c r="S69" i="17"/>
  <c r="S68" i="17"/>
  <c r="S67" i="17"/>
  <c r="S66" i="17"/>
  <c r="S62" i="17"/>
  <c r="S60" i="17"/>
  <c r="S58" i="17"/>
  <c r="S57" i="17"/>
  <c r="S56" i="17"/>
  <c r="S55" i="17"/>
  <c r="S49" i="17"/>
  <c r="S45" i="17"/>
  <c r="S44" i="17"/>
  <c r="S43" i="17"/>
  <c r="S42" i="17"/>
  <c r="S41" i="17"/>
  <c r="S40" i="17"/>
  <c r="S39" i="17"/>
  <c r="S38" i="17"/>
  <c r="S37" i="17"/>
  <c r="S33" i="17"/>
  <c r="S32" i="17"/>
  <c r="S31" i="17"/>
  <c r="S30" i="17"/>
  <c r="S29" i="17"/>
  <c r="S28" i="17"/>
  <c r="S27" i="17"/>
  <c r="S26" i="17"/>
  <c r="S19" i="17"/>
  <c r="S18" i="17"/>
  <c r="A1" i="17"/>
  <c r="N6" i="16"/>
  <c r="L6" i="16"/>
  <c r="J6" i="16"/>
  <c r="H6" i="16"/>
  <c r="I6" i="15"/>
  <c r="O6" i="15" s="1"/>
  <c r="H6" i="15"/>
  <c r="N6" i="15" s="1"/>
  <c r="G6" i="15"/>
  <c r="M6" i="15" s="1"/>
  <c r="E6" i="15"/>
  <c r="L6" i="15" s="1"/>
  <c r="D6" i="15"/>
  <c r="K6" i="15" s="1"/>
  <c r="A3" i="13"/>
  <c r="A3" i="12"/>
  <c r="A3" i="11"/>
  <c r="A3" i="10"/>
  <c r="I7" i="8"/>
  <c r="H7" i="8"/>
  <c r="G7" i="8"/>
  <c r="E7" i="8"/>
  <c r="V6" i="9"/>
  <c r="U6" i="9"/>
  <c r="T6" i="9"/>
  <c r="R6" i="9"/>
  <c r="D7" i="8"/>
  <c r="D6" i="9"/>
  <c r="A1" i="8"/>
  <c r="A1" i="9"/>
  <c r="A1" i="10"/>
  <c r="A1" i="11"/>
  <c r="A1" i="12"/>
  <c r="A1" i="13"/>
  <c r="A1" i="15"/>
  <c r="H69" i="14"/>
  <c r="H70" i="14" s="1"/>
  <c r="G69" i="14"/>
  <c r="G70" i="14" s="1"/>
  <c r="E69" i="14"/>
  <c r="E70" i="14" s="1"/>
  <c r="D39" i="14"/>
  <c r="H39" i="14"/>
  <c r="D153" i="27"/>
  <c r="D153" i="28"/>
  <c r="D153" i="29"/>
  <c r="R106" i="9"/>
  <c r="M152" i="33" s="1"/>
  <c r="M153" i="33" s="1"/>
  <c r="E39" i="14"/>
  <c r="F39" i="14"/>
  <c r="R111" i="9"/>
  <c r="G39" i="14"/>
  <c r="T9" i="28"/>
  <c r="T9" i="29"/>
  <c r="R12" i="26"/>
  <c r="D33" i="27"/>
  <c r="D33" i="28"/>
  <c r="E147" i="27"/>
  <c r="E147" i="28"/>
  <c r="R20" i="26"/>
  <c r="R20" i="27"/>
  <c r="R20" i="28"/>
  <c r="R20" i="29"/>
  <c r="Q20" i="26"/>
  <c r="Q20" i="27"/>
  <c r="Q20" i="28"/>
  <c r="Q20" i="29"/>
  <c r="O20" i="26"/>
  <c r="O20" i="27"/>
  <c r="O20" i="28"/>
  <c r="O20" i="29"/>
  <c r="S17" i="17"/>
  <c r="S20" i="17"/>
  <c r="D113" i="27"/>
  <c r="D113" i="28"/>
  <c r="D115" i="27"/>
  <c r="D115" i="28"/>
  <c r="D117" i="27"/>
  <c r="D117" i="28"/>
  <c r="D117" i="29"/>
  <c r="D123" i="27"/>
  <c r="D123" i="28"/>
  <c r="I161" i="26"/>
  <c r="I161" i="27"/>
  <c r="I161" i="28"/>
  <c r="I161" i="29"/>
  <c r="M161" i="26"/>
  <c r="M161" i="27"/>
  <c r="M161" i="28"/>
  <c r="M161" i="29"/>
  <c r="G161" i="26"/>
  <c r="G161" i="27"/>
  <c r="G161" i="28"/>
  <c r="G161" i="29"/>
  <c r="K161" i="26"/>
  <c r="K161" i="27"/>
  <c r="K161" i="28"/>
  <c r="K161" i="29"/>
  <c r="O161" i="26"/>
  <c r="O161" i="27"/>
  <c r="O161" i="28"/>
  <c r="O161" i="29"/>
  <c r="D17" i="27"/>
  <c r="D17" i="28"/>
  <c r="D17" i="29"/>
  <c r="G12" i="26"/>
  <c r="O12" i="26"/>
  <c r="Q12" i="26"/>
  <c r="D38" i="27"/>
  <c r="D42" i="27"/>
  <c r="D42" i="28"/>
  <c r="D43" i="27"/>
  <c r="D43" i="28"/>
  <c r="D45" i="27"/>
  <c r="D45" i="28"/>
  <c r="D45" i="29"/>
  <c r="D55" i="27"/>
  <c r="D55" i="28"/>
  <c r="D55" i="29"/>
  <c r="D59" i="29"/>
  <c r="D66" i="29"/>
  <c r="D74" i="29"/>
  <c r="D111" i="27"/>
  <c r="D111" i="28"/>
  <c r="D129" i="27"/>
  <c r="D129" i="28"/>
  <c r="D129" i="29"/>
  <c r="D131" i="27"/>
  <c r="D131" i="28"/>
  <c r="D131" i="29"/>
  <c r="D142" i="27"/>
  <c r="E159" i="27"/>
  <c r="E159" i="28"/>
  <c r="E159" i="29"/>
  <c r="G159" i="27"/>
  <c r="G159" i="28"/>
  <c r="G159" i="29"/>
  <c r="O159" i="27"/>
  <c r="O159" i="28"/>
  <c r="O159" i="29"/>
  <c r="D160" i="27"/>
  <c r="D160" i="28"/>
  <c r="D160" i="29"/>
  <c r="F160" i="27"/>
  <c r="H160" i="27"/>
  <c r="H160" i="28"/>
  <c r="H160" i="29"/>
  <c r="H167" i="18"/>
  <c r="H168" i="18"/>
  <c r="I12" i="26"/>
  <c r="M12" i="26"/>
  <c r="F12" i="26"/>
  <c r="H12" i="26"/>
  <c r="N12" i="26"/>
  <c r="P12" i="26"/>
  <c r="D67" i="29"/>
  <c r="D69" i="29"/>
  <c r="D81" i="29"/>
  <c r="D83" i="29"/>
  <c r="D86" i="29"/>
  <c r="D87" i="29"/>
  <c r="D114" i="29"/>
  <c r="D143" i="28"/>
  <c r="D143" i="29"/>
  <c r="E158" i="29"/>
  <c r="E159" i="22"/>
  <c r="G159" i="21"/>
  <c r="I159" i="21"/>
  <c r="I158" i="29"/>
  <c r="I159" i="22"/>
  <c r="K159" i="21"/>
  <c r="O159" i="21"/>
  <c r="O158" i="29"/>
  <c r="O159" i="22"/>
  <c r="D159" i="27"/>
  <c r="D159" i="28"/>
  <c r="D159" i="29"/>
  <c r="F159" i="27"/>
  <c r="H159" i="27"/>
  <c r="L159" i="27"/>
  <c r="L159" i="28"/>
  <c r="L159" i="29"/>
  <c r="N159" i="27"/>
  <c r="N159" i="28"/>
  <c r="N159" i="29"/>
  <c r="I160" i="27"/>
  <c r="I160" i="28"/>
  <c r="I160" i="29"/>
  <c r="F167" i="18"/>
  <c r="F168" i="18"/>
  <c r="J167" i="18"/>
  <c r="J168" i="18"/>
  <c r="N167" i="18"/>
  <c r="C25" i="23"/>
  <c r="W87" i="13"/>
  <c r="W87" i="12"/>
  <c r="U40" i="9"/>
  <c r="S22" i="17"/>
  <c r="Q22" i="26"/>
  <c r="Q22" i="27"/>
  <c r="Q22" i="28"/>
  <c r="Q22" i="29"/>
  <c r="C120" i="26"/>
  <c r="B152" i="29"/>
  <c r="G81" i="8"/>
  <c r="T106" i="9"/>
  <c r="W87" i="11"/>
  <c r="T40" i="9"/>
  <c r="C39" i="23"/>
  <c r="C18" i="23"/>
  <c r="C46" i="23"/>
  <c r="N12" i="27"/>
  <c r="J12" i="27"/>
  <c r="M12" i="27"/>
  <c r="E12" i="27"/>
  <c r="O12" i="27"/>
  <c r="G12" i="27"/>
  <c r="H159" i="28"/>
  <c r="H159" i="29"/>
  <c r="F159" i="28"/>
  <c r="F159" i="29"/>
  <c r="P12" i="27"/>
  <c r="L12" i="27"/>
  <c r="H12" i="27"/>
  <c r="I12" i="27"/>
  <c r="F160" i="28"/>
  <c r="F160" i="29"/>
  <c r="D142" i="28"/>
  <c r="D142" i="29"/>
  <c r="D38" i="28"/>
  <c r="D38" i="21"/>
  <c r="H81" i="8"/>
  <c r="V106" i="9"/>
  <c r="G147" i="22" s="1"/>
  <c r="G148" i="22" s="1"/>
  <c r="U106" i="9"/>
  <c r="Q12" i="27"/>
  <c r="Q12" i="28"/>
  <c r="L12" i="28"/>
  <c r="O12" i="28"/>
  <c r="M12" i="28"/>
  <c r="P12" i="28"/>
  <c r="E12" i="28"/>
  <c r="I81" i="8"/>
  <c r="P12" i="29"/>
  <c r="P12" i="21"/>
  <c r="O12" i="29"/>
  <c r="O12" i="21"/>
  <c r="Q12" i="29"/>
  <c r="Q12" i="21"/>
  <c r="M12" i="29"/>
  <c r="M12" i="21"/>
  <c r="L12" i="29"/>
  <c r="L12" i="21"/>
  <c r="X87" i="11"/>
  <c r="T41" i="9"/>
  <c r="X87" i="13"/>
  <c r="G9" i="29"/>
  <c r="G12" i="29"/>
  <c r="G12" i="21"/>
  <c r="G12" i="28"/>
  <c r="I9" i="29"/>
  <c r="I12" i="29"/>
  <c r="I12" i="21"/>
  <c r="H9" i="29"/>
  <c r="H12" i="29"/>
  <c r="H12" i="21"/>
  <c r="H12" i="28"/>
  <c r="N10" i="26"/>
  <c r="N10" i="27"/>
  <c r="N10" i="28"/>
  <c r="N10" i="29"/>
  <c r="S15" i="17"/>
  <c r="Q20" i="22"/>
  <c r="L20" i="22"/>
  <c r="O20" i="22"/>
  <c r="N20" i="22"/>
  <c r="R20" i="22"/>
  <c r="P20" i="22"/>
  <c r="I20" i="22"/>
  <c r="G20" i="22"/>
  <c r="F20" i="22"/>
  <c r="H20" i="22"/>
  <c r="O20" i="21"/>
  <c r="H20" i="21"/>
  <c r="L20" i="21"/>
  <c r="Q20" i="21"/>
  <c r="K20" i="21"/>
  <c r="P20" i="21"/>
  <c r="N20" i="21"/>
  <c r="M20" i="21"/>
  <c r="G20" i="21"/>
  <c r="F20" i="21"/>
  <c r="R20" i="21"/>
  <c r="R135" i="25"/>
  <c r="O13" i="21"/>
  <c r="G13" i="21"/>
  <c r="Q13" i="21"/>
  <c r="R13" i="21"/>
  <c r="K13" i="21"/>
  <c r="N13" i="21"/>
  <c r="D13" i="21"/>
  <c r="H13" i="21"/>
  <c r="M13" i="21"/>
  <c r="F13" i="21"/>
  <c r="P13" i="21"/>
  <c r="I13" i="21"/>
  <c r="L13" i="21"/>
  <c r="J13" i="21"/>
  <c r="I13" i="22"/>
  <c r="G13" i="22"/>
  <c r="F13" i="22"/>
  <c r="D13" i="22"/>
  <c r="R13" i="22"/>
  <c r="M13" i="22"/>
  <c r="J13" i="22"/>
  <c r="Q13" i="22"/>
  <c r="N13" i="22"/>
  <c r="K13" i="22"/>
  <c r="P13" i="22"/>
  <c r="H13" i="22"/>
  <c r="O13" i="22"/>
  <c r="L13" i="22"/>
  <c r="V112" i="9"/>
  <c r="U112" i="9"/>
  <c r="T112" i="9"/>
  <c r="R112" i="9"/>
  <c r="T77" i="9"/>
  <c r="T74" i="9"/>
  <c r="T69" i="9"/>
  <c r="T71" i="9"/>
  <c r="J119" i="34" s="1"/>
  <c r="T70" i="9"/>
  <c r="T73" i="9"/>
  <c r="D46" i="21"/>
  <c r="F46" i="21"/>
  <c r="H46" i="21"/>
  <c r="J46" i="21"/>
  <c r="L46" i="21"/>
  <c r="N46" i="21"/>
  <c r="P46" i="21"/>
  <c r="B142" i="22"/>
  <c r="K127" i="18"/>
  <c r="M94" i="25" s="1"/>
  <c r="B100" i="17"/>
  <c r="B142" i="28"/>
  <c r="O107" i="18"/>
  <c r="L127" i="18"/>
  <c r="R68" i="9"/>
  <c r="R48" i="9"/>
  <c r="D97" i="33" s="1"/>
  <c r="U69" i="9"/>
  <c r="I32" i="8"/>
  <c r="V68" i="9"/>
  <c r="U68" i="9"/>
  <c r="G111" i="21" s="1"/>
  <c r="T68" i="9"/>
  <c r="O12" i="22"/>
  <c r="E12" i="22"/>
  <c r="N12" i="22"/>
  <c r="P12" i="22"/>
  <c r="G12" i="22"/>
  <c r="M12" i="22"/>
  <c r="Q12" i="22"/>
  <c r="F70" i="14"/>
  <c r="K107" i="18"/>
  <c r="M107" i="18"/>
  <c r="F102" i="18"/>
  <c r="X88" i="10"/>
  <c r="W88" i="10"/>
  <c r="R40" i="9"/>
  <c r="D67" i="18"/>
  <c r="F24" i="25"/>
  <c r="N130" i="28"/>
  <c r="N130" i="29"/>
  <c r="L130" i="28"/>
  <c r="L130" i="29"/>
  <c r="K130" i="28"/>
  <c r="K130" i="29"/>
  <c r="G131" i="28"/>
  <c r="G131" i="29"/>
  <c r="I131" i="28"/>
  <c r="I131" i="29"/>
  <c r="M131" i="28"/>
  <c r="M131" i="29"/>
  <c r="N131" i="28"/>
  <c r="N131" i="29"/>
  <c r="L131" i="28"/>
  <c r="L131" i="29"/>
  <c r="M126" i="28"/>
  <c r="M126" i="29"/>
  <c r="G126" i="28"/>
  <c r="G126" i="29"/>
  <c r="E126" i="28"/>
  <c r="M112" i="29"/>
  <c r="P55" i="28"/>
  <c r="P55" i="29"/>
  <c r="Q26" i="28"/>
  <c r="Q26" i="29"/>
  <c r="G26" i="28"/>
  <c r="I60" i="28"/>
  <c r="I60" i="29"/>
  <c r="E128" i="27"/>
  <c r="E128" i="28"/>
  <c r="E128" i="29"/>
  <c r="R146" i="25"/>
  <c r="U74" i="9"/>
  <c r="S87" i="11"/>
  <c r="E126" i="29"/>
  <c r="G26" i="29"/>
  <c r="S87" i="12"/>
  <c r="S87" i="13"/>
  <c r="D112" i="9"/>
  <c r="D120" i="9"/>
  <c r="R78" i="9"/>
  <c r="K79" i="18"/>
  <c r="T93" i="9"/>
  <c r="R93" i="9"/>
  <c r="R80" i="9"/>
  <c r="L67" i="18"/>
  <c r="N24" i="25" s="1"/>
  <c r="I67" i="18"/>
  <c r="K24" i="25"/>
  <c r="M67" i="18"/>
  <c r="O24" i="25" s="1"/>
  <c r="O67" i="18"/>
  <c r="Q24" i="25"/>
  <c r="J67" i="18"/>
  <c r="L24" i="25" s="1"/>
  <c r="F67" i="18"/>
  <c r="H24" i="25"/>
  <c r="H67" i="18"/>
  <c r="J24" i="25" s="1"/>
  <c r="E67" i="18"/>
  <c r="G24" i="25" s="1"/>
  <c r="N67" i="18"/>
  <c r="P24" i="25" s="1"/>
  <c r="K67" i="18"/>
  <c r="M24" i="25" s="1"/>
  <c r="F79" i="18"/>
  <c r="O140" i="18"/>
  <c r="B100" i="29"/>
  <c r="B152" i="26"/>
  <c r="C107" i="28"/>
  <c r="I127" i="18"/>
  <c r="K94" i="25" s="1"/>
  <c r="N119" i="18"/>
  <c r="U71" i="9"/>
  <c r="H114" i="21" s="1"/>
  <c r="C107" i="21"/>
  <c r="U93" i="9"/>
  <c r="D134" i="21"/>
  <c r="V74" i="9"/>
  <c r="V69" i="9"/>
  <c r="D107" i="18"/>
  <c r="B99" i="28"/>
  <c r="B155" i="17"/>
  <c r="C152" i="27"/>
  <c r="C152" i="29"/>
  <c r="C152" i="26"/>
  <c r="C152" i="21"/>
  <c r="C138" i="26"/>
  <c r="H80" i="18"/>
  <c r="F44" i="21"/>
  <c r="P44" i="21"/>
  <c r="J44" i="21"/>
  <c r="L44" i="28"/>
  <c r="L44" i="29"/>
  <c r="E42" i="28"/>
  <c r="E42" i="21"/>
  <c r="E47" i="28"/>
  <c r="D43" i="22"/>
  <c r="E41" i="28"/>
  <c r="E41" i="29"/>
  <c r="D49" i="29"/>
  <c r="D41" i="27"/>
  <c r="D41" i="28"/>
  <c r="D41" i="29"/>
  <c r="E44" i="27"/>
  <c r="E44" i="28"/>
  <c r="E44" i="29"/>
  <c r="E45" i="21"/>
  <c r="P28" i="29"/>
  <c r="Q28" i="29"/>
  <c r="L28" i="29"/>
  <c r="I28" i="29"/>
  <c r="G28" i="29"/>
  <c r="E28" i="29"/>
  <c r="K118" i="28"/>
  <c r="D118" i="28"/>
  <c r="D118" i="29"/>
  <c r="E118" i="28"/>
  <c r="E118" i="29"/>
  <c r="M118" i="28"/>
  <c r="G118" i="28"/>
  <c r="O118" i="28"/>
  <c r="O118" i="29"/>
  <c r="L118" i="28"/>
  <c r="L118" i="29"/>
  <c r="F118" i="28"/>
  <c r="N118" i="28"/>
  <c r="N118" i="29"/>
  <c r="K112" i="29"/>
  <c r="G112" i="29"/>
  <c r="K128" i="28"/>
  <c r="K128" i="29"/>
  <c r="D128" i="28"/>
  <c r="D128" i="29"/>
  <c r="H128" i="28"/>
  <c r="H128" i="29"/>
  <c r="L128" i="28"/>
  <c r="I128" i="28"/>
  <c r="M128" i="28"/>
  <c r="M128" i="29"/>
  <c r="F128" i="28"/>
  <c r="J128" i="28"/>
  <c r="J128" i="29"/>
  <c r="N128" i="28"/>
  <c r="N128" i="29"/>
  <c r="D126" i="28"/>
  <c r="D126" i="29"/>
  <c r="O126" i="29"/>
  <c r="J126" i="28"/>
  <c r="K126" i="29"/>
  <c r="F126" i="28"/>
  <c r="N126" i="28"/>
  <c r="N126" i="29"/>
  <c r="F124" i="29"/>
  <c r="H124" i="29"/>
  <c r="G124" i="29"/>
  <c r="K124" i="29"/>
  <c r="M124" i="29"/>
  <c r="O124" i="29"/>
  <c r="F122" i="29"/>
  <c r="N122" i="29"/>
  <c r="G122" i="29"/>
  <c r="K122" i="29"/>
  <c r="O122" i="29"/>
  <c r="D122" i="29"/>
  <c r="H122" i="29"/>
  <c r="J120" i="29"/>
  <c r="G120" i="29"/>
  <c r="I120" i="29"/>
  <c r="K120" i="29"/>
  <c r="N120" i="29"/>
  <c r="E96" i="29"/>
  <c r="D96" i="29"/>
  <c r="G94" i="28"/>
  <c r="G94" i="29"/>
  <c r="D94" i="29"/>
  <c r="L94" i="28"/>
  <c r="L94" i="29"/>
  <c r="F93" i="28"/>
  <c r="F93" i="29"/>
  <c r="H93" i="28"/>
  <c r="L93" i="29"/>
  <c r="K93" i="27"/>
  <c r="K93" i="28"/>
  <c r="K93" i="29"/>
  <c r="G91" i="28"/>
  <c r="G91" i="29"/>
  <c r="D91" i="29"/>
  <c r="D73" i="28"/>
  <c r="D73" i="29"/>
  <c r="D72" i="28"/>
  <c r="D70" i="28"/>
  <c r="D152" i="29"/>
  <c r="F152" i="29"/>
  <c r="H152" i="29"/>
  <c r="J152" i="29"/>
  <c r="L152" i="29"/>
  <c r="G152" i="29"/>
  <c r="O152" i="29"/>
  <c r="F16" i="27"/>
  <c r="F12" i="27"/>
  <c r="F9" i="28"/>
  <c r="F12" i="28"/>
  <c r="D16" i="27"/>
  <c r="D16" i="28"/>
  <c r="D16" i="29"/>
  <c r="D9" i="28"/>
  <c r="D9" i="29"/>
  <c r="D12" i="29"/>
  <c r="D12" i="27"/>
  <c r="D12" i="26"/>
  <c r="K35" i="1"/>
  <c r="O77" i="18"/>
  <c r="O61" i="18"/>
  <c r="Q6" i="25" s="1"/>
  <c r="L79" i="18"/>
  <c r="I79" i="18"/>
  <c r="H79" i="18"/>
  <c r="E79" i="18"/>
  <c r="N79" i="18"/>
  <c r="J79" i="18"/>
  <c r="M79" i="18"/>
  <c r="G79" i="18"/>
  <c r="D79" i="18"/>
  <c r="K80" i="18"/>
  <c r="M80" i="18"/>
  <c r="F80" i="18"/>
  <c r="E80" i="18"/>
  <c r="D80" i="18"/>
  <c r="I80" i="18"/>
  <c r="N80" i="18"/>
  <c r="G80" i="18"/>
  <c r="O80" i="18"/>
  <c r="J80" i="18"/>
  <c r="T53" i="9"/>
  <c r="M102" i="34" s="1"/>
  <c r="T80" i="9"/>
  <c r="M128" i="34" s="1"/>
  <c r="N61" i="18"/>
  <c r="P6" i="25"/>
  <c r="K44" i="21"/>
  <c r="K44" i="22"/>
  <c r="R44" i="21"/>
  <c r="N44" i="22"/>
  <c r="N44" i="21"/>
  <c r="I44" i="21"/>
  <c r="Q44" i="22"/>
  <c r="Q44" i="21"/>
  <c r="M44" i="21"/>
  <c r="H44" i="22"/>
  <c r="H44" i="21"/>
  <c r="L44" i="22"/>
  <c r="L44" i="21"/>
  <c r="D44" i="21"/>
  <c r="D45" i="21"/>
  <c r="S45" i="21" s="1"/>
  <c r="M118" i="29"/>
  <c r="G118" i="29"/>
  <c r="F118" i="29"/>
  <c r="K118" i="29"/>
  <c r="L128" i="29"/>
  <c r="F128" i="29"/>
  <c r="I128" i="29"/>
  <c r="F126" i="29"/>
  <c r="J126" i="29"/>
  <c r="H93" i="29"/>
  <c r="D72" i="29"/>
  <c r="D70" i="29"/>
  <c r="M61" i="18"/>
  <c r="O6" i="25" s="1"/>
  <c r="K61" i="18"/>
  <c r="M6" i="25" s="1"/>
  <c r="E61" i="18"/>
  <c r="G6" i="25" s="1"/>
  <c r="F61" i="18"/>
  <c r="H6" i="25" s="1"/>
  <c r="J61" i="18"/>
  <c r="L6" i="25" s="1"/>
  <c r="H61" i="18"/>
  <c r="J6" i="25" s="1"/>
  <c r="D61" i="18"/>
  <c r="F6" i="25" s="1"/>
  <c r="I61" i="18"/>
  <c r="K6" i="25" s="1"/>
  <c r="L61" i="18"/>
  <c r="N6" i="25" s="1"/>
  <c r="F16" i="28"/>
  <c r="F16" i="29"/>
  <c r="D12" i="28"/>
  <c r="G61" i="18"/>
  <c r="I6" i="25"/>
  <c r="U53" i="9"/>
  <c r="D45" i="22"/>
  <c r="E44" i="21"/>
  <c r="E44" i="22"/>
  <c r="D44" i="22"/>
  <c r="S44" i="22" s="1"/>
  <c r="J7" i="1"/>
  <c r="C153" i="21"/>
  <c r="M147" i="21"/>
  <c r="M148" i="21" s="1"/>
  <c r="B94" i="27"/>
  <c r="V31" i="10"/>
  <c r="V32" i="10"/>
  <c r="V29" i="10"/>
  <c r="V30" i="10"/>
  <c r="R30" i="10"/>
  <c r="R32" i="10"/>
  <c r="R31" i="10"/>
  <c r="Q31" i="10"/>
  <c r="Y31" i="10" s="1"/>
  <c r="Z31" i="10" s="1"/>
  <c r="Q30" i="10"/>
  <c r="Q32" i="10"/>
  <c r="V27" i="10"/>
  <c r="V25" i="10"/>
  <c r="R23" i="10"/>
  <c r="Q23" i="10"/>
  <c r="Q11" i="10"/>
  <c r="Q13" i="10"/>
  <c r="Q14" i="10"/>
  <c r="Q15" i="10"/>
  <c r="Q19" i="10"/>
  <c r="Q18" i="10"/>
  <c r="V14" i="10"/>
  <c r="V11" i="10"/>
  <c r="V19" i="10"/>
  <c r="V18" i="10"/>
  <c r="V15" i="10"/>
  <c r="V17" i="10"/>
  <c r="V10" i="10"/>
  <c r="R19" i="10"/>
  <c r="R17" i="10"/>
  <c r="R14" i="10"/>
  <c r="R11" i="10"/>
  <c r="R15" i="10"/>
  <c r="R18" i="10"/>
  <c r="Q17" i="10"/>
  <c r="M159" i="21"/>
  <c r="M158" i="29"/>
  <c r="M159" i="22"/>
  <c r="F31" i="29"/>
  <c r="F31" i="22"/>
  <c r="F31" i="21"/>
  <c r="I20" i="21"/>
  <c r="S62" i="26"/>
  <c r="J31" i="21"/>
  <c r="R31" i="21"/>
  <c r="S83" i="29"/>
  <c r="L31" i="21"/>
  <c r="S92" i="29"/>
  <c r="M31" i="21"/>
  <c r="E20" i="21"/>
  <c r="S112" i="26"/>
  <c r="S113" i="26"/>
  <c r="S125" i="26"/>
  <c r="S151" i="28"/>
  <c r="N31" i="21"/>
  <c r="S26" i="27"/>
  <c r="I12" i="22"/>
  <c r="G31" i="21"/>
  <c r="O31" i="21"/>
  <c r="S142" i="28"/>
  <c r="S44" i="26"/>
  <c r="S142" i="29"/>
  <c r="S60" i="26"/>
  <c r="S131" i="27"/>
  <c r="H31" i="21"/>
  <c r="P31" i="21"/>
  <c r="F9" i="29"/>
  <c r="F12" i="29"/>
  <c r="F12" i="21"/>
  <c r="L154" i="22"/>
  <c r="J20" i="21"/>
  <c r="S152" i="26"/>
  <c r="I31" i="21"/>
  <c r="Q31" i="21"/>
  <c r="S18" i="26"/>
  <c r="J8" i="11"/>
  <c r="B8" i="11"/>
  <c r="B8" i="13"/>
  <c r="R15" i="9"/>
  <c r="E66" i="33" s="1"/>
  <c r="R14" i="9"/>
  <c r="D65" i="33" s="1"/>
  <c r="R28" i="9"/>
  <c r="D79" i="33" s="1"/>
  <c r="R27" i="9"/>
  <c r="D78" i="33" s="1"/>
  <c r="R12" i="9"/>
  <c r="R25" i="9"/>
  <c r="E76" i="33" s="1"/>
  <c r="R11" i="9"/>
  <c r="R24" i="9"/>
  <c r="H75" i="33" s="1"/>
  <c r="R10" i="9"/>
  <c r="L62" i="33" s="1"/>
  <c r="R8" i="9"/>
  <c r="K60" i="33" s="1"/>
  <c r="R22" i="9"/>
  <c r="R9" i="9"/>
  <c r="O61" i="33" s="1"/>
  <c r="R20" i="9"/>
  <c r="I71" i="33" s="1"/>
  <c r="C100" i="26"/>
  <c r="C151" i="29"/>
  <c r="C138" i="28"/>
  <c r="J122" i="18"/>
  <c r="L89" i="25" s="1"/>
  <c r="I96" i="18"/>
  <c r="K78" i="25" s="1"/>
  <c r="B92" i="21"/>
  <c r="B92" i="29"/>
  <c r="H96" i="18"/>
  <c r="J78" i="25" s="1"/>
  <c r="C123" i="29"/>
  <c r="E96" i="18"/>
  <c r="G78" i="25" s="1"/>
  <c r="C143" i="17"/>
  <c r="B100" i="22"/>
  <c r="M104" i="18"/>
  <c r="B119" i="28"/>
  <c r="H140" i="18"/>
  <c r="B94" i="28"/>
  <c r="C99" i="26"/>
  <c r="C94" i="28"/>
  <c r="B95" i="26"/>
  <c r="E111" i="18"/>
  <c r="B91" i="29"/>
  <c r="B151" i="29"/>
  <c r="C94" i="27"/>
  <c r="C104" i="17"/>
  <c r="B157" i="18"/>
  <c r="C94" i="26"/>
  <c r="F111" i="18"/>
  <c r="B91" i="28"/>
  <c r="N98" i="18"/>
  <c r="P80" i="25" s="1"/>
  <c r="H40" i="29"/>
  <c r="H40" i="22"/>
  <c r="H40" i="21"/>
  <c r="D12" i="21"/>
  <c r="D12" i="22"/>
  <c r="D43" i="21"/>
  <c r="D43" i="29"/>
  <c r="L159" i="21"/>
  <c r="L158" i="29"/>
  <c r="L159" i="22"/>
  <c r="S39" i="27"/>
  <c r="D39" i="28"/>
  <c r="J12" i="21"/>
  <c r="J12" i="22"/>
  <c r="R12" i="21"/>
  <c r="R12" i="22"/>
  <c r="E130" i="28"/>
  <c r="E130" i="29"/>
  <c r="S130" i="29"/>
  <c r="S130" i="27"/>
  <c r="H159" i="21"/>
  <c r="H158" i="29"/>
  <c r="H159" i="22"/>
  <c r="H12" i="22"/>
  <c r="J12" i="28"/>
  <c r="R12" i="28"/>
  <c r="R12" i="27"/>
  <c r="S114" i="26"/>
  <c r="S58" i="26"/>
  <c r="S67" i="28"/>
  <c r="S142" i="26"/>
  <c r="S68" i="26"/>
  <c r="S45" i="26"/>
  <c r="F40" i="21"/>
  <c r="P40" i="21"/>
  <c r="K147" i="21"/>
  <c r="K148" i="21" s="1"/>
  <c r="S72" i="28"/>
  <c r="S96" i="26"/>
  <c r="S40" i="26"/>
  <c r="F131" i="28"/>
  <c r="F131" i="29"/>
  <c r="S153" i="27"/>
  <c r="S95" i="26"/>
  <c r="S32" i="26"/>
  <c r="S59" i="26"/>
  <c r="S39" i="28"/>
  <c r="G40" i="21"/>
  <c r="Q40" i="21"/>
  <c r="S105" i="26"/>
  <c r="S126" i="26"/>
  <c r="S28" i="26"/>
  <c r="S46" i="26"/>
  <c r="S92" i="26"/>
  <c r="S26" i="26"/>
  <c r="S58" i="28"/>
  <c r="L167" i="18"/>
  <c r="F158" i="29"/>
  <c r="F159" i="22"/>
  <c r="S19" i="26"/>
  <c r="S152" i="28"/>
  <c r="S159" i="26"/>
  <c r="R40" i="21"/>
  <c r="S70" i="29"/>
  <c r="S20" i="26"/>
  <c r="S114" i="27"/>
  <c r="S83" i="26"/>
  <c r="S83" i="28"/>
  <c r="D125" i="27"/>
  <c r="D125" i="28"/>
  <c r="D125" i="29"/>
  <c r="S125" i="29"/>
  <c r="J40" i="21"/>
  <c r="S41" i="26"/>
  <c r="S55" i="26"/>
  <c r="D44" i="27"/>
  <c r="D44" i="28"/>
  <c r="D44" i="29"/>
  <c r="S26" i="29"/>
  <c r="S128" i="26"/>
  <c r="S83" i="27"/>
  <c r="S75" i="26"/>
  <c r="S57" i="26"/>
  <c r="S94" i="26"/>
  <c r="S158" i="26"/>
  <c r="K40" i="21"/>
  <c r="I40" i="21"/>
  <c r="S92" i="28"/>
  <c r="S72" i="29"/>
  <c r="S42" i="26"/>
  <c r="S131" i="26"/>
  <c r="L12" i="22"/>
  <c r="S67" i="27"/>
  <c r="S67" i="26"/>
  <c r="J12" i="26"/>
  <c r="S147" i="27"/>
  <c r="H60" i="27"/>
  <c r="H60" i="28"/>
  <c r="H60" i="29"/>
  <c r="S69" i="26"/>
  <c r="S121" i="26"/>
  <c r="S122" i="28"/>
  <c r="L40" i="21"/>
  <c r="M40" i="21"/>
  <c r="R5" i="25"/>
  <c r="R3" i="25"/>
  <c r="S93" i="26"/>
  <c r="S26" i="28"/>
  <c r="S130" i="26"/>
  <c r="S16" i="17"/>
  <c r="S143" i="26"/>
  <c r="S147" i="26"/>
  <c r="J45" i="27"/>
  <c r="J45" i="28"/>
  <c r="D40" i="21"/>
  <c r="O40" i="21"/>
  <c r="B91" i="27"/>
  <c r="C99" i="18"/>
  <c r="C133" i="18"/>
  <c r="B154" i="21"/>
  <c r="B99" i="29"/>
  <c r="B99" i="22"/>
  <c r="N107" i="18"/>
  <c r="L96" i="18"/>
  <c r="N78" i="25" s="1"/>
  <c r="B140" i="29"/>
  <c r="B91" i="22"/>
  <c r="C147" i="21"/>
  <c r="J107" i="18"/>
  <c r="N96" i="18"/>
  <c r="P78" i="25" s="1"/>
  <c r="J96" i="18"/>
  <c r="L78" i="25" s="1"/>
  <c r="K98" i="18"/>
  <c r="M80" i="25" s="1"/>
  <c r="J110" i="18"/>
  <c r="C138" i="22"/>
  <c r="B94" i="29"/>
  <c r="B94" i="21"/>
  <c r="C142" i="28"/>
  <c r="C100" i="27"/>
  <c r="C159" i="18"/>
  <c r="C121" i="17"/>
  <c r="B120" i="17"/>
  <c r="B127" i="22"/>
  <c r="B94" i="26"/>
  <c r="B101" i="17"/>
  <c r="C93" i="27"/>
  <c r="L104" i="18"/>
  <c r="B92" i="28"/>
  <c r="I104" i="18"/>
  <c r="J104" i="18"/>
  <c r="G111" i="18"/>
  <c r="B103" i="27"/>
  <c r="B102" i="28"/>
  <c r="B91" i="26"/>
  <c r="C94" i="17"/>
  <c r="C94" i="29"/>
  <c r="B95" i="21"/>
  <c r="B99" i="26"/>
  <c r="B105" i="18"/>
  <c r="B99" i="21"/>
  <c r="C101" i="17"/>
  <c r="C100" i="28"/>
  <c r="K96" i="18"/>
  <c r="M78" i="25" s="1"/>
  <c r="F96" i="18"/>
  <c r="H78" i="25" s="1"/>
  <c r="D96" i="18"/>
  <c r="F78" i="25" s="1"/>
  <c r="C94" i="21"/>
  <c r="C98" i="26"/>
  <c r="C155" i="17"/>
  <c r="B91" i="17"/>
  <c r="B91" i="21"/>
  <c r="C106" i="18"/>
  <c r="B106" i="17"/>
  <c r="I111" i="18"/>
  <c r="B103" i="28"/>
  <c r="C98" i="27"/>
  <c r="M96" i="18"/>
  <c r="O78" i="25" s="1"/>
  <c r="G96" i="18"/>
  <c r="I78" i="25" s="1"/>
  <c r="I98" i="18"/>
  <c r="K80" i="25" s="1"/>
  <c r="L98" i="18"/>
  <c r="N80" i="25" s="1"/>
  <c r="E158" i="18"/>
  <c r="O98" i="18"/>
  <c r="Q80" i="25"/>
  <c r="B151" i="22"/>
  <c r="B152" i="17"/>
  <c r="C147" i="28"/>
  <c r="C148" i="17"/>
  <c r="C147" i="26"/>
  <c r="I149" i="18"/>
  <c r="J149" i="18"/>
  <c r="G117" i="18"/>
  <c r="I84" i="25" s="1"/>
  <c r="M117" i="18"/>
  <c r="O84" i="25"/>
  <c r="F117" i="18"/>
  <c r="H84" i="25" s="1"/>
  <c r="C107" i="27"/>
  <c r="C107" i="22"/>
  <c r="C108" i="17"/>
  <c r="C113" i="18"/>
  <c r="C107" i="26"/>
  <c r="F110" i="18"/>
  <c r="O110" i="18"/>
  <c r="K108" i="18"/>
  <c r="L108" i="18"/>
  <c r="G108" i="18"/>
  <c r="H107" i="18"/>
  <c r="E107" i="18"/>
  <c r="F107" i="18"/>
  <c r="G107" i="18"/>
  <c r="I107" i="18"/>
  <c r="F105" i="18"/>
  <c r="J105" i="18"/>
  <c r="B103" i="17"/>
  <c r="B106" i="18"/>
  <c r="B100" i="28"/>
  <c r="B100" i="27"/>
  <c r="B100" i="26"/>
  <c r="B96" i="27"/>
  <c r="B96" i="21"/>
  <c r="B99" i="18"/>
  <c r="B94" i="17"/>
  <c r="B97" i="18"/>
  <c r="B92" i="27"/>
  <c r="B92" i="17"/>
  <c r="B92" i="22"/>
  <c r="C93" i="21"/>
  <c r="O104" i="18"/>
  <c r="E104" i="18"/>
  <c r="F104" i="18"/>
  <c r="G104" i="18"/>
  <c r="D104" i="18"/>
  <c r="K104" i="18"/>
  <c r="N104" i="18"/>
  <c r="C144" i="18"/>
  <c r="C138" i="27"/>
  <c r="C138" i="29"/>
  <c r="C139" i="17"/>
  <c r="B130" i="27"/>
  <c r="C123" i="27"/>
  <c r="C123" i="26"/>
  <c r="J123" i="18"/>
  <c r="L90" i="25" s="1"/>
  <c r="F123" i="18"/>
  <c r="H90" i="25" s="1"/>
  <c r="L119" i="18"/>
  <c r="G119" i="18"/>
  <c r="C142" i="26"/>
  <c r="C142" i="22"/>
  <c r="C148" i="18"/>
  <c r="C142" i="29"/>
  <c r="C142" i="21"/>
  <c r="H127" i="18"/>
  <c r="J94" i="25" s="1"/>
  <c r="G127" i="18"/>
  <c r="I94" i="25" s="1"/>
  <c r="F127" i="18"/>
  <c r="H94" i="25" s="1"/>
  <c r="S160" i="26"/>
  <c r="D127" i="18"/>
  <c r="F94" i="25" s="1"/>
  <c r="O127" i="18"/>
  <c r="Q94" i="25" s="1"/>
  <c r="E127" i="18"/>
  <c r="G94" i="25" s="1"/>
  <c r="M127" i="18"/>
  <c r="O94" i="25" s="1"/>
  <c r="J127" i="18"/>
  <c r="L94" i="25" s="1"/>
  <c r="H117" i="18"/>
  <c r="J84" i="25" s="1"/>
  <c r="N117" i="18"/>
  <c r="P84" i="25" s="1"/>
  <c r="H98" i="18"/>
  <c r="J80" i="25" s="1"/>
  <c r="M98" i="18"/>
  <c r="O80" i="25" s="1"/>
  <c r="D98" i="18"/>
  <c r="F80" i="25" s="1"/>
  <c r="E98" i="18"/>
  <c r="G80" i="25"/>
  <c r="G98" i="18"/>
  <c r="I80" i="25" s="1"/>
  <c r="J98" i="18"/>
  <c r="L80" i="25" s="1"/>
  <c r="I114" i="21"/>
  <c r="E102" i="18"/>
  <c r="I102" i="18"/>
  <c r="V41" i="9"/>
  <c r="F87" i="22"/>
  <c r="V40" i="9"/>
  <c r="O86" i="22"/>
  <c r="V2" i="11"/>
  <c r="R2" i="11"/>
  <c r="Q2" i="11"/>
  <c r="K134" i="21"/>
  <c r="J154" i="22"/>
  <c r="F154" i="22"/>
  <c r="D106" i="18"/>
  <c r="N154" i="22"/>
  <c r="C105" i="17"/>
  <c r="E154" i="22"/>
  <c r="I99" i="18"/>
  <c r="K81" i="25" s="1"/>
  <c r="G154" i="22"/>
  <c r="B107" i="29"/>
  <c r="I154" i="22"/>
  <c r="B153" i="21"/>
  <c r="B101" i="18"/>
  <c r="B122" i="27"/>
  <c r="H154" i="22"/>
  <c r="O154" i="22"/>
  <c r="C118" i="18"/>
  <c r="C140" i="22"/>
  <c r="M154" i="22"/>
  <c r="K154" i="22"/>
  <c r="C140" i="26"/>
  <c r="F99" i="18"/>
  <c r="H81" i="25" s="1"/>
  <c r="B154" i="17"/>
  <c r="N99" i="18"/>
  <c r="P81" i="25"/>
  <c r="C104" i="22"/>
  <c r="B107" i="26"/>
  <c r="C104" i="29"/>
  <c r="B107" i="27"/>
  <c r="B153" i="22"/>
  <c r="C154" i="26"/>
  <c r="B96" i="28"/>
  <c r="H99" i="18"/>
  <c r="J81" i="25" s="1"/>
  <c r="H111" i="18"/>
  <c r="M99" i="18"/>
  <c r="O81" i="25" s="1"/>
  <c r="C143" i="26"/>
  <c r="M134" i="21"/>
  <c r="B153" i="26"/>
  <c r="C143" i="27"/>
  <c r="K111" i="18"/>
  <c r="B107" i="22"/>
  <c r="B153" i="27"/>
  <c r="C154" i="27"/>
  <c r="L99" i="18"/>
  <c r="N81" i="25" s="1"/>
  <c r="B96" i="17"/>
  <c r="J99" i="18"/>
  <c r="L81" i="25" s="1"/>
  <c r="O111" i="18"/>
  <c r="D111" i="18"/>
  <c r="C95" i="21"/>
  <c r="C111" i="26"/>
  <c r="C111" i="21"/>
  <c r="B128" i="26"/>
  <c r="C143" i="29"/>
  <c r="B153" i="28"/>
  <c r="B96" i="29"/>
  <c r="K99" i="18"/>
  <c r="M81" i="25" s="1"/>
  <c r="N111" i="18"/>
  <c r="B103" i="21"/>
  <c r="B103" i="22"/>
  <c r="C104" i="21"/>
  <c r="B128" i="22"/>
  <c r="C111" i="27"/>
  <c r="B104" i="17"/>
  <c r="G99" i="18"/>
  <c r="I81" i="25" s="1"/>
  <c r="B103" i="29"/>
  <c r="C104" i="26"/>
  <c r="C111" i="28"/>
  <c r="D99" i="18"/>
  <c r="F81" i="25" s="1"/>
  <c r="B113" i="18"/>
  <c r="C112" i="17"/>
  <c r="L111" i="18"/>
  <c r="C154" i="21"/>
  <c r="C111" i="29"/>
  <c r="C104" i="28"/>
  <c r="B108" i="17"/>
  <c r="C154" i="29"/>
  <c r="C111" i="22"/>
  <c r="B96" i="26"/>
  <c r="J111" i="18"/>
  <c r="C104" i="27"/>
  <c r="E99" i="18"/>
  <c r="G81" i="25" s="1"/>
  <c r="B103" i="26"/>
  <c r="J136" i="18"/>
  <c r="L103" i="25"/>
  <c r="D136" i="18"/>
  <c r="F103" i="25"/>
  <c r="M136" i="18"/>
  <c r="O103" i="25"/>
  <c r="O136" i="18"/>
  <c r="Q103" i="25"/>
  <c r="G136" i="18"/>
  <c r="I103" i="25"/>
  <c r="I136" i="18"/>
  <c r="K103" i="25"/>
  <c r="F136" i="18"/>
  <c r="H103" i="25"/>
  <c r="M114" i="21"/>
  <c r="C107" i="17"/>
  <c r="C100" i="22"/>
  <c r="B106" i="29"/>
  <c r="J109" i="18"/>
  <c r="B106" i="26"/>
  <c r="C100" i="21"/>
  <c r="C103" i="26"/>
  <c r="C106" i="26"/>
  <c r="B106" i="22"/>
  <c r="N109" i="18"/>
  <c r="B106" i="27"/>
  <c r="C106" i="27"/>
  <c r="B107" i="17"/>
  <c r="B106" i="28"/>
  <c r="B106" i="21"/>
  <c r="C103" i="28"/>
  <c r="G106" i="18"/>
  <c r="G109" i="18"/>
  <c r="D157" i="18"/>
  <c r="C91" i="22"/>
  <c r="B143" i="27"/>
  <c r="O157" i="18"/>
  <c r="C91" i="21"/>
  <c r="B143" i="26"/>
  <c r="E157" i="18"/>
  <c r="B143" i="21"/>
  <c r="C91" i="26"/>
  <c r="B144" i="17"/>
  <c r="C147" i="29"/>
  <c r="B149" i="18"/>
  <c r="B143" i="28"/>
  <c r="C96" i="18"/>
  <c r="B143" i="29"/>
  <c r="C147" i="27"/>
  <c r="C91" i="27"/>
  <c r="C153" i="18"/>
  <c r="I157" i="18"/>
  <c r="C106" i="21"/>
  <c r="N106" i="18"/>
  <c r="I106" i="18"/>
  <c r="I109" i="18"/>
  <c r="L109" i="18"/>
  <c r="C112" i="18"/>
  <c r="O106" i="18"/>
  <c r="D109" i="18"/>
  <c r="M106" i="18"/>
  <c r="E109" i="18"/>
  <c r="L106" i="18"/>
  <c r="H109" i="18"/>
  <c r="K109" i="18"/>
  <c r="F106" i="18"/>
  <c r="F109" i="18"/>
  <c r="K106" i="18"/>
  <c r="M109" i="18"/>
  <c r="C106" i="28"/>
  <c r="J106" i="18"/>
  <c r="E106" i="18"/>
  <c r="C106" i="29"/>
  <c r="L102" i="18"/>
  <c r="O102" i="18"/>
  <c r="H102" i="18"/>
  <c r="K102" i="18"/>
  <c r="D102" i="18"/>
  <c r="J102" i="18"/>
  <c r="N102" i="18"/>
  <c r="G102" i="18"/>
  <c r="H61" i="14"/>
  <c r="D60" i="14"/>
  <c r="O153" i="18"/>
  <c r="Q113" i="25"/>
  <c r="H153" i="18"/>
  <c r="J113" i="25" s="1"/>
  <c r="D107" i="9"/>
  <c r="F21" i="16"/>
  <c r="E27" i="28"/>
  <c r="S27" i="27"/>
  <c r="S128" i="29"/>
  <c r="D111" i="29"/>
  <c r="S126" i="27"/>
  <c r="L126" i="28"/>
  <c r="M27" i="29"/>
  <c r="M27" i="22"/>
  <c r="M27" i="21"/>
  <c r="L129" i="29"/>
  <c r="S129" i="28"/>
  <c r="D154" i="29"/>
  <c r="S154" i="28"/>
  <c r="S71" i="28"/>
  <c r="D71" i="29"/>
  <c r="S71" i="29"/>
  <c r="S118" i="28"/>
  <c r="S125" i="28"/>
  <c r="P30" i="29"/>
  <c r="P30" i="22"/>
  <c r="P30" i="21"/>
  <c r="E124" i="28"/>
  <c r="S124" i="27"/>
  <c r="S118" i="29"/>
  <c r="D100" i="29"/>
  <c r="G102" i="27"/>
  <c r="S102" i="26"/>
  <c r="C137" i="18"/>
  <c r="C99" i="29"/>
  <c r="B105" i="29"/>
  <c r="L158" i="18"/>
  <c r="S153" i="28"/>
  <c r="S154" i="27"/>
  <c r="S129" i="29"/>
  <c r="S81" i="26"/>
  <c r="S154" i="26"/>
  <c r="S61" i="26"/>
  <c r="E31" i="27"/>
  <c r="E31" i="28"/>
  <c r="E31" i="21"/>
  <c r="S31" i="26"/>
  <c r="R27" i="29"/>
  <c r="R27" i="22"/>
  <c r="R27" i="21"/>
  <c r="D138" i="27"/>
  <c r="S138" i="26"/>
  <c r="S14" i="26"/>
  <c r="E14" i="27"/>
  <c r="B99" i="17"/>
  <c r="B104" i="18"/>
  <c r="D113" i="18"/>
  <c r="C97" i="29"/>
  <c r="O114" i="21"/>
  <c r="S122" i="27"/>
  <c r="S118" i="27"/>
  <c r="C102" i="28"/>
  <c r="R113" i="18"/>
  <c r="R114" i="18"/>
  <c r="C97" i="27"/>
  <c r="C99" i="21"/>
  <c r="B111" i="18"/>
  <c r="G158" i="18"/>
  <c r="D132" i="29"/>
  <c r="S122" i="26"/>
  <c r="S80" i="26"/>
  <c r="S37" i="26"/>
  <c r="E160" i="27"/>
  <c r="S153" i="26"/>
  <c r="S58" i="29"/>
  <c r="S59" i="27"/>
  <c r="D121" i="27"/>
  <c r="S27" i="26"/>
  <c r="S38" i="26"/>
  <c r="F94" i="27"/>
  <c r="F94" i="28"/>
  <c r="F94" i="29"/>
  <c r="E115" i="27"/>
  <c r="S115" i="26"/>
  <c r="G123" i="27"/>
  <c r="G123" i="28"/>
  <c r="G123" i="29"/>
  <c r="S123" i="26"/>
  <c r="N158" i="27"/>
  <c r="N158" i="28"/>
  <c r="F137" i="27"/>
  <c r="F137" i="28"/>
  <c r="F137" i="29"/>
  <c r="S137" i="26"/>
  <c r="F47" i="27"/>
  <c r="S47" i="26"/>
  <c r="D48" i="28"/>
  <c r="S48" i="27"/>
  <c r="E13" i="28"/>
  <c r="S13" i="27"/>
  <c r="S70" i="27"/>
  <c r="C102" i="18"/>
  <c r="C97" i="28"/>
  <c r="S56" i="26"/>
  <c r="C99" i="28"/>
  <c r="I158" i="18"/>
  <c r="K158" i="18"/>
  <c r="S10" i="17"/>
  <c r="S81" i="27"/>
  <c r="D84" i="27"/>
  <c r="D84" i="28"/>
  <c r="D84" i="29"/>
  <c r="S84" i="26"/>
  <c r="S124" i="26"/>
  <c r="N134" i="21"/>
  <c r="L114" i="21"/>
  <c r="S9" i="26"/>
  <c r="S71" i="27"/>
  <c r="S73" i="26"/>
  <c r="S107" i="26"/>
  <c r="E122" i="29"/>
  <c r="S122" i="29"/>
  <c r="C102" i="26"/>
  <c r="B105" i="28"/>
  <c r="M113" i="18"/>
  <c r="B134" i="21"/>
  <c r="C97" i="22"/>
  <c r="C105" i="18"/>
  <c r="M158" i="18"/>
  <c r="F158" i="18"/>
  <c r="S143" i="29"/>
  <c r="S161" i="26"/>
  <c r="S71" i="26"/>
  <c r="S30" i="26"/>
  <c r="S151" i="26"/>
  <c r="S114" i="29"/>
  <c r="S81" i="29"/>
  <c r="S29" i="26"/>
  <c r="E17" i="27"/>
  <c r="S17" i="26"/>
  <c r="S59" i="28"/>
  <c r="G79" i="27"/>
  <c r="G79" i="28"/>
  <c r="G79" i="29"/>
  <c r="S79" i="26"/>
  <c r="S103" i="26"/>
  <c r="S106" i="26"/>
  <c r="D101" i="28"/>
  <c r="D101" i="29"/>
  <c r="S101" i="27"/>
  <c r="S21" i="26"/>
  <c r="H117" i="27"/>
  <c r="H117" i="28"/>
  <c r="S117" i="26"/>
  <c r="S70" i="26"/>
  <c r="I152" i="29"/>
  <c r="S152" i="29"/>
  <c r="O134" i="21"/>
  <c r="E42" i="29"/>
  <c r="E42" i="22"/>
  <c r="E47" i="29"/>
  <c r="D117" i="22"/>
  <c r="B98" i="27"/>
  <c r="C102" i="29"/>
  <c r="C108" i="18"/>
  <c r="F113" i="18"/>
  <c r="C97" i="26"/>
  <c r="C97" i="21"/>
  <c r="B105" i="22"/>
  <c r="O158" i="18"/>
  <c r="N158" i="18"/>
  <c r="S113" i="27"/>
  <c r="S143" i="28"/>
  <c r="S153" i="29"/>
  <c r="S58" i="27"/>
  <c r="S143" i="27"/>
  <c r="S114" i="28"/>
  <c r="S81" i="28"/>
  <c r="E12" i="26"/>
  <c r="I33" i="27"/>
  <c r="I33" i="28"/>
  <c r="I33" i="29"/>
  <c r="S33" i="26"/>
  <c r="I111" i="27"/>
  <c r="S111" i="26"/>
  <c r="S127" i="26"/>
  <c r="D127" i="27"/>
  <c r="E132" i="27"/>
  <c r="S132" i="26"/>
  <c r="S101" i="26"/>
  <c r="S133" i="26"/>
  <c r="D136" i="27"/>
  <c r="S136" i="26"/>
  <c r="D56" i="14"/>
  <c r="D5" i="15" s="1"/>
  <c r="S70" i="28"/>
  <c r="S91" i="26"/>
  <c r="H111" i="21"/>
  <c r="C99" i="22"/>
  <c r="C102" i="21"/>
  <c r="B105" i="27"/>
  <c r="L134" i="21"/>
  <c r="E114" i="21"/>
  <c r="S72" i="26"/>
  <c r="S125" i="27"/>
  <c r="S128" i="27"/>
  <c r="S39" i="26"/>
  <c r="B98" i="28"/>
  <c r="B98" i="29"/>
  <c r="C102" i="22"/>
  <c r="B105" i="21"/>
  <c r="J158" i="18"/>
  <c r="D38" i="29"/>
  <c r="D38" i="22"/>
  <c r="S129" i="27"/>
  <c r="S159" i="27"/>
  <c r="S151" i="27"/>
  <c r="S22" i="26"/>
  <c r="S87" i="26"/>
  <c r="L12" i="26"/>
  <c r="J158" i="29"/>
  <c r="J159" i="22"/>
  <c r="S129" i="26"/>
  <c r="E57" i="27"/>
  <c r="E57" i="28"/>
  <c r="E57" i="29"/>
  <c r="F66" i="27"/>
  <c r="S66" i="26"/>
  <c r="K27" i="21"/>
  <c r="D27" i="29"/>
  <c r="D27" i="22"/>
  <c r="D27" i="21"/>
  <c r="S99" i="26"/>
  <c r="E139" i="27"/>
  <c r="S139" i="26"/>
  <c r="D140" i="27"/>
  <c r="S140" i="26"/>
  <c r="E141" i="27"/>
  <c r="E141" i="28"/>
  <c r="E141" i="29"/>
  <c r="S141" i="29"/>
  <c r="S141" i="26"/>
  <c r="H100" i="27"/>
  <c r="H100" i="28"/>
  <c r="H100" i="29"/>
  <c r="S100" i="26"/>
  <c r="F85" i="27"/>
  <c r="S85" i="26"/>
  <c r="G116" i="27"/>
  <c r="S116" i="26"/>
  <c r="S128" i="28"/>
  <c r="S10" i="26"/>
  <c r="S152" i="27"/>
  <c r="S72" i="27"/>
  <c r="S118" i="26"/>
  <c r="O111" i="21"/>
  <c r="B98" i="21"/>
  <c r="B98" i="26"/>
  <c r="D158" i="18"/>
  <c r="N12" i="28"/>
  <c r="S142" i="27"/>
  <c r="S86" i="26"/>
  <c r="E74" i="27"/>
  <c r="S74" i="26"/>
  <c r="H82" i="27"/>
  <c r="H82" i="28"/>
  <c r="H82" i="29"/>
  <c r="S82" i="26"/>
  <c r="H119" i="27"/>
  <c r="H119" i="28"/>
  <c r="S119" i="26"/>
  <c r="E134" i="29"/>
  <c r="S134" i="28"/>
  <c r="K9" i="27"/>
  <c r="S9" i="27"/>
  <c r="K12" i="26"/>
  <c r="S97" i="26"/>
  <c r="S104" i="26"/>
  <c r="S98" i="26"/>
  <c r="S120" i="26"/>
  <c r="O27" i="21"/>
  <c r="G27" i="21"/>
  <c r="S135" i="26"/>
  <c r="S134" i="26"/>
  <c r="E16" i="27"/>
  <c r="S16" i="26"/>
  <c r="S29" i="27"/>
  <c r="D29" i="28"/>
  <c r="R30" i="29"/>
  <c r="R30" i="22"/>
  <c r="R30" i="21"/>
  <c r="J42" i="29"/>
  <c r="J42" i="22"/>
  <c r="J42" i="21"/>
  <c r="N42" i="29"/>
  <c r="N42" i="22"/>
  <c r="N42" i="21"/>
  <c r="R43" i="21"/>
  <c r="R43" i="29"/>
  <c r="R43" i="22"/>
  <c r="K56" i="28"/>
  <c r="K56" i="29"/>
  <c r="S56" i="27"/>
  <c r="E84" i="28"/>
  <c r="S93" i="27"/>
  <c r="D93" i="28"/>
  <c r="D93" i="29"/>
  <c r="S93" i="29"/>
  <c r="I94" i="28"/>
  <c r="I94" i="29"/>
  <c r="E95" i="29"/>
  <c r="S95" i="29"/>
  <c r="H96" i="28"/>
  <c r="H96" i="29"/>
  <c r="S96" i="27"/>
  <c r="D115" i="29"/>
  <c r="S37" i="27"/>
  <c r="E40" i="28"/>
  <c r="E40" i="21"/>
  <c r="S40" i="27"/>
  <c r="R42" i="29"/>
  <c r="R42" i="22"/>
  <c r="R42" i="21"/>
  <c r="G55" i="28"/>
  <c r="G55" i="29"/>
  <c r="S55" i="27"/>
  <c r="S67" i="29"/>
  <c r="E68" i="28"/>
  <c r="E68" i="29"/>
  <c r="S68" i="27"/>
  <c r="E80" i="28"/>
  <c r="S80" i="27"/>
  <c r="D82" i="28"/>
  <c r="F91" i="28"/>
  <c r="S91" i="27"/>
  <c r="S107" i="27"/>
  <c r="E107" i="28"/>
  <c r="Q30" i="29"/>
  <c r="Q30" i="22"/>
  <c r="Q30" i="21"/>
  <c r="P41" i="28"/>
  <c r="S41" i="27"/>
  <c r="L42" i="29"/>
  <c r="L42" i="22"/>
  <c r="L42" i="21"/>
  <c r="P43" i="21"/>
  <c r="P43" i="29"/>
  <c r="P43" i="22"/>
  <c r="H44" i="28"/>
  <c r="H44" i="29"/>
  <c r="S44" i="27"/>
  <c r="S45" i="27"/>
  <c r="E45" i="28"/>
  <c r="J56" i="29"/>
  <c r="D57" i="28"/>
  <c r="D62" i="28"/>
  <c r="S62" i="27"/>
  <c r="E69" i="28"/>
  <c r="S69" i="27"/>
  <c r="P73" i="28"/>
  <c r="S73" i="27"/>
  <c r="E86" i="28"/>
  <c r="S86" i="27"/>
  <c r="H87" i="28"/>
  <c r="S87" i="27"/>
  <c r="S95" i="27"/>
  <c r="F95" i="28"/>
  <c r="F95" i="29"/>
  <c r="G96" i="29"/>
  <c r="D42" i="29"/>
  <c r="D42" i="21"/>
  <c r="D10" i="28"/>
  <c r="D10" i="29"/>
  <c r="S10" i="27"/>
  <c r="D19" i="28"/>
  <c r="S19" i="27"/>
  <c r="H28" i="28"/>
  <c r="S28" i="27"/>
  <c r="F42" i="28"/>
  <c r="S42" i="27"/>
  <c r="Q43" i="21"/>
  <c r="Q43" i="29"/>
  <c r="Q43" i="22"/>
  <c r="F55" i="29"/>
  <c r="E60" i="28"/>
  <c r="S60" i="27"/>
  <c r="S61" i="27"/>
  <c r="D61" i="28"/>
  <c r="D68" i="29"/>
  <c r="E75" i="28"/>
  <c r="S75" i="27"/>
  <c r="F112" i="28"/>
  <c r="S112" i="27"/>
  <c r="M158" i="34"/>
  <c r="I158" i="34"/>
  <c r="E158" i="34"/>
  <c r="L158" i="34"/>
  <c r="H158" i="34"/>
  <c r="D158" i="34"/>
  <c r="J158" i="34"/>
  <c r="N158" i="34"/>
  <c r="F158" i="34"/>
  <c r="O158" i="34"/>
  <c r="G158" i="34"/>
  <c r="K158" i="34"/>
  <c r="L147" i="21"/>
  <c r="L148" i="21" s="1"/>
  <c r="O152" i="35"/>
  <c r="O153" i="35" s="1"/>
  <c r="K152" i="35"/>
  <c r="K153" i="35"/>
  <c r="G152" i="35"/>
  <c r="G153" i="35" s="1"/>
  <c r="N152" i="35"/>
  <c r="N153" i="35"/>
  <c r="J152" i="35"/>
  <c r="J153" i="35" s="1"/>
  <c r="F152" i="35"/>
  <c r="F153" i="35"/>
  <c r="I152" i="35"/>
  <c r="I153" i="35" s="1"/>
  <c r="D152" i="35"/>
  <c r="D153" i="35"/>
  <c r="H152" i="35"/>
  <c r="H153" i="35" s="1"/>
  <c r="M152" i="35"/>
  <c r="M153" i="35"/>
  <c r="E152" i="35"/>
  <c r="E153" i="35" s="1"/>
  <c r="L152" i="35"/>
  <c r="L153" i="35"/>
  <c r="F39" i="29"/>
  <c r="F39" i="22"/>
  <c r="F39" i="21"/>
  <c r="J39" i="29"/>
  <c r="J39" i="22"/>
  <c r="J39" i="21"/>
  <c r="N39" i="29"/>
  <c r="N39" i="22"/>
  <c r="N39" i="21"/>
  <c r="R39" i="29"/>
  <c r="R39" i="22"/>
  <c r="R39" i="21"/>
  <c r="H42" i="29"/>
  <c r="H42" i="22"/>
  <c r="H42" i="21"/>
  <c r="M42" i="29"/>
  <c r="M42" i="22"/>
  <c r="M42" i="21"/>
  <c r="P42" i="29"/>
  <c r="P42" i="22"/>
  <c r="P42" i="21"/>
  <c r="D39" i="22"/>
  <c r="S93" i="28"/>
  <c r="O139" i="33"/>
  <c r="K139" i="33"/>
  <c r="G139" i="33"/>
  <c r="N139" i="33"/>
  <c r="J139" i="33"/>
  <c r="F139" i="33"/>
  <c r="I139" i="33"/>
  <c r="E139" i="33"/>
  <c r="H139" i="33"/>
  <c r="M139" i="33"/>
  <c r="L139" i="33"/>
  <c r="D139" i="33"/>
  <c r="O158" i="35"/>
  <c r="K158" i="35"/>
  <c r="G158" i="35"/>
  <c r="N158" i="35"/>
  <c r="J158" i="35"/>
  <c r="F158" i="35"/>
  <c r="M158" i="35"/>
  <c r="E158" i="35"/>
  <c r="H158" i="35"/>
  <c r="L158" i="35"/>
  <c r="D158" i="35"/>
  <c r="I158" i="35"/>
  <c r="S159" i="28"/>
  <c r="S59" i="29"/>
  <c r="S15" i="29"/>
  <c r="G39" i="29"/>
  <c r="G39" i="22"/>
  <c r="G39" i="21"/>
  <c r="K39" i="29"/>
  <c r="K39" i="22"/>
  <c r="K39" i="21"/>
  <c r="O39" i="29"/>
  <c r="O39" i="22"/>
  <c r="O39" i="21"/>
  <c r="K42" i="29"/>
  <c r="K42" i="22"/>
  <c r="K42" i="21"/>
  <c r="S43" i="26"/>
  <c r="M139" i="34"/>
  <c r="I139" i="34"/>
  <c r="E139" i="34"/>
  <c r="L139" i="34"/>
  <c r="H139" i="34"/>
  <c r="D139" i="34"/>
  <c r="N139" i="34"/>
  <c r="F139" i="34"/>
  <c r="J139" i="34"/>
  <c r="G139" i="34"/>
  <c r="K139" i="34"/>
  <c r="O139" i="34"/>
  <c r="M168" i="18"/>
  <c r="H39" i="29"/>
  <c r="H39" i="22"/>
  <c r="H39" i="21"/>
  <c r="L39" i="29"/>
  <c r="L39" i="22"/>
  <c r="L39" i="21"/>
  <c r="P39" i="29"/>
  <c r="P39" i="22"/>
  <c r="P39" i="21"/>
  <c r="I42" i="29"/>
  <c r="I42" i="22"/>
  <c r="I42" i="21"/>
  <c r="Q42" i="29"/>
  <c r="Q42" i="22"/>
  <c r="Q42" i="21"/>
  <c r="G134" i="21"/>
  <c r="O139" i="35"/>
  <c r="K139" i="35"/>
  <c r="G139" i="35"/>
  <c r="N139" i="35"/>
  <c r="J139" i="35"/>
  <c r="F139" i="35"/>
  <c r="M139" i="35"/>
  <c r="E139" i="35"/>
  <c r="L139" i="35"/>
  <c r="D139" i="35"/>
  <c r="I139" i="35"/>
  <c r="H139" i="35"/>
  <c r="S131" i="29"/>
  <c r="S131" i="28"/>
  <c r="O158" i="33"/>
  <c r="K158" i="33"/>
  <c r="G158" i="33"/>
  <c r="N158" i="33"/>
  <c r="J158" i="33"/>
  <c r="F158" i="33"/>
  <c r="I158" i="33"/>
  <c r="M158" i="33"/>
  <c r="H158" i="33"/>
  <c r="E158" i="33"/>
  <c r="L158" i="33"/>
  <c r="D158" i="33"/>
  <c r="E39" i="29"/>
  <c r="E39" i="22"/>
  <c r="E39" i="21"/>
  <c r="I39" i="29"/>
  <c r="I39" i="22"/>
  <c r="I39" i="21"/>
  <c r="M39" i="29"/>
  <c r="M39" i="22"/>
  <c r="M39" i="21"/>
  <c r="Q39" i="29"/>
  <c r="Q39" i="22"/>
  <c r="Q39" i="21"/>
  <c r="G42" i="29"/>
  <c r="G42" i="22"/>
  <c r="G42" i="21"/>
  <c r="O42" i="29"/>
  <c r="O42" i="22"/>
  <c r="O42" i="21"/>
  <c r="I27" i="29"/>
  <c r="I27" i="21"/>
  <c r="Q27" i="29"/>
  <c r="Q27" i="22"/>
  <c r="Q27" i="21"/>
  <c r="D136" i="28"/>
  <c r="S136" i="27"/>
  <c r="J98" i="28"/>
  <c r="S98" i="27"/>
  <c r="D102" i="29"/>
  <c r="S103" i="27"/>
  <c r="E103" i="28"/>
  <c r="S104" i="27"/>
  <c r="F104" i="28"/>
  <c r="F104" i="29"/>
  <c r="D97" i="28"/>
  <c r="S97" i="27"/>
  <c r="D99" i="28"/>
  <c r="S99" i="27"/>
  <c r="S106" i="27"/>
  <c r="H106" i="28"/>
  <c r="H106" i="29"/>
  <c r="K141" i="28"/>
  <c r="K141" i="29"/>
  <c r="G105" i="28"/>
  <c r="G105" i="29"/>
  <c r="S105" i="27"/>
  <c r="D21" i="28"/>
  <c r="S21" i="27"/>
  <c r="D138" i="28"/>
  <c r="D138" i="29"/>
  <c r="S138" i="29"/>
  <c r="S138" i="27"/>
  <c r="H166" i="35"/>
  <c r="H167" i="35"/>
  <c r="H166" i="33"/>
  <c r="H167" i="33"/>
  <c r="H166" i="34"/>
  <c r="H167" i="34"/>
  <c r="L166" i="35"/>
  <c r="L167" i="35"/>
  <c r="L166" i="34"/>
  <c r="L167" i="34"/>
  <c r="L166" i="33"/>
  <c r="L167" i="33"/>
  <c r="B158" i="35"/>
  <c r="B158" i="34"/>
  <c r="B158" i="33"/>
  <c r="C152" i="35"/>
  <c r="C152" i="34"/>
  <c r="C152" i="33"/>
  <c r="B148" i="35"/>
  <c r="B148" i="34"/>
  <c r="B148" i="33"/>
  <c r="B112" i="17"/>
  <c r="B116" i="35"/>
  <c r="B116" i="34"/>
  <c r="B116" i="33"/>
  <c r="C111" i="18"/>
  <c r="C110" i="35"/>
  <c r="C110" i="34"/>
  <c r="C110" i="33"/>
  <c r="B109" i="35"/>
  <c r="B109" i="34"/>
  <c r="B109" i="33"/>
  <c r="C107" i="18"/>
  <c r="C106" i="35"/>
  <c r="C106" i="34"/>
  <c r="C106" i="33"/>
  <c r="O12" i="35"/>
  <c r="O12" i="34"/>
  <c r="O12" i="33"/>
  <c r="O12" i="18"/>
  <c r="K12" i="35"/>
  <c r="K12" i="33"/>
  <c r="K12" i="34"/>
  <c r="K12" i="18"/>
  <c r="G12" i="35"/>
  <c r="G12" i="34"/>
  <c r="G12" i="33"/>
  <c r="G12" i="18"/>
  <c r="B101" i="21"/>
  <c r="B106" i="35"/>
  <c r="B106" i="34"/>
  <c r="B106" i="33"/>
  <c r="B102" i="35"/>
  <c r="B102" i="34"/>
  <c r="B102" i="33"/>
  <c r="B93" i="17"/>
  <c r="B98" i="35"/>
  <c r="B98" i="34"/>
  <c r="B98" i="33"/>
  <c r="C96" i="26"/>
  <c r="C101" i="35"/>
  <c r="C101" i="34"/>
  <c r="C101" i="33"/>
  <c r="C97" i="18"/>
  <c r="C97" i="35"/>
  <c r="C97" i="34"/>
  <c r="C97" i="33"/>
  <c r="B138" i="17"/>
  <c r="B142" i="35"/>
  <c r="B142" i="34"/>
  <c r="B142" i="33"/>
  <c r="B140" i="35"/>
  <c r="B140" i="34"/>
  <c r="B140" i="33"/>
  <c r="C132" i="27"/>
  <c r="C137" i="35"/>
  <c r="C137" i="34"/>
  <c r="C137" i="33"/>
  <c r="B136" i="35"/>
  <c r="B136" i="34"/>
  <c r="B136" i="33"/>
  <c r="C133" i="35"/>
  <c r="C133" i="34"/>
  <c r="C133" i="33"/>
  <c r="C130" i="35"/>
  <c r="C130" i="33"/>
  <c r="C130" i="34"/>
  <c r="C127" i="35"/>
  <c r="C127" i="34"/>
  <c r="C127" i="33"/>
  <c r="C119" i="22"/>
  <c r="C124" i="35"/>
  <c r="C124" i="34"/>
  <c r="C124" i="33"/>
  <c r="B123" i="35"/>
  <c r="B123" i="34"/>
  <c r="B123" i="33"/>
  <c r="C120" i="35"/>
  <c r="C120" i="34"/>
  <c r="C120" i="33"/>
  <c r="B119" i="35"/>
  <c r="B119" i="33"/>
  <c r="B119" i="34"/>
  <c r="C146" i="35"/>
  <c r="C146" i="33"/>
  <c r="C146" i="34"/>
  <c r="S135" i="27"/>
  <c r="I166" i="35"/>
  <c r="I167" i="35"/>
  <c r="I166" i="33"/>
  <c r="I167" i="33"/>
  <c r="I166" i="34"/>
  <c r="I167" i="34"/>
  <c r="M166" i="35"/>
  <c r="M167" i="35"/>
  <c r="M166" i="34"/>
  <c r="M167" i="34"/>
  <c r="M166" i="33"/>
  <c r="M167" i="33"/>
  <c r="C152" i="17"/>
  <c r="C156" i="35"/>
  <c r="C156" i="34"/>
  <c r="C156" i="33"/>
  <c r="B147" i="26"/>
  <c r="B152" i="35"/>
  <c r="B152" i="34"/>
  <c r="B152" i="33"/>
  <c r="C111" i="35"/>
  <c r="C111" i="33"/>
  <c r="C111" i="34"/>
  <c r="B110" i="35"/>
  <c r="B110" i="34"/>
  <c r="B110" i="33"/>
  <c r="C102" i="27"/>
  <c r="C107" i="35"/>
  <c r="C107" i="33"/>
  <c r="C107" i="34"/>
  <c r="C100" i="17"/>
  <c r="C104" i="35"/>
  <c r="C104" i="34"/>
  <c r="C104" i="33"/>
  <c r="R12" i="18"/>
  <c r="R12" i="35"/>
  <c r="R12" i="34"/>
  <c r="R12" i="33"/>
  <c r="N12" i="35"/>
  <c r="N12" i="34"/>
  <c r="N12" i="33"/>
  <c r="N12" i="18"/>
  <c r="J12" i="35"/>
  <c r="J12" i="34"/>
  <c r="J12" i="33"/>
  <c r="J12" i="18"/>
  <c r="F12" i="35"/>
  <c r="F12" i="34"/>
  <c r="F12" i="33"/>
  <c r="F12" i="18"/>
  <c r="O99" i="33"/>
  <c r="K99" i="33"/>
  <c r="G99" i="33"/>
  <c r="N99" i="33"/>
  <c r="J99" i="33"/>
  <c r="F99" i="33"/>
  <c r="I99" i="33"/>
  <c r="E99" i="33"/>
  <c r="L99" i="33"/>
  <c r="H99" i="33"/>
  <c r="M99" i="33"/>
  <c r="D99" i="33"/>
  <c r="B105" i="35"/>
  <c r="B105" i="34"/>
  <c r="B105" i="33"/>
  <c r="B101" i="35"/>
  <c r="B101" i="34"/>
  <c r="B101" i="33"/>
  <c r="B97" i="35"/>
  <c r="B97" i="34"/>
  <c r="B97" i="33"/>
  <c r="C100" i="35"/>
  <c r="C100" i="34"/>
  <c r="C100" i="33"/>
  <c r="C143" i="35"/>
  <c r="C143" i="34"/>
  <c r="C143" i="33"/>
  <c r="C141" i="35"/>
  <c r="C141" i="34"/>
  <c r="C141" i="33"/>
  <c r="C138" i="35"/>
  <c r="C138" i="33"/>
  <c r="C138" i="34"/>
  <c r="B137" i="35"/>
  <c r="B137" i="34"/>
  <c r="B137" i="33"/>
  <c r="C134" i="35"/>
  <c r="C134" i="33"/>
  <c r="C134" i="34"/>
  <c r="B133" i="35"/>
  <c r="B133" i="34"/>
  <c r="B133" i="33"/>
  <c r="C131" i="35"/>
  <c r="C131" i="34"/>
  <c r="C131" i="33"/>
  <c r="B130" i="35"/>
  <c r="B130" i="34"/>
  <c r="B130" i="33"/>
  <c r="C128" i="35"/>
  <c r="C128" i="34"/>
  <c r="C128" i="33"/>
  <c r="B122" i="29"/>
  <c r="B127" i="35"/>
  <c r="B127" i="34"/>
  <c r="B127" i="33"/>
  <c r="C125" i="35"/>
  <c r="C125" i="34"/>
  <c r="C125" i="33"/>
  <c r="B124" i="35"/>
  <c r="B124" i="34"/>
  <c r="B124" i="33"/>
  <c r="C121" i="35"/>
  <c r="C121" i="34"/>
  <c r="C121" i="33"/>
  <c r="B120" i="35"/>
  <c r="B120" i="34"/>
  <c r="B120" i="33"/>
  <c r="C117" i="35"/>
  <c r="C117" i="34"/>
  <c r="C117" i="33"/>
  <c r="C147" i="35"/>
  <c r="C147" i="34"/>
  <c r="C147" i="33"/>
  <c r="B146" i="35"/>
  <c r="B146" i="34"/>
  <c r="B146" i="33"/>
  <c r="C144" i="35"/>
  <c r="C144" i="34"/>
  <c r="C144" i="33"/>
  <c r="S46" i="27"/>
  <c r="F166" i="35"/>
  <c r="F166" i="34"/>
  <c r="F166" i="33"/>
  <c r="F167" i="33"/>
  <c r="J166" i="35"/>
  <c r="J167" i="35"/>
  <c r="J166" i="33"/>
  <c r="J167" i="33"/>
  <c r="J166" i="34"/>
  <c r="J167" i="34"/>
  <c r="N166" i="35"/>
  <c r="N167" i="35"/>
  <c r="N166" i="33"/>
  <c r="N167" i="33"/>
  <c r="N166" i="34"/>
  <c r="N167" i="34"/>
  <c r="C153" i="29"/>
  <c r="C157" i="35"/>
  <c r="C157" i="34"/>
  <c r="C157" i="33"/>
  <c r="B156" i="35"/>
  <c r="B156" i="34"/>
  <c r="B156" i="33"/>
  <c r="C112" i="35"/>
  <c r="C112" i="34"/>
  <c r="C112" i="33"/>
  <c r="B111" i="35"/>
  <c r="B111" i="34"/>
  <c r="B111" i="33"/>
  <c r="C108" i="35"/>
  <c r="C108" i="34"/>
  <c r="C108" i="33"/>
  <c r="C105" i="35"/>
  <c r="C105" i="34"/>
  <c r="C105" i="33"/>
  <c r="Q12" i="18"/>
  <c r="Q12" i="35"/>
  <c r="Q12" i="34"/>
  <c r="Q12" i="33"/>
  <c r="M12" i="35"/>
  <c r="M12" i="34"/>
  <c r="M12" i="33"/>
  <c r="M12" i="18"/>
  <c r="I12" i="35"/>
  <c r="I12" i="34"/>
  <c r="I12" i="33"/>
  <c r="I12" i="18"/>
  <c r="E12" i="35"/>
  <c r="E12" i="34"/>
  <c r="E12" i="33"/>
  <c r="E12" i="18"/>
  <c r="O102" i="33"/>
  <c r="K102" i="33"/>
  <c r="G102" i="33"/>
  <c r="N102" i="33"/>
  <c r="J102" i="33"/>
  <c r="F102" i="33"/>
  <c r="M102" i="33"/>
  <c r="E102" i="33"/>
  <c r="I102" i="33"/>
  <c r="L102" i="33"/>
  <c r="D102" i="33"/>
  <c r="H102" i="33"/>
  <c r="R154" i="25"/>
  <c r="B96" i="35"/>
  <c r="B96" i="34"/>
  <c r="B96" i="33"/>
  <c r="B104" i="35"/>
  <c r="B104" i="34"/>
  <c r="B104" i="33"/>
  <c r="B100" i="35"/>
  <c r="B100" i="34"/>
  <c r="B100" i="33"/>
  <c r="C103" i="35"/>
  <c r="C103" i="33"/>
  <c r="C103" i="34"/>
  <c r="C99" i="35"/>
  <c r="C99" i="33"/>
  <c r="C99" i="34"/>
  <c r="B144" i="18"/>
  <c r="B143" i="35"/>
  <c r="B143" i="34"/>
  <c r="B143" i="33"/>
  <c r="B141" i="35"/>
  <c r="B141" i="34"/>
  <c r="B141" i="33"/>
  <c r="C134" i="28"/>
  <c r="C139" i="35"/>
  <c r="C139" i="34"/>
  <c r="C139" i="33"/>
  <c r="B133" i="27"/>
  <c r="B138" i="35"/>
  <c r="B138" i="34"/>
  <c r="B138" i="33"/>
  <c r="C135" i="35"/>
  <c r="C135" i="34"/>
  <c r="C135" i="33"/>
  <c r="B134" i="35"/>
  <c r="B134" i="34"/>
  <c r="B134" i="33"/>
  <c r="C132" i="35"/>
  <c r="C132" i="34"/>
  <c r="C132" i="33"/>
  <c r="B132" i="18"/>
  <c r="B131" i="35"/>
  <c r="B131" i="34"/>
  <c r="B131" i="33"/>
  <c r="C129" i="35"/>
  <c r="C129" i="34"/>
  <c r="C129" i="33"/>
  <c r="B128" i="35"/>
  <c r="B128" i="34"/>
  <c r="B128" i="33"/>
  <c r="C126" i="35"/>
  <c r="C126" i="33"/>
  <c r="C126" i="34"/>
  <c r="B125" i="35"/>
  <c r="B125" i="34"/>
  <c r="B125" i="33"/>
  <c r="C122" i="35"/>
  <c r="C122" i="33"/>
  <c r="C122" i="34"/>
  <c r="B121" i="35"/>
  <c r="B121" i="34"/>
  <c r="B121" i="33"/>
  <c r="C118" i="35"/>
  <c r="C118" i="33"/>
  <c r="C118" i="34"/>
  <c r="B118" i="18"/>
  <c r="B117" i="35"/>
  <c r="B117" i="34"/>
  <c r="B117" i="33"/>
  <c r="B147" i="35"/>
  <c r="B147" i="34"/>
  <c r="B147" i="33"/>
  <c r="C145" i="35"/>
  <c r="C145" i="34"/>
  <c r="C145" i="33"/>
  <c r="B144" i="35"/>
  <c r="B144" i="34"/>
  <c r="B144" i="33"/>
  <c r="G166" i="35"/>
  <c r="G167" i="35"/>
  <c r="G166" i="34"/>
  <c r="G167" i="34"/>
  <c r="G166" i="33"/>
  <c r="G167" i="33"/>
  <c r="K166" i="35"/>
  <c r="K167" i="35"/>
  <c r="K166" i="34"/>
  <c r="K167" i="34"/>
  <c r="K166" i="33"/>
  <c r="K167" i="33"/>
  <c r="O166" i="35"/>
  <c r="O167" i="35"/>
  <c r="O166" i="33"/>
  <c r="O167" i="33"/>
  <c r="O166" i="34"/>
  <c r="O167" i="34"/>
  <c r="C154" i="22"/>
  <c r="C158" i="35"/>
  <c r="C158" i="33"/>
  <c r="C158" i="34"/>
  <c r="B153" i="29"/>
  <c r="B157" i="35"/>
  <c r="B157" i="33"/>
  <c r="B157" i="34"/>
  <c r="C149" i="18"/>
  <c r="C148" i="35"/>
  <c r="C148" i="34"/>
  <c r="C148" i="33"/>
  <c r="C116" i="35"/>
  <c r="C116" i="34"/>
  <c r="C116" i="33"/>
  <c r="B107" i="28"/>
  <c r="B112" i="35"/>
  <c r="B112" i="34"/>
  <c r="B112" i="33"/>
  <c r="C109" i="35"/>
  <c r="C109" i="34"/>
  <c r="C109" i="33"/>
  <c r="B108" i="35"/>
  <c r="B108" i="34"/>
  <c r="B108" i="33"/>
  <c r="C96" i="35"/>
  <c r="C96" i="34"/>
  <c r="C96" i="33"/>
  <c r="P12" i="35"/>
  <c r="P12" i="34"/>
  <c r="P12" i="33"/>
  <c r="P12" i="18"/>
  <c r="L12" i="35"/>
  <c r="L12" i="34"/>
  <c r="L12" i="33"/>
  <c r="L12" i="18"/>
  <c r="H12" i="35"/>
  <c r="H12" i="34"/>
  <c r="H12" i="33"/>
  <c r="H12" i="18"/>
  <c r="D12" i="35"/>
  <c r="D12" i="34"/>
  <c r="D12" i="33"/>
  <c r="D12" i="18"/>
  <c r="O103" i="33"/>
  <c r="N103" i="33"/>
  <c r="J103" i="33"/>
  <c r="E103" i="33"/>
  <c r="D103" i="33"/>
  <c r="L103" i="33"/>
  <c r="B107" i="35"/>
  <c r="B107" i="34"/>
  <c r="B107" i="33"/>
  <c r="B103" i="35"/>
  <c r="B103" i="34"/>
  <c r="B103" i="33"/>
  <c r="B99" i="35"/>
  <c r="B99" i="34"/>
  <c r="B99" i="33"/>
  <c r="C102" i="35"/>
  <c r="C102" i="34"/>
  <c r="C102" i="33"/>
  <c r="C98" i="35"/>
  <c r="C98" i="34"/>
  <c r="C98" i="33"/>
  <c r="C137" i="29"/>
  <c r="C142" i="35"/>
  <c r="C142" i="34"/>
  <c r="C142" i="33"/>
  <c r="C140" i="35"/>
  <c r="C140" i="34"/>
  <c r="C140" i="33"/>
  <c r="B139" i="35"/>
  <c r="B139" i="34"/>
  <c r="B139" i="33"/>
  <c r="C136" i="35"/>
  <c r="C136" i="34"/>
  <c r="C136" i="33"/>
  <c r="B135" i="35"/>
  <c r="B135" i="34"/>
  <c r="B135" i="33"/>
  <c r="B132" i="35"/>
  <c r="B132" i="34"/>
  <c r="B132" i="33"/>
  <c r="B129" i="35"/>
  <c r="B129" i="34"/>
  <c r="B129" i="33"/>
  <c r="B126" i="35"/>
  <c r="B126" i="34"/>
  <c r="B126" i="33"/>
  <c r="C123" i="35"/>
  <c r="C123" i="34"/>
  <c r="C123" i="33"/>
  <c r="B122" i="35"/>
  <c r="B122" i="34"/>
  <c r="B122" i="33"/>
  <c r="C119" i="35"/>
  <c r="C119" i="34"/>
  <c r="C119" i="33"/>
  <c r="B118" i="35"/>
  <c r="B118" i="34"/>
  <c r="B118" i="33"/>
  <c r="B145" i="35"/>
  <c r="B145" i="34"/>
  <c r="B145" i="33"/>
  <c r="L152" i="34"/>
  <c r="L153" i="34"/>
  <c r="H152" i="34"/>
  <c r="H153" i="34" s="1"/>
  <c r="D152" i="34"/>
  <c r="D153" i="34"/>
  <c r="O152" i="34"/>
  <c r="O153" i="34" s="1"/>
  <c r="K152" i="34"/>
  <c r="K153" i="34"/>
  <c r="G152" i="34"/>
  <c r="G153" i="34" s="1"/>
  <c r="N152" i="34"/>
  <c r="N153" i="34"/>
  <c r="J152" i="34"/>
  <c r="J153" i="34" s="1"/>
  <c r="F152" i="34"/>
  <c r="F153" i="34"/>
  <c r="M152" i="34"/>
  <c r="M153" i="34" s="1"/>
  <c r="I152" i="34"/>
  <c r="I153" i="34"/>
  <c r="E152" i="34"/>
  <c r="E153" i="34" s="1"/>
  <c r="M111" i="21"/>
  <c r="D111" i="21"/>
  <c r="K111" i="21"/>
  <c r="E111" i="21"/>
  <c r="J111" i="21"/>
  <c r="N111" i="21"/>
  <c r="F111" i="21"/>
  <c r="J102" i="34"/>
  <c r="F102" i="34"/>
  <c r="E102" i="34"/>
  <c r="L102" i="34"/>
  <c r="O102" i="34"/>
  <c r="K102" i="34"/>
  <c r="L97" i="21"/>
  <c r="M102" i="35"/>
  <c r="I102" i="35"/>
  <c r="E102" i="35"/>
  <c r="J102" i="35"/>
  <c r="L102" i="35"/>
  <c r="H102" i="35"/>
  <c r="D102" i="35"/>
  <c r="N102" i="35"/>
  <c r="F102" i="35"/>
  <c r="O102" i="35"/>
  <c r="K102" i="35"/>
  <c r="G102" i="35"/>
  <c r="M128" i="33"/>
  <c r="I128" i="33"/>
  <c r="E128" i="33"/>
  <c r="L128" i="33"/>
  <c r="H128" i="33"/>
  <c r="D128" i="33"/>
  <c r="O128" i="33"/>
  <c r="K128" i="33"/>
  <c r="G128" i="33"/>
  <c r="N128" i="33"/>
  <c r="J128" i="33"/>
  <c r="F128" i="33"/>
  <c r="L111" i="21"/>
  <c r="M116" i="35"/>
  <c r="I116" i="35"/>
  <c r="E116" i="35"/>
  <c r="L116" i="35"/>
  <c r="H116" i="35"/>
  <c r="D116" i="35"/>
  <c r="O116" i="35"/>
  <c r="K116" i="35"/>
  <c r="G116" i="35"/>
  <c r="J116" i="35"/>
  <c r="N116" i="35"/>
  <c r="F116" i="35"/>
  <c r="M116" i="33"/>
  <c r="I116" i="33"/>
  <c r="E116" i="33"/>
  <c r="L116" i="33"/>
  <c r="H116" i="33"/>
  <c r="D116" i="33"/>
  <c r="O116" i="33"/>
  <c r="K116" i="33"/>
  <c r="G116" i="33"/>
  <c r="N116" i="33"/>
  <c r="J116" i="33"/>
  <c r="F116" i="33"/>
  <c r="N117" i="34"/>
  <c r="J117" i="34"/>
  <c r="F117" i="34"/>
  <c r="M117" i="34"/>
  <c r="I117" i="34"/>
  <c r="E117" i="34"/>
  <c r="L117" i="34"/>
  <c r="H117" i="34"/>
  <c r="D117" i="34"/>
  <c r="O117" i="34"/>
  <c r="K117" i="34"/>
  <c r="G117" i="34"/>
  <c r="L110" i="33"/>
  <c r="H110" i="33"/>
  <c r="D110" i="33"/>
  <c r="O110" i="33"/>
  <c r="K110" i="33"/>
  <c r="G110" i="33"/>
  <c r="N110" i="33"/>
  <c r="J110" i="33"/>
  <c r="F110" i="33"/>
  <c r="I110" i="33"/>
  <c r="M110" i="33"/>
  <c r="E110" i="33"/>
  <c r="M125" i="33"/>
  <c r="I125" i="33"/>
  <c r="E125" i="33"/>
  <c r="L125" i="33"/>
  <c r="H125" i="33"/>
  <c r="D125" i="33"/>
  <c r="O125" i="33"/>
  <c r="K125" i="33"/>
  <c r="G125" i="33"/>
  <c r="N125" i="33"/>
  <c r="F125" i="33"/>
  <c r="J125" i="33"/>
  <c r="M118" i="33"/>
  <c r="I118" i="33"/>
  <c r="E118" i="33"/>
  <c r="L118" i="33"/>
  <c r="H118" i="33"/>
  <c r="D118" i="33"/>
  <c r="O118" i="33"/>
  <c r="K118" i="33"/>
  <c r="G118" i="33"/>
  <c r="J118" i="33"/>
  <c r="F118" i="33"/>
  <c r="N118" i="33"/>
  <c r="M144" i="33"/>
  <c r="I144" i="33"/>
  <c r="E144" i="33"/>
  <c r="L144" i="33"/>
  <c r="H144" i="33"/>
  <c r="D144" i="33"/>
  <c r="O144" i="33"/>
  <c r="K144" i="33"/>
  <c r="G144" i="33"/>
  <c r="N144" i="33"/>
  <c r="J144" i="33"/>
  <c r="F144" i="33"/>
  <c r="M126" i="33"/>
  <c r="I126" i="33"/>
  <c r="E126" i="33"/>
  <c r="L126" i="33"/>
  <c r="H126" i="33"/>
  <c r="D126" i="33"/>
  <c r="O126" i="33"/>
  <c r="K126" i="33"/>
  <c r="G126" i="33"/>
  <c r="F126" i="33"/>
  <c r="N126" i="33"/>
  <c r="J126" i="33"/>
  <c r="N121" i="34"/>
  <c r="J121" i="34"/>
  <c r="F121" i="34"/>
  <c r="M121" i="34"/>
  <c r="I121" i="34"/>
  <c r="E121" i="34"/>
  <c r="L121" i="34"/>
  <c r="H121" i="34"/>
  <c r="D121" i="34"/>
  <c r="O121" i="34"/>
  <c r="K121" i="34"/>
  <c r="G121" i="34"/>
  <c r="N122" i="34"/>
  <c r="J122" i="34"/>
  <c r="F122" i="34"/>
  <c r="M122" i="34"/>
  <c r="I122" i="34"/>
  <c r="E122" i="34"/>
  <c r="L122" i="34"/>
  <c r="H122" i="34"/>
  <c r="D122" i="34"/>
  <c r="O122" i="34"/>
  <c r="K122" i="34"/>
  <c r="G122" i="34"/>
  <c r="M129" i="33"/>
  <c r="I129" i="33"/>
  <c r="E129" i="33"/>
  <c r="L129" i="33"/>
  <c r="H129" i="33"/>
  <c r="D129" i="33"/>
  <c r="O129" i="33"/>
  <c r="K129" i="33"/>
  <c r="G129" i="33"/>
  <c r="N129" i="33"/>
  <c r="F129" i="33"/>
  <c r="J129" i="33"/>
  <c r="M122" i="33"/>
  <c r="I122" i="33"/>
  <c r="E122" i="33"/>
  <c r="L122" i="33"/>
  <c r="H122" i="33"/>
  <c r="D122" i="33"/>
  <c r="O122" i="33"/>
  <c r="K122" i="33"/>
  <c r="G122" i="33"/>
  <c r="J122" i="33"/>
  <c r="F122" i="33"/>
  <c r="N122" i="33"/>
  <c r="M117" i="33"/>
  <c r="I117" i="33"/>
  <c r="E117" i="33"/>
  <c r="L117" i="33"/>
  <c r="H117" i="33"/>
  <c r="D117" i="33"/>
  <c r="O117" i="33"/>
  <c r="K117" i="33"/>
  <c r="G117" i="33"/>
  <c r="F117" i="33"/>
  <c r="J117" i="33"/>
  <c r="N117" i="33"/>
  <c r="M132" i="33"/>
  <c r="I132" i="33"/>
  <c r="E132" i="33"/>
  <c r="L132" i="33"/>
  <c r="H132" i="33"/>
  <c r="D132" i="33"/>
  <c r="O132" i="33"/>
  <c r="K132" i="33"/>
  <c r="G132" i="33"/>
  <c r="N132" i="33"/>
  <c r="J132" i="33"/>
  <c r="F132" i="33"/>
  <c r="M140" i="33"/>
  <c r="I140" i="33"/>
  <c r="E140" i="33"/>
  <c r="L140" i="33"/>
  <c r="H140" i="33"/>
  <c r="D140" i="33"/>
  <c r="O140" i="33"/>
  <c r="K140" i="33"/>
  <c r="G140" i="33"/>
  <c r="J140" i="33"/>
  <c r="F140" i="33"/>
  <c r="N140" i="33"/>
  <c r="J128" i="34"/>
  <c r="E128" i="34"/>
  <c r="O128" i="34"/>
  <c r="L119" i="35"/>
  <c r="K119" i="35"/>
  <c r="J119" i="35"/>
  <c r="M157" i="33"/>
  <c r="I157" i="33"/>
  <c r="E157" i="33"/>
  <c r="L157" i="33"/>
  <c r="H157" i="33"/>
  <c r="D157" i="33"/>
  <c r="O157" i="33"/>
  <c r="K157" i="33"/>
  <c r="G157" i="33"/>
  <c r="F157" i="33"/>
  <c r="N157" i="33"/>
  <c r="J157" i="33"/>
  <c r="M157" i="35"/>
  <c r="I157" i="35"/>
  <c r="E157" i="35"/>
  <c r="L157" i="35"/>
  <c r="H157" i="35"/>
  <c r="D157" i="35"/>
  <c r="O157" i="35"/>
  <c r="K157" i="35"/>
  <c r="G157" i="35"/>
  <c r="F157" i="35"/>
  <c r="N157" i="35"/>
  <c r="J157" i="35"/>
  <c r="P112" i="33"/>
  <c r="P113" i="33"/>
  <c r="L112" i="33"/>
  <c r="H112" i="33"/>
  <c r="D112" i="33"/>
  <c r="O112" i="33"/>
  <c r="K112" i="33"/>
  <c r="G112" i="33"/>
  <c r="R112" i="33"/>
  <c r="R113" i="33"/>
  <c r="N112" i="33"/>
  <c r="J112" i="33"/>
  <c r="F112" i="33"/>
  <c r="Q112" i="33"/>
  <c r="Q113" i="33" s="1"/>
  <c r="M112" i="33"/>
  <c r="E112" i="33"/>
  <c r="I112" i="33"/>
  <c r="O108" i="33"/>
  <c r="L108" i="33"/>
  <c r="H108" i="33"/>
  <c r="D108" i="33"/>
  <c r="K108" i="33"/>
  <c r="G108" i="33"/>
  <c r="M108" i="33"/>
  <c r="E108" i="33"/>
  <c r="N108" i="33"/>
  <c r="J108" i="33"/>
  <c r="F108" i="33"/>
  <c r="I108" i="33"/>
  <c r="M121" i="33"/>
  <c r="I121" i="33"/>
  <c r="E121" i="33"/>
  <c r="L121" i="33"/>
  <c r="H121" i="33"/>
  <c r="D121" i="33"/>
  <c r="O121" i="33"/>
  <c r="K121" i="33"/>
  <c r="G121" i="33"/>
  <c r="F121" i="33"/>
  <c r="J121" i="33"/>
  <c r="N121" i="33"/>
  <c r="L100" i="33"/>
  <c r="H100" i="33"/>
  <c r="D100" i="33"/>
  <c r="E100" i="33"/>
  <c r="O100" i="33"/>
  <c r="K100" i="33"/>
  <c r="G100" i="33"/>
  <c r="I100" i="33"/>
  <c r="N100" i="33"/>
  <c r="J100" i="33"/>
  <c r="F100" i="33"/>
  <c r="M100" i="33"/>
  <c r="I117" i="21"/>
  <c r="M122" i="35"/>
  <c r="I122" i="35"/>
  <c r="E122" i="35"/>
  <c r="L122" i="35"/>
  <c r="H122" i="35"/>
  <c r="D122" i="35"/>
  <c r="O122" i="35"/>
  <c r="K122" i="35"/>
  <c r="G122" i="35"/>
  <c r="N122" i="35"/>
  <c r="J122" i="35"/>
  <c r="F122" i="35"/>
  <c r="N116" i="34"/>
  <c r="J116" i="34"/>
  <c r="F116" i="34"/>
  <c r="M116" i="34"/>
  <c r="I116" i="34"/>
  <c r="E116" i="34"/>
  <c r="L116" i="34"/>
  <c r="H116" i="34"/>
  <c r="D116" i="34"/>
  <c r="O116" i="34"/>
  <c r="K116" i="34"/>
  <c r="G116" i="34"/>
  <c r="H97" i="33"/>
  <c r="M97" i="33"/>
  <c r="K97" i="33"/>
  <c r="E97" i="33"/>
  <c r="J97" i="33"/>
  <c r="I97" i="33"/>
  <c r="N119" i="34"/>
  <c r="I119" i="34"/>
  <c r="D119" i="34"/>
  <c r="L101" i="33"/>
  <c r="H101" i="33"/>
  <c r="D101" i="33"/>
  <c r="E101" i="33"/>
  <c r="O101" i="33"/>
  <c r="K101" i="33"/>
  <c r="G101" i="33"/>
  <c r="I101" i="33"/>
  <c r="N101" i="33"/>
  <c r="J101" i="33"/>
  <c r="F101" i="33"/>
  <c r="M101" i="33"/>
  <c r="M127" i="33"/>
  <c r="I127" i="33"/>
  <c r="E127" i="33"/>
  <c r="L127" i="33"/>
  <c r="H127" i="33"/>
  <c r="D127" i="33"/>
  <c r="O127" i="33"/>
  <c r="K127" i="33"/>
  <c r="G127" i="33"/>
  <c r="J127" i="33"/>
  <c r="N127" i="33"/>
  <c r="F127" i="33"/>
  <c r="M119" i="33"/>
  <c r="I119" i="33"/>
  <c r="E119" i="33"/>
  <c r="L119" i="33"/>
  <c r="H119" i="33"/>
  <c r="D119" i="33"/>
  <c r="O119" i="33"/>
  <c r="K119" i="33"/>
  <c r="G119" i="33"/>
  <c r="N119" i="33"/>
  <c r="J119" i="33"/>
  <c r="F119" i="33"/>
  <c r="M137" i="33"/>
  <c r="I137" i="33"/>
  <c r="E137" i="33"/>
  <c r="L137" i="33"/>
  <c r="H137" i="33"/>
  <c r="D137" i="33"/>
  <c r="O137" i="33"/>
  <c r="K137" i="33"/>
  <c r="G137" i="33"/>
  <c r="N137" i="33"/>
  <c r="J137" i="33"/>
  <c r="F137" i="33"/>
  <c r="M147" i="33"/>
  <c r="I147" i="33"/>
  <c r="E147" i="33"/>
  <c r="L147" i="33"/>
  <c r="H147" i="33"/>
  <c r="D147" i="33"/>
  <c r="O147" i="33"/>
  <c r="K147" i="33"/>
  <c r="G147" i="33"/>
  <c r="J147" i="33"/>
  <c r="F147" i="33"/>
  <c r="N147" i="33"/>
  <c r="N125" i="34"/>
  <c r="J125" i="34"/>
  <c r="F125" i="34"/>
  <c r="K125" i="34"/>
  <c r="M125" i="34"/>
  <c r="I125" i="34"/>
  <c r="E125" i="34"/>
  <c r="O125" i="34"/>
  <c r="L125" i="34"/>
  <c r="H125" i="34"/>
  <c r="D125" i="34"/>
  <c r="G125" i="34"/>
  <c r="M118" i="34"/>
  <c r="I118" i="34"/>
  <c r="E118" i="34"/>
  <c r="F118" i="34"/>
  <c r="L118" i="34"/>
  <c r="H118" i="34"/>
  <c r="D118" i="34"/>
  <c r="N118" i="34"/>
  <c r="O118" i="34"/>
  <c r="K118" i="34"/>
  <c r="G118" i="34"/>
  <c r="J118" i="34"/>
  <c r="D86" i="21"/>
  <c r="M91" i="35"/>
  <c r="I91" i="35"/>
  <c r="E91" i="35"/>
  <c r="J91" i="35"/>
  <c r="L91" i="35"/>
  <c r="H91" i="35"/>
  <c r="D91" i="35"/>
  <c r="N91" i="35"/>
  <c r="O91" i="35"/>
  <c r="K91" i="35"/>
  <c r="G91" i="35"/>
  <c r="F91" i="35"/>
  <c r="L91" i="33"/>
  <c r="H91" i="33"/>
  <c r="D91" i="33"/>
  <c r="O91" i="33"/>
  <c r="K91" i="33"/>
  <c r="G91" i="33"/>
  <c r="N91" i="33"/>
  <c r="F91" i="33"/>
  <c r="M91" i="33"/>
  <c r="E91" i="33"/>
  <c r="I91" i="33"/>
  <c r="J91" i="33"/>
  <c r="L92" i="33"/>
  <c r="H92" i="33"/>
  <c r="D92" i="33"/>
  <c r="O92" i="33"/>
  <c r="K92" i="33"/>
  <c r="G92" i="33"/>
  <c r="J92" i="33"/>
  <c r="E92" i="33"/>
  <c r="I92" i="33"/>
  <c r="N92" i="33"/>
  <c r="F92" i="33"/>
  <c r="M92" i="33"/>
  <c r="M92" i="34"/>
  <c r="I92" i="34"/>
  <c r="E92" i="34"/>
  <c r="L92" i="34"/>
  <c r="H92" i="34"/>
  <c r="D92" i="34"/>
  <c r="O92" i="34"/>
  <c r="K92" i="34"/>
  <c r="G92" i="34"/>
  <c r="N92" i="34"/>
  <c r="J92" i="34"/>
  <c r="F92" i="34"/>
  <c r="R41" i="25"/>
  <c r="S15" i="28"/>
  <c r="S15" i="26"/>
  <c r="S15" i="27"/>
  <c r="G160" i="21"/>
  <c r="O168" i="18"/>
  <c r="L168" i="18"/>
  <c r="N168" i="18"/>
  <c r="G117" i="21"/>
  <c r="K117" i="21"/>
  <c r="H112" i="22"/>
  <c r="J97" i="21"/>
  <c r="M117" i="21"/>
  <c r="D117" i="21"/>
  <c r="L112" i="22"/>
  <c r="J112" i="22"/>
  <c r="L91" i="18"/>
  <c r="J92" i="18"/>
  <c r="I147" i="22"/>
  <c r="I148" i="22" s="1"/>
  <c r="C153" i="26"/>
  <c r="B110" i="18"/>
  <c r="C105" i="28"/>
  <c r="O147" i="22"/>
  <c r="O148" i="22"/>
  <c r="F147" i="22"/>
  <c r="F148" i="22"/>
  <c r="B147" i="27"/>
  <c r="B148" i="17"/>
  <c r="C151" i="22"/>
  <c r="F112" i="18"/>
  <c r="I108" i="18"/>
  <c r="B104" i="22"/>
  <c r="N105" i="18"/>
  <c r="H105" i="18"/>
  <c r="E105" i="18"/>
  <c r="I105" i="18"/>
  <c r="L147" i="22"/>
  <c r="L148" i="22"/>
  <c r="C158" i="18"/>
  <c r="B147" i="21"/>
  <c r="C153" i="27"/>
  <c r="C106" i="17"/>
  <c r="C101" i="22"/>
  <c r="K147" i="22"/>
  <c r="K148" i="22" s="1"/>
  <c r="N147" i="22"/>
  <c r="N148" i="22"/>
  <c r="V107" i="9"/>
  <c r="N21" i="16" s="1"/>
  <c r="J147" i="22"/>
  <c r="J148" i="22"/>
  <c r="B147" i="28"/>
  <c r="C151" i="28"/>
  <c r="B93" i="22"/>
  <c r="C151" i="21"/>
  <c r="C154" i="17"/>
  <c r="C105" i="22"/>
  <c r="L105" i="18"/>
  <c r="M105" i="18"/>
  <c r="G105" i="18"/>
  <c r="C153" i="28"/>
  <c r="B104" i="28"/>
  <c r="B104" i="27"/>
  <c r="C105" i="27"/>
  <c r="C102" i="17"/>
  <c r="C101" i="26"/>
  <c r="D147" i="22"/>
  <c r="D148" i="22"/>
  <c r="M147" i="22"/>
  <c r="M148" i="22" s="1"/>
  <c r="H147" i="22"/>
  <c r="H148" i="22"/>
  <c r="B147" i="29"/>
  <c r="B147" i="22"/>
  <c r="C151" i="27"/>
  <c r="C151" i="26"/>
  <c r="D108" i="18"/>
  <c r="O105" i="18"/>
  <c r="K105" i="18"/>
  <c r="B104" i="29"/>
  <c r="N148" i="18"/>
  <c r="B97" i="27"/>
  <c r="B102" i="18"/>
  <c r="B97" i="22"/>
  <c r="B97" i="28"/>
  <c r="B97" i="26"/>
  <c r="B97" i="29"/>
  <c r="B97" i="21"/>
  <c r="C101" i="18"/>
  <c r="C96" i="29"/>
  <c r="C96" i="27"/>
  <c r="C96" i="28"/>
  <c r="C92" i="17"/>
  <c r="C92" i="21"/>
  <c r="C92" i="22"/>
  <c r="C92" i="29"/>
  <c r="C92" i="28"/>
  <c r="M100" i="18"/>
  <c r="O82" i="25"/>
  <c r="O100" i="18"/>
  <c r="Q82" i="25" s="1"/>
  <c r="J100" i="18"/>
  <c r="L82" i="25"/>
  <c r="N100" i="18"/>
  <c r="P82" i="25" s="1"/>
  <c r="K100" i="18"/>
  <c r="M82" i="25"/>
  <c r="H144" i="18"/>
  <c r="J144" i="18"/>
  <c r="M144" i="18"/>
  <c r="B135" i="26"/>
  <c r="B135" i="22"/>
  <c r="B135" i="28"/>
  <c r="B135" i="29"/>
  <c r="F139" i="18"/>
  <c r="E139" i="18"/>
  <c r="J139" i="18"/>
  <c r="D139" i="18"/>
  <c r="L139" i="18"/>
  <c r="M139" i="18"/>
  <c r="G139" i="18"/>
  <c r="N139" i="18"/>
  <c r="K139" i="18"/>
  <c r="C132" i="22"/>
  <c r="C133" i="17"/>
  <c r="C132" i="21"/>
  <c r="C132" i="29"/>
  <c r="C138" i="18"/>
  <c r="B131" i="27"/>
  <c r="B131" i="22"/>
  <c r="B131" i="26"/>
  <c r="B137" i="18"/>
  <c r="B132" i="17"/>
  <c r="B131" i="29"/>
  <c r="B131" i="21"/>
  <c r="O135" i="18"/>
  <c r="Q102" i="25" s="1"/>
  <c r="F135" i="18"/>
  <c r="H102" i="25"/>
  <c r="K135" i="18"/>
  <c r="M102" i="25" s="1"/>
  <c r="H135" i="18"/>
  <c r="J102" i="25"/>
  <c r="G135" i="18"/>
  <c r="I102" i="25" s="1"/>
  <c r="D135" i="18"/>
  <c r="F102" i="25"/>
  <c r="L135" i="18"/>
  <c r="N102" i="25" s="1"/>
  <c r="E135" i="18"/>
  <c r="G102" i="25"/>
  <c r="M135" i="18"/>
  <c r="O102" i="25" s="1"/>
  <c r="J135" i="18"/>
  <c r="L102" i="25"/>
  <c r="C134" i="18"/>
  <c r="C128" i="21"/>
  <c r="C128" i="26"/>
  <c r="C128" i="29"/>
  <c r="C128" i="28"/>
  <c r="C128" i="27"/>
  <c r="C129" i="17"/>
  <c r="L132" i="18"/>
  <c r="N99" i="25"/>
  <c r="F132" i="18"/>
  <c r="H99" i="25" s="1"/>
  <c r="O132" i="18"/>
  <c r="Q99" i="25"/>
  <c r="E132" i="18"/>
  <c r="G99" i="25" s="1"/>
  <c r="J132" i="18"/>
  <c r="L99" i="25"/>
  <c r="K132" i="18"/>
  <c r="M99" i="25" s="1"/>
  <c r="H132" i="18"/>
  <c r="J99" i="25"/>
  <c r="G132" i="18"/>
  <c r="I99" i="25" s="1"/>
  <c r="I132" i="18"/>
  <c r="K99" i="25"/>
  <c r="C126" i="17"/>
  <c r="C125" i="29"/>
  <c r="C131" i="18"/>
  <c r="C125" i="28"/>
  <c r="C125" i="22"/>
  <c r="C125" i="21"/>
  <c r="C125" i="26"/>
  <c r="D129" i="18"/>
  <c r="F96" i="25" s="1"/>
  <c r="J129" i="18"/>
  <c r="L96" i="25" s="1"/>
  <c r="L129" i="18"/>
  <c r="N96" i="25"/>
  <c r="E129" i="18"/>
  <c r="G96" i="25" s="1"/>
  <c r="G129" i="18"/>
  <c r="I96" i="25"/>
  <c r="M129" i="18"/>
  <c r="O96" i="25" s="1"/>
  <c r="O129" i="18"/>
  <c r="Q96" i="25" s="1"/>
  <c r="H129" i="18"/>
  <c r="J96" i="25" s="1"/>
  <c r="F129" i="18"/>
  <c r="H96" i="25" s="1"/>
  <c r="N129" i="18"/>
  <c r="P96" i="25" s="1"/>
  <c r="C122" i="29"/>
  <c r="C128" i="18"/>
  <c r="C122" i="22"/>
  <c r="C123" i="17"/>
  <c r="C122" i="26"/>
  <c r="C122" i="21"/>
  <c r="C122" i="28"/>
  <c r="C122" i="27"/>
  <c r="O126" i="18"/>
  <c r="Q93" i="25"/>
  <c r="K126" i="18"/>
  <c r="M93" i="25" s="1"/>
  <c r="F126" i="18"/>
  <c r="H93" i="25"/>
  <c r="M126" i="18"/>
  <c r="O93" i="25" s="1"/>
  <c r="H126" i="18"/>
  <c r="J93" i="25"/>
  <c r="G126" i="18"/>
  <c r="I93" i="25" s="1"/>
  <c r="C119" i="27"/>
  <c r="C119" i="29"/>
  <c r="C119" i="21"/>
  <c r="C120" i="17"/>
  <c r="C119" i="28"/>
  <c r="B119" i="17"/>
  <c r="B118" i="22"/>
  <c r="N122" i="18"/>
  <c r="P89" i="25" s="1"/>
  <c r="D122" i="18"/>
  <c r="F89" i="25"/>
  <c r="M122" i="18"/>
  <c r="O89" i="25" s="1"/>
  <c r="H122" i="18"/>
  <c r="J89" i="25"/>
  <c r="L122" i="18"/>
  <c r="N89" i="25" s="1"/>
  <c r="O122" i="18"/>
  <c r="Q89" i="25" s="1"/>
  <c r="F122" i="18"/>
  <c r="H89" i="25" s="1"/>
  <c r="C115" i="27"/>
  <c r="C115" i="26"/>
  <c r="C115" i="22"/>
  <c r="C115" i="21"/>
  <c r="C115" i="28"/>
  <c r="B120" i="18"/>
  <c r="B114" i="29"/>
  <c r="B114" i="28"/>
  <c r="B114" i="27"/>
  <c r="B114" i="22"/>
  <c r="J118" i="18"/>
  <c r="L85" i="25"/>
  <c r="M118" i="18"/>
  <c r="O85" i="25" s="1"/>
  <c r="K118" i="18"/>
  <c r="M85" i="25"/>
  <c r="D118" i="18"/>
  <c r="F85" i="25" s="1"/>
  <c r="I118" i="18"/>
  <c r="K85" i="25"/>
  <c r="F118" i="18"/>
  <c r="H85" i="25" s="1"/>
  <c r="E148" i="18"/>
  <c r="D148" i="18"/>
  <c r="M148" i="18"/>
  <c r="G148" i="18"/>
  <c r="I148" i="18"/>
  <c r="J148" i="18"/>
  <c r="O148" i="18"/>
  <c r="H148" i="18"/>
  <c r="K148" i="18"/>
  <c r="C147" i="18"/>
  <c r="C141" i="22"/>
  <c r="L145" i="18"/>
  <c r="I145" i="18"/>
  <c r="F145" i="18"/>
  <c r="E145" i="18"/>
  <c r="O145" i="18"/>
  <c r="M145" i="18"/>
  <c r="K145" i="18"/>
  <c r="N145" i="18"/>
  <c r="R102" i="9"/>
  <c r="E122" i="18"/>
  <c r="G89" i="25" s="1"/>
  <c r="E118" i="18"/>
  <c r="G85" i="25"/>
  <c r="B118" i="21"/>
  <c r="E126" i="18"/>
  <c r="G93" i="25"/>
  <c r="L126" i="18"/>
  <c r="N93" i="25" s="1"/>
  <c r="B136" i="17"/>
  <c r="B141" i="18"/>
  <c r="J145" i="18"/>
  <c r="C132" i="26"/>
  <c r="C132" i="28"/>
  <c r="F134" i="21"/>
  <c r="B115" i="17"/>
  <c r="C115" i="29"/>
  <c r="H118" i="18"/>
  <c r="J85" i="25"/>
  <c r="B118" i="26"/>
  <c r="I126" i="18"/>
  <c r="K93" i="25" s="1"/>
  <c r="N126" i="18"/>
  <c r="P93" i="25"/>
  <c r="C96" i="17"/>
  <c r="C96" i="21"/>
  <c r="B135" i="21"/>
  <c r="B97" i="17"/>
  <c r="M132" i="18"/>
  <c r="O99" i="25" s="1"/>
  <c r="T107" i="9"/>
  <c r="J21" i="16"/>
  <c r="B131" i="28"/>
  <c r="B154" i="26"/>
  <c r="B154" i="28"/>
  <c r="B154" i="22"/>
  <c r="B159" i="18"/>
  <c r="B154" i="29"/>
  <c r="C152" i="22"/>
  <c r="C153" i="17"/>
  <c r="C152" i="28"/>
  <c r="B151" i="28"/>
  <c r="B151" i="26"/>
  <c r="B151" i="21"/>
  <c r="O149" i="18"/>
  <c r="D149" i="18"/>
  <c r="H149" i="18"/>
  <c r="K149" i="18"/>
  <c r="G149" i="18"/>
  <c r="M149" i="18"/>
  <c r="E149" i="18"/>
  <c r="N149" i="18"/>
  <c r="F149" i="18"/>
  <c r="O139" i="18"/>
  <c r="B101" i="29"/>
  <c r="B101" i="22"/>
  <c r="B102" i="17"/>
  <c r="B107" i="18"/>
  <c r="B101" i="27"/>
  <c r="B101" i="26"/>
  <c r="B93" i="21"/>
  <c r="B93" i="28"/>
  <c r="B93" i="26"/>
  <c r="B93" i="27"/>
  <c r="B137" i="22"/>
  <c r="B143" i="18"/>
  <c r="B114" i="26"/>
  <c r="O118" i="18"/>
  <c r="Q85" i="25" s="1"/>
  <c r="I135" i="18"/>
  <c r="K102" i="25"/>
  <c r="K129" i="18"/>
  <c r="M96" i="25" s="1"/>
  <c r="G145" i="18"/>
  <c r="F154" i="21"/>
  <c r="E154" i="21"/>
  <c r="I154" i="21"/>
  <c r="J154" i="21"/>
  <c r="N132" i="18"/>
  <c r="P99" i="25" s="1"/>
  <c r="E134" i="21"/>
  <c r="J134" i="21"/>
  <c r="C92" i="26"/>
  <c r="B124" i="18"/>
  <c r="K122" i="18"/>
  <c r="M89" i="25" s="1"/>
  <c r="B118" i="28"/>
  <c r="I134" i="21"/>
  <c r="H134" i="21"/>
  <c r="C92" i="27"/>
  <c r="B137" i="21"/>
  <c r="B114" i="21"/>
  <c r="C121" i="18"/>
  <c r="B118" i="29"/>
  <c r="B135" i="27"/>
  <c r="D145" i="18"/>
  <c r="G118" i="18"/>
  <c r="I85" i="25"/>
  <c r="C116" i="17"/>
  <c r="C119" i="26"/>
  <c r="J126" i="18"/>
  <c r="L93" i="25"/>
  <c r="C96" i="22"/>
  <c r="L118" i="18"/>
  <c r="N85" i="25" s="1"/>
  <c r="B93" i="29"/>
  <c r="C128" i="22"/>
  <c r="B101" i="28"/>
  <c r="E100" i="18"/>
  <c r="G82" i="25"/>
  <c r="G122" i="18"/>
  <c r="I89" i="25" s="1"/>
  <c r="F148" i="18"/>
  <c r="I139" i="18"/>
  <c r="D132" i="18"/>
  <c r="F99" i="25" s="1"/>
  <c r="C125" i="27"/>
  <c r="H139" i="18"/>
  <c r="G112" i="22"/>
  <c r="H112" i="18"/>
  <c r="K112" i="18"/>
  <c r="M112" i="18"/>
  <c r="J112" i="18"/>
  <c r="C105" i="29"/>
  <c r="C105" i="26"/>
  <c r="C105" i="21"/>
  <c r="B104" i="21"/>
  <c r="B104" i="26"/>
  <c r="M108" i="18"/>
  <c r="O108" i="18"/>
  <c r="H108" i="18"/>
  <c r="N108" i="18"/>
  <c r="E108" i="18"/>
  <c r="C101" i="27"/>
  <c r="C101" i="21"/>
  <c r="C101" i="29"/>
  <c r="Q113" i="18"/>
  <c r="Q114" i="18"/>
  <c r="O113" i="18"/>
  <c r="H113" i="18"/>
  <c r="E113" i="18"/>
  <c r="I113" i="18"/>
  <c r="C142" i="17"/>
  <c r="C141" i="28"/>
  <c r="C141" i="26"/>
  <c r="C141" i="21"/>
  <c r="C141" i="29"/>
  <c r="C141" i="27"/>
  <c r="B152" i="28"/>
  <c r="B152" i="21"/>
  <c r="B152" i="22"/>
  <c r="B153" i="17"/>
  <c r="B152" i="27"/>
  <c r="N8" i="11"/>
  <c r="L86" i="21"/>
  <c r="R29" i="9"/>
  <c r="L80" i="33" s="1"/>
  <c r="M8" i="11"/>
  <c r="R8" i="11" s="1"/>
  <c r="K88" i="10"/>
  <c r="X90" i="10"/>
  <c r="N7" i="11"/>
  <c r="J85" i="11"/>
  <c r="M85" i="11"/>
  <c r="F85" i="12"/>
  <c r="J85" i="12"/>
  <c r="K85" i="12"/>
  <c r="K87" i="11"/>
  <c r="R16" i="9"/>
  <c r="N67" i="33" s="1"/>
  <c r="W90" i="10"/>
  <c r="B85" i="11"/>
  <c r="K90" i="10"/>
  <c r="L90" i="10"/>
  <c r="E87" i="11"/>
  <c r="E85" i="12"/>
  <c r="E87" i="12"/>
  <c r="E88" i="10"/>
  <c r="M7" i="1"/>
  <c r="L88" i="10"/>
  <c r="I117" i="22"/>
  <c r="O117" i="22"/>
  <c r="L153" i="18"/>
  <c r="L154" i="18" s="1"/>
  <c r="N153" i="18"/>
  <c r="J153" i="18"/>
  <c r="F153" i="18"/>
  <c r="H113" i="25" s="1"/>
  <c r="G153" i="18"/>
  <c r="K153" i="18"/>
  <c r="E153" i="18"/>
  <c r="M153" i="18"/>
  <c r="I153" i="18"/>
  <c r="M112" i="22"/>
  <c r="N117" i="21"/>
  <c r="F117" i="21"/>
  <c r="O117" i="21"/>
  <c r="N112" i="22"/>
  <c r="J117" i="21"/>
  <c r="S117" i="21" s="1"/>
  <c r="E112" i="22"/>
  <c r="H117" i="21"/>
  <c r="K112" i="22"/>
  <c r="D112" i="22"/>
  <c r="I112" i="22"/>
  <c r="E117" i="21"/>
  <c r="O112" i="22"/>
  <c r="L117" i="21"/>
  <c r="L112" i="21"/>
  <c r="D100" i="18"/>
  <c r="G100" i="18"/>
  <c r="I82" i="25"/>
  <c r="L100" i="18"/>
  <c r="N82" i="25" s="1"/>
  <c r="H100" i="18"/>
  <c r="J82" i="25"/>
  <c r="I100" i="18"/>
  <c r="K82" i="25" s="1"/>
  <c r="K86" i="21"/>
  <c r="I86" i="21"/>
  <c r="H86" i="21"/>
  <c r="J86" i="21"/>
  <c r="N86" i="21"/>
  <c r="M86" i="21"/>
  <c r="G86" i="21"/>
  <c r="E86" i="21"/>
  <c r="O86" i="21"/>
  <c r="F86" i="21"/>
  <c r="L101" i="18"/>
  <c r="N83" i="25" s="1"/>
  <c r="O101" i="18"/>
  <c r="Q83" i="25"/>
  <c r="H101" i="18"/>
  <c r="J83" i="25" s="1"/>
  <c r="J101" i="18"/>
  <c r="L83" i="25"/>
  <c r="M101" i="18"/>
  <c r="O83" i="25" s="1"/>
  <c r="K101" i="18"/>
  <c r="M83" i="25"/>
  <c r="D101" i="18"/>
  <c r="E101" i="18"/>
  <c r="G83" i="25" s="1"/>
  <c r="F101" i="18"/>
  <c r="H83" i="25" s="1"/>
  <c r="N101" i="18"/>
  <c r="P83" i="25" s="1"/>
  <c r="I101" i="18"/>
  <c r="K83" i="25" s="1"/>
  <c r="I97" i="18"/>
  <c r="H97" i="18"/>
  <c r="J97" i="18"/>
  <c r="L79" i="25"/>
  <c r="G97" i="18"/>
  <c r="F97" i="18"/>
  <c r="M97" i="18"/>
  <c r="O79" i="25"/>
  <c r="O97" i="18"/>
  <c r="Q79" i="25" s="1"/>
  <c r="L97" i="18"/>
  <c r="N97" i="18"/>
  <c r="P79" i="25" s="1"/>
  <c r="D65" i="9"/>
  <c r="F19" i="16" s="1"/>
  <c r="K97" i="18"/>
  <c r="E97" i="18"/>
  <c r="G79" i="25" s="1"/>
  <c r="G138" i="18"/>
  <c r="I105" i="25"/>
  <c r="E138" i="18"/>
  <c r="G105" i="25" s="1"/>
  <c r="R105" i="25" s="1"/>
  <c r="E125" i="18"/>
  <c r="G92" i="25" s="1"/>
  <c r="G125" i="18"/>
  <c r="I92" i="25" s="1"/>
  <c r="K125" i="18"/>
  <c r="M92" i="25" s="1"/>
  <c r="G101" i="18"/>
  <c r="I83" i="25" s="1"/>
  <c r="F79" i="25"/>
  <c r="R72" i="9"/>
  <c r="T72" i="9"/>
  <c r="J121" i="18"/>
  <c r="F121" i="18"/>
  <c r="R110" i="9"/>
  <c r="K113" i="18"/>
  <c r="N113" i="18"/>
  <c r="L113" i="18"/>
  <c r="J113" i="18"/>
  <c r="P113" i="18"/>
  <c r="P114" i="18" s="1"/>
  <c r="D112" i="18"/>
  <c r="L112" i="18"/>
  <c r="E112" i="18"/>
  <c r="N112" i="18"/>
  <c r="O112" i="18"/>
  <c r="G112" i="18"/>
  <c r="F108" i="18"/>
  <c r="J108" i="18"/>
  <c r="H157" i="18"/>
  <c r="N157" i="18"/>
  <c r="L157" i="18"/>
  <c r="G157" i="18"/>
  <c r="J157" i="18"/>
  <c r="M157" i="18"/>
  <c r="K157" i="18"/>
  <c r="E117" i="18"/>
  <c r="G84" i="25"/>
  <c r="J117" i="18"/>
  <c r="L84" i="25" s="1"/>
  <c r="O117" i="18"/>
  <c r="Q84" i="25"/>
  <c r="I117" i="18"/>
  <c r="K84" i="25" s="1"/>
  <c r="D117" i="18"/>
  <c r="F84" i="25"/>
  <c r="K117" i="18"/>
  <c r="M84" i="25" s="1"/>
  <c r="T94" i="9"/>
  <c r="B138" i="28"/>
  <c r="T78" i="9"/>
  <c r="R83" i="9"/>
  <c r="L131" i="33" s="1"/>
  <c r="T83" i="9"/>
  <c r="B111" i="28"/>
  <c r="U99" i="9"/>
  <c r="V99" i="9"/>
  <c r="B117" i="18"/>
  <c r="B111" i="29"/>
  <c r="B111" i="27"/>
  <c r="B111" i="21"/>
  <c r="B111" i="22"/>
  <c r="B138" i="27"/>
  <c r="B138" i="26"/>
  <c r="B139" i="17"/>
  <c r="B138" i="22"/>
  <c r="B138" i="21"/>
  <c r="C139" i="26"/>
  <c r="B111" i="26"/>
  <c r="C136" i="26"/>
  <c r="C142" i="18"/>
  <c r="C137" i="17"/>
  <c r="C136" i="27"/>
  <c r="C136" i="29"/>
  <c r="C136" i="21"/>
  <c r="C136" i="28"/>
  <c r="I140" i="18"/>
  <c r="M140" i="18"/>
  <c r="G140" i="18"/>
  <c r="E140" i="18"/>
  <c r="N140" i="18"/>
  <c r="D140" i="18"/>
  <c r="J140" i="18"/>
  <c r="L140" i="18"/>
  <c r="F140" i="18"/>
  <c r="C133" i="26"/>
  <c r="C139" i="18"/>
  <c r="C133" i="28"/>
  <c r="C133" i="29"/>
  <c r="C133" i="21"/>
  <c r="B133" i="17"/>
  <c r="B132" i="29"/>
  <c r="H136" i="18"/>
  <c r="J103" i="25" s="1"/>
  <c r="N136" i="18"/>
  <c r="P103" i="25"/>
  <c r="E136" i="18"/>
  <c r="K136" i="18"/>
  <c r="M103" i="25" s="1"/>
  <c r="C135" i="18"/>
  <c r="C129" i="29"/>
  <c r="C129" i="26"/>
  <c r="C129" i="21"/>
  <c r="C129" i="28"/>
  <c r="B129" i="17"/>
  <c r="B134" i="18"/>
  <c r="B128" i="28"/>
  <c r="B128" i="21"/>
  <c r="B128" i="27"/>
  <c r="C126" i="27"/>
  <c r="C126" i="29"/>
  <c r="C132" i="18"/>
  <c r="C126" i="28"/>
  <c r="C126" i="21"/>
  <c r="C126" i="26"/>
  <c r="C127" i="17"/>
  <c r="B125" i="28"/>
  <c r="B125" i="21"/>
  <c r="B131" i="18"/>
  <c r="B125" i="22"/>
  <c r="B125" i="26"/>
  <c r="B126" i="17"/>
  <c r="C123" i="22"/>
  <c r="C123" i="21"/>
  <c r="C124" i="17"/>
  <c r="C123" i="28"/>
  <c r="B128" i="18"/>
  <c r="B122" i="26"/>
  <c r="C120" i="22"/>
  <c r="C120" i="27"/>
  <c r="C126" i="18"/>
  <c r="C120" i="21"/>
  <c r="C120" i="29"/>
  <c r="B119" i="26"/>
  <c r="B125" i="18"/>
  <c r="B119" i="22"/>
  <c r="B119" i="27"/>
  <c r="B119" i="21"/>
  <c r="G123" i="18"/>
  <c r="I90" i="25" s="1"/>
  <c r="L123" i="18"/>
  <c r="N90" i="25" s="1"/>
  <c r="N123" i="18"/>
  <c r="P90" i="25" s="1"/>
  <c r="I123" i="18"/>
  <c r="K90" i="25" s="1"/>
  <c r="K123" i="18"/>
  <c r="M90" i="25"/>
  <c r="H123" i="18"/>
  <c r="J90" i="25" s="1"/>
  <c r="M123" i="18"/>
  <c r="O90" i="25" s="1"/>
  <c r="E123" i="18"/>
  <c r="G90" i="25" s="1"/>
  <c r="D123" i="18"/>
  <c r="F90" i="25"/>
  <c r="O123" i="18"/>
  <c r="Q90" i="25" s="1"/>
  <c r="C116" i="28"/>
  <c r="C116" i="26"/>
  <c r="C116" i="21"/>
  <c r="C116" i="27"/>
  <c r="C122" i="18"/>
  <c r="C116" i="29"/>
  <c r="C116" i="22"/>
  <c r="C117" i="17"/>
  <c r="B115" i="26"/>
  <c r="B115" i="21"/>
  <c r="B115" i="27"/>
  <c r="B115" i="29"/>
  <c r="B121" i="18"/>
  <c r="B116" i="17"/>
  <c r="B115" i="22"/>
  <c r="E119" i="18"/>
  <c r="D119" i="18"/>
  <c r="M119" i="18"/>
  <c r="J119" i="18"/>
  <c r="I119" i="18"/>
  <c r="O119" i="18"/>
  <c r="K119" i="18"/>
  <c r="H119" i="18"/>
  <c r="C112" i="21"/>
  <c r="C112" i="22"/>
  <c r="C113" i="17"/>
  <c r="C112" i="27"/>
  <c r="C112" i="29"/>
  <c r="C112" i="28"/>
  <c r="U94" i="9"/>
  <c r="T99" i="9"/>
  <c r="F144" i="34" s="1"/>
  <c r="R89" i="9"/>
  <c r="B132" i="27"/>
  <c r="B132" i="28"/>
  <c r="B132" i="21"/>
  <c r="B132" i="26"/>
  <c r="B132" i="22"/>
  <c r="B138" i="18"/>
  <c r="B142" i="18"/>
  <c r="B136" i="27"/>
  <c r="B136" i="22"/>
  <c r="B137" i="17"/>
  <c r="B136" i="28"/>
  <c r="C130" i="28"/>
  <c r="C130" i="21"/>
  <c r="C130" i="29"/>
  <c r="C136" i="18"/>
  <c r="C130" i="26"/>
  <c r="C131" i="17"/>
  <c r="C130" i="18"/>
  <c r="C124" i="27"/>
  <c r="C124" i="26"/>
  <c r="C124" i="29"/>
  <c r="C124" i="22"/>
  <c r="B120" i="27"/>
  <c r="B120" i="26"/>
  <c r="B120" i="29"/>
  <c r="B120" i="22"/>
  <c r="B121" i="17"/>
  <c r="B120" i="28"/>
  <c r="B126" i="18"/>
  <c r="B122" i="18"/>
  <c r="B116" i="27"/>
  <c r="B116" i="29"/>
  <c r="B116" i="26"/>
  <c r="B116" i="21"/>
  <c r="B116" i="28"/>
  <c r="B117" i="17"/>
  <c r="D120" i="18"/>
  <c r="I120" i="18"/>
  <c r="N120" i="18"/>
  <c r="H120" i="18"/>
  <c r="M120" i="18"/>
  <c r="G120" i="18"/>
  <c r="F120" i="18"/>
  <c r="J120" i="18"/>
  <c r="K120" i="18"/>
  <c r="O120" i="18"/>
  <c r="C139" i="28"/>
  <c r="C134" i="22"/>
  <c r="J117" i="22"/>
  <c r="L117" i="22"/>
  <c r="G117" i="22"/>
  <c r="N117" i="22"/>
  <c r="E117" i="22"/>
  <c r="B136" i="21"/>
  <c r="C138" i="17"/>
  <c r="C124" i="28"/>
  <c r="C122" i="17"/>
  <c r="R75" i="9"/>
  <c r="T75" i="9"/>
  <c r="M123" i="34" s="1"/>
  <c r="T84" i="9"/>
  <c r="M132" i="34" s="1"/>
  <c r="R82" i="9"/>
  <c r="T97" i="9"/>
  <c r="R98" i="9"/>
  <c r="K143" i="33" s="1"/>
  <c r="E144" i="18"/>
  <c r="N144" i="18"/>
  <c r="I144" i="18"/>
  <c r="L144" i="18"/>
  <c r="F144" i="18"/>
  <c r="K144" i="18"/>
  <c r="O144" i="18"/>
  <c r="G144" i="18"/>
  <c r="B137" i="28"/>
  <c r="B137" i="26"/>
  <c r="B137" i="27"/>
  <c r="B137" i="29"/>
  <c r="C135" i="21"/>
  <c r="C136" i="17"/>
  <c r="C135" i="26"/>
  <c r="C135" i="29"/>
  <c r="C141" i="18"/>
  <c r="C135" i="27"/>
  <c r="C135" i="22"/>
  <c r="C135" i="28"/>
  <c r="B140" i="18"/>
  <c r="B134" i="29"/>
  <c r="B134" i="27"/>
  <c r="B135" i="17"/>
  <c r="B134" i="26"/>
  <c r="B134" i="28"/>
  <c r="F138" i="18"/>
  <c r="H105" i="25"/>
  <c r="N138" i="18"/>
  <c r="P105" i="25" s="1"/>
  <c r="J138" i="18"/>
  <c r="L105" i="25"/>
  <c r="H138" i="18"/>
  <c r="J105" i="25" s="1"/>
  <c r="L138" i="18"/>
  <c r="N105" i="25"/>
  <c r="K138" i="18"/>
  <c r="M105" i="25" s="1"/>
  <c r="O138" i="18"/>
  <c r="Q105" i="25"/>
  <c r="D138" i="18"/>
  <c r="I138" i="18"/>
  <c r="K105" i="25"/>
  <c r="C131" i="29"/>
  <c r="C132" i="17"/>
  <c r="C131" i="22"/>
  <c r="C131" i="28"/>
  <c r="C131" i="27"/>
  <c r="B131" i="17"/>
  <c r="B130" i="21"/>
  <c r="B130" i="22"/>
  <c r="B130" i="26"/>
  <c r="H134" i="18"/>
  <c r="J101" i="25" s="1"/>
  <c r="K134" i="18"/>
  <c r="M101" i="25"/>
  <c r="J134" i="18"/>
  <c r="L101" i="25" s="1"/>
  <c r="D134" i="18"/>
  <c r="I134" i="18"/>
  <c r="K101" i="25" s="1"/>
  <c r="E134" i="18"/>
  <c r="G101" i="25" s="1"/>
  <c r="F134" i="18"/>
  <c r="H101" i="25" s="1"/>
  <c r="N134" i="18"/>
  <c r="P101" i="25" s="1"/>
  <c r="G134" i="18"/>
  <c r="I101" i="25" s="1"/>
  <c r="M134" i="18"/>
  <c r="O101" i="25" s="1"/>
  <c r="B127" i="27"/>
  <c r="B133" i="18"/>
  <c r="B127" i="26"/>
  <c r="B127" i="21"/>
  <c r="B128" i="17"/>
  <c r="B127" i="28"/>
  <c r="H131" i="18"/>
  <c r="J98" i="25" s="1"/>
  <c r="N131" i="18"/>
  <c r="P98" i="25" s="1"/>
  <c r="G131" i="18"/>
  <c r="I98" i="25" s="1"/>
  <c r="J131" i="18"/>
  <c r="L98" i="25" s="1"/>
  <c r="L131" i="18"/>
  <c r="N98" i="25" s="1"/>
  <c r="O131" i="18"/>
  <c r="Q98" i="25"/>
  <c r="E131" i="18"/>
  <c r="G98" i="25" s="1"/>
  <c r="I131" i="18"/>
  <c r="K98" i="25"/>
  <c r="K131" i="18"/>
  <c r="M98" i="25" s="1"/>
  <c r="D131" i="18"/>
  <c r="F98" i="25" s="1"/>
  <c r="M131" i="18"/>
  <c r="O98" i="25" s="1"/>
  <c r="F131" i="18"/>
  <c r="H98" i="25" s="1"/>
  <c r="B125" i="17"/>
  <c r="B124" i="27"/>
  <c r="B124" i="22"/>
  <c r="B130" i="18"/>
  <c r="B124" i="21"/>
  <c r="B124" i="29"/>
  <c r="B124" i="26"/>
  <c r="B124" i="28"/>
  <c r="D128" i="18"/>
  <c r="E128" i="18"/>
  <c r="G95" i="25"/>
  <c r="N128" i="18"/>
  <c r="P95" i="25" s="1"/>
  <c r="H128" i="18"/>
  <c r="J95" i="25"/>
  <c r="F128" i="18"/>
  <c r="H95" i="25" s="1"/>
  <c r="R95" i="25" s="1"/>
  <c r="G128" i="18"/>
  <c r="I95" i="25" s="1"/>
  <c r="I128" i="18"/>
  <c r="K95" i="25" s="1"/>
  <c r="K128" i="18"/>
  <c r="M95" i="25" s="1"/>
  <c r="M128" i="18"/>
  <c r="O95" i="25" s="1"/>
  <c r="O128" i="18"/>
  <c r="Q95" i="25"/>
  <c r="J128" i="18"/>
  <c r="L95" i="25" s="1"/>
  <c r="B121" i="21"/>
  <c r="B121" i="29"/>
  <c r="B121" i="26"/>
  <c r="B127" i="18"/>
  <c r="B121" i="27"/>
  <c r="B121" i="22"/>
  <c r="O125" i="18"/>
  <c r="Q92" i="25" s="1"/>
  <c r="J125" i="18"/>
  <c r="L92" i="25" s="1"/>
  <c r="M125" i="18"/>
  <c r="O92" i="25" s="1"/>
  <c r="I125" i="18"/>
  <c r="K92" i="25" s="1"/>
  <c r="N125" i="18"/>
  <c r="P92" i="25" s="1"/>
  <c r="F125" i="18"/>
  <c r="H92" i="25" s="1"/>
  <c r="L125" i="18"/>
  <c r="N92" i="25" s="1"/>
  <c r="D125" i="18"/>
  <c r="F92" i="25" s="1"/>
  <c r="C118" i="27"/>
  <c r="C118" i="22"/>
  <c r="C118" i="28"/>
  <c r="C118" i="21"/>
  <c r="C119" i="17"/>
  <c r="C118" i="29"/>
  <c r="C124" i="18"/>
  <c r="B117" i="22"/>
  <c r="B117" i="26"/>
  <c r="B117" i="21"/>
  <c r="B123" i="18"/>
  <c r="B117" i="29"/>
  <c r="M121" i="18"/>
  <c r="I121" i="18"/>
  <c r="D121" i="18"/>
  <c r="L121" i="18"/>
  <c r="N121" i="18"/>
  <c r="H121" i="18"/>
  <c r="E121" i="18"/>
  <c r="G121" i="18"/>
  <c r="K121" i="18"/>
  <c r="O121" i="18"/>
  <c r="C114" i="28"/>
  <c r="C115" i="17"/>
  <c r="C114" i="26"/>
  <c r="C114" i="22"/>
  <c r="C114" i="29"/>
  <c r="C114" i="27"/>
  <c r="C114" i="21"/>
  <c r="B119" i="18"/>
  <c r="B114" i="17"/>
  <c r="B113" i="26"/>
  <c r="B113" i="28"/>
  <c r="B113" i="21"/>
  <c r="B113" i="29"/>
  <c r="C141" i="17"/>
  <c r="C140" i="29"/>
  <c r="C146" i="18"/>
  <c r="C140" i="28"/>
  <c r="C140" i="27"/>
  <c r="B140" i="17"/>
  <c r="B139" i="29"/>
  <c r="B139" i="22"/>
  <c r="B139" i="28"/>
  <c r="B139" i="27"/>
  <c r="B139" i="21"/>
  <c r="B139" i="26"/>
  <c r="B145" i="18"/>
  <c r="M133" i="18"/>
  <c r="O100" i="25" s="1"/>
  <c r="H133" i="18"/>
  <c r="J100" i="25"/>
  <c r="O133" i="18"/>
  <c r="Q100" i="25" s="1"/>
  <c r="L133" i="18"/>
  <c r="N100" i="25"/>
  <c r="J133" i="18"/>
  <c r="L100" i="25" s="1"/>
  <c r="D133" i="18"/>
  <c r="G133" i="18"/>
  <c r="I100" i="25" s="1"/>
  <c r="F133" i="18"/>
  <c r="H100" i="25"/>
  <c r="N133" i="18"/>
  <c r="P100" i="25" s="1"/>
  <c r="I133" i="18"/>
  <c r="K100" i="25"/>
  <c r="E133" i="18"/>
  <c r="G100" i="25" s="1"/>
  <c r="B133" i="29"/>
  <c r="B133" i="22"/>
  <c r="B133" i="26"/>
  <c r="B139" i="18"/>
  <c r="B130" i="17"/>
  <c r="B129" i="29"/>
  <c r="B129" i="22"/>
  <c r="B129" i="21"/>
  <c r="B135" i="18"/>
  <c r="B129" i="28"/>
  <c r="B129" i="27"/>
  <c r="B129" i="26"/>
  <c r="B127" i="17"/>
  <c r="B126" i="26"/>
  <c r="B126" i="28"/>
  <c r="B126" i="21"/>
  <c r="B123" i="27"/>
  <c r="B129" i="18"/>
  <c r="B124" i="17"/>
  <c r="B123" i="28"/>
  <c r="B123" i="26"/>
  <c r="B123" i="29"/>
  <c r="O124" i="18"/>
  <c r="Q91" i="25" s="1"/>
  <c r="E124" i="18"/>
  <c r="G91" i="25"/>
  <c r="J124" i="18"/>
  <c r="L91" i="25" s="1"/>
  <c r="G124" i="18"/>
  <c r="I91" i="25"/>
  <c r="K124" i="18"/>
  <c r="M91" i="25" s="1"/>
  <c r="D124" i="18"/>
  <c r="I124" i="18"/>
  <c r="K91" i="25"/>
  <c r="N124" i="18"/>
  <c r="P91" i="25" s="1"/>
  <c r="F124" i="18"/>
  <c r="H91" i="25"/>
  <c r="H124" i="18"/>
  <c r="J91" i="25" s="1"/>
  <c r="M124" i="18"/>
  <c r="O91" i="25"/>
  <c r="B112" i="29"/>
  <c r="B113" i="17"/>
  <c r="B112" i="21"/>
  <c r="B112" i="22"/>
  <c r="B112" i="28"/>
  <c r="B112" i="27"/>
  <c r="F117" i="22"/>
  <c r="K117" i="22"/>
  <c r="B134" i="17"/>
  <c r="C134" i="29"/>
  <c r="C124" i="21"/>
  <c r="D144" i="18"/>
  <c r="B120" i="21"/>
  <c r="E120" i="18"/>
  <c r="B112" i="26"/>
  <c r="C117" i="29"/>
  <c r="C137" i="26"/>
  <c r="C143" i="18"/>
  <c r="C137" i="28"/>
  <c r="C137" i="22"/>
  <c r="C137" i="21"/>
  <c r="C134" i="26"/>
  <c r="C135" i="17"/>
  <c r="C140" i="18"/>
  <c r="C134" i="21"/>
  <c r="L137" i="18"/>
  <c r="N104" i="25" s="1"/>
  <c r="E137" i="18"/>
  <c r="G104" i="25"/>
  <c r="C127" i="27"/>
  <c r="C127" i="22"/>
  <c r="C128" i="17"/>
  <c r="C127" i="29"/>
  <c r="C127" i="28"/>
  <c r="C121" i="21"/>
  <c r="C121" i="28"/>
  <c r="C121" i="22"/>
  <c r="C121" i="26"/>
  <c r="C121" i="27"/>
  <c r="C121" i="29"/>
  <c r="C123" i="18"/>
  <c r="C118" i="17"/>
  <c r="C117" i="28"/>
  <c r="C117" i="21"/>
  <c r="C117" i="22"/>
  <c r="C117" i="27"/>
  <c r="C117" i="26"/>
  <c r="C113" i="22"/>
  <c r="C113" i="21"/>
  <c r="C113" i="28"/>
  <c r="C113" i="27"/>
  <c r="C114" i="17"/>
  <c r="C113" i="29"/>
  <c r="C113" i="26"/>
  <c r="C139" i="22"/>
  <c r="C139" i="21"/>
  <c r="C139" i="29"/>
  <c r="C139" i="27"/>
  <c r="M117" i="22"/>
  <c r="C140" i="17"/>
  <c r="C145" i="18"/>
  <c r="B126" i="29"/>
  <c r="C127" i="26"/>
  <c r="B133" i="21"/>
  <c r="B126" i="22"/>
  <c r="C134" i="27"/>
  <c r="B136" i="26"/>
  <c r="C125" i="17"/>
  <c r="B123" i="21"/>
  <c r="K133" i="18"/>
  <c r="M100" i="25" s="1"/>
  <c r="C130" i="27"/>
  <c r="B113" i="22"/>
  <c r="B117" i="27"/>
  <c r="C130" i="22"/>
  <c r="L134" i="18"/>
  <c r="N101" i="25" s="1"/>
  <c r="K137" i="18"/>
  <c r="M104" i="25" s="1"/>
  <c r="N94" i="25"/>
  <c r="C119" i="18"/>
  <c r="L120" i="18"/>
  <c r="B116" i="22"/>
  <c r="C131" i="26"/>
  <c r="R86" i="9"/>
  <c r="T88" i="9"/>
  <c r="U70" i="9"/>
  <c r="I118" i="35" s="1"/>
  <c r="V70" i="9"/>
  <c r="L142" i="33"/>
  <c r="R92" i="9"/>
  <c r="I138" i="33" s="1"/>
  <c r="R88" i="9"/>
  <c r="B142" i="17"/>
  <c r="K142" i="22"/>
  <c r="B141" i="21"/>
  <c r="B141" i="28"/>
  <c r="B143" i="17"/>
  <c r="B142" i="26"/>
  <c r="B141" i="22"/>
  <c r="B147" i="18"/>
  <c r="B142" i="27"/>
  <c r="B142" i="29"/>
  <c r="B141" i="29"/>
  <c r="B141" i="26"/>
  <c r="B141" i="27"/>
  <c r="B148" i="18"/>
  <c r="B142" i="21"/>
  <c r="G111" i="22"/>
  <c r="J111" i="22"/>
  <c r="L111" i="22"/>
  <c r="H111" i="22"/>
  <c r="D111" i="22"/>
  <c r="M111" i="22"/>
  <c r="E111" i="22"/>
  <c r="O111" i="22"/>
  <c r="K111" i="22"/>
  <c r="F111" i="22"/>
  <c r="N111" i="22"/>
  <c r="M153" i="21"/>
  <c r="K153" i="21"/>
  <c r="I153" i="21"/>
  <c r="J153" i="21"/>
  <c r="O153" i="21"/>
  <c r="G153" i="21"/>
  <c r="N153" i="21"/>
  <c r="L153" i="21"/>
  <c r="H153" i="21"/>
  <c r="F153" i="21"/>
  <c r="D153" i="21"/>
  <c r="V111" i="9"/>
  <c r="T111" i="9"/>
  <c r="M97" i="21"/>
  <c r="D97" i="21"/>
  <c r="E97" i="21"/>
  <c r="I97" i="21"/>
  <c r="F97" i="21"/>
  <c r="N97" i="21"/>
  <c r="H97" i="21"/>
  <c r="G97" i="21"/>
  <c r="K97" i="21"/>
  <c r="O97" i="21"/>
  <c r="T50" i="9"/>
  <c r="H154" i="21"/>
  <c r="D154" i="21"/>
  <c r="L154" i="21"/>
  <c r="K154" i="21"/>
  <c r="S154" i="21" s="1"/>
  <c r="N154" i="21"/>
  <c r="O154" i="21"/>
  <c r="G154" i="21"/>
  <c r="M154" i="21"/>
  <c r="L86" i="22"/>
  <c r="F113" i="25"/>
  <c r="D154" i="18"/>
  <c r="E159" i="18"/>
  <c r="D137" i="18"/>
  <c r="F104" i="25" s="1"/>
  <c r="J137" i="18"/>
  <c r="L104" i="25" s="1"/>
  <c r="G137" i="18"/>
  <c r="I104" i="25" s="1"/>
  <c r="O137" i="18"/>
  <c r="Q104" i="25" s="1"/>
  <c r="F137" i="18"/>
  <c r="H104" i="25"/>
  <c r="M137" i="18"/>
  <c r="O104" i="25" s="1"/>
  <c r="N137" i="18"/>
  <c r="P104" i="25" s="1"/>
  <c r="H137" i="18"/>
  <c r="J104" i="25" s="1"/>
  <c r="T92" i="9"/>
  <c r="L138" i="34" s="1"/>
  <c r="T48" i="9"/>
  <c r="N97" i="34" s="1"/>
  <c r="T47" i="9"/>
  <c r="G87" i="22"/>
  <c r="O78" i="18"/>
  <c r="Q48" i="25" s="1"/>
  <c r="D141" i="18"/>
  <c r="F141" i="18"/>
  <c r="M141" i="18"/>
  <c r="N141" i="18"/>
  <c r="H141" i="18"/>
  <c r="E141" i="18"/>
  <c r="I141" i="18"/>
  <c r="K141" i="18"/>
  <c r="J141" i="18"/>
  <c r="O141" i="18"/>
  <c r="L141" i="18"/>
  <c r="G141" i="18"/>
  <c r="S10" i="28"/>
  <c r="P10" i="29"/>
  <c r="S10" i="29"/>
  <c r="G44" i="21"/>
  <c r="D33" i="29"/>
  <c r="S22" i="27"/>
  <c r="D22" i="28"/>
  <c r="F161" i="28"/>
  <c r="S161" i="27"/>
  <c r="F30" i="28"/>
  <c r="J30" i="28"/>
  <c r="N30" i="28"/>
  <c r="V94" i="9"/>
  <c r="S130" i="28"/>
  <c r="D123" i="29"/>
  <c r="S123" i="28"/>
  <c r="G30" i="28"/>
  <c r="K30" i="28"/>
  <c r="O30" i="28"/>
  <c r="S32" i="27"/>
  <c r="D32" i="28"/>
  <c r="D113" i="29"/>
  <c r="S113" i="28"/>
  <c r="S147" i="28"/>
  <c r="E147" i="29"/>
  <c r="S17" i="27"/>
  <c r="E17" i="28"/>
  <c r="E17" i="29"/>
  <c r="S17" i="29"/>
  <c r="D30" i="28"/>
  <c r="S30" i="27"/>
  <c r="H30" i="28"/>
  <c r="L30" i="28"/>
  <c r="S33" i="27"/>
  <c r="E33" i="28"/>
  <c r="E33" i="29"/>
  <c r="D20" i="28"/>
  <c r="D20" i="21"/>
  <c r="S20" i="27"/>
  <c r="E30" i="28"/>
  <c r="I30" i="28"/>
  <c r="M30" i="28"/>
  <c r="D31" i="29"/>
  <c r="D31" i="22"/>
  <c r="F43" i="27"/>
  <c r="H45" i="21"/>
  <c r="H45" i="29"/>
  <c r="H45" i="22"/>
  <c r="L45" i="21"/>
  <c r="L45" i="29"/>
  <c r="L45" i="22"/>
  <c r="P45" i="21"/>
  <c r="P45" i="29"/>
  <c r="P45" i="22"/>
  <c r="D151" i="29"/>
  <c r="S151" i="29"/>
  <c r="K159" i="29"/>
  <c r="D18" i="27"/>
  <c r="E18" i="27"/>
  <c r="F18" i="27"/>
  <c r="G18" i="27"/>
  <c r="H18" i="27"/>
  <c r="I18" i="27"/>
  <c r="J18" i="27"/>
  <c r="K18" i="27"/>
  <c r="L18" i="27"/>
  <c r="M18" i="27"/>
  <c r="N18" i="27"/>
  <c r="O18" i="27"/>
  <c r="P18" i="27"/>
  <c r="S38" i="27"/>
  <c r="F38" i="28"/>
  <c r="G38" i="28"/>
  <c r="H38" i="28"/>
  <c r="I38" i="28"/>
  <c r="J38" i="28"/>
  <c r="K38" i="28"/>
  <c r="L38" i="28"/>
  <c r="M38" i="28"/>
  <c r="N38" i="28"/>
  <c r="O38" i="28"/>
  <c r="P38" i="28"/>
  <c r="Q38" i="28"/>
  <c r="R38" i="28"/>
  <c r="I43" i="27"/>
  <c r="O43" i="29"/>
  <c r="O43" i="22"/>
  <c r="G45" i="21"/>
  <c r="G45" i="29"/>
  <c r="G45" i="22"/>
  <c r="K45" i="21"/>
  <c r="K45" i="29"/>
  <c r="K45" i="22"/>
  <c r="O45" i="21"/>
  <c r="O45" i="29"/>
  <c r="O45" i="22"/>
  <c r="D79" i="28"/>
  <c r="E43" i="28"/>
  <c r="H43" i="27"/>
  <c r="O44" i="28"/>
  <c r="F45" i="21"/>
  <c r="F45" i="29"/>
  <c r="J45" i="21"/>
  <c r="J45" i="29"/>
  <c r="J45" i="22"/>
  <c r="N45" i="21"/>
  <c r="N45" i="29"/>
  <c r="N45" i="22"/>
  <c r="R45" i="21"/>
  <c r="R45" i="29"/>
  <c r="R45" i="22"/>
  <c r="Q18" i="27"/>
  <c r="R18" i="27"/>
  <c r="D37" i="28"/>
  <c r="E37" i="28"/>
  <c r="F37" i="28"/>
  <c r="G37" i="28"/>
  <c r="H37" i="28"/>
  <c r="I37" i="28"/>
  <c r="J37" i="28"/>
  <c r="K37" i="28"/>
  <c r="L37" i="28"/>
  <c r="M37" i="28"/>
  <c r="N37" i="28"/>
  <c r="O37" i="28"/>
  <c r="P37" i="28"/>
  <c r="Q37" i="28"/>
  <c r="R37" i="28"/>
  <c r="E38" i="29"/>
  <c r="G43" i="27"/>
  <c r="I45" i="21"/>
  <c r="I45" i="29"/>
  <c r="I45" i="22"/>
  <c r="M45" i="21"/>
  <c r="M45" i="29"/>
  <c r="M45" i="22"/>
  <c r="Q45" i="21"/>
  <c r="Q45" i="29"/>
  <c r="Q45" i="22"/>
  <c r="J43" i="27"/>
  <c r="K43" i="27"/>
  <c r="L43" i="27"/>
  <c r="M43" i="27"/>
  <c r="N43" i="27"/>
  <c r="S92" i="27"/>
  <c r="F120" i="27"/>
  <c r="S134" i="29"/>
  <c r="J98" i="29"/>
  <c r="S98" i="29"/>
  <c r="S98" i="28"/>
  <c r="E101" i="29"/>
  <c r="S101" i="29"/>
  <c r="S101" i="28"/>
  <c r="I104" i="29"/>
  <c r="J105" i="29"/>
  <c r="S105" i="29"/>
  <c r="S105" i="28"/>
  <c r="K106" i="29"/>
  <c r="S106" i="29"/>
  <c r="S133" i="28"/>
  <c r="D133" i="29"/>
  <c r="S133" i="29"/>
  <c r="D135" i="29"/>
  <c r="S135" i="28"/>
  <c r="D137" i="29"/>
  <c r="S138" i="28"/>
  <c r="S133" i="27"/>
  <c r="S134" i="27"/>
  <c r="S48" i="26"/>
  <c r="E153" i="21"/>
  <c r="S153" i="21" s="1"/>
  <c r="E49" i="27"/>
  <c r="S49" i="26"/>
  <c r="T52" i="9"/>
  <c r="N101" i="34" s="1"/>
  <c r="S12" i="17"/>
  <c r="D46" i="28"/>
  <c r="T51" i="9"/>
  <c r="I91" i="18"/>
  <c r="K91" i="18"/>
  <c r="J7" i="11"/>
  <c r="J7" i="10"/>
  <c r="T35" i="1"/>
  <c r="T90" i="10"/>
  <c r="D92" i="18"/>
  <c r="N92" i="18"/>
  <c r="L92" i="18"/>
  <c r="N91" i="18"/>
  <c r="H91" i="18"/>
  <c r="E87" i="22"/>
  <c r="Q28" i="11"/>
  <c r="Y30" i="10"/>
  <c r="Z30" i="10" s="1"/>
  <c r="V28" i="11"/>
  <c r="Y32" i="10"/>
  <c r="Z32" i="10" s="1"/>
  <c r="Q11" i="11"/>
  <c r="Q13" i="11"/>
  <c r="Y19" i="10"/>
  <c r="Z19" i="10" s="1"/>
  <c r="Q15" i="11"/>
  <c r="Y14" i="10"/>
  <c r="Z14" i="10" s="1"/>
  <c r="Y17" i="10"/>
  <c r="Z17" i="10" s="1"/>
  <c r="R13" i="11"/>
  <c r="R15" i="11"/>
  <c r="V18" i="11"/>
  <c r="V13" i="11"/>
  <c r="V17" i="11"/>
  <c r="Y17" i="11" s="1"/>
  <c r="Z17" i="11" s="1"/>
  <c r="V15" i="11"/>
  <c r="Y18" i="10"/>
  <c r="Z18" i="10" s="1"/>
  <c r="Q17" i="11"/>
  <c r="S94" i="29"/>
  <c r="S94" i="27"/>
  <c r="S94" i="28"/>
  <c r="S82" i="27"/>
  <c r="S137" i="27"/>
  <c r="S55" i="29"/>
  <c r="S141" i="27"/>
  <c r="S84" i="27"/>
  <c r="F12" i="22"/>
  <c r="S117" i="27"/>
  <c r="S141" i="28"/>
  <c r="S137" i="28"/>
  <c r="S100" i="28"/>
  <c r="S100" i="29"/>
  <c r="M87" i="22"/>
  <c r="O87" i="22"/>
  <c r="I8" i="13"/>
  <c r="J8" i="13"/>
  <c r="M8" i="13" s="1"/>
  <c r="N8" i="13"/>
  <c r="T24" i="9"/>
  <c r="I75" i="34" s="1"/>
  <c r="U24" i="9"/>
  <c r="L75" i="35" s="1"/>
  <c r="H154" i="18"/>
  <c r="O154" i="18"/>
  <c r="J86" i="22"/>
  <c r="S55" i="28"/>
  <c r="S57" i="27"/>
  <c r="S12" i="26"/>
  <c r="E13" i="29"/>
  <c r="E13" i="21"/>
  <c r="D39" i="21"/>
  <c r="D39" i="29"/>
  <c r="S39" i="29"/>
  <c r="S95" i="28"/>
  <c r="D87" i="22"/>
  <c r="K87" i="22"/>
  <c r="S87" i="22" s="1"/>
  <c r="N87" i="22"/>
  <c r="J87" i="22"/>
  <c r="I87" i="22"/>
  <c r="L87" i="22"/>
  <c r="K86" i="22"/>
  <c r="M86" i="22"/>
  <c r="H86" i="22"/>
  <c r="N86" i="22"/>
  <c r="F86" i="22"/>
  <c r="D86" i="22"/>
  <c r="I86" i="22"/>
  <c r="G86" i="22"/>
  <c r="O7" i="1"/>
  <c r="Q7" i="1"/>
  <c r="F33" i="34"/>
  <c r="D33" i="33"/>
  <c r="R2" i="12"/>
  <c r="Q2" i="12"/>
  <c r="V2" i="12"/>
  <c r="E31" i="29"/>
  <c r="S31" i="28"/>
  <c r="F85" i="28"/>
  <c r="S85" i="27"/>
  <c r="N159" i="21"/>
  <c r="N158" i="29"/>
  <c r="N159" i="22"/>
  <c r="H119" i="29"/>
  <c r="S119" i="28"/>
  <c r="H117" i="29"/>
  <c r="S117" i="28"/>
  <c r="S119" i="27"/>
  <c r="S154" i="29"/>
  <c r="D154" i="22"/>
  <c r="S154" i="22" s="1"/>
  <c r="D121" i="28"/>
  <c r="S121" i="27"/>
  <c r="S31" i="27"/>
  <c r="S158" i="28"/>
  <c r="S14" i="27"/>
  <c r="E14" i="28"/>
  <c r="S158" i="29"/>
  <c r="S17" i="28"/>
  <c r="E132" i="28"/>
  <c r="S132" i="27"/>
  <c r="S158" i="27"/>
  <c r="D48" i="29"/>
  <c r="S48" i="29"/>
  <c r="S48" i="28"/>
  <c r="S104" i="28"/>
  <c r="S104" i="29"/>
  <c r="S96" i="28"/>
  <c r="S56" i="28"/>
  <c r="K9" i="28"/>
  <c r="K12" i="27"/>
  <c r="S12" i="27"/>
  <c r="D127" i="28"/>
  <c r="S127" i="27"/>
  <c r="E115" i="28"/>
  <c r="S115" i="27"/>
  <c r="S96" i="29"/>
  <c r="S56" i="29"/>
  <c r="E74" i="28"/>
  <c r="S74" i="27"/>
  <c r="F47" i="28"/>
  <c r="S47" i="27"/>
  <c r="S160" i="27"/>
  <c r="E160" i="28"/>
  <c r="S13" i="28"/>
  <c r="S68" i="28"/>
  <c r="G116" i="28"/>
  <c r="S116" i="27"/>
  <c r="D140" i="28"/>
  <c r="S140" i="27"/>
  <c r="F66" i="28"/>
  <c r="S66" i="27"/>
  <c r="S123" i="27"/>
  <c r="E27" i="29"/>
  <c r="E27" i="22"/>
  <c r="E27" i="21"/>
  <c r="S27" i="28"/>
  <c r="E139" i="28"/>
  <c r="S139" i="27"/>
  <c r="S106" i="28"/>
  <c r="S79" i="27"/>
  <c r="S68" i="29"/>
  <c r="S100" i="27"/>
  <c r="I111" i="28"/>
  <c r="S111" i="27"/>
  <c r="G102" i="28"/>
  <c r="S102" i="27"/>
  <c r="E124" i="29"/>
  <c r="S124" i="29"/>
  <c r="S124" i="28"/>
  <c r="L126" i="29"/>
  <c r="S126" i="29"/>
  <c r="S126" i="28"/>
  <c r="J28" i="22"/>
  <c r="D21" i="29"/>
  <c r="S21" i="29"/>
  <c r="S21" i="28"/>
  <c r="S99" i="28"/>
  <c r="D99" i="29"/>
  <c r="S99" i="29"/>
  <c r="S13" i="29"/>
  <c r="E13" i="22"/>
  <c r="S112" i="28"/>
  <c r="F112" i="29"/>
  <c r="E60" i="29"/>
  <c r="S60" i="29"/>
  <c r="S60" i="28"/>
  <c r="D19" i="29"/>
  <c r="S19" i="29"/>
  <c r="S19" i="28"/>
  <c r="E45" i="29"/>
  <c r="E45" i="22"/>
  <c r="S45" i="28"/>
  <c r="S107" i="28"/>
  <c r="E107" i="29"/>
  <c r="S107" i="29"/>
  <c r="E40" i="29"/>
  <c r="S40" i="28"/>
  <c r="E16" i="28"/>
  <c r="S16" i="27"/>
  <c r="D61" i="29"/>
  <c r="S61" i="29"/>
  <c r="S61" i="28"/>
  <c r="D42" i="22"/>
  <c r="E86" i="29"/>
  <c r="S86" i="28"/>
  <c r="E69" i="29"/>
  <c r="S69" i="29"/>
  <c r="S69" i="28"/>
  <c r="S57" i="28"/>
  <c r="D57" i="29"/>
  <c r="S57" i="29"/>
  <c r="P41" i="29"/>
  <c r="S41" i="29"/>
  <c r="S41" i="28"/>
  <c r="D82" i="29"/>
  <c r="S82" i="29"/>
  <c r="S82" i="28"/>
  <c r="D29" i="29"/>
  <c r="S29" i="29"/>
  <c r="S29" i="28"/>
  <c r="D97" i="29"/>
  <c r="S97" i="28"/>
  <c r="D136" i="29"/>
  <c r="S136" i="29"/>
  <c r="S136" i="28"/>
  <c r="I27" i="22"/>
  <c r="I33" i="35"/>
  <c r="E75" i="29"/>
  <c r="S75" i="29"/>
  <c r="S75" i="28"/>
  <c r="F42" i="29"/>
  <c r="F42" i="22"/>
  <c r="F42" i="21"/>
  <c r="H28" i="29"/>
  <c r="S28" i="29"/>
  <c r="S28" i="28"/>
  <c r="E84" i="29"/>
  <c r="S84" i="29"/>
  <c r="S84" i="28"/>
  <c r="P26" i="34"/>
  <c r="L26" i="34"/>
  <c r="H26" i="34"/>
  <c r="D26" i="34"/>
  <c r="O26" i="34"/>
  <c r="K26" i="34"/>
  <c r="G26" i="34"/>
  <c r="R26" i="34"/>
  <c r="J26" i="34"/>
  <c r="M26" i="34"/>
  <c r="Q26" i="34"/>
  <c r="I26" i="34"/>
  <c r="N26" i="34"/>
  <c r="F26" i="34"/>
  <c r="E26" i="34"/>
  <c r="Q26" i="35"/>
  <c r="M26" i="35"/>
  <c r="I26" i="35"/>
  <c r="E26" i="35"/>
  <c r="P26" i="35"/>
  <c r="L26" i="35"/>
  <c r="H26" i="35"/>
  <c r="D26" i="35"/>
  <c r="O26" i="35"/>
  <c r="G26" i="35"/>
  <c r="N26" i="35"/>
  <c r="F26" i="35"/>
  <c r="K26" i="35"/>
  <c r="R26" i="35"/>
  <c r="J26" i="35"/>
  <c r="K146" i="33"/>
  <c r="O143" i="33"/>
  <c r="J143" i="33"/>
  <c r="F143" i="33"/>
  <c r="I143" i="33"/>
  <c r="E103" i="29"/>
  <c r="S103" i="29"/>
  <c r="S103" i="28"/>
  <c r="S42" i="28"/>
  <c r="H87" i="29"/>
  <c r="S87" i="28"/>
  <c r="P73" i="29"/>
  <c r="S73" i="29"/>
  <c r="S73" i="28"/>
  <c r="D62" i="29"/>
  <c r="S62" i="29"/>
  <c r="S62" i="28"/>
  <c r="F91" i="29"/>
  <c r="S91" i="29"/>
  <c r="S91" i="28"/>
  <c r="E80" i="29"/>
  <c r="S80" i="29"/>
  <c r="S80" i="28"/>
  <c r="H79" i="33"/>
  <c r="G79" i="33"/>
  <c r="M79" i="33"/>
  <c r="H74" i="33"/>
  <c r="M74" i="33"/>
  <c r="L61" i="33"/>
  <c r="D61" i="33"/>
  <c r="G61" i="33"/>
  <c r="F61" i="33"/>
  <c r="I61" i="33"/>
  <c r="M65" i="33"/>
  <c r="E80" i="33"/>
  <c r="K75" i="18"/>
  <c r="M39" i="25" s="1"/>
  <c r="H33" i="33"/>
  <c r="G91" i="18"/>
  <c r="F92" i="18"/>
  <c r="G92" i="18"/>
  <c r="M92" i="18"/>
  <c r="H92" i="18"/>
  <c r="K92" i="18"/>
  <c r="I92" i="18"/>
  <c r="E91" i="18"/>
  <c r="O92" i="18"/>
  <c r="E92" i="18"/>
  <c r="V24" i="9"/>
  <c r="N70" i="22" s="1"/>
  <c r="O91" i="18"/>
  <c r="O99" i="34"/>
  <c r="F138" i="34"/>
  <c r="M138" i="34"/>
  <c r="H138" i="34"/>
  <c r="G138" i="34"/>
  <c r="O138" i="34"/>
  <c r="N147" i="34"/>
  <c r="J147" i="34"/>
  <c r="F147" i="34"/>
  <c r="M147" i="34"/>
  <c r="I147" i="34"/>
  <c r="E147" i="34"/>
  <c r="L147" i="34"/>
  <c r="H147" i="34"/>
  <c r="D147" i="34"/>
  <c r="O147" i="34"/>
  <c r="K147" i="34"/>
  <c r="G147" i="34"/>
  <c r="M147" i="35"/>
  <c r="I147" i="35"/>
  <c r="E147" i="35"/>
  <c r="L147" i="35"/>
  <c r="H147" i="35"/>
  <c r="D147" i="35"/>
  <c r="O147" i="35"/>
  <c r="K147" i="35"/>
  <c r="G147" i="35"/>
  <c r="J147" i="35"/>
  <c r="F147" i="35"/>
  <c r="N147" i="35"/>
  <c r="M142" i="33"/>
  <c r="E142" i="33"/>
  <c r="H142" i="33"/>
  <c r="O142" i="33"/>
  <c r="G142" i="33"/>
  <c r="J142" i="33"/>
  <c r="F142" i="33"/>
  <c r="N123" i="34"/>
  <c r="I123" i="34"/>
  <c r="H123" i="34"/>
  <c r="D123" i="34"/>
  <c r="G135" i="21"/>
  <c r="M140" i="35"/>
  <c r="I140" i="35"/>
  <c r="E140" i="35"/>
  <c r="L140" i="35"/>
  <c r="H140" i="35"/>
  <c r="D140" i="35"/>
  <c r="O140" i="35"/>
  <c r="K140" i="35"/>
  <c r="G140" i="35"/>
  <c r="J140" i="35"/>
  <c r="N140" i="35"/>
  <c r="F140" i="35"/>
  <c r="L105" i="33"/>
  <c r="H105" i="33"/>
  <c r="D105" i="33"/>
  <c r="E105" i="33"/>
  <c r="O105" i="33"/>
  <c r="K105" i="33"/>
  <c r="G105" i="33"/>
  <c r="I105" i="33"/>
  <c r="N105" i="33"/>
  <c r="J105" i="33"/>
  <c r="F105" i="33"/>
  <c r="M105" i="33"/>
  <c r="O100" i="34"/>
  <c r="K100" i="34"/>
  <c r="G100" i="34"/>
  <c r="N100" i="34"/>
  <c r="J100" i="34"/>
  <c r="F100" i="34"/>
  <c r="M100" i="34"/>
  <c r="I100" i="34"/>
  <c r="E100" i="34"/>
  <c r="D100" i="34"/>
  <c r="H100" i="34"/>
  <c r="L100" i="34"/>
  <c r="L109" i="33"/>
  <c r="H109" i="33"/>
  <c r="D109" i="33"/>
  <c r="O109" i="33"/>
  <c r="K109" i="33"/>
  <c r="G109" i="33"/>
  <c r="N109" i="33"/>
  <c r="J109" i="33"/>
  <c r="F109" i="33"/>
  <c r="E109" i="33"/>
  <c r="M109" i="33"/>
  <c r="I109" i="33"/>
  <c r="L111" i="33"/>
  <c r="H111" i="33"/>
  <c r="D111" i="33"/>
  <c r="O111" i="33"/>
  <c r="K111" i="33"/>
  <c r="G111" i="33"/>
  <c r="N111" i="33"/>
  <c r="J111" i="33"/>
  <c r="F111" i="33"/>
  <c r="M111" i="33"/>
  <c r="I111" i="33"/>
  <c r="E111" i="33"/>
  <c r="O96" i="34"/>
  <c r="K96" i="34"/>
  <c r="G96" i="34"/>
  <c r="N96" i="34"/>
  <c r="J96" i="34"/>
  <c r="F96" i="34"/>
  <c r="M96" i="34"/>
  <c r="I96" i="34"/>
  <c r="E96" i="34"/>
  <c r="H96" i="34"/>
  <c r="D96" i="34"/>
  <c r="L96" i="34"/>
  <c r="M133" i="33"/>
  <c r="I133" i="33"/>
  <c r="E133" i="33"/>
  <c r="L133" i="33"/>
  <c r="H133" i="33"/>
  <c r="D133" i="33"/>
  <c r="O133" i="33"/>
  <c r="K133" i="33"/>
  <c r="G133" i="33"/>
  <c r="N133" i="33"/>
  <c r="J133" i="33"/>
  <c r="F133" i="33"/>
  <c r="N142" i="34"/>
  <c r="J142" i="34"/>
  <c r="F142" i="34"/>
  <c r="M142" i="34"/>
  <c r="I142" i="34"/>
  <c r="E142" i="34"/>
  <c r="L142" i="34"/>
  <c r="H142" i="34"/>
  <c r="D142" i="34"/>
  <c r="O142" i="34"/>
  <c r="K142" i="34"/>
  <c r="G142" i="34"/>
  <c r="M123" i="33"/>
  <c r="I123" i="33"/>
  <c r="E123" i="33"/>
  <c r="L123" i="33"/>
  <c r="H123" i="33"/>
  <c r="D123" i="33"/>
  <c r="O123" i="33"/>
  <c r="K123" i="33"/>
  <c r="G123" i="33"/>
  <c r="N123" i="33"/>
  <c r="J123" i="33"/>
  <c r="F123" i="33"/>
  <c r="N131" i="34"/>
  <c r="J131" i="34"/>
  <c r="F131" i="34"/>
  <c r="M131" i="34"/>
  <c r="I131" i="34"/>
  <c r="E131" i="34"/>
  <c r="L131" i="34"/>
  <c r="H131" i="34"/>
  <c r="D131" i="34"/>
  <c r="O131" i="34"/>
  <c r="K131" i="34"/>
  <c r="G131" i="34"/>
  <c r="O97" i="34"/>
  <c r="J97" i="34"/>
  <c r="E97" i="34"/>
  <c r="N157" i="34"/>
  <c r="J157" i="34"/>
  <c r="F157" i="34"/>
  <c r="M157" i="34"/>
  <c r="I157" i="34"/>
  <c r="E157" i="34"/>
  <c r="L157" i="34"/>
  <c r="H157" i="34"/>
  <c r="D157" i="34"/>
  <c r="K157" i="34"/>
  <c r="G157" i="34"/>
  <c r="G159" i="34" s="1"/>
  <c r="O157" i="34"/>
  <c r="M135" i="33"/>
  <c r="I135" i="33"/>
  <c r="E135" i="33"/>
  <c r="L135" i="33"/>
  <c r="H135" i="33"/>
  <c r="D135" i="33"/>
  <c r="O135" i="33"/>
  <c r="K135" i="33"/>
  <c r="G135" i="33"/>
  <c r="J135" i="33"/>
  <c r="N135" i="33"/>
  <c r="F135" i="33"/>
  <c r="N135" i="34"/>
  <c r="J135" i="34"/>
  <c r="F135" i="34"/>
  <c r="M135" i="34"/>
  <c r="I135" i="34"/>
  <c r="E135" i="34"/>
  <c r="L135" i="34"/>
  <c r="H135" i="34"/>
  <c r="D135" i="34"/>
  <c r="O135" i="34"/>
  <c r="K135" i="34"/>
  <c r="G135" i="34"/>
  <c r="M130" i="33"/>
  <c r="I130" i="33"/>
  <c r="E130" i="33"/>
  <c r="L130" i="33"/>
  <c r="H130" i="33"/>
  <c r="D130" i="33"/>
  <c r="O130" i="33"/>
  <c r="K130" i="33"/>
  <c r="G130" i="33"/>
  <c r="F130" i="33"/>
  <c r="N130" i="33"/>
  <c r="J130" i="33"/>
  <c r="M136" i="33"/>
  <c r="I136" i="33"/>
  <c r="E136" i="33"/>
  <c r="L136" i="33"/>
  <c r="H136" i="33"/>
  <c r="D136" i="33"/>
  <c r="O136" i="33"/>
  <c r="K136" i="33"/>
  <c r="G136" i="33"/>
  <c r="N136" i="33"/>
  <c r="J136" i="33"/>
  <c r="F136" i="33"/>
  <c r="E131" i="33"/>
  <c r="O131" i="33"/>
  <c r="F131" i="33"/>
  <c r="N140" i="34"/>
  <c r="J140" i="34"/>
  <c r="F140" i="34"/>
  <c r="M140" i="34"/>
  <c r="I140" i="34"/>
  <c r="E140" i="34"/>
  <c r="L140" i="34"/>
  <c r="H140" i="34"/>
  <c r="D140" i="34"/>
  <c r="O140" i="34"/>
  <c r="K140" i="34"/>
  <c r="G140" i="34"/>
  <c r="L107" i="33"/>
  <c r="H107" i="33"/>
  <c r="D107" i="33"/>
  <c r="E107" i="33"/>
  <c r="O107" i="33"/>
  <c r="K107" i="33"/>
  <c r="G107" i="33"/>
  <c r="I107" i="33"/>
  <c r="N107" i="33"/>
  <c r="J107" i="33"/>
  <c r="F107" i="33"/>
  <c r="M107" i="33"/>
  <c r="N120" i="34"/>
  <c r="J120" i="34"/>
  <c r="F120" i="34"/>
  <c r="M120" i="34"/>
  <c r="I120" i="34"/>
  <c r="E120" i="34"/>
  <c r="L120" i="34"/>
  <c r="H120" i="34"/>
  <c r="D120" i="34"/>
  <c r="K120" i="34"/>
  <c r="G120" i="34"/>
  <c r="O120" i="34"/>
  <c r="O104" i="34"/>
  <c r="K104" i="34"/>
  <c r="G104" i="34"/>
  <c r="N104" i="34"/>
  <c r="J104" i="34"/>
  <c r="F104" i="34"/>
  <c r="M104" i="34"/>
  <c r="I104" i="34"/>
  <c r="E104" i="34"/>
  <c r="L104" i="34"/>
  <c r="H104" i="34"/>
  <c r="D104" i="34"/>
  <c r="L106" i="33"/>
  <c r="H106" i="33"/>
  <c r="D106" i="33"/>
  <c r="E106" i="33"/>
  <c r="O106" i="33"/>
  <c r="K106" i="33"/>
  <c r="G106" i="33"/>
  <c r="I106" i="33"/>
  <c r="N106" i="33"/>
  <c r="J106" i="33"/>
  <c r="F106" i="33"/>
  <c r="M106" i="33"/>
  <c r="L98" i="33"/>
  <c r="D98" i="33"/>
  <c r="M98" i="33"/>
  <c r="O98" i="33"/>
  <c r="G98" i="33"/>
  <c r="E98" i="33"/>
  <c r="N98" i="33"/>
  <c r="F98" i="33"/>
  <c r="I98" i="33"/>
  <c r="M138" i="33"/>
  <c r="E138" i="33"/>
  <c r="L138" i="33"/>
  <c r="H138" i="33"/>
  <c r="O138" i="33"/>
  <c r="K138" i="33"/>
  <c r="G138" i="33"/>
  <c r="J138" i="33"/>
  <c r="N138" i="33"/>
  <c r="M134" i="33"/>
  <c r="I134" i="33"/>
  <c r="E134" i="33"/>
  <c r="L134" i="33"/>
  <c r="H134" i="33"/>
  <c r="D134" i="33"/>
  <c r="O134" i="33"/>
  <c r="K134" i="33"/>
  <c r="G134" i="33"/>
  <c r="F134" i="33"/>
  <c r="J134" i="33"/>
  <c r="N134" i="33"/>
  <c r="F132" i="34"/>
  <c r="L132" i="34"/>
  <c r="K132" i="34"/>
  <c r="N144" i="34"/>
  <c r="J144" i="34"/>
  <c r="M144" i="34"/>
  <c r="I144" i="34"/>
  <c r="E144" i="34"/>
  <c r="H144" i="34"/>
  <c r="D144" i="34"/>
  <c r="G144" i="34"/>
  <c r="K144" i="34"/>
  <c r="K139" i="21"/>
  <c r="M144" i="35"/>
  <c r="I144" i="35"/>
  <c r="E144" i="35"/>
  <c r="L144" i="35"/>
  <c r="H144" i="35"/>
  <c r="D144" i="35"/>
  <c r="O144" i="35"/>
  <c r="K144" i="35"/>
  <c r="G144" i="35"/>
  <c r="N144" i="35"/>
  <c r="J144" i="35"/>
  <c r="F144" i="35"/>
  <c r="N126" i="34"/>
  <c r="J126" i="34"/>
  <c r="F126" i="34"/>
  <c r="M126" i="34"/>
  <c r="I126" i="34"/>
  <c r="E126" i="34"/>
  <c r="L126" i="34"/>
  <c r="H126" i="34"/>
  <c r="D126" i="34"/>
  <c r="K126" i="34"/>
  <c r="G126" i="34"/>
  <c r="O126" i="34"/>
  <c r="M156" i="33"/>
  <c r="M159" i="33" s="1"/>
  <c r="I156" i="33"/>
  <c r="I159" i="33" s="1"/>
  <c r="E156" i="33"/>
  <c r="E159" i="33" s="1"/>
  <c r="L156" i="33"/>
  <c r="L159" i="33" s="1"/>
  <c r="H156" i="33"/>
  <c r="H159" i="33" s="1"/>
  <c r="D156" i="33"/>
  <c r="D159" i="33"/>
  <c r="O156" i="33"/>
  <c r="O159" i="33" s="1"/>
  <c r="K156" i="33"/>
  <c r="K159" i="33" s="1"/>
  <c r="G156" i="33"/>
  <c r="G159" i="33" s="1"/>
  <c r="N156" i="33"/>
  <c r="N159" i="33" s="1"/>
  <c r="F156" i="33"/>
  <c r="F159" i="33" s="1"/>
  <c r="J156" i="33"/>
  <c r="J159" i="33" s="1"/>
  <c r="M120" i="33"/>
  <c r="I120" i="33"/>
  <c r="E120" i="33"/>
  <c r="L120" i="33"/>
  <c r="H120" i="33"/>
  <c r="D120" i="33"/>
  <c r="O120" i="33"/>
  <c r="K120" i="33"/>
  <c r="G120" i="33"/>
  <c r="F120" i="33"/>
  <c r="N120" i="33"/>
  <c r="J120" i="33"/>
  <c r="L104" i="33"/>
  <c r="H104" i="33"/>
  <c r="D104" i="33"/>
  <c r="O104" i="33"/>
  <c r="K104" i="33"/>
  <c r="G104" i="33"/>
  <c r="M104" i="33"/>
  <c r="E104" i="33"/>
  <c r="N104" i="33"/>
  <c r="J104" i="33"/>
  <c r="F104" i="33"/>
  <c r="I104" i="33"/>
  <c r="M148" i="33"/>
  <c r="I148" i="33"/>
  <c r="E148" i="33"/>
  <c r="L148" i="33"/>
  <c r="H148" i="33"/>
  <c r="D148" i="33"/>
  <c r="O148" i="33"/>
  <c r="K148" i="33"/>
  <c r="G148" i="33"/>
  <c r="N148" i="33"/>
  <c r="J148" i="33"/>
  <c r="F148" i="33"/>
  <c r="M118" i="35"/>
  <c r="E118" i="35"/>
  <c r="K118" i="35"/>
  <c r="J118" i="35"/>
  <c r="H118" i="35"/>
  <c r="D118" i="35"/>
  <c r="O118" i="35"/>
  <c r="N118" i="35"/>
  <c r="F118" i="35"/>
  <c r="K160" i="21"/>
  <c r="M91" i="18"/>
  <c r="F91" i="18"/>
  <c r="J91" i="18"/>
  <c r="R93" i="25"/>
  <c r="F160" i="21"/>
  <c r="D160" i="21"/>
  <c r="E160" i="21"/>
  <c r="M160" i="21"/>
  <c r="N160" i="21"/>
  <c r="I160" i="21"/>
  <c r="L160" i="21"/>
  <c r="H160" i="21"/>
  <c r="O160" i="21"/>
  <c r="K160" i="22"/>
  <c r="J160" i="21"/>
  <c r="D91" i="18"/>
  <c r="R85" i="25"/>
  <c r="R102" i="25"/>
  <c r="D142" i="22"/>
  <c r="N142" i="22"/>
  <c r="N113" i="25"/>
  <c r="T102" i="9"/>
  <c r="M21" i="21"/>
  <c r="H21" i="21"/>
  <c r="F21" i="21"/>
  <c r="L21" i="21"/>
  <c r="P21" i="21"/>
  <c r="N21" i="21"/>
  <c r="I21" i="21"/>
  <c r="E21" i="21"/>
  <c r="G21" i="21"/>
  <c r="K21" i="21"/>
  <c r="J21" i="21"/>
  <c r="R21" i="21"/>
  <c r="Q21" i="21"/>
  <c r="O21" i="21"/>
  <c r="O22" i="21"/>
  <c r="K22" i="21"/>
  <c r="G22" i="21"/>
  <c r="R22" i="21"/>
  <c r="N22" i="21"/>
  <c r="J22" i="21"/>
  <c r="F22" i="21"/>
  <c r="L22" i="21"/>
  <c r="H22" i="21"/>
  <c r="Q22" i="21"/>
  <c r="M22" i="21"/>
  <c r="I22" i="21"/>
  <c r="E22" i="21"/>
  <c r="P22" i="21"/>
  <c r="D22" i="21"/>
  <c r="E21" i="22"/>
  <c r="G21" i="22"/>
  <c r="F21" i="22"/>
  <c r="R21" i="22"/>
  <c r="P21" i="22"/>
  <c r="J21" i="22"/>
  <c r="I21" i="22"/>
  <c r="H21" i="22"/>
  <c r="M21" i="22"/>
  <c r="N21" i="22"/>
  <c r="K21" i="22"/>
  <c r="L21" i="22"/>
  <c r="O21" i="22"/>
  <c r="Q21" i="22"/>
  <c r="O22" i="22"/>
  <c r="K22" i="22"/>
  <c r="G22" i="22"/>
  <c r="R22" i="22"/>
  <c r="N22" i="22"/>
  <c r="J22" i="22"/>
  <c r="F22" i="22"/>
  <c r="L22" i="22"/>
  <c r="Q22" i="22"/>
  <c r="M22" i="22"/>
  <c r="I22" i="22"/>
  <c r="E22" i="22"/>
  <c r="P22" i="22"/>
  <c r="H22" i="22"/>
  <c r="V7" i="1"/>
  <c r="P8" i="11"/>
  <c r="O8" i="11"/>
  <c r="M85" i="12"/>
  <c r="R7" i="1"/>
  <c r="P7" i="11"/>
  <c r="N7" i="12"/>
  <c r="B85" i="12"/>
  <c r="L87" i="11"/>
  <c r="O135" i="21"/>
  <c r="L135" i="21"/>
  <c r="E139" i="21"/>
  <c r="G139" i="21"/>
  <c r="N139" i="21"/>
  <c r="F135" i="21"/>
  <c r="G113" i="25"/>
  <c r="E154" i="18"/>
  <c r="L113" i="25"/>
  <c r="J154" i="18"/>
  <c r="K113" i="25"/>
  <c r="I154" i="18"/>
  <c r="K154" i="18"/>
  <c r="M113" i="25"/>
  <c r="P113" i="25"/>
  <c r="N154" i="18"/>
  <c r="O113" i="25"/>
  <c r="M154" i="18"/>
  <c r="I113" i="25"/>
  <c r="G154" i="18"/>
  <c r="O139" i="21"/>
  <c r="J139" i="21"/>
  <c r="E135" i="21"/>
  <c r="D135" i="21"/>
  <c r="L139" i="21"/>
  <c r="I135" i="21"/>
  <c r="M135" i="21"/>
  <c r="M139" i="21"/>
  <c r="F139" i="21"/>
  <c r="I139" i="21"/>
  <c r="D139" i="21"/>
  <c r="H139" i="21"/>
  <c r="F82" i="25"/>
  <c r="S86" i="21"/>
  <c r="T110" i="9"/>
  <c r="N79" i="25"/>
  <c r="I79" i="25"/>
  <c r="F83" i="25"/>
  <c r="R83" i="25" s="1"/>
  <c r="H79" i="25"/>
  <c r="K79" i="25"/>
  <c r="E142" i="22"/>
  <c r="M79" i="25"/>
  <c r="J79" i="25"/>
  <c r="D78" i="18"/>
  <c r="F48" i="25"/>
  <c r="J135" i="22"/>
  <c r="K135" i="22"/>
  <c r="M135" i="22"/>
  <c r="F135" i="22"/>
  <c r="O135" i="22"/>
  <c r="L135" i="22"/>
  <c r="E135" i="22"/>
  <c r="G135" i="22"/>
  <c r="I135" i="22"/>
  <c r="H135" i="22"/>
  <c r="N135" i="22"/>
  <c r="T91" i="9"/>
  <c r="N139" i="22"/>
  <c r="M139" i="22"/>
  <c r="D139" i="22"/>
  <c r="G139" i="22"/>
  <c r="F139" i="22"/>
  <c r="K139" i="22"/>
  <c r="L139" i="22"/>
  <c r="O139" i="22"/>
  <c r="H139" i="22"/>
  <c r="J139" i="22"/>
  <c r="I139" i="22"/>
  <c r="K135" i="21"/>
  <c r="J135" i="21"/>
  <c r="N135" i="21"/>
  <c r="H135" i="21"/>
  <c r="U78" i="9"/>
  <c r="I126" i="35" s="1"/>
  <c r="V78" i="9"/>
  <c r="O121" i="22" s="1"/>
  <c r="G103" i="25"/>
  <c r="U72" i="9"/>
  <c r="V72" i="9"/>
  <c r="F91" i="25"/>
  <c r="F95" i="25"/>
  <c r="J142" i="22"/>
  <c r="H142" i="22"/>
  <c r="G142" i="22"/>
  <c r="T85" i="9"/>
  <c r="K113" i="21"/>
  <c r="J113" i="21"/>
  <c r="I113" i="21"/>
  <c r="O113" i="21"/>
  <c r="E113" i="21"/>
  <c r="F113" i="21"/>
  <c r="D113" i="21"/>
  <c r="N113" i="21"/>
  <c r="H113" i="21"/>
  <c r="F100" i="25"/>
  <c r="R100" i="25" s="1"/>
  <c r="T86" i="9"/>
  <c r="T82" i="9"/>
  <c r="N130" i="34" s="1"/>
  <c r="F143" i="18"/>
  <c r="O143" i="18"/>
  <c r="L143" i="18"/>
  <c r="N143" i="18"/>
  <c r="E143" i="18"/>
  <c r="M143" i="18"/>
  <c r="G143" i="18"/>
  <c r="J143" i="18"/>
  <c r="I143" i="18"/>
  <c r="H143" i="18"/>
  <c r="D143" i="18"/>
  <c r="K143" i="18"/>
  <c r="I113" i="22"/>
  <c r="S113" i="22" s="1"/>
  <c r="L113" i="22"/>
  <c r="E113" i="22"/>
  <c r="J113" i="22"/>
  <c r="K113" i="22"/>
  <c r="O113" i="22"/>
  <c r="H113" i="22"/>
  <c r="N113" i="22"/>
  <c r="M113" i="22"/>
  <c r="G113" i="22"/>
  <c r="F113" i="22"/>
  <c r="O142" i="22"/>
  <c r="F142" i="22"/>
  <c r="L142" i="22"/>
  <c r="V93" i="9"/>
  <c r="M142" i="22"/>
  <c r="I142" i="22"/>
  <c r="F101" i="25"/>
  <c r="F105" i="25"/>
  <c r="T98" i="9"/>
  <c r="E143" i="34" s="1"/>
  <c r="D142" i="21"/>
  <c r="G142" i="21"/>
  <c r="K142" i="21"/>
  <c r="L142" i="21"/>
  <c r="I142" i="21"/>
  <c r="H142" i="21"/>
  <c r="N142" i="21"/>
  <c r="O142" i="21"/>
  <c r="J142" i="21"/>
  <c r="M142" i="21"/>
  <c r="F142" i="21"/>
  <c r="E142" i="21"/>
  <c r="G153" i="22"/>
  <c r="J153" i="22"/>
  <c r="I7" i="12"/>
  <c r="J7" i="12" s="1"/>
  <c r="M7" i="12" s="1"/>
  <c r="D28" i="21"/>
  <c r="N78" i="18"/>
  <c r="P48" i="25" s="1"/>
  <c r="E78" i="18"/>
  <c r="G48" i="25"/>
  <c r="F78" i="18"/>
  <c r="H48" i="25" s="1"/>
  <c r="G78" i="18"/>
  <c r="I48" i="25" s="1"/>
  <c r="L78" i="18"/>
  <c r="N48" i="25" s="1"/>
  <c r="I78" i="18"/>
  <c r="K48" i="25" s="1"/>
  <c r="H78" i="18"/>
  <c r="J48" i="25" s="1"/>
  <c r="K78" i="18"/>
  <c r="M48" i="25" s="1"/>
  <c r="J78" i="18"/>
  <c r="L48" i="25" s="1"/>
  <c r="M78" i="18"/>
  <c r="O48" i="25"/>
  <c r="T89" i="9"/>
  <c r="U92" i="9"/>
  <c r="H133" i="21"/>
  <c r="U77" i="9"/>
  <c r="I125" i="35" s="1"/>
  <c r="V77" i="9"/>
  <c r="T55" i="9"/>
  <c r="N103" i="34" s="1"/>
  <c r="U47" i="9"/>
  <c r="M146" i="18"/>
  <c r="D146" i="18"/>
  <c r="N146" i="18"/>
  <c r="G146" i="18"/>
  <c r="K146" i="18"/>
  <c r="J146" i="18"/>
  <c r="F146" i="18"/>
  <c r="O146" i="18"/>
  <c r="L146" i="18"/>
  <c r="E146" i="18"/>
  <c r="I146" i="18"/>
  <c r="H146" i="18"/>
  <c r="D46" i="29"/>
  <c r="S46" i="29"/>
  <c r="S46" i="28"/>
  <c r="K43" i="28"/>
  <c r="G43" i="28"/>
  <c r="Q37" i="21"/>
  <c r="Q37" i="29"/>
  <c r="Q37" i="22"/>
  <c r="M37" i="21"/>
  <c r="M37" i="29"/>
  <c r="M37" i="22"/>
  <c r="I37" i="21"/>
  <c r="I37" i="29"/>
  <c r="I37" i="22"/>
  <c r="E37" i="21"/>
  <c r="E37" i="29"/>
  <c r="E37" i="22"/>
  <c r="I43" i="28"/>
  <c r="P38" i="21"/>
  <c r="P38" i="29"/>
  <c r="P38" i="22"/>
  <c r="L38" i="21"/>
  <c r="L38" i="29"/>
  <c r="L38" i="22"/>
  <c r="H38" i="21"/>
  <c r="H38" i="29"/>
  <c r="H38" i="22"/>
  <c r="M18" i="28"/>
  <c r="M18" i="29"/>
  <c r="I18" i="28"/>
  <c r="I18" i="29"/>
  <c r="E18" i="28"/>
  <c r="E18" i="29"/>
  <c r="F43" i="28"/>
  <c r="S20" i="28"/>
  <c r="D20" i="29"/>
  <c r="E56" i="15"/>
  <c r="H11" i="16" s="1"/>
  <c r="H30" i="29"/>
  <c r="H30" i="22"/>
  <c r="H30" i="21"/>
  <c r="J41" i="21"/>
  <c r="H56" i="15"/>
  <c r="L11" i="16" s="1"/>
  <c r="I41" i="21"/>
  <c r="N41" i="21"/>
  <c r="O41" i="21"/>
  <c r="R41" i="21"/>
  <c r="L41" i="21"/>
  <c r="F41" i="21"/>
  <c r="G41" i="21"/>
  <c r="H41" i="21"/>
  <c r="Q41" i="21"/>
  <c r="K41" i="21"/>
  <c r="M41" i="21"/>
  <c r="P41" i="21"/>
  <c r="E41" i="21"/>
  <c r="D41" i="21"/>
  <c r="G30" i="29"/>
  <c r="G30" i="22"/>
  <c r="G30" i="21"/>
  <c r="K19" i="22"/>
  <c r="O19" i="22"/>
  <c r="L19" i="22"/>
  <c r="F19" i="22"/>
  <c r="Q19" i="22"/>
  <c r="M19" i="22"/>
  <c r="J19" i="22"/>
  <c r="E19" i="22"/>
  <c r="P19" i="22"/>
  <c r="H19" i="22"/>
  <c r="I19" i="22"/>
  <c r="R19" i="22"/>
  <c r="G19" i="22"/>
  <c r="N19" i="22"/>
  <c r="G56" i="15"/>
  <c r="J11" i="16" s="1"/>
  <c r="N30" i="29"/>
  <c r="N30" i="22"/>
  <c r="N30" i="21"/>
  <c r="D87" i="8"/>
  <c r="T81" i="9"/>
  <c r="N43" i="28"/>
  <c r="J43" i="28"/>
  <c r="P37" i="21"/>
  <c r="P37" i="29"/>
  <c r="P37" i="22"/>
  <c r="L37" i="21"/>
  <c r="L37" i="29"/>
  <c r="L37" i="22"/>
  <c r="H37" i="21"/>
  <c r="H37" i="29"/>
  <c r="H37" i="22"/>
  <c r="D37" i="21"/>
  <c r="S37" i="28"/>
  <c r="D37" i="29"/>
  <c r="O44" i="21"/>
  <c r="S44" i="21"/>
  <c r="S44" i="28"/>
  <c r="O44" i="29"/>
  <c r="E43" i="29"/>
  <c r="E43" i="21"/>
  <c r="O38" i="21"/>
  <c r="O38" i="29"/>
  <c r="O38" i="22"/>
  <c r="K38" i="21"/>
  <c r="K38" i="29"/>
  <c r="K38" i="22"/>
  <c r="G38" i="21"/>
  <c r="G38" i="29"/>
  <c r="G38" i="22"/>
  <c r="P18" i="28"/>
  <c r="P18" i="29"/>
  <c r="L18" i="28"/>
  <c r="L18" i="29"/>
  <c r="H18" i="28"/>
  <c r="H18" i="29"/>
  <c r="D18" i="28"/>
  <c r="S18" i="27"/>
  <c r="E30" i="29"/>
  <c r="E30" i="22"/>
  <c r="E30" i="21"/>
  <c r="L161" i="21"/>
  <c r="K161" i="21"/>
  <c r="K163" i="21"/>
  <c r="D161" i="21"/>
  <c r="J161" i="21"/>
  <c r="E161" i="21"/>
  <c r="M161" i="21"/>
  <c r="H161" i="21"/>
  <c r="H163" i="21"/>
  <c r="G161" i="21"/>
  <c r="G163" i="21"/>
  <c r="O161" i="21"/>
  <c r="F161" i="21"/>
  <c r="N161" i="21"/>
  <c r="I161" i="21"/>
  <c r="O30" i="29"/>
  <c r="O30" i="22"/>
  <c r="O30" i="21"/>
  <c r="I56" i="15"/>
  <c r="N11" i="16" s="1"/>
  <c r="R41" i="22"/>
  <c r="J41" i="22"/>
  <c r="H41" i="22"/>
  <c r="Q41" i="22"/>
  <c r="P41" i="22"/>
  <c r="O41" i="22"/>
  <c r="G41" i="22"/>
  <c r="N41" i="22"/>
  <c r="F41" i="22"/>
  <c r="L41" i="22"/>
  <c r="M41" i="22"/>
  <c r="K41" i="22"/>
  <c r="I41" i="22"/>
  <c r="E41" i="22"/>
  <c r="D41" i="22"/>
  <c r="J30" i="29"/>
  <c r="J30" i="22"/>
  <c r="J30" i="21"/>
  <c r="S33" i="29"/>
  <c r="H130" i="18"/>
  <c r="E130" i="18"/>
  <c r="L130" i="18"/>
  <c r="N97" i="25" s="1"/>
  <c r="G130" i="18"/>
  <c r="I97" i="25" s="1"/>
  <c r="J130" i="18"/>
  <c r="O130" i="18"/>
  <c r="I130" i="18"/>
  <c r="K130" i="18"/>
  <c r="M97" i="25" s="1"/>
  <c r="D130" i="18"/>
  <c r="F97" i="25" s="1"/>
  <c r="N130" i="18"/>
  <c r="M130" i="18"/>
  <c r="O97" i="25" s="1"/>
  <c r="F130" i="18"/>
  <c r="H97" i="25" s="1"/>
  <c r="Q14" i="22"/>
  <c r="J14" i="22"/>
  <c r="K14" i="22"/>
  <c r="P14" i="22"/>
  <c r="G14" i="22"/>
  <c r="D14" i="22"/>
  <c r="H14" i="22"/>
  <c r="O14" i="22"/>
  <c r="N14" i="22"/>
  <c r="F14" i="22"/>
  <c r="I14" i="22"/>
  <c r="M14" i="22"/>
  <c r="L14" i="22"/>
  <c r="R14" i="22"/>
  <c r="S135" i="29"/>
  <c r="D135" i="22"/>
  <c r="M43" i="28"/>
  <c r="E38" i="22"/>
  <c r="O37" i="21"/>
  <c r="O37" i="29"/>
  <c r="O37" i="22"/>
  <c r="K37" i="21"/>
  <c r="K37" i="29"/>
  <c r="K37" i="22"/>
  <c r="G37" i="21"/>
  <c r="G37" i="29"/>
  <c r="G37" i="22"/>
  <c r="R18" i="28"/>
  <c r="R18" i="29"/>
  <c r="R38" i="21"/>
  <c r="R38" i="29"/>
  <c r="R38" i="22"/>
  <c r="N38" i="21"/>
  <c r="N38" i="29"/>
  <c r="N38" i="22"/>
  <c r="J38" i="21"/>
  <c r="J38" i="29"/>
  <c r="J38" i="22"/>
  <c r="F38" i="21"/>
  <c r="S38" i="28"/>
  <c r="F38" i="29"/>
  <c r="F38" i="22"/>
  <c r="O18" i="28"/>
  <c r="O18" i="29"/>
  <c r="K18" i="28"/>
  <c r="K18" i="29"/>
  <c r="G18" i="28"/>
  <c r="G18" i="29"/>
  <c r="S43" i="27"/>
  <c r="M30" i="29"/>
  <c r="M30" i="22"/>
  <c r="M30" i="21"/>
  <c r="S113" i="29"/>
  <c r="D113" i="22"/>
  <c r="K19" i="21"/>
  <c r="E19" i="21"/>
  <c r="O19" i="21"/>
  <c r="I19" i="21"/>
  <c r="L19" i="21"/>
  <c r="R19" i="21"/>
  <c r="F19" i="21"/>
  <c r="M19" i="21"/>
  <c r="D19" i="21"/>
  <c r="G19" i="21"/>
  <c r="N19" i="21"/>
  <c r="Q19" i="21"/>
  <c r="H19" i="21"/>
  <c r="P19" i="21"/>
  <c r="J19" i="21"/>
  <c r="S32" i="28"/>
  <c r="D32" i="29"/>
  <c r="S32" i="29"/>
  <c r="K30" i="29"/>
  <c r="K30" i="22"/>
  <c r="K30" i="21"/>
  <c r="U75" i="9"/>
  <c r="V75" i="9"/>
  <c r="F161" i="29"/>
  <c r="S161" i="29"/>
  <c r="S161" i="28"/>
  <c r="S33" i="28"/>
  <c r="L33" i="18"/>
  <c r="N127" i="25" s="1"/>
  <c r="R33" i="18"/>
  <c r="F33" i="18"/>
  <c r="H127" i="25" s="1"/>
  <c r="H33" i="18"/>
  <c r="J127" i="25" s="1"/>
  <c r="J33" i="18"/>
  <c r="L127" i="25" s="1"/>
  <c r="O33" i="18"/>
  <c r="Q127" i="25" s="1"/>
  <c r="K33" i="18"/>
  <c r="M127" i="25" s="1"/>
  <c r="M33" i="18"/>
  <c r="O127" i="25" s="1"/>
  <c r="P33" i="18"/>
  <c r="E33" i="18"/>
  <c r="G127" i="25" s="1"/>
  <c r="N33" i="18"/>
  <c r="G33" i="18"/>
  <c r="Q33" i="18"/>
  <c r="D33" i="18"/>
  <c r="F127" i="25" s="1"/>
  <c r="I33" i="18"/>
  <c r="K127" i="25" s="1"/>
  <c r="N14" i="21"/>
  <c r="I14" i="21"/>
  <c r="H14" i="21"/>
  <c r="R14" i="21"/>
  <c r="L14" i="21"/>
  <c r="J14" i="21"/>
  <c r="M14" i="21"/>
  <c r="D14" i="21"/>
  <c r="P14" i="21"/>
  <c r="F14" i="21"/>
  <c r="G14" i="21"/>
  <c r="Q14" i="21"/>
  <c r="E14" i="21"/>
  <c r="O14" i="21"/>
  <c r="K14" i="21"/>
  <c r="E49" i="28"/>
  <c r="S49" i="27"/>
  <c r="T49" i="9"/>
  <c r="S137" i="29"/>
  <c r="F120" i="28"/>
  <c r="S120" i="27"/>
  <c r="L43" i="28"/>
  <c r="R37" i="21"/>
  <c r="R37" i="29"/>
  <c r="R37" i="22"/>
  <c r="N37" i="21"/>
  <c r="N37" i="29"/>
  <c r="N37" i="22"/>
  <c r="J37" i="21"/>
  <c r="J37" i="29"/>
  <c r="J37" i="22"/>
  <c r="F37" i="21"/>
  <c r="F37" i="29"/>
  <c r="F37" i="22"/>
  <c r="Q18" i="28"/>
  <c r="Q18" i="29"/>
  <c r="F45" i="22"/>
  <c r="S45" i="22"/>
  <c r="S45" i="29"/>
  <c r="H43" i="28"/>
  <c r="S79" i="28"/>
  <c r="D79" i="29"/>
  <c r="S79" i="29"/>
  <c r="Q38" i="21"/>
  <c r="Q38" i="29"/>
  <c r="Q38" i="22"/>
  <c r="M38" i="21"/>
  <c r="M38" i="29"/>
  <c r="M38" i="22"/>
  <c r="I38" i="21"/>
  <c r="I38" i="29"/>
  <c r="I38" i="22"/>
  <c r="N18" i="28"/>
  <c r="N18" i="29"/>
  <c r="J18" i="28"/>
  <c r="J18" i="29"/>
  <c r="F18" i="28"/>
  <c r="F18" i="29"/>
  <c r="S159" i="29"/>
  <c r="I30" i="29"/>
  <c r="I30" i="22"/>
  <c r="I30" i="21"/>
  <c r="L30" i="29"/>
  <c r="L30" i="22"/>
  <c r="L30" i="21"/>
  <c r="S30" i="28"/>
  <c r="D30" i="21"/>
  <c r="D30" i="29"/>
  <c r="S147" i="29"/>
  <c r="E147" i="22"/>
  <c r="S123" i="29"/>
  <c r="F30" i="29"/>
  <c r="F30" i="22"/>
  <c r="F30" i="21"/>
  <c r="D22" i="29"/>
  <c r="D22" i="22"/>
  <c r="S22" i="28"/>
  <c r="D21" i="21"/>
  <c r="M7" i="10"/>
  <c r="K88" i="18"/>
  <c r="G88" i="18"/>
  <c r="F88" i="18"/>
  <c r="J88" i="18"/>
  <c r="H88" i="18"/>
  <c r="O88" i="18"/>
  <c r="N88" i="18"/>
  <c r="I88" i="18"/>
  <c r="D88" i="18"/>
  <c r="L88" i="18"/>
  <c r="E88" i="18"/>
  <c r="M88" i="18"/>
  <c r="M7" i="11"/>
  <c r="Q7" i="11"/>
  <c r="K60" i="18"/>
  <c r="F60" i="18"/>
  <c r="H2" i="25" s="1"/>
  <c r="H60" i="18"/>
  <c r="E60" i="18"/>
  <c r="N64" i="18"/>
  <c r="P15" i="25"/>
  <c r="E64" i="18"/>
  <c r="G15" i="25" s="1"/>
  <c r="F64" i="18"/>
  <c r="H15" i="25"/>
  <c r="J64" i="18"/>
  <c r="L15" i="25" s="1"/>
  <c r="O64" i="18"/>
  <c r="Q15" i="25" s="1"/>
  <c r="G64" i="18"/>
  <c r="I15" i="25" s="1"/>
  <c r="D64" i="18"/>
  <c r="L64" i="18"/>
  <c r="N15" i="25" s="1"/>
  <c r="K64" i="18"/>
  <c r="M15" i="25"/>
  <c r="H64" i="18"/>
  <c r="J15" i="25" s="1"/>
  <c r="M64" i="18"/>
  <c r="O15" i="25"/>
  <c r="I64" i="18"/>
  <c r="K15" i="25" s="1"/>
  <c r="Y15" i="11"/>
  <c r="Z15" i="11" s="1"/>
  <c r="Q11" i="12"/>
  <c r="Q15" i="12"/>
  <c r="V17" i="12"/>
  <c r="Q17" i="12"/>
  <c r="R15" i="12"/>
  <c r="R10" i="12"/>
  <c r="S31" i="29"/>
  <c r="E31" i="22"/>
  <c r="S20" i="29"/>
  <c r="D20" i="22"/>
  <c r="S27" i="29"/>
  <c r="O8" i="13"/>
  <c r="P8" i="13"/>
  <c r="I70" i="21"/>
  <c r="D134" i="22"/>
  <c r="F134" i="22"/>
  <c r="E134" i="22"/>
  <c r="M163" i="21"/>
  <c r="S40" i="29"/>
  <c r="E40" i="22"/>
  <c r="V2" i="13"/>
  <c r="J60" i="18"/>
  <c r="L2" i="25" s="1"/>
  <c r="Q7" i="10"/>
  <c r="K28" i="22"/>
  <c r="N29" i="22"/>
  <c r="H27" i="15"/>
  <c r="L9" i="16" s="1"/>
  <c r="Q33" i="35"/>
  <c r="I33" i="34"/>
  <c r="Q33" i="34"/>
  <c r="P33" i="34"/>
  <c r="N33" i="34"/>
  <c r="K33" i="34"/>
  <c r="J33" i="34"/>
  <c r="H33" i="34"/>
  <c r="O33" i="34"/>
  <c r="L33" i="34"/>
  <c r="R33" i="34"/>
  <c r="M33" i="34"/>
  <c r="E33" i="34"/>
  <c r="G33" i="34"/>
  <c r="D33" i="34"/>
  <c r="K34" i="34"/>
  <c r="J33" i="33"/>
  <c r="N33" i="33"/>
  <c r="G33" i="33"/>
  <c r="L33" i="33"/>
  <c r="Q33" i="33"/>
  <c r="O33" i="33"/>
  <c r="P33" i="33"/>
  <c r="F33" i="33"/>
  <c r="I33" i="33"/>
  <c r="R33" i="33"/>
  <c r="E33" i="33"/>
  <c r="K33" i="33"/>
  <c r="M33" i="33"/>
  <c r="Q2" i="13"/>
  <c r="R2" i="13"/>
  <c r="J34" i="35"/>
  <c r="N29" i="21"/>
  <c r="R29" i="21"/>
  <c r="E29" i="21"/>
  <c r="P29" i="21"/>
  <c r="M28" i="21"/>
  <c r="I16" i="21"/>
  <c r="L31" i="33"/>
  <c r="L75" i="18"/>
  <c r="N39" i="25" s="1"/>
  <c r="J75" i="18"/>
  <c r="L39" i="25"/>
  <c r="I75" i="18"/>
  <c r="K39" i="25" s="1"/>
  <c r="G75" i="18"/>
  <c r="I39" i="25" s="1"/>
  <c r="M75" i="18"/>
  <c r="O39" i="25" s="1"/>
  <c r="O28" i="21"/>
  <c r="K28" i="21"/>
  <c r="J28" i="21"/>
  <c r="P28" i="21"/>
  <c r="E28" i="21"/>
  <c r="F33" i="35"/>
  <c r="N28" i="21"/>
  <c r="G28" i="21"/>
  <c r="Q28" i="21"/>
  <c r="H28" i="21"/>
  <c r="F28" i="21"/>
  <c r="I28" i="21"/>
  <c r="R28" i="21"/>
  <c r="L28" i="21"/>
  <c r="L33" i="35"/>
  <c r="M33" i="35"/>
  <c r="N33" i="35"/>
  <c r="K33" i="35"/>
  <c r="O33" i="35"/>
  <c r="D33" i="35"/>
  <c r="H33" i="35"/>
  <c r="J33" i="35"/>
  <c r="P33" i="35"/>
  <c r="R33" i="35"/>
  <c r="E33" i="35"/>
  <c r="G33" i="35"/>
  <c r="L34" i="35"/>
  <c r="N34" i="35"/>
  <c r="O29" i="21"/>
  <c r="R34" i="35"/>
  <c r="K29" i="21"/>
  <c r="G29" i="21"/>
  <c r="E34" i="35"/>
  <c r="G34" i="35"/>
  <c r="M29" i="21"/>
  <c r="D29" i="21"/>
  <c r="L29" i="21"/>
  <c r="I34" i="35"/>
  <c r="K34" i="35"/>
  <c r="M34" i="35"/>
  <c r="O34" i="35"/>
  <c r="Q34" i="35"/>
  <c r="P34" i="35"/>
  <c r="Q29" i="21"/>
  <c r="F29" i="21"/>
  <c r="N28" i="22"/>
  <c r="H29" i="21"/>
  <c r="J29" i="21"/>
  <c r="F28" i="22"/>
  <c r="I29" i="21"/>
  <c r="D34" i="35"/>
  <c r="F34" i="35"/>
  <c r="H34" i="35"/>
  <c r="I134" i="22"/>
  <c r="H134" i="22"/>
  <c r="I111" i="29"/>
  <c r="S111" i="28"/>
  <c r="I111" i="21"/>
  <c r="S111" i="21" s="1"/>
  <c r="P28" i="22"/>
  <c r="H28" i="22"/>
  <c r="G116" i="29"/>
  <c r="S116" i="29"/>
  <c r="S116" i="28"/>
  <c r="E74" i="29"/>
  <c r="S74" i="29"/>
  <c r="S74" i="28"/>
  <c r="D127" i="29"/>
  <c r="S127" i="29"/>
  <c r="S127" i="28"/>
  <c r="S121" i="28"/>
  <c r="D121" i="29"/>
  <c r="S119" i="29"/>
  <c r="E28" i="22"/>
  <c r="I28" i="22"/>
  <c r="G28" i="22"/>
  <c r="R28" i="22"/>
  <c r="K12" i="28"/>
  <c r="S12" i="28"/>
  <c r="K9" i="29"/>
  <c r="S9" i="28"/>
  <c r="S14" i="28"/>
  <c r="E14" i="29"/>
  <c r="L28" i="22"/>
  <c r="O28" i="22"/>
  <c r="E160" i="29"/>
  <c r="S160" i="29"/>
  <c r="S160" i="28"/>
  <c r="Q28" i="22"/>
  <c r="M28" i="22"/>
  <c r="F66" i="29"/>
  <c r="S66" i="29"/>
  <c r="S66" i="28"/>
  <c r="F85" i="29"/>
  <c r="S85" i="29"/>
  <c r="S85" i="28"/>
  <c r="D28" i="22"/>
  <c r="D19" i="22"/>
  <c r="G102" i="29"/>
  <c r="S102" i="29"/>
  <c r="S102" i="28"/>
  <c r="E139" i="29"/>
  <c r="S139" i="28"/>
  <c r="D140" i="29"/>
  <c r="S140" i="29"/>
  <c r="S140" i="28"/>
  <c r="F47" i="29"/>
  <c r="S47" i="29"/>
  <c r="S47" i="28"/>
  <c r="E115" i="29"/>
  <c r="S115" i="29"/>
  <c r="S115" i="28"/>
  <c r="E132" i="29"/>
  <c r="S132" i="29"/>
  <c r="S132" i="28"/>
  <c r="S117" i="29"/>
  <c r="H117" i="22"/>
  <c r="S117" i="22" s="1"/>
  <c r="H146" i="34"/>
  <c r="H146" i="33"/>
  <c r="J146" i="33"/>
  <c r="O146" i="33"/>
  <c r="D146" i="33"/>
  <c r="E146" i="33"/>
  <c r="N146" i="33"/>
  <c r="L146" i="33"/>
  <c r="I146" i="33"/>
  <c r="G146" i="33"/>
  <c r="M146" i="33"/>
  <c r="F146" i="33"/>
  <c r="L143" i="34"/>
  <c r="K143" i="34"/>
  <c r="P26" i="33"/>
  <c r="L26" i="33"/>
  <c r="H26" i="33"/>
  <c r="D26" i="33"/>
  <c r="O26" i="33"/>
  <c r="K26" i="33"/>
  <c r="G26" i="33"/>
  <c r="Q26" i="33"/>
  <c r="I26" i="33"/>
  <c r="M26" i="33"/>
  <c r="E26" i="33"/>
  <c r="R26" i="33"/>
  <c r="N26" i="33"/>
  <c r="F26" i="33"/>
  <c r="J26" i="33"/>
  <c r="O34" i="33"/>
  <c r="K34" i="33"/>
  <c r="G34" i="33"/>
  <c r="R34" i="33"/>
  <c r="N34" i="33"/>
  <c r="J34" i="33"/>
  <c r="F34" i="33"/>
  <c r="L34" i="33"/>
  <c r="D34" i="33"/>
  <c r="P34" i="33"/>
  <c r="H34" i="33"/>
  <c r="M34" i="33"/>
  <c r="E34" i="33"/>
  <c r="Q34" i="33"/>
  <c r="I34" i="33"/>
  <c r="Q31" i="34"/>
  <c r="M31" i="34"/>
  <c r="I31" i="34"/>
  <c r="E31" i="34"/>
  <c r="P31" i="34"/>
  <c r="L31" i="34"/>
  <c r="H31" i="34"/>
  <c r="D31" i="34"/>
  <c r="K31" i="34"/>
  <c r="F31" i="34"/>
  <c r="R31" i="34"/>
  <c r="J31" i="34"/>
  <c r="O31" i="34"/>
  <c r="G31" i="34"/>
  <c r="N31" i="34"/>
  <c r="E26" i="22"/>
  <c r="D26" i="22"/>
  <c r="F26" i="22"/>
  <c r="P26" i="22"/>
  <c r="O26" i="22"/>
  <c r="R26" i="22"/>
  <c r="M26" i="22"/>
  <c r="L26" i="22"/>
  <c r="K26" i="22"/>
  <c r="N26" i="22"/>
  <c r="Q26" i="22"/>
  <c r="I26" i="22"/>
  <c r="H26" i="22"/>
  <c r="J26" i="22"/>
  <c r="G26" i="22"/>
  <c r="S97" i="29"/>
  <c r="S86" i="29"/>
  <c r="E86" i="22"/>
  <c r="S86" i="22" s="1"/>
  <c r="S112" i="29"/>
  <c r="F112" i="22"/>
  <c r="S112" i="22"/>
  <c r="H87" i="22"/>
  <c r="S87" i="29"/>
  <c r="S42" i="29"/>
  <c r="E16" i="29"/>
  <c r="S16" i="28"/>
  <c r="D75" i="18"/>
  <c r="F39" i="25"/>
  <c r="F75" i="18"/>
  <c r="H39" i="25"/>
  <c r="H75" i="18"/>
  <c r="J39" i="25"/>
  <c r="O75" i="18"/>
  <c r="Q39" i="25"/>
  <c r="E75" i="18"/>
  <c r="G39" i="25"/>
  <c r="N75" i="18"/>
  <c r="P39" i="25"/>
  <c r="N61" i="34"/>
  <c r="J61" i="34"/>
  <c r="F61" i="34"/>
  <c r="M61" i="34"/>
  <c r="I61" i="34"/>
  <c r="E61" i="34"/>
  <c r="L61" i="34"/>
  <c r="H61" i="34"/>
  <c r="D61" i="34"/>
  <c r="O61" i="34"/>
  <c r="K61" i="34"/>
  <c r="G61" i="34"/>
  <c r="D60" i="18"/>
  <c r="F2" i="25" s="1"/>
  <c r="L60" i="18"/>
  <c r="N2" i="25" s="1"/>
  <c r="G60" i="18"/>
  <c r="I2" i="25" s="1"/>
  <c r="E65" i="18"/>
  <c r="O65" i="18"/>
  <c r="M65" i="18"/>
  <c r="N65" i="18"/>
  <c r="G65" i="18"/>
  <c r="I18" i="25" s="1"/>
  <c r="R18" i="25" s="1"/>
  <c r="L65" i="18"/>
  <c r="H65" i="18"/>
  <c r="I65" i="18"/>
  <c r="J65" i="18"/>
  <c r="K65" i="18"/>
  <c r="D65" i="18"/>
  <c r="F65" i="18"/>
  <c r="M103" i="34"/>
  <c r="H103" i="34"/>
  <c r="G103" i="34"/>
  <c r="O98" i="34"/>
  <c r="G98" i="34"/>
  <c r="N98" i="34"/>
  <c r="J98" i="34"/>
  <c r="M98" i="34"/>
  <c r="I98" i="34"/>
  <c r="E98" i="34"/>
  <c r="D98" i="34"/>
  <c r="H98" i="34"/>
  <c r="O106" i="34"/>
  <c r="K106" i="34"/>
  <c r="G106" i="34"/>
  <c r="N106" i="34"/>
  <c r="J106" i="34"/>
  <c r="F106" i="34"/>
  <c r="M106" i="34"/>
  <c r="I106" i="34"/>
  <c r="E106" i="34"/>
  <c r="D106" i="34"/>
  <c r="H106" i="34"/>
  <c r="L106" i="34"/>
  <c r="M145" i="33"/>
  <c r="I145" i="33"/>
  <c r="E145" i="33"/>
  <c r="L145" i="33"/>
  <c r="H145" i="33"/>
  <c r="D145" i="33"/>
  <c r="O145" i="33"/>
  <c r="K145" i="33"/>
  <c r="G145" i="33"/>
  <c r="F145" i="33"/>
  <c r="J145" i="33"/>
  <c r="N145" i="33"/>
  <c r="O133" i="21"/>
  <c r="M138" i="35"/>
  <c r="I138" i="35"/>
  <c r="E138" i="35"/>
  <c r="L138" i="35"/>
  <c r="H138" i="35"/>
  <c r="D138" i="35"/>
  <c r="O138" i="35"/>
  <c r="K138" i="35"/>
  <c r="G138" i="35"/>
  <c r="F138" i="35"/>
  <c r="J138" i="35"/>
  <c r="N138" i="35"/>
  <c r="J134" i="34"/>
  <c r="F134" i="34"/>
  <c r="M134" i="34"/>
  <c r="E134" i="34"/>
  <c r="L134" i="34"/>
  <c r="H134" i="34"/>
  <c r="K134" i="34"/>
  <c r="G134" i="34"/>
  <c r="O134" i="34"/>
  <c r="J156" i="34"/>
  <c r="J159" i="34"/>
  <c r="M156" i="34"/>
  <c r="M159" i="34" s="1"/>
  <c r="E156" i="34"/>
  <c r="E159" i="34" s="1"/>
  <c r="H156" i="34"/>
  <c r="H159" i="34"/>
  <c r="G156" i="34"/>
  <c r="K156" i="34"/>
  <c r="K159" i="34" s="1"/>
  <c r="M104" i="35"/>
  <c r="I104" i="35"/>
  <c r="E104" i="35"/>
  <c r="F104" i="35"/>
  <c r="L104" i="35"/>
  <c r="H104" i="35"/>
  <c r="D104" i="35"/>
  <c r="J104" i="35"/>
  <c r="O104" i="35"/>
  <c r="K104" i="35"/>
  <c r="G104" i="35"/>
  <c r="N104" i="35"/>
  <c r="Q112" i="34"/>
  <c r="Q113" i="34"/>
  <c r="P112" i="34"/>
  <c r="P113" i="34" s="1"/>
  <c r="L112" i="34"/>
  <c r="O112" i="34"/>
  <c r="K112" i="34"/>
  <c r="G112" i="34"/>
  <c r="N112" i="34"/>
  <c r="H112" i="34"/>
  <c r="M112" i="34"/>
  <c r="F112" i="34"/>
  <c r="J112" i="34"/>
  <c r="E112" i="34"/>
  <c r="R112" i="34"/>
  <c r="R113" i="34" s="1"/>
  <c r="I112" i="34"/>
  <c r="D112" i="34"/>
  <c r="O109" i="34"/>
  <c r="K109" i="34"/>
  <c r="G109" i="34"/>
  <c r="N109" i="34"/>
  <c r="J109" i="34"/>
  <c r="F109" i="34"/>
  <c r="M109" i="34"/>
  <c r="I109" i="34"/>
  <c r="E109" i="34"/>
  <c r="L109" i="34"/>
  <c r="D109" i="34"/>
  <c r="H109" i="34"/>
  <c r="N129" i="34"/>
  <c r="J129" i="34"/>
  <c r="M129" i="34"/>
  <c r="I129" i="34"/>
  <c r="E129" i="34"/>
  <c r="H129" i="34"/>
  <c r="D129" i="34"/>
  <c r="G129" i="34"/>
  <c r="K129" i="34"/>
  <c r="N136" i="34"/>
  <c r="J136" i="34"/>
  <c r="M136" i="34"/>
  <c r="I136" i="34"/>
  <c r="E136" i="34"/>
  <c r="H136" i="34"/>
  <c r="D136" i="34"/>
  <c r="O136" i="34"/>
  <c r="G136" i="34"/>
  <c r="F130" i="34"/>
  <c r="M130" i="34"/>
  <c r="L130" i="34"/>
  <c r="H130" i="34"/>
  <c r="G130" i="34"/>
  <c r="O130" i="34"/>
  <c r="J137" i="34"/>
  <c r="F137" i="34"/>
  <c r="M137" i="34"/>
  <c r="E137" i="34"/>
  <c r="L137" i="34"/>
  <c r="H137" i="34"/>
  <c r="G137" i="34"/>
  <c r="O137" i="34"/>
  <c r="K137" i="34"/>
  <c r="O110" i="34"/>
  <c r="K110" i="34"/>
  <c r="G110" i="34"/>
  <c r="N110" i="34"/>
  <c r="J110" i="34"/>
  <c r="F110" i="34"/>
  <c r="M110" i="34"/>
  <c r="I110" i="34"/>
  <c r="E110" i="34"/>
  <c r="D110" i="34"/>
  <c r="L110" i="34"/>
  <c r="H110" i="34"/>
  <c r="I123" i="35"/>
  <c r="E123" i="35"/>
  <c r="L123" i="35"/>
  <c r="D123" i="35"/>
  <c r="O123" i="35"/>
  <c r="K123" i="35"/>
  <c r="F123" i="35"/>
  <c r="N123" i="35"/>
  <c r="J123" i="35"/>
  <c r="H96" i="35"/>
  <c r="G96" i="35"/>
  <c r="N133" i="34"/>
  <c r="J133" i="34"/>
  <c r="F133" i="34"/>
  <c r="M133" i="34"/>
  <c r="I133" i="34"/>
  <c r="E133" i="34"/>
  <c r="L133" i="34"/>
  <c r="H133" i="34"/>
  <c r="D133" i="34"/>
  <c r="G133" i="34"/>
  <c r="O133" i="34"/>
  <c r="K133" i="34"/>
  <c r="M120" i="35"/>
  <c r="I120" i="35"/>
  <c r="E120" i="35"/>
  <c r="L120" i="35"/>
  <c r="H120" i="35"/>
  <c r="D120" i="35"/>
  <c r="O120" i="35"/>
  <c r="K120" i="35"/>
  <c r="G120" i="35"/>
  <c r="F120" i="35"/>
  <c r="N120" i="35"/>
  <c r="J120" i="35"/>
  <c r="M126" i="35"/>
  <c r="E126" i="35"/>
  <c r="L126" i="35"/>
  <c r="H126" i="35"/>
  <c r="D126" i="35"/>
  <c r="O126" i="35"/>
  <c r="K126" i="35"/>
  <c r="G126" i="35"/>
  <c r="F126" i="35"/>
  <c r="J126" i="35"/>
  <c r="N126" i="35"/>
  <c r="N148" i="34"/>
  <c r="J148" i="34"/>
  <c r="F148" i="34"/>
  <c r="M148" i="34"/>
  <c r="I148" i="34"/>
  <c r="E148" i="34"/>
  <c r="L148" i="34"/>
  <c r="H148" i="34"/>
  <c r="D148" i="34"/>
  <c r="O148" i="34"/>
  <c r="K148" i="34"/>
  <c r="G148" i="34"/>
  <c r="O111" i="34"/>
  <c r="K111" i="34"/>
  <c r="G111" i="34"/>
  <c r="N111" i="34"/>
  <c r="J111" i="34"/>
  <c r="F111" i="34"/>
  <c r="M111" i="34"/>
  <c r="I111" i="34"/>
  <c r="E111" i="34"/>
  <c r="H111" i="34"/>
  <c r="D111" i="34"/>
  <c r="L111" i="34"/>
  <c r="O105" i="34"/>
  <c r="K105" i="34"/>
  <c r="G105" i="34"/>
  <c r="N105" i="34"/>
  <c r="J105" i="34"/>
  <c r="F105" i="34"/>
  <c r="M105" i="34"/>
  <c r="I105" i="34"/>
  <c r="E105" i="34"/>
  <c r="L105" i="34"/>
  <c r="D105" i="34"/>
  <c r="H105" i="34"/>
  <c r="O107" i="34"/>
  <c r="K107" i="34"/>
  <c r="G107" i="34"/>
  <c r="N107" i="34"/>
  <c r="J107" i="34"/>
  <c r="F107" i="34"/>
  <c r="M107" i="34"/>
  <c r="I107" i="34"/>
  <c r="E107" i="34"/>
  <c r="H107" i="34"/>
  <c r="D107" i="34"/>
  <c r="L107" i="34"/>
  <c r="O108" i="34"/>
  <c r="K108" i="34"/>
  <c r="G108" i="34"/>
  <c r="N108" i="34"/>
  <c r="J108" i="34"/>
  <c r="F108" i="34"/>
  <c r="M108" i="34"/>
  <c r="I108" i="34"/>
  <c r="E108" i="34"/>
  <c r="L108" i="34"/>
  <c r="H108" i="34"/>
  <c r="D108" i="34"/>
  <c r="M125" i="35"/>
  <c r="L125" i="35"/>
  <c r="O125" i="35"/>
  <c r="J78" i="33"/>
  <c r="F163" i="21"/>
  <c r="N163" i="21"/>
  <c r="I163" i="21"/>
  <c r="J163" i="21"/>
  <c r="E163" i="21"/>
  <c r="L163" i="21"/>
  <c r="E160" i="22"/>
  <c r="N160" i="22"/>
  <c r="O160" i="22"/>
  <c r="I160" i="22"/>
  <c r="L160" i="22"/>
  <c r="G160" i="22"/>
  <c r="D160" i="22"/>
  <c r="F160" i="22"/>
  <c r="M160" i="22"/>
  <c r="J160" i="22"/>
  <c r="H160" i="22"/>
  <c r="R113" i="25"/>
  <c r="N134" i="22"/>
  <c r="G134" i="22"/>
  <c r="J134" i="22"/>
  <c r="H99" i="22"/>
  <c r="U102" i="9"/>
  <c r="M148" i="35" s="1"/>
  <c r="V102" i="9"/>
  <c r="L134" i="22"/>
  <c r="K134" i="22"/>
  <c r="P7" i="12"/>
  <c r="N7" i="13"/>
  <c r="L87" i="12"/>
  <c r="M133" i="21"/>
  <c r="G133" i="21"/>
  <c r="I133" i="21"/>
  <c r="N133" i="21"/>
  <c r="S142" i="22"/>
  <c r="L99" i="21"/>
  <c r="N99" i="21"/>
  <c r="K99" i="21"/>
  <c r="O99" i="21"/>
  <c r="F99" i="21"/>
  <c r="D99" i="21"/>
  <c r="G99" i="21"/>
  <c r="E99" i="21"/>
  <c r="H99" i="21"/>
  <c r="J99" i="21"/>
  <c r="I99" i="21"/>
  <c r="M99" i="21"/>
  <c r="V110" i="9"/>
  <c r="D151" i="22" s="1"/>
  <c r="U110" i="9"/>
  <c r="U91" i="9"/>
  <c r="E121" i="22"/>
  <c r="F121" i="22"/>
  <c r="J121" i="22"/>
  <c r="J133" i="21"/>
  <c r="E133" i="21"/>
  <c r="M121" i="21"/>
  <c r="E121" i="21"/>
  <c r="I121" i="21"/>
  <c r="D121" i="21"/>
  <c r="K121" i="21"/>
  <c r="J121" i="21"/>
  <c r="O121" i="21"/>
  <c r="N121" i="21"/>
  <c r="H121" i="21"/>
  <c r="S121" i="21" s="1"/>
  <c r="G121" i="21"/>
  <c r="F121" i="21"/>
  <c r="L121" i="21"/>
  <c r="D133" i="21"/>
  <c r="F133" i="21"/>
  <c r="K115" i="21"/>
  <c r="M115" i="21"/>
  <c r="L115" i="21"/>
  <c r="H115" i="21"/>
  <c r="F115" i="21"/>
  <c r="J115" i="21"/>
  <c r="N115" i="21"/>
  <c r="E115" i="21"/>
  <c r="O115" i="21"/>
  <c r="D115" i="21"/>
  <c r="G115" i="21"/>
  <c r="I115" i="21"/>
  <c r="U96" i="9"/>
  <c r="J141" i="35" s="1"/>
  <c r="U98" i="9"/>
  <c r="K133" i="21"/>
  <c r="L133" i="21"/>
  <c r="U86" i="9"/>
  <c r="D115" i="22"/>
  <c r="S115" i="22" s="1"/>
  <c r="M115" i="22"/>
  <c r="K115" i="22"/>
  <c r="G115" i="22"/>
  <c r="J115" i="22"/>
  <c r="I115" i="22"/>
  <c r="F115" i="22"/>
  <c r="O115" i="22"/>
  <c r="H115" i="22"/>
  <c r="L115" i="22"/>
  <c r="N115" i="22"/>
  <c r="S142" i="21"/>
  <c r="I27" i="15"/>
  <c r="N9" i="16" s="1"/>
  <c r="V91" i="9"/>
  <c r="K120" i="22"/>
  <c r="J120" i="22"/>
  <c r="E120" i="22"/>
  <c r="N120" i="22"/>
  <c r="H120" i="22"/>
  <c r="M120" i="22"/>
  <c r="I120" i="22"/>
  <c r="D120" i="22"/>
  <c r="G120" i="22"/>
  <c r="S120" i="22" s="1"/>
  <c r="L120" i="22"/>
  <c r="O120" i="22"/>
  <c r="G120" i="21"/>
  <c r="H120" i="21"/>
  <c r="D120" i="21"/>
  <c r="U55" i="9"/>
  <c r="N103" i="35" s="1"/>
  <c r="V55" i="9"/>
  <c r="N98" i="22" s="1"/>
  <c r="L91" i="21"/>
  <c r="I91" i="21"/>
  <c r="M91" i="21"/>
  <c r="N60" i="18"/>
  <c r="P2" i="25" s="1"/>
  <c r="O60" i="18"/>
  <c r="Q2" i="25" s="1"/>
  <c r="M60" i="18"/>
  <c r="O2" i="25" s="1"/>
  <c r="P60" i="18"/>
  <c r="P68" i="18" s="1"/>
  <c r="I60" i="18"/>
  <c r="K2" i="25" s="1"/>
  <c r="S22" i="29"/>
  <c r="D21" i="22"/>
  <c r="O122" i="25"/>
  <c r="E49" i="29"/>
  <c r="S49" i="29"/>
  <c r="S49" i="28"/>
  <c r="I127" i="25"/>
  <c r="Q97" i="25"/>
  <c r="G97" i="25"/>
  <c r="H147" i="25"/>
  <c r="K161" i="22"/>
  <c r="K163" i="22"/>
  <c r="I161" i="22"/>
  <c r="F161" i="22"/>
  <c r="F163" i="22"/>
  <c r="G161" i="22"/>
  <c r="H161" i="22"/>
  <c r="L161" i="22"/>
  <c r="J161" i="22"/>
  <c r="D161" i="22"/>
  <c r="M161" i="22"/>
  <c r="O161" i="22"/>
  <c r="O163" i="22"/>
  <c r="N161" i="22"/>
  <c r="E161" i="22"/>
  <c r="O163" i="21"/>
  <c r="E43" i="22"/>
  <c r="D37" i="22"/>
  <c r="S37" i="29"/>
  <c r="E87" i="8"/>
  <c r="I43" i="21"/>
  <c r="I43" i="29"/>
  <c r="I43" i="22"/>
  <c r="M122" i="25"/>
  <c r="P122" i="25"/>
  <c r="S30" i="29"/>
  <c r="D30" i="22"/>
  <c r="L43" i="21"/>
  <c r="L43" i="29"/>
  <c r="L43" i="22"/>
  <c r="F120" i="29"/>
  <c r="S120" i="28"/>
  <c r="F120" i="21"/>
  <c r="U49" i="9"/>
  <c r="M118" i="22"/>
  <c r="L118" i="22"/>
  <c r="G118" i="22"/>
  <c r="S118" i="22" s="1"/>
  <c r="I118" i="22"/>
  <c r="E118" i="22"/>
  <c r="N118" i="22"/>
  <c r="O118" i="22"/>
  <c r="J118" i="22"/>
  <c r="H118" i="22"/>
  <c r="F118" i="22"/>
  <c r="K118" i="22"/>
  <c r="D118" i="22"/>
  <c r="S38" i="29"/>
  <c r="L97" i="25"/>
  <c r="J97" i="25"/>
  <c r="G147" i="25"/>
  <c r="S44" i="29"/>
  <c r="O44" i="22"/>
  <c r="J43" i="21"/>
  <c r="J43" i="29"/>
  <c r="J43" i="22"/>
  <c r="K43" i="21"/>
  <c r="K43" i="29"/>
  <c r="K43" i="22"/>
  <c r="J118" i="21"/>
  <c r="H118" i="21"/>
  <c r="G118" i="21"/>
  <c r="S118" i="21" s="1"/>
  <c r="F118" i="21"/>
  <c r="E118" i="21"/>
  <c r="K118" i="21"/>
  <c r="M118" i="21"/>
  <c r="L118" i="21"/>
  <c r="D118" i="21"/>
  <c r="I118" i="21"/>
  <c r="O118" i="21"/>
  <c r="N118" i="21"/>
  <c r="K97" i="25"/>
  <c r="L147" i="25"/>
  <c r="J55" i="18"/>
  <c r="M147" i="25"/>
  <c r="D18" i="29"/>
  <c r="S18" i="29"/>
  <c r="S18" i="28"/>
  <c r="T100" i="9"/>
  <c r="F43" i="21"/>
  <c r="F43" i="29"/>
  <c r="F43" i="22"/>
  <c r="S43" i="28"/>
  <c r="L122" i="25"/>
  <c r="H122" i="25"/>
  <c r="E148" i="22"/>
  <c r="S147" i="22"/>
  <c r="H43" i="21"/>
  <c r="H43" i="29"/>
  <c r="H43" i="22"/>
  <c r="M43" i="21"/>
  <c r="M43" i="29"/>
  <c r="M43" i="22"/>
  <c r="P97" i="25"/>
  <c r="P147" i="25"/>
  <c r="N55" i="18"/>
  <c r="N43" i="21"/>
  <c r="N43" i="29"/>
  <c r="N43" i="22"/>
  <c r="D113" i="9"/>
  <c r="F22" i="16" s="1"/>
  <c r="E160" i="18"/>
  <c r="G43" i="21"/>
  <c r="G43" i="29"/>
  <c r="G43" i="22"/>
  <c r="R7" i="10"/>
  <c r="V7" i="10"/>
  <c r="O7" i="10"/>
  <c r="G73" i="18"/>
  <c r="J73" i="18"/>
  <c r="F73" i="18"/>
  <c r="O73" i="18"/>
  <c r="K73" i="18"/>
  <c r="M73" i="18"/>
  <c r="N73" i="18"/>
  <c r="L73" i="18"/>
  <c r="H73" i="18"/>
  <c r="I73" i="18"/>
  <c r="E73" i="18"/>
  <c r="D73" i="18"/>
  <c r="V7" i="11"/>
  <c r="O7" i="11"/>
  <c r="R7" i="11"/>
  <c r="M2" i="25"/>
  <c r="F15" i="25"/>
  <c r="G2" i="25"/>
  <c r="J2" i="25"/>
  <c r="T87" i="11"/>
  <c r="T37" i="9"/>
  <c r="V28" i="13"/>
  <c r="Q11" i="13"/>
  <c r="M146" i="34"/>
  <c r="E115" i="22"/>
  <c r="S14" i="29"/>
  <c r="E14" i="22"/>
  <c r="H29" i="22"/>
  <c r="L29" i="22"/>
  <c r="K29" i="22"/>
  <c r="J29" i="22"/>
  <c r="I29" i="22"/>
  <c r="F29" i="22"/>
  <c r="E29" i="22"/>
  <c r="O29" i="22"/>
  <c r="Q29" i="22"/>
  <c r="P29" i="22"/>
  <c r="G29" i="22"/>
  <c r="M29" i="22"/>
  <c r="D29" i="22"/>
  <c r="R29" i="22"/>
  <c r="Q26" i="21"/>
  <c r="D31" i="35"/>
  <c r="O26" i="21"/>
  <c r="J26" i="21"/>
  <c r="F26" i="21"/>
  <c r="H31" i="35"/>
  <c r="I31" i="35"/>
  <c r="O31" i="35"/>
  <c r="G26" i="21"/>
  <c r="Q31" i="35"/>
  <c r="D26" i="21"/>
  <c r="N31" i="35"/>
  <c r="I26" i="21"/>
  <c r="M31" i="35"/>
  <c r="L26" i="21"/>
  <c r="K31" i="35"/>
  <c r="J31" i="35"/>
  <c r="K26" i="21"/>
  <c r="L31" i="35"/>
  <c r="E26" i="21"/>
  <c r="R26" i="21"/>
  <c r="G31" i="35"/>
  <c r="F31" i="35"/>
  <c r="H26" i="21"/>
  <c r="M26" i="21"/>
  <c r="P31" i="35"/>
  <c r="R31" i="35"/>
  <c r="N26" i="21"/>
  <c r="P26" i="21"/>
  <c r="E31" i="35"/>
  <c r="H34" i="34"/>
  <c r="D34" i="34"/>
  <c r="M34" i="34"/>
  <c r="O34" i="34"/>
  <c r="G27" i="15"/>
  <c r="J9" i="16" s="1"/>
  <c r="R34" i="34"/>
  <c r="G34" i="34"/>
  <c r="Q34" i="34"/>
  <c r="J34" i="34"/>
  <c r="F34" i="34"/>
  <c r="P34" i="34"/>
  <c r="L34" i="34"/>
  <c r="I34" i="34"/>
  <c r="E34" i="34"/>
  <c r="N34" i="34"/>
  <c r="N31" i="33"/>
  <c r="Q31" i="33"/>
  <c r="H31" i="33"/>
  <c r="E31" i="33"/>
  <c r="G31" i="33"/>
  <c r="R31" i="33"/>
  <c r="P31" i="33"/>
  <c r="K31" i="33"/>
  <c r="I31" i="33"/>
  <c r="O31" i="33"/>
  <c r="J31" i="33"/>
  <c r="M31" i="33"/>
  <c r="E27" i="15"/>
  <c r="H9" i="16" s="1"/>
  <c r="D31" i="33"/>
  <c r="F31" i="33"/>
  <c r="O19" i="35"/>
  <c r="G19" i="35"/>
  <c r="I19" i="35"/>
  <c r="K19" i="35"/>
  <c r="K16" i="21"/>
  <c r="M19" i="35"/>
  <c r="P19" i="35"/>
  <c r="F16" i="21"/>
  <c r="L16" i="21"/>
  <c r="J19" i="35"/>
  <c r="F19" i="35"/>
  <c r="L19" i="35"/>
  <c r="G16" i="21"/>
  <c r="H19" i="35"/>
  <c r="E19" i="35"/>
  <c r="R19" i="35"/>
  <c r="N19" i="35"/>
  <c r="Q16" i="21"/>
  <c r="E16" i="21"/>
  <c r="R16" i="21"/>
  <c r="J16" i="21"/>
  <c r="Q19" i="35"/>
  <c r="D19" i="35"/>
  <c r="P16" i="21"/>
  <c r="O16" i="21"/>
  <c r="D16" i="21"/>
  <c r="N16" i="21"/>
  <c r="H16" i="21"/>
  <c r="M16" i="21"/>
  <c r="O19" i="33"/>
  <c r="F19" i="33"/>
  <c r="N19" i="33"/>
  <c r="E19" i="33"/>
  <c r="L19" i="33"/>
  <c r="D19" i="33"/>
  <c r="K19" i="33"/>
  <c r="J19" i="33"/>
  <c r="I19" i="33"/>
  <c r="R19" i="33"/>
  <c r="H19" i="33"/>
  <c r="Q19" i="33"/>
  <c r="G19" i="33"/>
  <c r="P19" i="33"/>
  <c r="M19" i="33"/>
  <c r="L19" i="18"/>
  <c r="F19" i="18"/>
  <c r="O19" i="18"/>
  <c r="I19" i="18"/>
  <c r="D19" i="18"/>
  <c r="G19" i="18"/>
  <c r="Q19" i="18"/>
  <c r="H19" i="18"/>
  <c r="R19" i="18"/>
  <c r="J19" i="18"/>
  <c r="E19" i="18"/>
  <c r="N19" i="18"/>
  <c r="K19" i="18"/>
  <c r="P19" i="18"/>
  <c r="M19" i="18"/>
  <c r="K146" i="34"/>
  <c r="I146" i="34"/>
  <c r="J146" i="34"/>
  <c r="G146" i="34"/>
  <c r="O146" i="34"/>
  <c r="L146" i="34"/>
  <c r="F146" i="34"/>
  <c r="N146" i="34"/>
  <c r="D146" i="34"/>
  <c r="F99" i="22"/>
  <c r="E146" i="34"/>
  <c r="I19" i="34"/>
  <c r="D19" i="34"/>
  <c r="R19" i="34"/>
  <c r="H19" i="34"/>
  <c r="Q19" i="34"/>
  <c r="G19" i="34"/>
  <c r="O19" i="34"/>
  <c r="F19" i="34"/>
  <c r="K19" i="34"/>
  <c r="N19" i="34"/>
  <c r="J19" i="34"/>
  <c r="E19" i="34"/>
  <c r="L19" i="34"/>
  <c r="M19" i="34"/>
  <c r="P19" i="34"/>
  <c r="O16" i="22"/>
  <c r="M16" i="22"/>
  <c r="L16" i="22"/>
  <c r="P16" i="22"/>
  <c r="D16" i="22"/>
  <c r="K16" i="22"/>
  <c r="I16" i="22"/>
  <c r="J16" i="22"/>
  <c r="Q16" i="22"/>
  <c r="H16" i="22"/>
  <c r="G16" i="22"/>
  <c r="R16" i="22"/>
  <c r="F16" i="22"/>
  <c r="N16" i="22"/>
  <c r="G99" i="22"/>
  <c r="J99" i="22"/>
  <c r="N66" i="18"/>
  <c r="K12" i="29"/>
  <c r="K12" i="21"/>
  <c r="S9" i="29"/>
  <c r="S121" i="29"/>
  <c r="M163" i="22"/>
  <c r="L163" i="22"/>
  <c r="E163" i="22"/>
  <c r="S139" i="29"/>
  <c r="E139" i="22"/>
  <c r="I111" i="22"/>
  <c r="S111" i="22"/>
  <c r="S111" i="29"/>
  <c r="F26" i="18"/>
  <c r="H140" i="25" s="1"/>
  <c r="J26" i="18"/>
  <c r="L140" i="25" s="1"/>
  <c r="N26" i="18"/>
  <c r="P140" i="25" s="1"/>
  <c r="R26" i="18"/>
  <c r="L26" i="18"/>
  <c r="N140" i="25" s="1"/>
  <c r="I26" i="18"/>
  <c r="K140" i="25" s="1"/>
  <c r="G26" i="18"/>
  <c r="K26" i="18"/>
  <c r="M140" i="25" s="1"/>
  <c r="O26" i="18"/>
  <c r="Q140" i="25" s="1"/>
  <c r="D26" i="18"/>
  <c r="F140" i="25" s="1"/>
  <c r="R140" i="25" s="1"/>
  <c r="H26" i="18"/>
  <c r="J140" i="25" s="1"/>
  <c r="P26" i="18"/>
  <c r="E26" i="18"/>
  <c r="G140" i="25" s="1"/>
  <c r="M26" i="18"/>
  <c r="O140" i="25" s="1"/>
  <c r="Q26" i="18"/>
  <c r="O146" i="35"/>
  <c r="K146" i="35"/>
  <c r="G146" i="35"/>
  <c r="N146" i="35"/>
  <c r="J146" i="35"/>
  <c r="F146" i="35"/>
  <c r="M146" i="35"/>
  <c r="E146" i="35"/>
  <c r="H146" i="35"/>
  <c r="L146" i="35"/>
  <c r="D146" i="35"/>
  <c r="I146" i="35"/>
  <c r="S16" i="29"/>
  <c r="E16" i="22"/>
  <c r="D34" i="18"/>
  <c r="F128" i="25" s="1"/>
  <c r="E34" i="18"/>
  <c r="G128" i="25" s="1"/>
  <c r="M34" i="18"/>
  <c r="O128" i="25" s="1"/>
  <c r="H34" i="18"/>
  <c r="J128" i="25" s="1"/>
  <c r="F34" i="18"/>
  <c r="H128" i="25" s="1"/>
  <c r="G34" i="18"/>
  <c r="I128" i="25" s="1"/>
  <c r="O34" i="18"/>
  <c r="Q128" i="25" s="1"/>
  <c r="P34" i="18"/>
  <c r="N34" i="18"/>
  <c r="P128" i="25" s="1"/>
  <c r="I34" i="18"/>
  <c r="K128" i="25" s="1"/>
  <c r="R34" i="18"/>
  <c r="J34" i="18"/>
  <c r="L128" i="25" s="1"/>
  <c r="Q34" i="18"/>
  <c r="K34" i="18"/>
  <c r="M128" i="25" s="1"/>
  <c r="L34" i="18"/>
  <c r="N128" i="25" s="1"/>
  <c r="O143" i="35"/>
  <c r="K143" i="35"/>
  <c r="G143" i="35"/>
  <c r="N143" i="35"/>
  <c r="J143" i="35"/>
  <c r="F143" i="35"/>
  <c r="I143" i="35"/>
  <c r="L143" i="35"/>
  <c r="D143" i="35"/>
  <c r="H143" i="35"/>
  <c r="M143" i="35"/>
  <c r="E143" i="35"/>
  <c r="D27" i="15"/>
  <c r="F9" i="16" s="1"/>
  <c r="G31" i="18"/>
  <c r="K31" i="18"/>
  <c r="O31" i="18"/>
  <c r="H31" i="18"/>
  <c r="L31" i="18"/>
  <c r="P31" i="18"/>
  <c r="E31" i="18"/>
  <c r="I31" i="18"/>
  <c r="M31" i="18"/>
  <c r="Q31" i="18"/>
  <c r="F31" i="18"/>
  <c r="J31" i="18"/>
  <c r="N31" i="18"/>
  <c r="R31" i="18"/>
  <c r="R39" i="18" s="1"/>
  <c r="D31" i="18"/>
  <c r="J66" i="18"/>
  <c r="M66" i="18"/>
  <c r="E66" i="18"/>
  <c r="L66" i="18"/>
  <c r="H66" i="18"/>
  <c r="D66" i="18"/>
  <c r="I66" i="18"/>
  <c r="F66" i="18"/>
  <c r="K66" i="18"/>
  <c r="G66" i="18"/>
  <c r="O66" i="18"/>
  <c r="I103" i="35"/>
  <c r="E103" i="35"/>
  <c r="H103" i="35"/>
  <c r="D103" i="35"/>
  <c r="K103" i="35"/>
  <c r="G103" i="35"/>
  <c r="M111" i="35"/>
  <c r="I111" i="35"/>
  <c r="E111" i="35"/>
  <c r="F111" i="35"/>
  <c r="L111" i="35"/>
  <c r="H111" i="35"/>
  <c r="D111" i="35"/>
  <c r="J111" i="35"/>
  <c r="O111" i="35"/>
  <c r="K111" i="35"/>
  <c r="G111" i="35"/>
  <c r="N111" i="35"/>
  <c r="M134" i="35"/>
  <c r="I134" i="35"/>
  <c r="E134" i="35"/>
  <c r="L134" i="35"/>
  <c r="H134" i="35"/>
  <c r="D134" i="35"/>
  <c r="O134" i="35"/>
  <c r="K134" i="35"/>
  <c r="G134" i="35"/>
  <c r="F134" i="35"/>
  <c r="J134" i="35"/>
  <c r="N134" i="35"/>
  <c r="M137" i="35"/>
  <c r="I137" i="35"/>
  <c r="E137" i="35"/>
  <c r="L137" i="35"/>
  <c r="H137" i="35"/>
  <c r="D137" i="35"/>
  <c r="O137" i="35"/>
  <c r="K137" i="35"/>
  <c r="G137" i="35"/>
  <c r="F137" i="35"/>
  <c r="N137" i="35"/>
  <c r="J137" i="35"/>
  <c r="M156" i="35"/>
  <c r="M159" i="35"/>
  <c r="I156" i="35"/>
  <c r="I159" i="35" s="1"/>
  <c r="E156" i="35"/>
  <c r="E159" i="35"/>
  <c r="L156" i="35"/>
  <c r="L159" i="35" s="1"/>
  <c r="H156" i="35"/>
  <c r="H159" i="35"/>
  <c r="D156" i="35"/>
  <c r="D159" i="35" s="1"/>
  <c r="O156" i="35"/>
  <c r="O159" i="35"/>
  <c r="K156" i="35"/>
  <c r="K159" i="35" s="1"/>
  <c r="G156" i="35"/>
  <c r="G159" i="35"/>
  <c r="F156" i="35"/>
  <c r="F159" i="35" s="1"/>
  <c r="N156" i="35"/>
  <c r="N159" i="35"/>
  <c r="J156" i="35"/>
  <c r="J159" i="35" s="1"/>
  <c r="P112" i="35"/>
  <c r="P113" i="35"/>
  <c r="O112" i="35"/>
  <c r="R112" i="35"/>
  <c r="R113" i="35"/>
  <c r="M112" i="35"/>
  <c r="I112" i="35"/>
  <c r="E112" i="35"/>
  <c r="F112" i="35"/>
  <c r="L112" i="35"/>
  <c r="H112" i="35"/>
  <c r="D112" i="35"/>
  <c r="J112" i="35"/>
  <c r="Q112" i="35"/>
  <c r="Q113" i="35" s="1"/>
  <c r="K112" i="35"/>
  <c r="G112" i="35"/>
  <c r="N112" i="35"/>
  <c r="M106" i="35"/>
  <c r="I106" i="35"/>
  <c r="E106" i="35"/>
  <c r="F106" i="35"/>
  <c r="L106" i="35"/>
  <c r="H106" i="35"/>
  <c r="D106" i="35"/>
  <c r="J106" i="35"/>
  <c r="O106" i="35"/>
  <c r="K106" i="35"/>
  <c r="G106" i="35"/>
  <c r="N106" i="35"/>
  <c r="M107" i="35"/>
  <c r="I107" i="35"/>
  <c r="E107" i="35"/>
  <c r="F107" i="35"/>
  <c r="L107" i="35"/>
  <c r="H107" i="35"/>
  <c r="D107" i="35"/>
  <c r="J107" i="35"/>
  <c r="O107" i="35"/>
  <c r="K107" i="35"/>
  <c r="G107" i="35"/>
  <c r="N107" i="35"/>
  <c r="M98" i="35"/>
  <c r="I98" i="35"/>
  <c r="E98" i="35"/>
  <c r="L98" i="35"/>
  <c r="H98" i="35"/>
  <c r="D98" i="35"/>
  <c r="O98" i="35"/>
  <c r="K98" i="35"/>
  <c r="G98" i="35"/>
  <c r="N98" i="35"/>
  <c r="J98" i="35"/>
  <c r="F98" i="35"/>
  <c r="N145" i="34"/>
  <c r="J145" i="34"/>
  <c r="F145" i="34"/>
  <c r="M145" i="34"/>
  <c r="I145" i="34"/>
  <c r="E145" i="34"/>
  <c r="L145" i="34"/>
  <c r="H145" i="34"/>
  <c r="D145" i="34"/>
  <c r="K145" i="34"/>
  <c r="G145" i="34"/>
  <c r="O145" i="34"/>
  <c r="M109" i="35"/>
  <c r="I109" i="35"/>
  <c r="E109" i="35"/>
  <c r="F109" i="35"/>
  <c r="L109" i="35"/>
  <c r="H109" i="35"/>
  <c r="D109" i="35"/>
  <c r="J109" i="35"/>
  <c r="O109" i="35"/>
  <c r="K109" i="35"/>
  <c r="G109" i="35"/>
  <c r="N109" i="35"/>
  <c r="M108" i="35"/>
  <c r="I108" i="35"/>
  <c r="E108" i="35"/>
  <c r="F108" i="35"/>
  <c r="L108" i="35"/>
  <c r="H108" i="35"/>
  <c r="D108" i="35"/>
  <c r="J108" i="35"/>
  <c r="O108" i="35"/>
  <c r="K108" i="35"/>
  <c r="G108" i="35"/>
  <c r="N108" i="35"/>
  <c r="M105" i="35"/>
  <c r="I105" i="35"/>
  <c r="E105" i="35"/>
  <c r="F105" i="35"/>
  <c r="L105" i="35"/>
  <c r="H105" i="35"/>
  <c r="D105" i="35"/>
  <c r="J105" i="35"/>
  <c r="O105" i="35"/>
  <c r="K105" i="35"/>
  <c r="G105" i="35"/>
  <c r="N105" i="35"/>
  <c r="M110" i="35"/>
  <c r="I110" i="35"/>
  <c r="E110" i="35"/>
  <c r="J110" i="35"/>
  <c r="L110" i="35"/>
  <c r="H110" i="35"/>
  <c r="D110" i="35"/>
  <c r="F110" i="35"/>
  <c r="O110" i="35"/>
  <c r="K110" i="35"/>
  <c r="G110" i="35"/>
  <c r="N110" i="35"/>
  <c r="L148" i="35"/>
  <c r="K148" i="35"/>
  <c r="F148" i="35"/>
  <c r="L73" i="33"/>
  <c r="H73" i="33"/>
  <c r="D73" i="33"/>
  <c r="I73" i="33"/>
  <c r="O73" i="33"/>
  <c r="K73" i="33"/>
  <c r="G73" i="33"/>
  <c r="M73" i="33"/>
  <c r="N73" i="33"/>
  <c r="J73" i="33"/>
  <c r="F73" i="33"/>
  <c r="E73" i="33"/>
  <c r="G66" i="33"/>
  <c r="M88" i="34"/>
  <c r="I88" i="34"/>
  <c r="E88" i="34"/>
  <c r="L88" i="34"/>
  <c r="H88" i="34"/>
  <c r="D88" i="34"/>
  <c r="O88" i="34"/>
  <c r="K88" i="34"/>
  <c r="G88" i="34"/>
  <c r="N88" i="34"/>
  <c r="J88" i="34"/>
  <c r="F88" i="34"/>
  <c r="H163" i="22"/>
  <c r="I163" i="22"/>
  <c r="G163" i="22"/>
  <c r="N163" i="22"/>
  <c r="J163" i="22"/>
  <c r="J107" i="22"/>
  <c r="H107" i="22"/>
  <c r="S107" i="22" s="1"/>
  <c r="D107" i="22"/>
  <c r="O107" i="22"/>
  <c r="F107" i="22"/>
  <c r="I107" i="22"/>
  <c r="N107" i="22"/>
  <c r="G107" i="22"/>
  <c r="M107" i="22"/>
  <c r="K107" i="22"/>
  <c r="L107" i="22"/>
  <c r="E107" i="22"/>
  <c r="F107" i="21"/>
  <c r="H107" i="21"/>
  <c r="D107" i="21"/>
  <c r="I107" i="21"/>
  <c r="K107" i="21"/>
  <c r="M107" i="21"/>
  <c r="J107" i="21"/>
  <c r="L107" i="21"/>
  <c r="G107" i="21"/>
  <c r="E107" i="21"/>
  <c r="O107" i="21"/>
  <c r="N107" i="21"/>
  <c r="E99" i="22"/>
  <c r="N99" i="22"/>
  <c r="K99" i="22"/>
  <c r="D99" i="22"/>
  <c r="M99" i="22"/>
  <c r="I99" i="22"/>
  <c r="O99" i="22"/>
  <c r="L99" i="22"/>
  <c r="E103" i="22"/>
  <c r="H103" i="22"/>
  <c r="M103" i="22"/>
  <c r="L103" i="22"/>
  <c r="O103" i="22"/>
  <c r="J103" i="22"/>
  <c r="G103" i="22"/>
  <c r="N103" i="22"/>
  <c r="K103" i="22"/>
  <c r="D103" i="22"/>
  <c r="F103" i="22"/>
  <c r="I103" i="22"/>
  <c r="E143" i="22"/>
  <c r="L143" i="22"/>
  <c r="D143" i="22"/>
  <c r="K143" i="22"/>
  <c r="J143" i="22"/>
  <c r="I143" i="22"/>
  <c r="N143" i="22"/>
  <c r="O143" i="22"/>
  <c r="M143" i="22"/>
  <c r="H143" i="22"/>
  <c r="S143" i="22" s="1"/>
  <c r="G143" i="22"/>
  <c r="F143" i="22"/>
  <c r="E103" i="21"/>
  <c r="N103" i="21"/>
  <c r="M103" i="21"/>
  <c r="F103" i="21"/>
  <c r="L103" i="21"/>
  <c r="H103" i="21"/>
  <c r="K103" i="21"/>
  <c r="D103" i="21"/>
  <c r="I103" i="21"/>
  <c r="G103" i="21"/>
  <c r="O103" i="21"/>
  <c r="J103" i="21"/>
  <c r="D143" i="21"/>
  <c r="I143" i="21"/>
  <c r="H143" i="21"/>
  <c r="P7" i="13"/>
  <c r="L87" i="13"/>
  <c r="J105" i="22"/>
  <c r="O105" i="22"/>
  <c r="M105" i="22"/>
  <c r="F105" i="22"/>
  <c r="H105" i="22"/>
  <c r="L105" i="22"/>
  <c r="I105" i="22"/>
  <c r="E105" i="22"/>
  <c r="G105" i="22"/>
  <c r="N105" i="22"/>
  <c r="K105" i="22"/>
  <c r="D105" i="22"/>
  <c r="H105" i="21"/>
  <c r="O105" i="21"/>
  <c r="G105" i="21"/>
  <c r="E105" i="21"/>
  <c r="L105" i="21"/>
  <c r="N105" i="21"/>
  <c r="M105" i="21"/>
  <c r="D105" i="21"/>
  <c r="K105" i="21"/>
  <c r="F105" i="21"/>
  <c r="I105" i="21"/>
  <c r="J105" i="21"/>
  <c r="F151" i="21"/>
  <c r="D151" i="21"/>
  <c r="K151" i="21"/>
  <c r="G151" i="21"/>
  <c r="G155" i="21" s="1"/>
  <c r="G156" i="21" s="1"/>
  <c r="H151" i="21"/>
  <c r="M151" i="21"/>
  <c r="N151" i="21"/>
  <c r="E151" i="21"/>
  <c r="S151" i="21" s="1"/>
  <c r="L151" i="21"/>
  <c r="O151" i="21"/>
  <c r="I151" i="21"/>
  <c r="J151" i="21"/>
  <c r="J155" i="21" s="1"/>
  <c r="J156" i="21" s="1"/>
  <c r="N151" i="22"/>
  <c r="N155" i="22" s="1"/>
  <c r="N156" i="22" s="1"/>
  <c r="E151" i="22"/>
  <c r="E155" i="22" s="1"/>
  <c r="E156" i="22" s="1"/>
  <c r="G151" i="22"/>
  <c r="G155" i="22" s="1"/>
  <c r="G156" i="22" s="1"/>
  <c r="J100" i="22"/>
  <c r="N100" i="22"/>
  <c r="F100" i="22"/>
  <c r="L100" i="22"/>
  <c r="M100" i="22"/>
  <c r="I100" i="22"/>
  <c r="O100" i="22"/>
  <c r="G100" i="22"/>
  <c r="H100" i="22"/>
  <c r="K100" i="22"/>
  <c r="D100" i="22"/>
  <c r="E100" i="22"/>
  <c r="M102" i="22"/>
  <c r="L102" i="22"/>
  <c r="J102" i="22"/>
  <c r="G102" i="22"/>
  <c r="F102" i="22"/>
  <c r="N102" i="22"/>
  <c r="K102" i="22"/>
  <c r="O102" i="22"/>
  <c r="D102" i="22"/>
  <c r="I102" i="22"/>
  <c r="E102" i="22"/>
  <c r="H102" i="22"/>
  <c r="J100" i="21"/>
  <c r="O100" i="21"/>
  <c r="I100" i="21"/>
  <c r="M100" i="21"/>
  <c r="H100" i="21"/>
  <c r="L100" i="21"/>
  <c r="N100" i="21"/>
  <c r="K100" i="21"/>
  <c r="F100" i="21"/>
  <c r="D100" i="21"/>
  <c r="E100" i="21"/>
  <c r="G100" i="21"/>
  <c r="J102" i="21"/>
  <c r="K102" i="21"/>
  <c r="F102" i="21"/>
  <c r="G102" i="21"/>
  <c r="L102" i="21"/>
  <c r="M102" i="21"/>
  <c r="D102" i="21"/>
  <c r="E102" i="21"/>
  <c r="H102" i="21"/>
  <c r="O102" i="21"/>
  <c r="I102" i="21"/>
  <c r="N102" i="21"/>
  <c r="M132" i="22"/>
  <c r="D132" i="22"/>
  <c r="L132" i="22"/>
  <c r="K132" i="22"/>
  <c r="G132" i="22"/>
  <c r="J132" i="22"/>
  <c r="H132" i="22"/>
  <c r="S132" i="22" s="1"/>
  <c r="I132" i="22"/>
  <c r="O132" i="22"/>
  <c r="E132" i="22"/>
  <c r="N132" i="22"/>
  <c r="F132" i="22"/>
  <c r="K132" i="21"/>
  <c r="G132" i="21"/>
  <c r="M132" i="21"/>
  <c r="N132" i="21"/>
  <c r="J132" i="21"/>
  <c r="I132" i="21"/>
  <c r="L132" i="21"/>
  <c r="D132" i="21"/>
  <c r="H132" i="21"/>
  <c r="O132" i="21"/>
  <c r="E132" i="21"/>
  <c r="F132" i="21"/>
  <c r="L138" i="21"/>
  <c r="O138" i="21"/>
  <c r="K138" i="21"/>
  <c r="N138" i="21"/>
  <c r="F138" i="21"/>
  <c r="H138" i="21"/>
  <c r="D138" i="21"/>
  <c r="J138" i="21"/>
  <c r="M138" i="21"/>
  <c r="E138" i="21"/>
  <c r="G138" i="21"/>
  <c r="I138" i="21"/>
  <c r="I141" i="21"/>
  <c r="D141" i="21"/>
  <c r="M141" i="21"/>
  <c r="K141" i="21"/>
  <c r="J141" i="21"/>
  <c r="O141" i="21"/>
  <c r="N141" i="21"/>
  <c r="G141" i="21"/>
  <c r="L141" i="21"/>
  <c r="E141" i="21"/>
  <c r="F141" i="21"/>
  <c r="H141" i="21"/>
  <c r="V98" i="9"/>
  <c r="S115" i="21"/>
  <c r="H129" i="21"/>
  <c r="O129" i="21"/>
  <c r="M129" i="21"/>
  <c r="J129" i="21"/>
  <c r="S129" i="21" s="1"/>
  <c r="F129" i="21"/>
  <c r="D129" i="21"/>
  <c r="G129" i="21"/>
  <c r="K129" i="21"/>
  <c r="E129" i="21"/>
  <c r="I129" i="21"/>
  <c r="N129" i="21"/>
  <c r="L129" i="21"/>
  <c r="V92" i="9"/>
  <c r="V86" i="9"/>
  <c r="T87" i="12"/>
  <c r="U37" i="9"/>
  <c r="I98" i="22"/>
  <c r="K98" i="22"/>
  <c r="G98" i="22"/>
  <c r="L98" i="21"/>
  <c r="D98" i="21"/>
  <c r="M98" i="21"/>
  <c r="K98" i="21"/>
  <c r="I98" i="21"/>
  <c r="N98" i="21"/>
  <c r="G87" i="8"/>
  <c r="F104" i="22"/>
  <c r="D104" i="22"/>
  <c r="O104" i="22"/>
  <c r="H104" i="22"/>
  <c r="K104" i="22"/>
  <c r="M104" i="22"/>
  <c r="G104" i="22"/>
  <c r="I104" i="22"/>
  <c r="E104" i="22"/>
  <c r="J104" i="22"/>
  <c r="N104" i="22"/>
  <c r="L104" i="22"/>
  <c r="H104" i="21"/>
  <c r="M104" i="21"/>
  <c r="I104" i="21"/>
  <c r="J104" i="21"/>
  <c r="O104" i="21"/>
  <c r="L104" i="21"/>
  <c r="D104" i="21"/>
  <c r="N104" i="21"/>
  <c r="K104" i="21"/>
  <c r="E104" i="21"/>
  <c r="F104" i="21"/>
  <c r="G104" i="21"/>
  <c r="U100" i="9"/>
  <c r="L145" i="35" s="1"/>
  <c r="J101" i="22"/>
  <c r="O101" i="22"/>
  <c r="G101" i="22"/>
  <c r="F101" i="22"/>
  <c r="M101" i="22"/>
  <c r="E101" i="22"/>
  <c r="H101" i="22"/>
  <c r="L101" i="22"/>
  <c r="I101" i="22"/>
  <c r="N101" i="22"/>
  <c r="K101" i="22"/>
  <c r="D101" i="22"/>
  <c r="V49" i="9"/>
  <c r="E93" i="22" s="1"/>
  <c r="S120" i="29"/>
  <c r="F120" i="22"/>
  <c r="E106" i="22"/>
  <c r="N106" i="22"/>
  <c r="H106" i="22"/>
  <c r="L106" i="22"/>
  <c r="D106" i="22"/>
  <c r="F106" i="22"/>
  <c r="O106" i="22"/>
  <c r="G106" i="22"/>
  <c r="I106" i="22"/>
  <c r="K106" i="22"/>
  <c r="M106" i="22"/>
  <c r="J106" i="22"/>
  <c r="S43" i="29"/>
  <c r="K101" i="21"/>
  <c r="N101" i="21"/>
  <c r="E101" i="21"/>
  <c r="H101" i="21"/>
  <c r="D101" i="21"/>
  <c r="I101" i="21"/>
  <c r="L101" i="21"/>
  <c r="M101" i="21"/>
  <c r="J101" i="21"/>
  <c r="O101" i="21"/>
  <c r="F101" i="21"/>
  <c r="G101" i="21"/>
  <c r="L93" i="21"/>
  <c r="J93" i="21"/>
  <c r="D93" i="21"/>
  <c r="N93" i="21"/>
  <c r="I93" i="21"/>
  <c r="F93" i="21"/>
  <c r="G93" i="21"/>
  <c r="K93" i="21"/>
  <c r="E93" i="21"/>
  <c r="O93" i="21"/>
  <c r="M93" i="21"/>
  <c r="H93" i="21"/>
  <c r="S93" i="21" s="1"/>
  <c r="R113" i="9"/>
  <c r="D106" i="21"/>
  <c r="J106" i="21"/>
  <c r="O106" i="21"/>
  <c r="G106" i="21"/>
  <c r="E106" i="21"/>
  <c r="K106" i="21"/>
  <c r="N106" i="21"/>
  <c r="I106" i="21"/>
  <c r="L106" i="21"/>
  <c r="M106" i="21"/>
  <c r="F106" i="21"/>
  <c r="H106" i="21"/>
  <c r="O7" i="13"/>
  <c r="O7" i="12"/>
  <c r="K12" i="22"/>
  <c r="S12" i="29"/>
  <c r="D101" i="9"/>
  <c r="F101" i="9" s="1"/>
  <c r="M145" i="35"/>
  <c r="I145" i="35"/>
  <c r="E145" i="35"/>
  <c r="H145" i="35"/>
  <c r="D145" i="35"/>
  <c r="O145" i="35"/>
  <c r="G145" i="35"/>
  <c r="F145" i="35"/>
  <c r="J145" i="35"/>
  <c r="M83" i="21"/>
  <c r="M88" i="35"/>
  <c r="I88" i="35"/>
  <c r="E88" i="35"/>
  <c r="J88" i="35"/>
  <c r="L88" i="35"/>
  <c r="H88" i="35"/>
  <c r="D88" i="35"/>
  <c r="N88" i="35"/>
  <c r="F88" i="35"/>
  <c r="O88" i="35"/>
  <c r="K88" i="35"/>
  <c r="G88" i="35"/>
  <c r="S107" i="21"/>
  <c r="I83" i="21"/>
  <c r="G83" i="21"/>
  <c r="D83" i="21"/>
  <c r="J83" i="21"/>
  <c r="F83" i="21"/>
  <c r="S83" i="21" s="1"/>
  <c r="K83" i="21"/>
  <c r="E83" i="21"/>
  <c r="L83" i="21"/>
  <c r="H83" i="21"/>
  <c r="S132" i="21"/>
  <c r="O133" i="22"/>
  <c r="F133" i="22"/>
  <c r="D133" i="22"/>
  <c r="I133" i="22"/>
  <c r="G133" i="22"/>
  <c r="M133" i="22"/>
  <c r="L133" i="22"/>
  <c r="E133" i="22"/>
  <c r="J133" i="22"/>
  <c r="K133" i="22"/>
  <c r="N133" i="22"/>
  <c r="H133" i="22"/>
  <c r="V100" i="9"/>
  <c r="M140" i="22"/>
  <c r="V101" i="9"/>
  <c r="N141" i="22" s="1"/>
  <c r="E138" i="22"/>
  <c r="H138" i="22"/>
  <c r="F138" i="22"/>
  <c r="L138" i="22"/>
  <c r="N138" i="22"/>
  <c r="O138" i="22"/>
  <c r="M138" i="22"/>
  <c r="G138" i="22"/>
  <c r="I138" i="22"/>
  <c r="D138" i="22"/>
  <c r="J138" i="22"/>
  <c r="K138" i="22"/>
  <c r="D129" i="22"/>
  <c r="S129" i="22" s="1"/>
  <c r="O129" i="22"/>
  <c r="I129" i="22"/>
  <c r="K129" i="22"/>
  <c r="N129" i="22"/>
  <c r="G129" i="22"/>
  <c r="L129" i="22"/>
  <c r="M129" i="22"/>
  <c r="H129" i="22"/>
  <c r="J129" i="22"/>
  <c r="F129" i="22"/>
  <c r="E129" i="22"/>
  <c r="O83" i="21"/>
  <c r="N83" i="21"/>
  <c r="L140" i="21"/>
  <c r="K140" i="21"/>
  <c r="N140" i="21"/>
  <c r="M140" i="21"/>
  <c r="F140" i="21"/>
  <c r="E140" i="21"/>
  <c r="H140" i="21"/>
  <c r="J140" i="21"/>
  <c r="D140" i="21"/>
  <c r="O140" i="21"/>
  <c r="G140" i="21"/>
  <c r="I140" i="21"/>
  <c r="H87" i="8"/>
  <c r="H22" i="16"/>
  <c r="F93" i="22"/>
  <c r="M93" i="22"/>
  <c r="J93" i="22"/>
  <c r="T113" i="9"/>
  <c r="J22" i="16"/>
  <c r="T87" i="13"/>
  <c r="V37" i="9"/>
  <c r="L83" i="22" s="1"/>
  <c r="F140" i="22"/>
  <c r="G147" i="18"/>
  <c r="E147" i="18"/>
  <c r="K147" i="18"/>
  <c r="M147" i="18"/>
  <c r="O147" i="18"/>
  <c r="F147" i="18"/>
  <c r="J147" i="18"/>
  <c r="I147" i="18"/>
  <c r="D147" i="18"/>
  <c r="H147" i="18"/>
  <c r="L147" i="18"/>
  <c r="N147" i="18"/>
  <c r="H140" i="22"/>
  <c r="L140" i="22"/>
  <c r="K140" i="22"/>
  <c r="G140" i="22"/>
  <c r="O140" i="22"/>
  <c r="J140" i="22"/>
  <c r="D140" i="22"/>
  <c r="N140" i="22"/>
  <c r="E140" i="22"/>
  <c r="I140" i="22"/>
  <c r="K141" i="22"/>
  <c r="H141" i="22"/>
  <c r="M141" i="22"/>
  <c r="E152" i="21"/>
  <c r="E155" i="21"/>
  <c r="E156" i="21" s="1"/>
  <c r="M152" i="21"/>
  <c r="M155" i="21" s="1"/>
  <c r="M156" i="21" s="1"/>
  <c r="U113" i="9"/>
  <c r="L22" i="16"/>
  <c r="D152" i="21"/>
  <c r="D155" i="21" s="1"/>
  <c r="D156" i="21" s="1"/>
  <c r="F152" i="21"/>
  <c r="F155" i="21"/>
  <c r="N152" i="21"/>
  <c r="N155" i="21" s="1"/>
  <c r="N156" i="21" s="1"/>
  <c r="G152" i="21"/>
  <c r="K152" i="21"/>
  <c r="K155" i="21" s="1"/>
  <c r="K156" i="21" s="1"/>
  <c r="H152" i="21"/>
  <c r="H155" i="21"/>
  <c r="H156" i="21" s="1"/>
  <c r="L152" i="21"/>
  <c r="L155" i="21" s="1"/>
  <c r="L156" i="21" s="1"/>
  <c r="I152" i="21"/>
  <c r="I155" i="21"/>
  <c r="J152" i="21"/>
  <c r="O152" i="21"/>
  <c r="O155" i="21"/>
  <c r="O156" i="21" s="1"/>
  <c r="I87" i="8"/>
  <c r="D83" i="22"/>
  <c r="G83" i="22"/>
  <c r="H83" i="22"/>
  <c r="M83" i="22"/>
  <c r="O83" i="22"/>
  <c r="I83" i="22"/>
  <c r="E83" i="22"/>
  <c r="N83" i="22"/>
  <c r="K83" i="22"/>
  <c r="F152" i="22"/>
  <c r="H152" i="22"/>
  <c r="N152" i="22"/>
  <c r="K152" i="22"/>
  <c r="L152" i="22"/>
  <c r="I152" i="22"/>
  <c r="D152" i="22"/>
  <c r="S152" i="22" s="1"/>
  <c r="J152" i="22"/>
  <c r="O152" i="22"/>
  <c r="E152" i="22"/>
  <c r="G152" i="22"/>
  <c r="M152" i="22"/>
  <c r="S152" i="21"/>
  <c r="Y7" i="1"/>
  <c r="Z7" i="1"/>
  <c r="F7" i="11"/>
  <c r="F7" i="12"/>
  <c r="F7" i="13"/>
  <c r="E62" i="18"/>
  <c r="F62" i="18"/>
  <c r="H9" i="25"/>
  <c r="K62" i="18"/>
  <c r="M9" i="25" s="1"/>
  <c r="O62" i="18"/>
  <c r="Q9" i="25"/>
  <c r="L62" i="18"/>
  <c r="N9" i="25" s="1"/>
  <c r="N62" i="18"/>
  <c r="P9" i="25"/>
  <c r="G62" i="18"/>
  <c r="I9" i="25" s="1"/>
  <c r="J62" i="18"/>
  <c r="L9" i="25"/>
  <c r="H62" i="18"/>
  <c r="J9" i="25" s="1"/>
  <c r="M62" i="18"/>
  <c r="O9" i="25"/>
  <c r="I62" i="18"/>
  <c r="K9" i="25" s="1"/>
  <c r="D62" i="18"/>
  <c r="F9" i="25"/>
  <c r="G9" i="25"/>
  <c r="J90" i="10"/>
  <c r="D17" i="9"/>
  <c r="F15" i="16" s="1"/>
  <c r="E60" i="33"/>
  <c r="O35" i="1"/>
  <c r="D63" i="33"/>
  <c r="D63" i="18"/>
  <c r="F12" i="25" s="1"/>
  <c r="K84" i="18"/>
  <c r="F84" i="18"/>
  <c r="D84" i="18"/>
  <c r="J84" i="18"/>
  <c r="E84" i="18"/>
  <c r="O84" i="18"/>
  <c r="L84" i="18"/>
  <c r="M84" i="18"/>
  <c r="G84" i="18"/>
  <c r="N84" i="18"/>
  <c r="H84" i="18"/>
  <c r="I84" i="18"/>
  <c r="E71" i="18"/>
  <c r="F71" i="18"/>
  <c r="H27" i="25" s="1"/>
  <c r="G71" i="18"/>
  <c r="I27" i="25" s="1"/>
  <c r="D71" i="18"/>
  <c r="F27" i="25" s="1"/>
  <c r="L71" i="18"/>
  <c r="N27" i="25" s="1"/>
  <c r="I71" i="18"/>
  <c r="J71" i="18"/>
  <c r="L27" i="25" s="1"/>
  <c r="O71" i="18"/>
  <c r="M71" i="18"/>
  <c r="K71" i="18"/>
  <c r="H71" i="18"/>
  <c r="J27" i="25" s="1"/>
  <c r="N71" i="18"/>
  <c r="P35" i="1"/>
  <c r="D34" i="9"/>
  <c r="F34" i="9" s="1"/>
  <c r="M85" i="18"/>
  <c r="H85" i="18"/>
  <c r="G85" i="18"/>
  <c r="G93" i="18" s="1"/>
  <c r="I85" i="18"/>
  <c r="J85" i="18"/>
  <c r="D85" i="18"/>
  <c r="P27" i="25"/>
  <c r="Q27" i="25"/>
  <c r="M27" i="25"/>
  <c r="K27" i="25"/>
  <c r="O27" i="25"/>
  <c r="G27" i="25"/>
  <c r="F8" i="11"/>
  <c r="F8" i="13"/>
  <c r="F90" i="10"/>
  <c r="U90" i="10"/>
  <c r="F35" i="1"/>
  <c r="U35" i="1"/>
  <c r="F88" i="10"/>
  <c r="U88" i="10"/>
  <c r="R38" i="9"/>
  <c r="L89" i="33" s="1"/>
  <c r="E89" i="18"/>
  <c r="L89" i="18"/>
  <c r="H89" i="18"/>
  <c r="F89" i="18"/>
  <c r="N89" i="18"/>
  <c r="J89" i="18"/>
  <c r="D89" i="18"/>
  <c r="K89" i="18"/>
  <c r="O89" i="18"/>
  <c r="I89" i="18"/>
  <c r="G89" i="18"/>
  <c r="M89" i="18"/>
  <c r="H89" i="33"/>
  <c r="D89" i="33"/>
  <c r="O89" i="33"/>
  <c r="G89" i="33"/>
  <c r="N89" i="33"/>
  <c r="F89" i="33"/>
  <c r="E89" i="33"/>
  <c r="J89" i="33"/>
  <c r="I89" i="33"/>
  <c r="U87" i="11"/>
  <c r="T38" i="9"/>
  <c r="I89" i="34" s="1"/>
  <c r="M89" i="34"/>
  <c r="L89" i="34"/>
  <c r="H89" i="34"/>
  <c r="K89" i="34"/>
  <c r="G89" i="34"/>
  <c r="F89" i="34"/>
  <c r="U87" i="12"/>
  <c r="U38" i="9"/>
  <c r="M89" i="35" s="1"/>
  <c r="I89" i="35"/>
  <c r="E89" i="35"/>
  <c r="J89" i="35"/>
  <c r="H89" i="35"/>
  <c r="D89" i="35"/>
  <c r="N89" i="35"/>
  <c r="K89" i="35"/>
  <c r="G89" i="35"/>
  <c r="F89" i="35"/>
  <c r="U87" i="13"/>
  <c r="V38" i="9"/>
  <c r="I84" i="22" s="1"/>
  <c r="H84" i="21"/>
  <c r="I84" i="21"/>
  <c r="G84" i="21"/>
  <c r="F84" i="21"/>
  <c r="E84" i="21"/>
  <c r="D84" i="21"/>
  <c r="M84" i="21"/>
  <c r="K84" i="21"/>
  <c r="N84" i="21"/>
  <c r="J84" i="22"/>
  <c r="D84" i="22"/>
  <c r="G84" i="22"/>
  <c r="L84" i="22"/>
  <c r="K84" i="22"/>
  <c r="M84" i="22"/>
  <c r="D18" i="23"/>
  <c r="E18" i="23"/>
  <c r="F18" i="23"/>
  <c r="G18" i="23"/>
  <c r="H18" i="23"/>
  <c r="I18" i="23"/>
  <c r="J18" i="23"/>
  <c r="K18" i="23"/>
  <c r="L18" i="23"/>
  <c r="M18" i="23"/>
  <c r="N18" i="23"/>
  <c r="O18" i="23"/>
  <c r="D25" i="23"/>
  <c r="E25" i="23"/>
  <c r="F25" i="23"/>
  <c r="G25" i="23"/>
  <c r="H25" i="23"/>
  <c r="I25" i="23"/>
  <c r="J25" i="23"/>
  <c r="K25" i="23"/>
  <c r="L25" i="23"/>
  <c r="M25" i="23"/>
  <c r="N25" i="23"/>
  <c r="O25" i="23"/>
  <c r="D159" i="21"/>
  <c r="D163" i="21"/>
  <c r="H8" i="16"/>
  <c r="J8" i="16"/>
  <c r="F156" i="21"/>
  <c r="I156" i="21"/>
  <c r="J35" i="1"/>
  <c r="H76" i="18"/>
  <c r="M76" i="18"/>
  <c r="J76" i="18"/>
  <c r="I76" i="18"/>
  <c r="N76" i="18"/>
  <c r="F76" i="18"/>
  <c r="K76" i="18"/>
  <c r="G76" i="18"/>
  <c r="O76" i="18"/>
  <c r="L76" i="18"/>
  <c r="E76" i="18"/>
  <c r="D76" i="18"/>
  <c r="R35" i="1"/>
  <c r="D36" i="9"/>
  <c r="F36" i="9" s="1"/>
  <c r="V35" i="1"/>
  <c r="F39" i="9"/>
  <c r="M35" i="1"/>
  <c r="E90" i="18"/>
  <c r="L90" i="18"/>
  <c r="G90" i="18"/>
  <c r="I90" i="18"/>
  <c r="D90" i="18"/>
  <c r="J90" i="18"/>
  <c r="N90" i="18"/>
  <c r="M90" i="18"/>
  <c r="F90" i="18"/>
  <c r="O90" i="18"/>
  <c r="K90" i="18"/>
  <c r="H90" i="18"/>
  <c r="I87" i="18"/>
  <c r="K87" i="18"/>
  <c r="G87" i="18"/>
  <c r="F76" i="33"/>
  <c r="Q35" i="1"/>
  <c r="Y35" i="1"/>
  <c r="Z35" i="1"/>
  <c r="F35" i="9"/>
  <c r="H86" i="18"/>
  <c r="N86" i="18"/>
  <c r="M86" i="18"/>
  <c r="J86" i="18"/>
  <c r="O86" i="18"/>
  <c r="L86" i="18"/>
  <c r="D86" i="18"/>
  <c r="E86" i="18"/>
  <c r="I86" i="18"/>
  <c r="G86" i="18"/>
  <c r="K86" i="18"/>
  <c r="F86" i="18"/>
  <c r="T12" i="9"/>
  <c r="I63" i="33" s="1"/>
  <c r="T10" i="9"/>
  <c r="F62" i="34" s="1"/>
  <c r="T15" i="9"/>
  <c r="H66" i="34" s="1"/>
  <c r="T27" i="9"/>
  <c r="F78" i="34" s="1"/>
  <c r="T11" i="9"/>
  <c r="D63" i="34" s="1"/>
  <c r="T14" i="9"/>
  <c r="L65" i="34" s="1"/>
  <c r="T26" i="9"/>
  <c r="D77" i="34" s="1"/>
  <c r="T23" i="9"/>
  <c r="J74" i="34" s="1"/>
  <c r="L89" i="11"/>
  <c r="T89" i="11"/>
  <c r="B7" i="12"/>
  <c r="T28" i="9"/>
  <c r="H79" i="34" s="1"/>
  <c r="W89" i="11"/>
  <c r="S89" i="11"/>
  <c r="U89" i="11"/>
  <c r="T29" i="9"/>
  <c r="D80" i="34" s="1"/>
  <c r="F89" i="11"/>
  <c r="T16" i="9"/>
  <c r="E67" i="34" s="1"/>
  <c r="X89" i="11"/>
  <c r="U28" i="9"/>
  <c r="M74" i="21" s="1"/>
  <c r="U23" i="9"/>
  <c r="U26" i="9"/>
  <c r="O72" i="21" s="1"/>
  <c r="U16" i="9"/>
  <c r="L62" i="21" s="1"/>
  <c r="U29" i="9"/>
  <c r="L80" i="35" s="1"/>
  <c r="U10" i="9"/>
  <c r="L57" i="21" s="1"/>
  <c r="U11" i="9"/>
  <c r="U15" i="9"/>
  <c r="I66" i="35" s="1"/>
  <c r="T89" i="12"/>
  <c r="B7" i="13"/>
  <c r="S89" i="12"/>
  <c r="W89" i="12"/>
  <c r="L89" i="12"/>
  <c r="U89" i="12"/>
  <c r="X89" i="12"/>
  <c r="U12" i="9"/>
  <c r="L74" i="34"/>
  <c r="G74" i="34"/>
  <c r="K74" i="34"/>
  <c r="J63" i="33"/>
  <c r="K63" i="33"/>
  <c r="O63" i="18"/>
  <c r="L63" i="33"/>
  <c r="K63" i="18"/>
  <c r="M12" i="25" s="1"/>
  <c r="F65" i="34"/>
  <c r="V25" i="9"/>
  <c r="G71" i="22" s="1"/>
  <c r="V12" i="9"/>
  <c r="V11" i="9"/>
  <c r="K58" i="22" s="1"/>
  <c r="V10" i="9"/>
  <c r="M57" i="22" s="1"/>
  <c r="V15" i="9"/>
  <c r="L61" i="22" s="1"/>
  <c r="V16" i="9"/>
  <c r="M62" i="22" s="1"/>
  <c r="V28" i="9"/>
  <c r="D74" i="22" s="1"/>
  <c r="V29" i="9"/>
  <c r="F75" i="22" s="1"/>
  <c r="U89" i="13"/>
  <c r="S89" i="13"/>
  <c r="T89" i="13"/>
  <c r="X89" i="13"/>
  <c r="V23" i="9"/>
  <c r="E69" i="22" s="1"/>
  <c r="V26" i="9"/>
  <c r="H72" i="22" s="1"/>
  <c r="L89" i="13"/>
  <c r="W89" i="13"/>
  <c r="D69" i="21"/>
  <c r="S69" i="21" s="1"/>
  <c r="L74" i="35"/>
  <c r="H69" i="21"/>
  <c r="K74" i="35"/>
  <c r="L69" i="21"/>
  <c r="I69" i="21"/>
  <c r="D74" i="35"/>
  <c r="J69" i="21"/>
  <c r="M74" i="35"/>
  <c r="N74" i="35"/>
  <c r="E74" i="35"/>
  <c r="M69" i="21"/>
  <c r="N69" i="21"/>
  <c r="O74" i="35"/>
  <c r="F69" i="21"/>
  <c r="H74" i="35"/>
  <c r="G69" i="21"/>
  <c r="F74" i="35"/>
  <c r="G74" i="35"/>
  <c r="O69" i="21"/>
  <c r="K69" i="21"/>
  <c r="E69" i="21"/>
  <c r="I74" i="35"/>
  <c r="J74" i="35"/>
  <c r="K67" i="35"/>
  <c r="H74" i="22"/>
  <c r="O74" i="22"/>
  <c r="M74" i="22"/>
  <c r="L74" i="22"/>
  <c r="I74" i="22"/>
  <c r="L62" i="22"/>
  <c r="H69" i="22"/>
  <c r="N69" i="22"/>
  <c r="K69" i="22"/>
  <c r="K136" i="21" l="1"/>
  <c r="N136" i="21"/>
  <c r="G141" i="35"/>
  <c r="I136" i="21"/>
  <c r="H141" i="35"/>
  <c r="I141" i="35"/>
  <c r="F60" i="14"/>
  <c r="O75" i="22"/>
  <c r="J62" i="22"/>
  <c r="H65" i="34"/>
  <c r="Q90" i="10"/>
  <c r="G74" i="22"/>
  <c r="F74" i="22"/>
  <c r="K80" i="35"/>
  <c r="N67" i="34"/>
  <c r="R15" i="25"/>
  <c r="R48" i="25"/>
  <c r="R91" i="25"/>
  <c r="D155" i="22"/>
  <c r="D156" i="22" s="1"/>
  <c r="R9" i="25"/>
  <c r="R39" i="25"/>
  <c r="H80" i="34"/>
  <c r="L79" i="34"/>
  <c r="E153" i="22"/>
  <c r="O153" i="22"/>
  <c r="K153" i="22"/>
  <c r="J159" i="18"/>
  <c r="J160" i="18" s="1"/>
  <c r="K159" i="18"/>
  <c r="K160" i="18" s="1"/>
  <c r="F159" i="18"/>
  <c r="F160" i="18" s="1"/>
  <c r="M159" i="18"/>
  <c r="M160" i="18" s="1"/>
  <c r="N159" i="18"/>
  <c r="N160" i="18" s="1"/>
  <c r="I159" i="18"/>
  <c r="I160" i="18" s="1"/>
  <c r="G159" i="18"/>
  <c r="G160" i="18" s="1"/>
  <c r="L159" i="18"/>
  <c r="L160" i="18" s="1"/>
  <c r="O159" i="18"/>
  <c r="O160" i="18" s="1"/>
  <c r="D159" i="18"/>
  <c r="D160" i="18" s="1"/>
  <c r="H159" i="18"/>
  <c r="H160" i="18" s="1"/>
  <c r="R24" i="25"/>
  <c r="K112" i="21"/>
  <c r="I117" i="35"/>
  <c r="D117" i="35"/>
  <c r="N117" i="35"/>
  <c r="M112" i="21"/>
  <c r="E117" i="35"/>
  <c r="O117" i="35"/>
  <c r="J117" i="35"/>
  <c r="D112" i="21"/>
  <c r="H112" i="21"/>
  <c r="I112" i="21"/>
  <c r="M117" i="35"/>
  <c r="H117" i="35"/>
  <c r="G117" i="35"/>
  <c r="N112" i="21"/>
  <c r="G112" i="21"/>
  <c r="O112" i="21"/>
  <c r="E112" i="21"/>
  <c r="J112" i="21"/>
  <c r="F112" i="21"/>
  <c r="L117" i="35"/>
  <c r="K117" i="35"/>
  <c r="L96" i="33"/>
  <c r="O96" i="33"/>
  <c r="N96" i="33"/>
  <c r="H96" i="33"/>
  <c r="K96" i="33"/>
  <c r="J96" i="33"/>
  <c r="M96" i="33"/>
  <c r="I96" i="33"/>
  <c r="E96" i="33"/>
  <c r="D96" i="33"/>
  <c r="D113" i="33" s="1"/>
  <c r="G96" i="33"/>
  <c r="F96" i="33"/>
  <c r="M91" i="34"/>
  <c r="H91" i="34"/>
  <c r="G91" i="34"/>
  <c r="I91" i="34"/>
  <c r="D91" i="34"/>
  <c r="N91" i="34"/>
  <c r="L91" i="34"/>
  <c r="K91" i="34"/>
  <c r="F91" i="34"/>
  <c r="O91" i="34"/>
  <c r="J91" i="34"/>
  <c r="F87" i="18"/>
  <c r="N22" i="16"/>
  <c r="O141" i="22"/>
  <c r="G141" i="22"/>
  <c r="D141" i="22"/>
  <c r="D93" i="22"/>
  <c r="O93" i="22"/>
  <c r="I93" i="22"/>
  <c r="O151" i="22"/>
  <c r="O155" i="22" s="1"/>
  <c r="O156" i="22" s="1"/>
  <c r="K151" i="22"/>
  <c r="K155" i="22" s="1"/>
  <c r="K156" i="22" s="1"/>
  <c r="K165" i="22" s="1"/>
  <c r="K167" i="22" s="1"/>
  <c r="L151" i="22"/>
  <c r="L155" i="22" s="1"/>
  <c r="L156" i="22" s="1"/>
  <c r="F143" i="21"/>
  <c r="M143" i="21"/>
  <c r="N143" i="21"/>
  <c r="J148" i="35"/>
  <c r="O148" i="35"/>
  <c r="E148" i="35"/>
  <c r="D121" i="22"/>
  <c r="L120" i="21"/>
  <c r="O120" i="21"/>
  <c r="J120" i="21"/>
  <c r="K121" i="22"/>
  <c r="H121" i="22"/>
  <c r="G121" i="22"/>
  <c r="N125" i="35"/>
  <c r="F125" i="35"/>
  <c r="J125" i="35"/>
  <c r="F143" i="34"/>
  <c r="K98" i="34"/>
  <c r="F98" i="34"/>
  <c r="L98" i="34"/>
  <c r="F129" i="34"/>
  <c r="L129" i="34"/>
  <c r="O129" i="34"/>
  <c r="I96" i="35"/>
  <c r="M96" i="35"/>
  <c r="L153" i="22"/>
  <c r="N153" i="22"/>
  <c r="N137" i="34"/>
  <c r="I137" i="34"/>
  <c r="D137" i="34"/>
  <c r="E91" i="34"/>
  <c r="I143" i="34"/>
  <c r="D143" i="34"/>
  <c r="O143" i="34"/>
  <c r="F69" i="22"/>
  <c r="O68" i="18"/>
  <c r="D74" i="34"/>
  <c r="N74" i="34"/>
  <c r="J80" i="34"/>
  <c r="N80" i="34"/>
  <c r="O87" i="18"/>
  <c r="I69" i="22"/>
  <c r="J69" i="22"/>
  <c r="M69" i="22"/>
  <c r="I72" i="22"/>
  <c r="I80" i="35"/>
  <c r="O74" i="34"/>
  <c r="H74" i="34"/>
  <c r="I74" i="34"/>
  <c r="F80" i="34"/>
  <c r="I80" i="34"/>
  <c r="E87" i="18"/>
  <c r="L87" i="18"/>
  <c r="N66" i="25" s="1"/>
  <c r="J87" i="18"/>
  <c r="J93" i="18" s="1"/>
  <c r="E84" i="22"/>
  <c r="F84" i="22"/>
  <c r="O84" i="22"/>
  <c r="J84" i="21"/>
  <c r="O84" i="21"/>
  <c r="L84" i="21"/>
  <c r="O89" i="35"/>
  <c r="L89" i="35"/>
  <c r="J89" i="34"/>
  <c r="O89" i="34"/>
  <c r="E89" i="34"/>
  <c r="M89" i="33"/>
  <c r="K89" i="33"/>
  <c r="E85" i="18"/>
  <c r="L85" i="18"/>
  <c r="L93" i="18" s="1"/>
  <c r="O85" i="18"/>
  <c r="D68" i="18"/>
  <c r="V113" i="9"/>
  <c r="F83" i="22"/>
  <c r="S83" i="22" s="1"/>
  <c r="J83" i="22"/>
  <c r="F141" i="22"/>
  <c r="I141" i="22"/>
  <c r="E141" i="22"/>
  <c r="L93" i="22"/>
  <c r="K93" i="22"/>
  <c r="N93" i="22"/>
  <c r="N145" i="35"/>
  <c r="K145" i="35"/>
  <c r="I151" i="22"/>
  <c r="I155" i="22" s="1"/>
  <c r="I156" i="22" s="1"/>
  <c r="H151" i="22"/>
  <c r="H155" i="22" s="1"/>
  <c r="H156" i="22" s="1"/>
  <c r="J151" i="22"/>
  <c r="J155" i="22" s="1"/>
  <c r="J156" i="22" s="1"/>
  <c r="G143" i="21"/>
  <c r="K143" i="21"/>
  <c r="O143" i="21"/>
  <c r="N148" i="35"/>
  <c r="D148" i="35"/>
  <c r="I148" i="35"/>
  <c r="M120" i="21"/>
  <c r="K120" i="21"/>
  <c r="I121" i="22"/>
  <c r="M121" i="22"/>
  <c r="G125" i="35"/>
  <c r="D125" i="35"/>
  <c r="E125" i="35"/>
  <c r="N143" i="34"/>
  <c r="J143" i="34"/>
  <c r="M143" i="34"/>
  <c r="H153" i="22"/>
  <c r="F153" i="22"/>
  <c r="D153" i="22"/>
  <c r="O134" i="22"/>
  <c r="M134" i="22"/>
  <c r="N134" i="34"/>
  <c r="I134" i="34"/>
  <c r="D134" i="34"/>
  <c r="F117" i="35"/>
  <c r="O101" i="34"/>
  <c r="I101" i="34"/>
  <c r="L101" i="34"/>
  <c r="F99" i="34"/>
  <c r="J99" i="34"/>
  <c r="E99" i="34"/>
  <c r="K152" i="33"/>
  <c r="K153" i="33" s="1"/>
  <c r="N152" i="33"/>
  <c r="N153" i="33" s="1"/>
  <c r="F152" i="33"/>
  <c r="F153" i="33" s="1"/>
  <c r="E152" i="33"/>
  <c r="E153" i="33" s="1"/>
  <c r="H152" i="33"/>
  <c r="H153" i="33" s="1"/>
  <c r="D152" i="33"/>
  <c r="D153" i="33" s="1"/>
  <c r="R107" i="9"/>
  <c r="H21" i="16" s="1"/>
  <c r="O152" i="33"/>
  <c r="O153" i="33" s="1"/>
  <c r="I152" i="33"/>
  <c r="I153" i="33" s="1"/>
  <c r="G152" i="33"/>
  <c r="G153" i="33" s="1"/>
  <c r="L152" i="33"/>
  <c r="L153" i="33" s="1"/>
  <c r="J152" i="33"/>
  <c r="J153" i="33" s="1"/>
  <c r="O69" i="22"/>
  <c r="L69" i="22"/>
  <c r="F75" i="21"/>
  <c r="E74" i="34"/>
  <c r="M87" i="18"/>
  <c r="G69" i="22"/>
  <c r="D69" i="22"/>
  <c r="G75" i="21"/>
  <c r="F74" i="34"/>
  <c r="M74" i="34"/>
  <c r="K80" i="34"/>
  <c r="E80" i="34"/>
  <c r="D42" i="9"/>
  <c r="F17" i="16" s="1"/>
  <c r="H87" i="18"/>
  <c r="N87" i="18"/>
  <c r="D87" i="18"/>
  <c r="N84" i="22"/>
  <c r="H84" i="22"/>
  <c r="N89" i="34"/>
  <c r="D89" i="34"/>
  <c r="K85" i="18"/>
  <c r="M60" i="25" s="1"/>
  <c r="N85" i="18"/>
  <c r="F85" i="18"/>
  <c r="L141" i="22"/>
  <c r="J141" i="22"/>
  <c r="H93" i="22"/>
  <c r="G93" i="22"/>
  <c r="F151" i="22"/>
  <c r="F155" i="22" s="1"/>
  <c r="F156" i="22" s="1"/>
  <c r="M151" i="22"/>
  <c r="M155" i="22" s="1"/>
  <c r="M156" i="22" s="1"/>
  <c r="L143" i="21"/>
  <c r="J143" i="21"/>
  <c r="E143" i="21"/>
  <c r="G148" i="35"/>
  <c r="H148" i="35"/>
  <c r="N120" i="21"/>
  <c r="E120" i="21"/>
  <c r="I120" i="21"/>
  <c r="N121" i="22"/>
  <c r="L121" i="22"/>
  <c r="K125" i="35"/>
  <c r="H125" i="35"/>
  <c r="G143" i="34"/>
  <c r="H143" i="34"/>
  <c r="M123" i="35"/>
  <c r="H123" i="35"/>
  <c r="G123" i="35"/>
  <c r="F136" i="34"/>
  <c r="L136" i="34"/>
  <c r="K136" i="34"/>
  <c r="M153" i="22"/>
  <c r="I153" i="22"/>
  <c r="N156" i="34"/>
  <c r="N159" i="34" s="1"/>
  <c r="F156" i="34"/>
  <c r="F159" i="34" s="1"/>
  <c r="I156" i="34"/>
  <c r="I159" i="34" s="1"/>
  <c r="L156" i="34"/>
  <c r="L159" i="34" s="1"/>
  <c r="D156" i="34"/>
  <c r="D159" i="34" s="1"/>
  <c r="O156" i="34"/>
  <c r="O159" i="34" s="1"/>
  <c r="H98" i="33"/>
  <c r="K98" i="33"/>
  <c r="J98" i="33"/>
  <c r="L67" i="33"/>
  <c r="G67" i="33"/>
  <c r="E67" i="33"/>
  <c r="O67" i="33"/>
  <c r="I67" i="33"/>
  <c r="G113" i="21"/>
  <c r="L113" i="21"/>
  <c r="M113" i="21"/>
  <c r="F154" i="18"/>
  <c r="S113" i="25" s="1"/>
  <c r="G118" i="35"/>
  <c r="L118" i="35"/>
  <c r="O144" i="34"/>
  <c r="L144" i="34"/>
  <c r="F138" i="33"/>
  <c r="D138" i="33"/>
  <c r="K123" i="34"/>
  <c r="M67" i="33"/>
  <c r="H143" i="33"/>
  <c r="J138" i="34"/>
  <c r="E138" i="34"/>
  <c r="K138" i="34"/>
  <c r="N138" i="34"/>
  <c r="I138" i="34"/>
  <c r="D138" i="34"/>
  <c r="N143" i="33"/>
  <c r="E143" i="33"/>
  <c r="D143" i="33"/>
  <c r="G143" i="33"/>
  <c r="M143" i="33"/>
  <c r="L143" i="33"/>
  <c r="F123" i="34"/>
  <c r="L123" i="34"/>
  <c r="O123" i="34"/>
  <c r="J123" i="34"/>
  <c r="E123" i="34"/>
  <c r="G123" i="34"/>
  <c r="R79" i="25"/>
  <c r="R99" i="25"/>
  <c r="B100" i="18"/>
  <c r="B95" i="27"/>
  <c r="B95" i="29"/>
  <c r="B95" i="22"/>
  <c r="B95" i="17"/>
  <c r="B95" i="28"/>
  <c r="C98" i="22"/>
  <c r="C98" i="29"/>
  <c r="C104" i="18"/>
  <c r="C98" i="21"/>
  <c r="C99" i="17"/>
  <c r="C98" i="28"/>
  <c r="C133" i="22"/>
  <c r="C133" i="27"/>
  <c r="C134" i="17"/>
  <c r="B130" i="28"/>
  <c r="B130" i="29"/>
  <c r="B136" i="18"/>
  <c r="B103" i="18"/>
  <c r="G143" i="25" s="1"/>
  <c r="B98" i="17"/>
  <c r="L118" i="9"/>
  <c r="C109" i="18"/>
  <c r="C103" i="22"/>
  <c r="C103" i="21"/>
  <c r="C103" i="29"/>
  <c r="C103" i="27"/>
  <c r="C91" i="17"/>
  <c r="C91" i="28"/>
  <c r="C91" i="29"/>
  <c r="C93" i="26"/>
  <c r="C93" i="17"/>
  <c r="C93" i="22"/>
  <c r="C98" i="18"/>
  <c r="C93" i="29"/>
  <c r="C93" i="28"/>
  <c r="B122" i="28"/>
  <c r="B123" i="17"/>
  <c r="B122" i="21"/>
  <c r="B122" i="22"/>
  <c r="B117" i="28"/>
  <c r="B118" i="17"/>
  <c r="K118" i="9"/>
  <c r="J114" i="18"/>
  <c r="R103" i="25"/>
  <c r="B108" i="18"/>
  <c r="B102" i="29"/>
  <c r="B102" i="22"/>
  <c r="B102" i="27"/>
  <c r="B102" i="21"/>
  <c r="B102" i="26"/>
  <c r="C129" i="27"/>
  <c r="C129" i="22"/>
  <c r="C130" i="17"/>
  <c r="N118" i="9"/>
  <c r="N5" i="9" s="1"/>
  <c r="M5" i="9"/>
  <c r="N44" i="9"/>
  <c r="K114" i="18"/>
  <c r="R78" i="25"/>
  <c r="U107" i="9"/>
  <c r="L21" i="16" s="1"/>
  <c r="H147" i="21"/>
  <c r="H148" i="21" s="1"/>
  <c r="I147" i="21"/>
  <c r="I148" i="21" s="1"/>
  <c r="E147" i="21"/>
  <c r="E148" i="21" s="1"/>
  <c r="G147" i="21"/>
  <c r="G148" i="21" s="1"/>
  <c r="O147" i="21"/>
  <c r="O148" i="21" s="1"/>
  <c r="D147" i="21"/>
  <c r="F147" i="21"/>
  <c r="F148" i="21" s="1"/>
  <c r="J147" i="21"/>
  <c r="J148" i="21" s="1"/>
  <c r="N147" i="21"/>
  <c r="N148" i="21" s="1"/>
  <c r="C144" i="17"/>
  <c r="C143" i="28"/>
  <c r="C143" i="21"/>
  <c r="C143" i="22"/>
  <c r="N110" i="18"/>
  <c r="M110" i="18"/>
  <c r="H110" i="18"/>
  <c r="H114" i="18" s="1"/>
  <c r="E110" i="18"/>
  <c r="D110" i="18"/>
  <c r="K110" i="18"/>
  <c r="I110" i="18"/>
  <c r="I114" i="18" s="1"/>
  <c r="G110" i="18"/>
  <c r="L110" i="18"/>
  <c r="L114" i="18" s="1"/>
  <c r="C95" i="28"/>
  <c r="C95" i="29"/>
  <c r="C95" i="17"/>
  <c r="C95" i="26"/>
  <c r="C95" i="22"/>
  <c r="C100" i="18"/>
  <c r="C95" i="27"/>
  <c r="B125" i="27"/>
  <c r="B125" i="29"/>
  <c r="B121" i="28"/>
  <c r="B122" i="17"/>
  <c r="B146" i="18"/>
  <c r="B140" i="28"/>
  <c r="B140" i="21"/>
  <c r="B140" i="22"/>
  <c r="B141" i="17"/>
  <c r="B140" i="27"/>
  <c r="B140" i="26"/>
  <c r="G118" i="9"/>
  <c r="M118" i="9"/>
  <c r="P118" i="9"/>
  <c r="P5" i="9" s="1"/>
  <c r="F61" i="9"/>
  <c r="F100" i="18"/>
  <c r="H82" i="25" s="1"/>
  <c r="R82" i="25" s="1"/>
  <c r="K140" i="18"/>
  <c r="L124" i="18"/>
  <c r="N91" i="25" s="1"/>
  <c r="H145" i="18"/>
  <c r="O114" i="18"/>
  <c r="I5" i="9"/>
  <c r="F58" i="9"/>
  <c r="F62" i="9"/>
  <c r="F77" i="9"/>
  <c r="R81" i="25"/>
  <c r="R80" i="25"/>
  <c r="D105" i="18"/>
  <c r="D114" i="18" s="1"/>
  <c r="J5" i="9"/>
  <c r="K5" i="9"/>
  <c r="V13" i="10"/>
  <c r="Y13" i="10" s="1"/>
  <c r="Z13" i="10" s="1"/>
  <c r="M75" i="35"/>
  <c r="Y13" i="11"/>
  <c r="Z13" i="11" s="1"/>
  <c r="G75" i="35"/>
  <c r="F13" i="13"/>
  <c r="F89" i="13" s="1"/>
  <c r="F89" i="12"/>
  <c r="M61" i="21"/>
  <c r="H78" i="33"/>
  <c r="D75" i="34"/>
  <c r="G74" i="33"/>
  <c r="I12" i="13"/>
  <c r="J12" i="13" s="1"/>
  <c r="O75" i="33"/>
  <c r="L78" i="33"/>
  <c r="I75" i="33"/>
  <c r="K78" i="33"/>
  <c r="N75" i="33"/>
  <c r="N77" i="18"/>
  <c r="D77" i="18"/>
  <c r="N78" i="33"/>
  <c r="O78" i="33"/>
  <c r="D75" i="33"/>
  <c r="E77" i="33"/>
  <c r="I77" i="18"/>
  <c r="Q89" i="11"/>
  <c r="M90" i="10"/>
  <c r="L76" i="33"/>
  <c r="P60" i="33"/>
  <c r="P68" i="33" s="1"/>
  <c r="D70" i="22"/>
  <c r="J9" i="12"/>
  <c r="O9" i="10"/>
  <c r="O88" i="10" s="1"/>
  <c r="R33" i="9" s="1"/>
  <c r="I84" i="33" s="1"/>
  <c r="I76" i="33"/>
  <c r="I60" i="33"/>
  <c r="E73" i="34"/>
  <c r="L73" i="34"/>
  <c r="Q28" i="10"/>
  <c r="V28" i="10"/>
  <c r="Y28" i="10" s="1"/>
  <c r="Z28" i="10" s="1"/>
  <c r="R28" i="10"/>
  <c r="Q26" i="10"/>
  <c r="V26" i="10"/>
  <c r="R26" i="10"/>
  <c r="M30" i="12"/>
  <c r="E78" i="33"/>
  <c r="I78" i="33"/>
  <c r="M78" i="33"/>
  <c r="J75" i="33"/>
  <c r="L75" i="33"/>
  <c r="K75" i="33"/>
  <c r="R26" i="11"/>
  <c r="Q27" i="10"/>
  <c r="Y27" i="10" s="1"/>
  <c r="Z27" i="10" s="1"/>
  <c r="Q25" i="10"/>
  <c r="R29" i="10"/>
  <c r="Y29" i="10" s="1"/>
  <c r="Z29" i="10" s="1"/>
  <c r="E74" i="18"/>
  <c r="J24" i="12"/>
  <c r="Y23" i="10"/>
  <c r="Z23" i="10" s="1"/>
  <c r="Y25" i="10"/>
  <c r="Z25" i="10" s="1"/>
  <c r="Y26" i="10"/>
  <c r="Z26" i="10" s="1"/>
  <c r="D66" i="33"/>
  <c r="Y28" i="11"/>
  <c r="Z28" i="11" s="1"/>
  <c r="F66" i="33"/>
  <c r="F78" i="33"/>
  <c r="G78" i="33"/>
  <c r="M75" i="33"/>
  <c r="E75" i="33"/>
  <c r="G75" i="33"/>
  <c r="F75" i="33"/>
  <c r="J72" i="33"/>
  <c r="Q24" i="10"/>
  <c r="Y24" i="10" s="1"/>
  <c r="Z24" i="10" s="1"/>
  <c r="R24" i="10"/>
  <c r="J26" i="12"/>
  <c r="M26" i="12" s="1"/>
  <c r="J66" i="33"/>
  <c r="K66" i="33"/>
  <c r="H66" i="33"/>
  <c r="O75" i="35"/>
  <c r="F75" i="35"/>
  <c r="L70" i="21"/>
  <c r="E70" i="21"/>
  <c r="R31" i="12"/>
  <c r="Y31" i="12" s="1"/>
  <c r="Z31" i="12" s="1"/>
  <c r="O72" i="33"/>
  <c r="U25" i="9"/>
  <c r="G76" i="35" s="1"/>
  <c r="J78" i="34"/>
  <c r="N66" i="33"/>
  <c r="O66" i="33"/>
  <c r="L66" i="33"/>
  <c r="J70" i="21"/>
  <c r="H70" i="21"/>
  <c r="Q31" i="12"/>
  <c r="N68" i="21"/>
  <c r="N73" i="34"/>
  <c r="G66" i="35"/>
  <c r="G63" i="35"/>
  <c r="M71" i="33"/>
  <c r="M66" i="33"/>
  <c r="I66" i="33"/>
  <c r="H75" i="35"/>
  <c r="E75" i="35"/>
  <c r="K70" i="21"/>
  <c r="E72" i="33"/>
  <c r="J31" i="11"/>
  <c r="F87" i="11"/>
  <c r="N75" i="22"/>
  <c r="M75" i="21"/>
  <c r="J80" i="35"/>
  <c r="F80" i="35"/>
  <c r="N80" i="35"/>
  <c r="D80" i="35"/>
  <c r="M75" i="22"/>
  <c r="K75" i="22"/>
  <c r="G72" i="22"/>
  <c r="E80" i="35"/>
  <c r="G80" i="35"/>
  <c r="O80" i="35"/>
  <c r="O75" i="21"/>
  <c r="I75" i="21"/>
  <c r="I65" i="34"/>
  <c r="H75" i="22"/>
  <c r="G75" i="22"/>
  <c r="D72" i="22"/>
  <c r="J74" i="22"/>
  <c r="N74" i="22"/>
  <c r="F77" i="35"/>
  <c r="M80" i="35"/>
  <c r="K75" i="21"/>
  <c r="N75" i="21"/>
  <c r="J75" i="21"/>
  <c r="G79" i="35"/>
  <c r="E65" i="34"/>
  <c r="L80" i="34"/>
  <c r="G80" i="34"/>
  <c r="J79" i="34"/>
  <c r="O80" i="33"/>
  <c r="J67" i="33"/>
  <c r="H67" i="33"/>
  <c r="K24" i="13"/>
  <c r="V21" i="9" s="1"/>
  <c r="I67" i="22" s="1"/>
  <c r="U21" i="9"/>
  <c r="L72" i="35" s="1"/>
  <c r="M24" i="12"/>
  <c r="M24" i="13"/>
  <c r="O77" i="35"/>
  <c r="N72" i="21"/>
  <c r="H77" i="35"/>
  <c r="G63" i="18"/>
  <c r="I12" i="25" s="1"/>
  <c r="H63" i="33"/>
  <c r="H63" i="18"/>
  <c r="J12" i="25" s="1"/>
  <c r="M63" i="18"/>
  <c r="O63" i="33"/>
  <c r="T21" i="9"/>
  <c r="D72" i="34" s="1"/>
  <c r="G65" i="33"/>
  <c r="M24" i="11"/>
  <c r="Q24" i="11" s="1"/>
  <c r="I72" i="21"/>
  <c r="H72" i="21"/>
  <c r="D77" i="35"/>
  <c r="G77" i="35"/>
  <c r="F62" i="22"/>
  <c r="E62" i="22"/>
  <c r="L77" i="35"/>
  <c r="N77" i="35"/>
  <c r="M77" i="35"/>
  <c r="K77" i="35"/>
  <c r="J72" i="21"/>
  <c r="L72" i="21"/>
  <c r="J63" i="18"/>
  <c r="M63" i="33"/>
  <c r="F63" i="33"/>
  <c r="F63" i="18"/>
  <c r="H12" i="25" s="1"/>
  <c r="L63" i="18"/>
  <c r="N12" i="25" s="1"/>
  <c r="G77" i="34"/>
  <c r="H65" i="33"/>
  <c r="D67" i="33"/>
  <c r="E77" i="35"/>
  <c r="I77" i="35"/>
  <c r="K72" i="21"/>
  <c r="D72" i="21"/>
  <c r="I62" i="22"/>
  <c r="K62" i="22"/>
  <c r="G72" i="21"/>
  <c r="F72" i="21"/>
  <c r="E72" i="21"/>
  <c r="J77" i="35"/>
  <c r="M72" i="21"/>
  <c r="N63" i="18"/>
  <c r="I63" i="18"/>
  <c r="K12" i="25" s="1"/>
  <c r="N63" i="33"/>
  <c r="G63" i="33"/>
  <c r="J77" i="34"/>
  <c r="O80" i="34"/>
  <c r="M80" i="34"/>
  <c r="U9" i="9"/>
  <c r="K89" i="12"/>
  <c r="K9" i="13"/>
  <c r="M10" i="13"/>
  <c r="J75" i="22"/>
  <c r="I75" i="22"/>
  <c r="L75" i="22"/>
  <c r="L72" i="22"/>
  <c r="K74" i="22"/>
  <c r="E74" i="22"/>
  <c r="D67" i="35"/>
  <c r="H75" i="21"/>
  <c r="L75" i="21"/>
  <c r="H80" i="35"/>
  <c r="E75" i="21"/>
  <c r="D75" i="21"/>
  <c r="E79" i="35"/>
  <c r="O74" i="21"/>
  <c r="K65" i="34"/>
  <c r="N65" i="34"/>
  <c r="M67" i="34"/>
  <c r="K63" i="35"/>
  <c r="G79" i="34"/>
  <c r="O79" i="34"/>
  <c r="N72" i="34"/>
  <c r="J80" i="33"/>
  <c r="F65" i="33"/>
  <c r="K65" i="33"/>
  <c r="L65" i="33"/>
  <c r="N61" i="33"/>
  <c r="H61" i="33"/>
  <c r="F67" i="33"/>
  <c r="K67" i="33"/>
  <c r="R9" i="10"/>
  <c r="O10" i="10"/>
  <c r="Y10" i="10" s="1"/>
  <c r="Z10" i="10" s="1"/>
  <c r="Y11" i="10"/>
  <c r="Z11" i="10" s="1"/>
  <c r="J67" i="22"/>
  <c r="F62" i="21"/>
  <c r="J67" i="35"/>
  <c r="L74" i="21"/>
  <c r="O79" i="35"/>
  <c r="N79" i="34"/>
  <c r="I79" i="34"/>
  <c r="F79" i="34"/>
  <c r="H72" i="34"/>
  <c r="E65" i="33"/>
  <c r="J65" i="33"/>
  <c r="O65" i="33"/>
  <c r="D75" i="22"/>
  <c r="E75" i="22"/>
  <c r="E72" i="22"/>
  <c r="K72" i="22"/>
  <c r="O67" i="22"/>
  <c r="E62" i="21"/>
  <c r="J62" i="21"/>
  <c r="I79" i="35"/>
  <c r="Q12" i="25"/>
  <c r="O77" i="34"/>
  <c r="J67" i="34"/>
  <c r="D79" i="34"/>
  <c r="E79" i="34"/>
  <c r="J72" i="34"/>
  <c r="M72" i="34"/>
  <c r="K89" i="11"/>
  <c r="L75" i="34"/>
  <c r="K75" i="34"/>
  <c r="I65" i="33"/>
  <c r="N65" i="33"/>
  <c r="M61" i="33"/>
  <c r="K61" i="33"/>
  <c r="M9" i="12"/>
  <c r="O9" i="12" s="1"/>
  <c r="M12" i="13"/>
  <c r="V12" i="13" s="1"/>
  <c r="U14" i="9"/>
  <c r="K87" i="12"/>
  <c r="K21" i="13"/>
  <c r="H67" i="22"/>
  <c r="H62" i="21"/>
  <c r="N67" i="35"/>
  <c r="E67" i="35"/>
  <c r="D79" i="35"/>
  <c r="F74" i="21"/>
  <c r="L79" i="35"/>
  <c r="F79" i="35"/>
  <c r="N74" i="21"/>
  <c r="D74" i="21"/>
  <c r="E77" i="34"/>
  <c r="N77" i="34"/>
  <c r="I77" i="34"/>
  <c r="G67" i="34"/>
  <c r="I67" i="34"/>
  <c r="L67" i="34"/>
  <c r="I80" i="33"/>
  <c r="N80" i="33"/>
  <c r="D80" i="33"/>
  <c r="M62" i="21"/>
  <c r="I67" i="35"/>
  <c r="J72" i="22"/>
  <c r="M72" i="22"/>
  <c r="F72" i="22"/>
  <c r="O62" i="22"/>
  <c r="D62" i="22"/>
  <c r="H62" i="22"/>
  <c r="K67" i="22"/>
  <c r="N67" i="22"/>
  <c r="L67" i="22"/>
  <c r="G62" i="21"/>
  <c r="K62" i="21"/>
  <c r="M67" i="35"/>
  <c r="O62" i="21"/>
  <c r="N62" i="21"/>
  <c r="F67" i="35"/>
  <c r="N79" i="35"/>
  <c r="K74" i="21"/>
  <c r="K79" i="35"/>
  <c r="J74" i="21"/>
  <c r="G74" i="21"/>
  <c r="E74" i="21"/>
  <c r="M65" i="34"/>
  <c r="D65" i="34"/>
  <c r="J65" i="34"/>
  <c r="L77" i="34"/>
  <c r="M77" i="34"/>
  <c r="F77" i="34"/>
  <c r="H67" i="34"/>
  <c r="D67" i="34"/>
  <c r="F67" i="34"/>
  <c r="M80" i="33"/>
  <c r="G80" i="33"/>
  <c r="H80" i="33"/>
  <c r="G67" i="22"/>
  <c r="M67" i="22"/>
  <c r="O67" i="35"/>
  <c r="O72" i="22"/>
  <c r="N72" i="22"/>
  <c r="G62" i="22"/>
  <c r="N62" i="22"/>
  <c r="D67" i="22"/>
  <c r="E67" i="22"/>
  <c r="H67" i="35"/>
  <c r="I62" i="21"/>
  <c r="L67" i="35"/>
  <c r="D62" i="21"/>
  <c r="G67" i="35"/>
  <c r="M79" i="35"/>
  <c r="H74" i="21"/>
  <c r="J79" i="35"/>
  <c r="I74" i="21"/>
  <c r="H79" i="35"/>
  <c r="O65" i="34"/>
  <c r="G65" i="34"/>
  <c r="K77" i="34"/>
  <c r="H77" i="34"/>
  <c r="K67" i="34"/>
  <c r="O67" i="34"/>
  <c r="M79" i="34"/>
  <c r="K79" i="34"/>
  <c r="I72" i="34"/>
  <c r="K72" i="34"/>
  <c r="D75" i="35"/>
  <c r="K75" i="35"/>
  <c r="J75" i="35"/>
  <c r="O70" i="21"/>
  <c r="N70" i="21"/>
  <c r="M70" i="21"/>
  <c r="F80" i="33"/>
  <c r="K80" i="33"/>
  <c r="E61" i="33"/>
  <c r="J61" i="33"/>
  <c r="I72" i="33"/>
  <c r="N72" i="33"/>
  <c r="D72" i="33"/>
  <c r="J70" i="22"/>
  <c r="M72" i="33"/>
  <c r="G72" i="33"/>
  <c r="H72" i="33"/>
  <c r="R13" i="9"/>
  <c r="L62" i="34"/>
  <c r="J88" i="10"/>
  <c r="I61" i="22"/>
  <c r="F70" i="22"/>
  <c r="N75" i="35"/>
  <c r="I75" i="35"/>
  <c r="F70" i="21"/>
  <c r="D70" i="21"/>
  <c r="G70" i="21"/>
  <c r="F72" i="33"/>
  <c r="K72" i="33"/>
  <c r="I141" i="33"/>
  <c r="G63" i="14"/>
  <c r="H56" i="14"/>
  <c r="I5" i="15" s="1"/>
  <c r="G56" i="14"/>
  <c r="H5" i="15" s="1"/>
  <c r="H33" i="15" s="1"/>
  <c r="D63" i="14"/>
  <c r="F63" i="14"/>
  <c r="H59" i="14"/>
  <c r="H63" i="14" s="1"/>
  <c r="F56" i="14"/>
  <c r="G5" i="15" s="1"/>
  <c r="G31" i="15" s="1"/>
  <c r="R104" i="25"/>
  <c r="R101" i="25"/>
  <c r="R98" i="25"/>
  <c r="R97" i="25"/>
  <c r="R96" i="25"/>
  <c r="R94" i="25"/>
  <c r="R90" i="25"/>
  <c r="R89" i="25"/>
  <c r="K150" i="18"/>
  <c r="K161" i="18" s="1"/>
  <c r="R84" i="25"/>
  <c r="N114" i="18"/>
  <c r="G114" i="18"/>
  <c r="F114" i="18"/>
  <c r="M114" i="18"/>
  <c r="E114" i="18"/>
  <c r="D93" i="18"/>
  <c r="N93" i="18"/>
  <c r="I93" i="18"/>
  <c r="K93" i="18"/>
  <c r="E93" i="18"/>
  <c r="H93" i="18"/>
  <c r="F93" i="18"/>
  <c r="R27" i="25"/>
  <c r="R6" i="25"/>
  <c r="K68" i="18"/>
  <c r="F68" i="18"/>
  <c r="R2" i="25"/>
  <c r="E55" i="18"/>
  <c r="F55" i="18"/>
  <c r="D103" i="9"/>
  <c r="F20" i="16" s="1"/>
  <c r="G142" i="18"/>
  <c r="E17" i="18"/>
  <c r="M17" i="18"/>
  <c r="Q50" i="22"/>
  <c r="Q51" i="22" s="1"/>
  <c r="Q160" i="22" s="1"/>
  <c r="S47" i="21"/>
  <c r="D39" i="18"/>
  <c r="P66" i="25"/>
  <c r="F55" i="33"/>
  <c r="J55" i="33"/>
  <c r="N55" i="33"/>
  <c r="R55" i="33"/>
  <c r="P55" i="33"/>
  <c r="Q55" i="33"/>
  <c r="L39" i="34"/>
  <c r="G39" i="34"/>
  <c r="E55" i="34"/>
  <c r="I55" i="34"/>
  <c r="M55" i="34"/>
  <c r="Q55" i="34"/>
  <c r="F55" i="34"/>
  <c r="J55" i="34"/>
  <c r="N55" i="34"/>
  <c r="R55" i="34"/>
  <c r="G55" i="34"/>
  <c r="K55" i="34"/>
  <c r="O55" i="34"/>
  <c r="D55" i="34"/>
  <c r="H55" i="34"/>
  <c r="L55" i="34"/>
  <c r="P55" i="34"/>
  <c r="J39" i="18"/>
  <c r="G34" i="21"/>
  <c r="F17" i="18"/>
  <c r="O50" i="22"/>
  <c r="O51" i="22" s="1"/>
  <c r="I39" i="34"/>
  <c r="K34" i="21"/>
  <c r="O39" i="35"/>
  <c r="L34" i="21"/>
  <c r="N39" i="35"/>
  <c r="I136" i="22"/>
  <c r="I34" i="21"/>
  <c r="K39" i="33"/>
  <c r="I63" i="25"/>
  <c r="S19" i="18"/>
  <c r="K39" i="35"/>
  <c r="S29" i="22"/>
  <c r="N142" i="18"/>
  <c r="N150" i="18" s="1"/>
  <c r="S12" i="21"/>
  <c r="K145" i="25"/>
  <c r="I55" i="18"/>
  <c r="G42" i="25"/>
  <c r="H75" i="25"/>
  <c r="L72" i="25"/>
  <c r="Q60" i="25"/>
  <c r="J39" i="33"/>
  <c r="F39" i="34"/>
  <c r="J34" i="21"/>
  <c r="O63" i="25"/>
  <c r="P127" i="25"/>
  <c r="N39" i="18"/>
  <c r="E39" i="18"/>
  <c r="Q21" i="25"/>
  <c r="H33" i="25"/>
  <c r="I60" i="25"/>
  <c r="O72" i="25"/>
  <c r="G72" i="25"/>
  <c r="I75" i="25"/>
  <c r="H66" i="25"/>
  <c r="K42" i="25"/>
  <c r="Q69" i="25"/>
  <c r="M72" i="25"/>
  <c r="G75" i="25"/>
  <c r="F66" i="25"/>
  <c r="J66" i="25"/>
  <c r="O42" i="25"/>
  <c r="P63" i="25"/>
  <c r="O21" i="25"/>
  <c r="M33" i="25"/>
  <c r="G57" i="25"/>
  <c r="J72" i="25"/>
  <c r="M75" i="25"/>
  <c r="L42" i="25"/>
  <c r="F42" i="25"/>
  <c r="I42" i="25"/>
  <c r="M63" i="25"/>
  <c r="N63" i="25"/>
  <c r="G63" i="25"/>
  <c r="F39" i="33"/>
  <c r="F63" i="25"/>
  <c r="H63" i="25"/>
  <c r="L63" i="25"/>
  <c r="P42" i="25"/>
  <c r="P33" i="25"/>
  <c r="F34" i="21"/>
  <c r="R34" i="21"/>
  <c r="Q34" i="21"/>
  <c r="L39" i="18"/>
  <c r="S12" i="22"/>
  <c r="M136" i="21"/>
  <c r="D136" i="21"/>
  <c r="L141" i="35"/>
  <c r="O39" i="18"/>
  <c r="R39" i="35"/>
  <c r="F39" i="35"/>
  <c r="F50" i="22"/>
  <c r="F51" i="22" s="1"/>
  <c r="F165" i="22" s="1"/>
  <c r="F167" i="22" s="1"/>
  <c r="K50" i="22"/>
  <c r="K51" i="22" s="1"/>
  <c r="S30" i="21"/>
  <c r="R50" i="21"/>
  <c r="R51" i="21" s="1"/>
  <c r="R160" i="21" s="1"/>
  <c r="F15" i="22" s="1"/>
  <c r="F23" i="22" s="1"/>
  <c r="H142" i="18"/>
  <c r="I142" i="18"/>
  <c r="I150" i="18" s="1"/>
  <c r="I161" i="18" s="1"/>
  <c r="S13" i="35"/>
  <c r="M39" i="35"/>
  <c r="Q39" i="35"/>
  <c r="J39" i="35"/>
  <c r="G39" i="35"/>
  <c r="D39" i="35"/>
  <c r="L39" i="35"/>
  <c r="P39" i="35"/>
  <c r="J55" i="35"/>
  <c r="N55" i="35"/>
  <c r="Q39" i="18"/>
  <c r="K39" i="18"/>
  <c r="H50" i="21"/>
  <c r="H51" i="21" s="1"/>
  <c r="H165" i="21" s="1"/>
  <c r="H167" i="21" s="1"/>
  <c r="L50" i="21"/>
  <c r="L51" i="21" s="1"/>
  <c r="L165" i="21" s="1"/>
  <c r="L167" i="21" s="1"/>
  <c r="I50" i="21"/>
  <c r="I51" i="21" s="1"/>
  <c r="I165" i="21" s="1"/>
  <c r="I167" i="21" s="1"/>
  <c r="E39" i="34"/>
  <c r="S20" i="22"/>
  <c r="S21" i="21"/>
  <c r="K50" i="21"/>
  <c r="K51" i="21" s="1"/>
  <c r="K165" i="21" s="1"/>
  <c r="K167" i="21" s="1"/>
  <c r="F50" i="21"/>
  <c r="F51" i="21" s="1"/>
  <c r="F165" i="21" s="1"/>
  <c r="F167" i="21" s="1"/>
  <c r="N50" i="21"/>
  <c r="N51" i="21" s="1"/>
  <c r="N165" i="21" s="1"/>
  <c r="N167" i="21" s="1"/>
  <c r="J50" i="21"/>
  <c r="J51" i="21" s="1"/>
  <c r="J165" i="21" s="1"/>
  <c r="J167" i="21" s="1"/>
  <c r="S38" i="21"/>
  <c r="P50" i="22"/>
  <c r="P51" i="22" s="1"/>
  <c r="P160" i="22" s="1"/>
  <c r="E50" i="22"/>
  <c r="E51" i="22" s="1"/>
  <c r="E165" i="22" s="1"/>
  <c r="E167" i="22" s="1"/>
  <c r="S37" i="21"/>
  <c r="M142" i="18"/>
  <c r="M150" i="18" s="1"/>
  <c r="M161" i="18" s="1"/>
  <c r="D77" i="8"/>
  <c r="D89" i="8" s="1"/>
  <c r="S37" i="22"/>
  <c r="O136" i="21"/>
  <c r="O141" i="35"/>
  <c r="P34" i="21"/>
  <c r="M34" i="21"/>
  <c r="O50" i="21"/>
  <c r="O51" i="21" s="1"/>
  <c r="P50" i="21"/>
  <c r="P51" i="21" s="1"/>
  <c r="P160" i="21" s="1"/>
  <c r="D15" i="22" s="1"/>
  <c r="S15" i="22" s="1"/>
  <c r="E50" i="21"/>
  <c r="E51" i="21" s="1"/>
  <c r="E165" i="21" s="1"/>
  <c r="E167" i="21" s="1"/>
  <c r="S22" i="22"/>
  <c r="S42" i="22"/>
  <c r="H17" i="18"/>
  <c r="S12" i="35"/>
  <c r="R34" i="22"/>
  <c r="R50" i="22"/>
  <c r="R51" i="22" s="1"/>
  <c r="R160" i="22" s="1"/>
  <c r="S15" i="21"/>
  <c r="S32" i="21"/>
  <c r="H34" i="21"/>
  <c r="S33" i="21"/>
  <c r="S32" i="22"/>
  <c r="S33" i="22"/>
  <c r="S46" i="22"/>
  <c r="S47" i="22"/>
  <c r="S48" i="22"/>
  <c r="S49" i="22"/>
  <c r="S48" i="21"/>
  <c r="S49" i="21"/>
  <c r="S41" i="21"/>
  <c r="D50" i="21"/>
  <c r="D51" i="21" s="1"/>
  <c r="D165" i="21" s="1"/>
  <c r="D167" i="21" s="1"/>
  <c r="D169" i="21" s="1"/>
  <c r="D32" i="23" s="1"/>
  <c r="F69" i="25"/>
  <c r="P21" i="25"/>
  <c r="G21" i="25"/>
  <c r="I21" i="25"/>
  <c r="K33" i="25"/>
  <c r="I33" i="25"/>
  <c r="F57" i="25"/>
  <c r="J57" i="25"/>
  <c r="J60" i="25"/>
  <c r="H60" i="25"/>
  <c r="H72" i="25"/>
  <c r="K72" i="25"/>
  <c r="P72" i="25"/>
  <c r="N75" i="25"/>
  <c r="K75" i="25"/>
  <c r="L75" i="25"/>
  <c r="O75" i="25"/>
  <c r="I69" i="25"/>
  <c r="L55" i="18"/>
  <c r="D55" i="18"/>
  <c r="J63" i="25"/>
  <c r="H42" i="25"/>
  <c r="G66" i="25"/>
  <c r="L66" i="25"/>
  <c r="Q75" i="25"/>
  <c r="F75" i="25"/>
  <c r="Q72" i="25"/>
  <c r="F72" i="25"/>
  <c r="L60" i="25"/>
  <c r="K60" i="25"/>
  <c r="N57" i="25"/>
  <c r="L33" i="25"/>
  <c r="H136" i="21"/>
  <c r="K141" i="35"/>
  <c r="K21" i="25"/>
  <c r="N21" i="25"/>
  <c r="F39" i="18"/>
  <c r="R39" i="33"/>
  <c r="Q39" i="33"/>
  <c r="O39" i="33"/>
  <c r="S28" i="22"/>
  <c r="E39" i="35"/>
  <c r="H39" i="35"/>
  <c r="E34" i="21"/>
  <c r="O34" i="21"/>
  <c r="L39" i="33"/>
  <c r="J39" i="34"/>
  <c r="R127" i="25"/>
  <c r="S19" i="21"/>
  <c r="I39" i="35"/>
  <c r="M141" i="33"/>
  <c r="J141" i="33"/>
  <c r="H141" i="33"/>
  <c r="K141" i="33"/>
  <c r="L141" i="34"/>
  <c r="E141" i="34"/>
  <c r="N141" i="34"/>
  <c r="R39" i="34"/>
  <c r="O145" i="25"/>
  <c r="M55" i="18"/>
  <c r="S25" i="18"/>
  <c r="H55" i="18"/>
  <c r="J42" i="25"/>
  <c r="N42" i="25"/>
  <c r="I66" i="25"/>
  <c r="M66" i="25"/>
  <c r="K66" i="25"/>
  <c r="J75" i="25"/>
  <c r="Q63" i="25"/>
  <c r="K63" i="25"/>
  <c r="Q42" i="25"/>
  <c r="M42" i="25"/>
  <c r="P75" i="25"/>
  <c r="N72" i="25"/>
  <c r="I72" i="25"/>
  <c r="F60" i="25"/>
  <c r="I57" i="25"/>
  <c r="Q33" i="25"/>
  <c r="O33" i="25"/>
  <c r="M21" i="25"/>
  <c r="L21" i="25"/>
  <c r="P39" i="18"/>
  <c r="I39" i="33"/>
  <c r="S26" i="21"/>
  <c r="D34" i="21"/>
  <c r="S43" i="21"/>
  <c r="M141" i="35"/>
  <c r="E141" i="35"/>
  <c r="D141" i="35"/>
  <c r="G136" i="21"/>
  <c r="F136" i="21"/>
  <c r="N34" i="22"/>
  <c r="S26" i="22"/>
  <c r="P39" i="34"/>
  <c r="Q39" i="34"/>
  <c r="J17" i="18"/>
  <c r="S39" i="22"/>
  <c r="N34" i="21"/>
  <c r="S27" i="22"/>
  <c r="N39" i="33"/>
  <c r="S41" i="22"/>
  <c r="M50" i="22"/>
  <c r="M51" i="22" s="1"/>
  <c r="S27" i="21"/>
  <c r="R151" i="25"/>
  <c r="Q122" i="25"/>
  <c r="E39" i="33"/>
  <c r="O39" i="34"/>
  <c r="D34" i="22"/>
  <c r="S31" i="22"/>
  <c r="S22" i="21"/>
  <c r="S14" i="35"/>
  <c r="S15" i="35"/>
  <c r="D55" i="35"/>
  <c r="H55" i="35"/>
  <c r="L55" i="35"/>
  <c r="E55" i="35"/>
  <c r="I55" i="35"/>
  <c r="M55" i="35"/>
  <c r="Q55" i="35"/>
  <c r="F55" i="35"/>
  <c r="R55" i="35"/>
  <c r="G55" i="35"/>
  <c r="K55" i="35"/>
  <c r="O55" i="35"/>
  <c r="G39" i="18"/>
  <c r="M39" i="34"/>
  <c r="J34" i="22"/>
  <c r="S14" i="22"/>
  <c r="S43" i="22"/>
  <c r="N50" i="22"/>
  <c r="N51" i="22" s="1"/>
  <c r="N165" i="22" s="1"/>
  <c r="N167" i="22" s="1"/>
  <c r="S40" i="22"/>
  <c r="L50" i="22"/>
  <c r="L51" i="22" s="1"/>
  <c r="F136" i="22"/>
  <c r="K136" i="22"/>
  <c r="M39" i="18"/>
  <c r="D50" i="22"/>
  <c r="D51" i="22" s="1"/>
  <c r="D165" i="22" s="1"/>
  <c r="K69" i="25"/>
  <c r="P139" i="25"/>
  <c r="S28" i="21"/>
  <c r="S14" i="18"/>
  <c r="I122" i="25"/>
  <c r="O17" i="18"/>
  <c r="S13" i="18"/>
  <c r="S15" i="18"/>
  <c r="Q51" i="25"/>
  <c r="H54" i="25"/>
  <c r="J54" i="25"/>
  <c r="P51" i="25"/>
  <c r="L54" i="25"/>
  <c r="H51" i="25"/>
  <c r="G152" i="25"/>
  <c r="O51" i="25"/>
  <c r="Q54" i="25"/>
  <c r="K45" i="25"/>
  <c r="M54" i="25"/>
  <c r="K51" i="25"/>
  <c r="L51" i="25"/>
  <c r="I54" i="25"/>
  <c r="N54" i="25"/>
  <c r="I51" i="25"/>
  <c r="P54" i="25"/>
  <c r="J88" i="25"/>
  <c r="I120" i="25"/>
  <c r="O124" i="25"/>
  <c r="K54" i="25"/>
  <c r="O54" i="25"/>
  <c r="O129" i="25"/>
  <c r="M136" i="25"/>
  <c r="O118" i="25"/>
  <c r="J51" i="25"/>
  <c r="M51" i="25"/>
  <c r="N155" i="25"/>
  <c r="N106" i="25"/>
  <c r="Q110" i="25"/>
  <c r="K143" i="25"/>
  <c r="O107" i="25"/>
  <c r="M123" i="25"/>
  <c r="G69" i="25"/>
  <c r="L129" i="25"/>
  <c r="F152" i="25"/>
  <c r="L121" i="25"/>
  <c r="O143" i="25"/>
  <c r="H138" i="25"/>
  <c r="J142" i="25"/>
  <c r="F123" i="25"/>
  <c r="M148" i="25"/>
  <c r="P106" i="25"/>
  <c r="M118" i="25"/>
  <c r="N121" i="25"/>
  <c r="O139" i="25"/>
  <c r="M69" i="25"/>
  <c r="H69" i="25"/>
  <c r="J69" i="25"/>
  <c r="P69" i="25"/>
  <c r="O69" i="25"/>
  <c r="N51" i="25"/>
  <c r="H119" i="25"/>
  <c r="G124" i="25"/>
  <c r="M106" i="25"/>
  <c r="Q136" i="25"/>
  <c r="F144" i="25"/>
  <c r="P110" i="25"/>
  <c r="J139" i="25"/>
  <c r="L123" i="25"/>
  <c r="N69" i="25"/>
  <c r="J21" i="25"/>
  <c r="J33" i="25"/>
  <c r="N33" i="25"/>
  <c r="H21" i="25"/>
  <c r="G117" i="25"/>
  <c r="M57" i="25"/>
  <c r="H57" i="25"/>
  <c r="L57" i="25"/>
  <c r="Q57" i="25"/>
  <c r="O57" i="25"/>
  <c r="P57" i="25"/>
  <c r="K57" i="25"/>
  <c r="G60" i="25"/>
  <c r="P60" i="25"/>
  <c r="O60" i="25"/>
  <c r="S24" i="18"/>
  <c r="S23" i="18"/>
  <c r="O55" i="18"/>
  <c r="K55" i="18"/>
  <c r="G55" i="18"/>
  <c r="R55" i="18"/>
  <c r="Q55" i="18"/>
  <c r="P55" i="18"/>
  <c r="M136" i="22"/>
  <c r="J136" i="22"/>
  <c r="L136" i="22"/>
  <c r="R128" i="25"/>
  <c r="E136" i="22"/>
  <c r="N136" i="22"/>
  <c r="H39" i="18"/>
  <c r="T12" i="21"/>
  <c r="L69" i="25"/>
  <c r="G50" i="21"/>
  <c r="G51" i="21" s="1"/>
  <c r="G165" i="21" s="1"/>
  <c r="G167" i="21" s="1"/>
  <c r="H50" i="22"/>
  <c r="H51" i="22" s="1"/>
  <c r="H165" i="22" s="1"/>
  <c r="H167" i="22" s="1"/>
  <c r="G107" i="25"/>
  <c r="I114" i="25"/>
  <c r="H136" i="22"/>
  <c r="I39" i="18"/>
  <c r="R122" i="25"/>
  <c r="J136" i="21"/>
  <c r="E136" i="21"/>
  <c r="L136" i="21"/>
  <c r="N141" i="35"/>
  <c r="F141" i="35"/>
  <c r="M39" i="33"/>
  <c r="P39" i="33"/>
  <c r="H39" i="33"/>
  <c r="H39" i="34"/>
  <c r="P34" i="22"/>
  <c r="F34" i="22"/>
  <c r="L34" i="22"/>
  <c r="J50" i="22"/>
  <c r="J51" i="22" s="1"/>
  <c r="S30" i="22"/>
  <c r="K34" i="22"/>
  <c r="S40" i="21"/>
  <c r="S31" i="21"/>
  <c r="Q45" i="25"/>
  <c r="S46" i="21"/>
  <c r="G34" i="22"/>
  <c r="Q34" i="22"/>
  <c r="H34" i="22"/>
  <c r="S38" i="22"/>
  <c r="S16" i="21"/>
  <c r="D39" i="33"/>
  <c r="G39" i="33"/>
  <c r="M34" i="22"/>
  <c r="O34" i="22"/>
  <c r="M50" i="21"/>
  <c r="M51" i="21" s="1"/>
  <c r="M165" i="21" s="1"/>
  <c r="M167" i="21" s="1"/>
  <c r="K39" i="34"/>
  <c r="S29" i="21"/>
  <c r="D39" i="34"/>
  <c r="G50" i="22"/>
  <c r="G51" i="22" s="1"/>
  <c r="G165" i="22" s="1"/>
  <c r="G167" i="22" s="1"/>
  <c r="I50" i="22"/>
  <c r="I51" i="22" s="1"/>
  <c r="I165" i="22" s="1"/>
  <c r="I167" i="22" s="1"/>
  <c r="J142" i="18"/>
  <c r="J150" i="18" s="1"/>
  <c r="J161" i="18" s="1"/>
  <c r="O142" i="18"/>
  <c r="O150" i="18" s="1"/>
  <c r="O161" i="18" s="1"/>
  <c r="E142" i="18"/>
  <c r="E150" i="18" s="1"/>
  <c r="E161" i="18" s="1"/>
  <c r="S21" i="22"/>
  <c r="I34" i="22"/>
  <c r="N39" i="34"/>
  <c r="S19" i="22"/>
  <c r="E34" i="22"/>
  <c r="Q50" i="21"/>
  <c r="Q51" i="21" s="1"/>
  <c r="Q160" i="21" s="1"/>
  <c r="E15" i="22" s="1"/>
  <c r="E23" i="22" s="1"/>
  <c r="S14" i="21"/>
  <c r="D142" i="18"/>
  <c r="D150" i="18" s="1"/>
  <c r="D161" i="18" s="1"/>
  <c r="L142" i="18"/>
  <c r="L150" i="18" s="1"/>
  <c r="L161" i="18" s="1"/>
  <c r="F142" i="18"/>
  <c r="F150" i="18" s="1"/>
  <c r="F161" i="18" s="1"/>
  <c r="S42" i="21"/>
  <c r="H141" i="34"/>
  <c r="O141" i="34"/>
  <c r="J141" i="34"/>
  <c r="D141" i="34"/>
  <c r="K141" i="34"/>
  <c r="F141" i="34"/>
  <c r="M141" i="34"/>
  <c r="G141" i="34"/>
  <c r="I141" i="34"/>
  <c r="S20" i="21"/>
  <c r="F96" i="9"/>
  <c r="S12" i="18"/>
  <c r="D17" i="18"/>
  <c r="L17" i="18"/>
  <c r="F141" i="33"/>
  <c r="S13" i="22"/>
  <c r="G33" i="15"/>
  <c r="S39" i="21"/>
  <c r="I17" i="18"/>
  <c r="H31" i="15"/>
  <c r="H32" i="15"/>
  <c r="I31" i="15"/>
  <c r="I33" i="15"/>
  <c r="I32" i="15"/>
  <c r="N17" i="18"/>
  <c r="D31" i="15"/>
  <c r="D33" i="15"/>
  <c r="D32" i="15"/>
  <c r="S13" i="21"/>
  <c r="G17" i="18"/>
  <c r="K17" i="18"/>
  <c r="P45" i="25"/>
  <c r="H55" i="33"/>
  <c r="L55" i="33"/>
  <c r="I55" i="33"/>
  <c r="M55" i="33"/>
  <c r="G55" i="33"/>
  <c r="K55" i="33"/>
  <c r="O55" i="33"/>
  <c r="E55" i="33"/>
  <c r="D55" i="33"/>
  <c r="U97" i="9"/>
  <c r="I62" i="8"/>
  <c r="V97" i="9" s="1"/>
  <c r="N142" i="33"/>
  <c r="D142" i="33"/>
  <c r="I142" i="33"/>
  <c r="K142" i="33"/>
  <c r="G131" i="22"/>
  <c r="D131" i="22"/>
  <c r="F131" i="22"/>
  <c r="M131" i="22"/>
  <c r="I131" i="22"/>
  <c r="J131" i="22"/>
  <c r="O131" i="22"/>
  <c r="H131" i="22"/>
  <c r="L131" i="22"/>
  <c r="E131" i="22"/>
  <c r="N131" i="22"/>
  <c r="K131" i="22"/>
  <c r="U89" i="9"/>
  <c r="I53" i="8"/>
  <c r="V88" i="9" s="1"/>
  <c r="U88" i="9"/>
  <c r="I50" i="8"/>
  <c r="V85" i="9" s="1"/>
  <c r="U85" i="9"/>
  <c r="I48" i="8"/>
  <c r="V84" i="9" s="1"/>
  <c r="U84" i="9"/>
  <c r="O132" i="34"/>
  <c r="E132" i="34"/>
  <c r="J132" i="34"/>
  <c r="D132" i="34"/>
  <c r="I132" i="34"/>
  <c r="N132" i="34"/>
  <c r="G132" i="34"/>
  <c r="H132" i="34"/>
  <c r="U83" i="9"/>
  <c r="I47" i="8"/>
  <c r="V83" i="9" s="1"/>
  <c r="J131" i="33"/>
  <c r="D131" i="33"/>
  <c r="I131" i="33"/>
  <c r="G131" i="33"/>
  <c r="H131" i="33"/>
  <c r="M131" i="33"/>
  <c r="N131" i="33"/>
  <c r="K131" i="33"/>
  <c r="U82" i="9"/>
  <c r="I46" i="8"/>
  <c r="V82" i="9" s="1"/>
  <c r="K130" i="34"/>
  <c r="E130" i="34"/>
  <c r="J130" i="34"/>
  <c r="D130" i="34"/>
  <c r="I130" i="34"/>
  <c r="U81" i="9"/>
  <c r="I45" i="8"/>
  <c r="V81" i="9" s="1"/>
  <c r="I44" i="8"/>
  <c r="V80" i="9" s="1"/>
  <c r="U80" i="9"/>
  <c r="K128" i="34"/>
  <c r="L128" i="34"/>
  <c r="F128" i="34"/>
  <c r="D128" i="34"/>
  <c r="I128" i="34"/>
  <c r="N128" i="34"/>
  <c r="G128" i="34"/>
  <c r="H128" i="34"/>
  <c r="F127" i="34"/>
  <c r="L127" i="34"/>
  <c r="K127" i="34"/>
  <c r="M127" i="34"/>
  <c r="H127" i="34"/>
  <c r="G127" i="34"/>
  <c r="J127" i="34"/>
  <c r="E127" i="34"/>
  <c r="O127" i="34"/>
  <c r="N127" i="34"/>
  <c r="I127" i="34"/>
  <c r="D127" i="34"/>
  <c r="H43" i="8"/>
  <c r="E77" i="8"/>
  <c r="E89" i="8" s="1"/>
  <c r="R76" i="9"/>
  <c r="G150" i="18"/>
  <c r="G161" i="18" s="1"/>
  <c r="T76" i="9"/>
  <c r="T103" i="9" s="1"/>
  <c r="J20" i="16" s="1"/>
  <c r="H40" i="8"/>
  <c r="G77" i="8"/>
  <c r="J92" i="25"/>
  <c r="R92" i="25" s="1"/>
  <c r="H150" i="18"/>
  <c r="H161" i="18" s="1"/>
  <c r="H77" i="8"/>
  <c r="I37" i="8"/>
  <c r="V73" i="9" s="1"/>
  <c r="U73" i="9"/>
  <c r="F114" i="22"/>
  <c r="I114" i="22"/>
  <c r="J114" i="22"/>
  <c r="K114" i="22"/>
  <c r="L114" i="22"/>
  <c r="E114" i="22"/>
  <c r="D114" i="22"/>
  <c r="G114" i="22"/>
  <c r="M114" i="22"/>
  <c r="H114" i="22"/>
  <c r="O114" i="22"/>
  <c r="N114" i="22"/>
  <c r="K119" i="34"/>
  <c r="H119" i="34"/>
  <c r="M119" i="34"/>
  <c r="F119" i="35"/>
  <c r="O119" i="35"/>
  <c r="E119" i="35"/>
  <c r="J114" i="21"/>
  <c r="F114" i="21"/>
  <c r="D114" i="21"/>
  <c r="O119" i="34"/>
  <c r="L119" i="34"/>
  <c r="F119" i="34"/>
  <c r="N119" i="35"/>
  <c r="D119" i="35"/>
  <c r="I119" i="35"/>
  <c r="N114" i="21"/>
  <c r="G119" i="34"/>
  <c r="E119" i="34"/>
  <c r="G119" i="35"/>
  <c r="H119" i="35"/>
  <c r="M119" i="35"/>
  <c r="K114" i="21"/>
  <c r="G114" i="21"/>
  <c r="U51" i="9"/>
  <c r="I13" i="8"/>
  <c r="V51" i="9" s="1"/>
  <c r="E113" i="33"/>
  <c r="J98" i="22"/>
  <c r="M98" i="22"/>
  <c r="K103" i="34"/>
  <c r="L103" i="34"/>
  <c r="E98" i="21"/>
  <c r="G98" i="21"/>
  <c r="H98" i="21"/>
  <c r="O98" i="22"/>
  <c r="L98" i="22"/>
  <c r="E98" i="22"/>
  <c r="O103" i="35"/>
  <c r="L103" i="35"/>
  <c r="M103" i="35"/>
  <c r="O103" i="34"/>
  <c r="E103" i="34"/>
  <c r="J103" i="34"/>
  <c r="M103" i="33"/>
  <c r="I103" i="33"/>
  <c r="G103" i="33"/>
  <c r="F98" i="22"/>
  <c r="F103" i="34"/>
  <c r="O98" i="21"/>
  <c r="J98" i="21"/>
  <c r="F98" i="21"/>
  <c r="H98" i="22"/>
  <c r="D98" i="22"/>
  <c r="F103" i="35"/>
  <c r="J103" i="35"/>
  <c r="D103" i="34"/>
  <c r="I103" i="34"/>
  <c r="H103" i="33"/>
  <c r="F103" i="33"/>
  <c r="U54" i="9"/>
  <c r="I16" i="8"/>
  <c r="V54" i="9" s="1"/>
  <c r="G29" i="8"/>
  <c r="T54" i="9"/>
  <c r="T65" i="9" s="1"/>
  <c r="J19" i="16" s="1"/>
  <c r="M97" i="22"/>
  <c r="L97" i="22"/>
  <c r="H97" i="22"/>
  <c r="E97" i="22"/>
  <c r="F97" i="22"/>
  <c r="K97" i="22"/>
  <c r="J97" i="22"/>
  <c r="N97" i="22"/>
  <c r="G97" i="22"/>
  <c r="O97" i="22"/>
  <c r="I97" i="22"/>
  <c r="D97" i="22"/>
  <c r="D102" i="34"/>
  <c r="I102" i="34"/>
  <c r="N102" i="34"/>
  <c r="G102" i="34"/>
  <c r="H102" i="34"/>
  <c r="M96" i="22"/>
  <c r="L96" i="22"/>
  <c r="K96" i="22"/>
  <c r="G96" i="22"/>
  <c r="O96" i="22"/>
  <c r="I96" i="22"/>
  <c r="N96" i="22"/>
  <c r="H96" i="22"/>
  <c r="E96" i="22"/>
  <c r="F96" i="22"/>
  <c r="J96" i="22"/>
  <c r="D96" i="22"/>
  <c r="D101" i="34"/>
  <c r="M101" i="34"/>
  <c r="G101" i="34"/>
  <c r="I113" i="33"/>
  <c r="U52" i="9"/>
  <c r="H101" i="34"/>
  <c r="F101" i="34"/>
  <c r="K101" i="34"/>
  <c r="E101" i="34"/>
  <c r="E113" i="34" s="1"/>
  <c r="J101" i="34"/>
  <c r="J113" i="34" s="1"/>
  <c r="K113" i="33"/>
  <c r="H113" i="33"/>
  <c r="U50" i="9"/>
  <c r="I12" i="8"/>
  <c r="V50" i="9" s="1"/>
  <c r="D99" i="34"/>
  <c r="I99" i="34"/>
  <c r="N99" i="34"/>
  <c r="O113" i="34"/>
  <c r="G99" i="34"/>
  <c r="H99" i="34"/>
  <c r="M99" i="34"/>
  <c r="K99" i="34"/>
  <c r="L99" i="34"/>
  <c r="U48" i="9"/>
  <c r="I10" i="8"/>
  <c r="V48" i="9" s="1"/>
  <c r="H97" i="34"/>
  <c r="M97" i="34"/>
  <c r="M113" i="34" s="1"/>
  <c r="G97" i="34"/>
  <c r="L97" i="34"/>
  <c r="F97" i="34"/>
  <c r="K97" i="34"/>
  <c r="N97" i="33"/>
  <c r="O97" i="33"/>
  <c r="L97" i="33"/>
  <c r="L113" i="33" s="1"/>
  <c r="R65" i="9"/>
  <c r="D97" i="34"/>
  <c r="I97" i="34"/>
  <c r="F97" i="33"/>
  <c r="G97" i="33"/>
  <c r="V47" i="9"/>
  <c r="I29" i="8"/>
  <c r="U65" i="9"/>
  <c r="D91" i="21"/>
  <c r="N91" i="21"/>
  <c r="O91" i="21"/>
  <c r="N96" i="35"/>
  <c r="K96" i="35"/>
  <c r="L96" i="35"/>
  <c r="H29" i="8"/>
  <c r="E91" i="21"/>
  <c r="F91" i="21"/>
  <c r="G91" i="21"/>
  <c r="J96" i="35"/>
  <c r="O96" i="35"/>
  <c r="E96" i="35"/>
  <c r="H91" i="21"/>
  <c r="J91" i="21"/>
  <c r="K91" i="21"/>
  <c r="F96" i="35"/>
  <c r="D96" i="35"/>
  <c r="F24" i="13"/>
  <c r="F87" i="13" s="1"/>
  <c r="F87" i="12"/>
  <c r="V33" i="13"/>
  <c r="Y33" i="13" s="1"/>
  <c r="Z33" i="13" s="1"/>
  <c r="Q33" i="13"/>
  <c r="R33" i="13"/>
  <c r="Q8" i="13"/>
  <c r="R8" i="13"/>
  <c r="V8" i="13"/>
  <c r="P89" i="13"/>
  <c r="Q24" i="13"/>
  <c r="V26" i="13"/>
  <c r="R26" i="13"/>
  <c r="Q26" i="13"/>
  <c r="M30" i="13"/>
  <c r="V22" i="9"/>
  <c r="J68" i="22" s="1"/>
  <c r="G61" i="22"/>
  <c r="E71" i="21"/>
  <c r="I7" i="13"/>
  <c r="J7" i="13" s="1"/>
  <c r="M7" i="13" s="1"/>
  <c r="R7" i="13" s="1"/>
  <c r="P87" i="12"/>
  <c r="U34" i="9" s="1"/>
  <c r="L80" i="21" s="1"/>
  <c r="R9" i="12"/>
  <c r="Y17" i="12"/>
  <c r="Z17" i="12" s="1"/>
  <c r="I25" i="13"/>
  <c r="J25" i="13" s="1"/>
  <c r="M25" i="13" s="1"/>
  <c r="G71" i="21"/>
  <c r="N61" i="21"/>
  <c r="H76" i="35"/>
  <c r="D76" i="35"/>
  <c r="Y15" i="12"/>
  <c r="Z15" i="12" s="1"/>
  <c r="R7" i="12"/>
  <c r="V7" i="12"/>
  <c r="Q7" i="12"/>
  <c r="Q7" i="13"/>
  <c r="V23" i="12"/>
  <c r="Q23" i="12"/>
  <c r="R23" i="12"/>
  <c r="Q25" i="12"/>
  <c r="V25" i="12"/>
  <c r="R25" i="12"/>
  <c r="Q33" i="11"/>
  <c r="R33" i="11"/>
  <c r="V33" i="11"/>
  <c r="Y33" i="11" s="1"/>
  <c r="Z33" i="11" s="1"/>
  <c r="R23" i="13"/>
  <c r="Q23" i="13"/>
  <c r="J11" i="11"/>
  <c r="I11" i="12"/>
  <c r="Q31" i="13"/>
  <c r="R31" i="13"/>
  <c r="R30" i="12"/>
  <c r="V30" i="12"/>
  <c r="Q32" i="11"/>
  <c r="V32" i="11"/>
  <c r="E76" i="35"/>
  <c r="V31" i="13"/>
  <c r="Q26" i="11"/>
  <c r="Y26" i="11" s="1"/>
  <c r="Z26" i="11" s="1"/>
  <c r="Q14" i="12"/>
  <c r="R14" i="12"/>
  <c r="V14" i="12"/>
  <c r="I19" i="12"/>
  <c r="J19" i="12" s="1"/>
  <c r="M19" i="12" s="1"/>
  <c r="J19" i="11"/>
  <c r="M19" i="11" s="1"/>
  <c r="Q27" i="11"/>
  <c r="V27" i="11"/>
  <c r="R27" i="11"/>
  <c r="J32" i="12"/>
  <c r="I32" i="13"/>
  <c r="J32" i="13" s="1"/>
  <c r="V24" i="11"/>
  <c r="R24" i="11"/>
  <c r="V28" i="12"/>
  <c r="R28" i="12"/>
  <c r="I29" i="12"/>
  <c r="J29" i="11"/>
  <c r="M29" i="11" s="1"/>
  <c r="E61" i="22"/>
  <c r="G73" i="34"/>
  <c r="J58" i="22"/>
  <c r="F71" i="22"/>
  <c r="N61" i="22"/>
  <c r="K76" i="35"/>
  <c r="M76" i="35"/>
  <c r="O57" i="21"/>
  <c r="L63" i="35"/>
  <c r="K73" i="34"/>
  <c r="N78" i="34"/>
  <c r="V23" i="13"/>
  <c r="V18" i="12"/>
  <c r="Q18" i="12"/>
  <c r="Q30" i="12"/>
  <c r="Y7" i="11"/>
  <c r="Z7" i="11" s="1"/>
  <c r="R32" i="11"/>
  <c r="O10" i="12"/>
  <c r="V10" i="12"/>
  <c r="R10" i="11"/>
  <c r="V10" i="11"/>
  <c r="R14" i="11"/>
  <c r="V14" i="11"/>
  <c r="Q14" i="11"/>
  <c r="V9" i="11"/>
  <c r="R9" i="11"/>
  <c r="Q18" i="11"/>
  <c r="Y18" i="11" s="1"/>
  <c r="Z18" i="11" s="1"/>
  <c r="R18" i="11"/>
  <c r="R23" i="11"/>
  <c r="V23" i="11"/>
  <c r="Y23" i="11" s="1"/>
  <c r="Z23" i="11" s="1"/>
  <c r="V26" i="12"/>
  <c r="Q26" i="12"/>
  <c r="R26" i="12"/>
  <c r="Q8" i="11"/>
  <c r="V8" i="11"/>
  <c r="Y8" i="11" s="1"/>
  <c r="Z8" i="11" s="1"/>
  <c r="J13" i="12"/>
  <c r="M13" i="12" s="1"/>
  <c r="I13" i="13"/>
  <c r="J13" i="13" s="1"/>
  <c r="M13" i="13" s="1"/>
  <c r="Q25" i="11"/>
  <c r="R25" i="11"/>
  <c r="V25" i="11"/>
  <c r="R28" i="13"/>
  <c r="Q28" i="13"/>
  <c r="R30" i="11"/>
  <c r="V30" i="11"/>
  <c r="J21" i="11"/>
  <c r="P87" i="13"/>
  <c r="V34" i="9" s="1"/>
  <c r="F80" i="22" s="1"/>
  <c r="Y27" i="11"/>
  <c r="Z27" i="11" s="1"/>
  <c r="I27" i="13"/>
  <c r="J27" i="13" s="1"/>
  <c r="J27" i="12"/>
  <c r="D62" i="34"/>
  <c r="N63" i="34"/>
  <c r="O76" i="33"/>
  <c r="D76" i="33"/>
  <c r="K76" i="33"/>
  <c r="G60" i="33"/>
  <c r="D60" i="33"/>
  <c r="J60" i="33"/>
  <c r="F74" i="33"/>
  <c r="K74" i="33"/>
  <c r="L74" i="33"/>
  <c r="F79" i="33"/>
  <c r="K79" i="33"/>
  <c r="L79" i="33"/>
  <c r="E63" i="34"/>
  <c r="N71" i="22"/>
  <c r="M71" i="22"/>
  <c r="E62" i="34"/>
  <c r="N76" i="33"/>
  <c r="J76" i="33"/>
  <c r="M76" i="33"/>
  <c r="P87" i="11"/>
  <c r="T34" i="9" s="1"/>
  <c r="N85" i="34" s="1"/>
  <c r="L60" i="33"/>
  <c r="N60" i="33"/>
  <c r="H60" i="33"/>
  <c r="M60" i="33"/>
  <c r="E74" i="33"/>
  <c r="J74" i="33"/>
  <c r="O74" i="33"/>
  <c r="E79" i="33"/>
  <c r="J79" i="33"/>
  <c r="O79" i="33"/>
  <c r="H74" i="18"/>
  <c r="J36" i="25" s="1"/>
  <c r="I63" i="35"/>
  <c r="N58" i="21"/>
  <c r="H63" i="35"/>
  <c r="G58" i="21"/>
  <c r="G78" i="34"/>
  <c r="L78" i="34"/>
  <c r="M63" i="34"/>
  <c r="M58" i="22"/>
  <c r="F57" i="22"/>
  <c r="D61" i="21"/>
  <c r="J63" i="35"/>
  <c r="O63" i="35"/>
  <c r="F63" i="35"/>
  <c r="D73" i="34"/>
  <c r="J73" i="34"/>
  <c r="J62" i="34"/>
  <c r="O78" i="34"/>
  <c r="H78" i="34"/>
  <c r="H76" i="33"/>
  <c r="G76" i="33"/>
  <c r="F60" i="33"/>
  <c r="O60" i="33"/>
  <c r="I74" i="33"/>
  <c r="N74" i="33"/>
  <c r="I79" i="33"/>
  <c r="N79" i="33"/>
  <c r="J74" i="18"/>
  <c r="L36" i="25" s="1"/>
  <c r="I21" i="13"/>
  <c r="J21" i="13" s="1"/>
  <c r="J21" i="12"/>
  <c r="L58" i="22"/>
  <c r="I58" i="22"/>
  <c r="G58" i="22"/>
  <c r="E71" i="22"/>
  <c r="L71" i="22"/>
  <c r="D71" i="22"/>
  <c r="J57" i="22"/>
  <c r="D61" i="22"/>
  <c r="H68" i="21"/>
  <c r="F61" i="21"/>
  <c r="F66" i="35"/>
  <c r="O76" i="35"/>
  <c r="H62" i="35"/>
  <c r="K58" i="21"/>
  <c r="E58" i="21"/>
  <c r="M73" i="34"/>
  <c r="H73" i="34"/>
  <c r="O73" i="34"/>
  <c r="M62" i="34"/>
  <c r="D78" i="34"/>
  <c r="K78" i="34"/>
  <c r="M78" i="34"/>
  <c r="N62" i="33"/>
  <c r="N75" i="34"/>
  <c r="F75" i="34"/>
  <c r="O75" i="34"/>
  <c r="J77" i="33"/>
  <c r="F58" i="22"/>
  <c r="D58" i="22"/>
  <c r="I71" i="22"/>
  <c r="K71" i="22"/>
  <c r="J71" i="22"/>
  <c r="D57" i="22"/>
  <c r="E61" i="21"/>
  <c r="F73" i="34"/>
  <c r="I73" i="34"/>
  <c r="K66" i="34"/>
  <c r="I78" i="34"/>
  <c r="E78" i="34"/>
  <c r="E71" i="33"/>
  <c r="O62" i="33"/>
  <c r="E75" i="34"/>
  <c r="H75" i="34"/>
  <c r="G75" i="34"/>
  <c r="V21" i="10"/>
  <c r="E58" i="22"/>
  <c r="H58" i="22"/>
  <c r="H71" i="22"/>
  <c r="O71" i="22"/>
  <c r="I62" i="35"/>
  <c r="L66" i="34"/>
  <c r="J75" i="34"/>
  <c r="M75" i="34"/>
  <c r="R21" i="10"/>
  <c r="R12" i="13"/>
  <c r="O57" i="22"/>
  <c r="G57" i="22"/>
  <c r="O12" i="11"/>
  <c r="R12" i="11"/>
  <c r="V12" i="11"/>
  <c r="H73" i="35"/>
  <c r="M68" i="21"/>
  <c r="J68" i="21"/>
  <c r="L68" i="21"/>
  <c r="D73" i="35"/>
  <c r="G73" i="35"/>
  <c r="D68" i="21"/>
  <c r="L73" i="35"/>
  <c r="I68" i="21"/>
  <c r="F68" i="21"/>
  <c r="I57" i="22"/>
  <c r="K57" i="22"/>
  <c r="H57" i="22"/>
  <c r="E68" i="21"/>
  <c r="N73" i="35"/>
  <c r="E73" i="35"/>
  <c r="N62" i="35"/>
  <c r="G57" i="21"/>
  <c r="V12" i="10"/>
  <c r="Y12" i="10" s="1"/>
  <c r="Z12" i="10" s="1"/>
  <c r="R12" i="10"/>
  <c r="M88" i="10"/>
  <c r="G62" i="35"/>
  <c r="D57" i="21"/>
  <c r="J62" i="35"/>
  <c r="E62" i="35"/>
  <c r="F57" i="21"/>
  <c r="E57" i="21"/>
  <c r="N57" i="21"/>
  <c r="M57" i="21"/>
  <c r="D62" i="35"/>
  <c r="K62" i="35"/>
  <c r="F62" i="35"/>
  <c r="K57" i="21"/>
  <c r="L57" i="22"/>
  <c r="J73" i="35"/>
  <c r="O73" i="35"/>
  <c r="O68" i="21"/>
  <c r="G68" i="21"/>
  <c r="O62" i="35"/>
  <c r="L62" i="35"/>
  <c r="I57" i="21"/>
  <c r="M66" i="34"/>
  <c r="N66" i="34"/>
  <c r="E66" i="34"/>
  <c r="G66" i="34"/>
  <c r="F66" i="34"/>
  <c r="D66" i="34"/>
  <c r="I73" i="35"/>
  <c r="N57" i="22"/>
  <c r="E57" i="22"/>
  <c r="M73" i="35"/>
  <c r="F73" i="35"/>
  <c r="K73" i="35"/>
  <c r="M62" i="35"/>
  <c r="H57" i="21"/>
  <c r="J57" i="21"/>
  <c r="O61" i="22"/>
  <c r="J61" i="22"/>
  <c r="K61" i="22"/>
  <c r="L66" i="35"/>
  <c r="H61" i="21"/>
  <c r="J66" i="35"/>
  <c r="D66" i="35"/>
  <c r="K66" i="35"/>
  <c r="O61" i="21"/>
  <c r="K61" i="21"/>
  <c r="E66" i="35"/>
  <c r="L61" i="21"/>
  <c r="G61" i="21"/>
  <c r="J66" i="34"/>
  <c r="L71" i="33"/>
  <c r="O71" i="33"/>
  <c r="N71" i="33"/>
  <c r="H71" i="33"/>
  <c r="K71" i="33"/>
  <c r="J71" i="33"/>
  <c r="D71" i="33"/>
  <c r="G71" i="33"/>
  <c r="F71" i="33"/>
  <c r="R30" i="9"/>
  <c r="H16" i="16" s="1"/>
  <c r="H62" i="33"/>
  <c r="K62" i="33"/>
  <c r="J62" i="33"/>
  <c r="D62" i="33"/>
  <c r="G62" i="33"/>
  <c r="F62" i="33"/>
  <c r="E62" i="33"/>
  <c r="I62" i="33"/>
  <c r="M62" i="33"/>
  <c r="E63" i="33"/>
  <c r="E63" i="18"/>
  <c r="L77" i="33"/>
  <c r="K77" i="33"/>
  <c r="F77" i="33"/>
  <c r="H77" i="33"/>
  <c r="G77" i="33"/>
  <c r="M77" i="33"/>
  <c r="D77" i="33"/>
  <c r="N77" i="33"/>
  <c r="I77" i="33"/>
  <c r="F21" i="9"/>
  <c r="D30" i="9"/>
  <c r="D44" i="9" s="1"/>
  <c r="I72" i="18"/>
  <c r="K30" i="25" s="1"/>
  <c r="L72" i="18"/>
  <c r="N30" i="25" s="1"/>
  <c r="M12" i="12"/>
  <c r="P89" i="12"/>
  <c r="L58" i="21"/>
  <c r="N63" i="35"/>
  <c r="H58" i="21"/>
  <c r="O58" i="21"/>
  <c r="F58" i="21"/>
  <c r="E63" i="35"/>
  <c r="D58" i="21"/>
  <c r="I58" i="21"/>
  <c r="J58" i="21"/>
  <c r="M63" i="35"/>
  <c r="D63" i="35"/>
  <c r="M58" i="21"/>
  <c r="L76" i="35"/>
  <c r="K71" i="21"/>
  <c r="F76" i="35"/>
  <c r="H61" i="22"/>
  <c r="M61" i="22"/>
  <c r="F61" i="22"/>
  <c r="M66" i="35"/>
  <c r="N66" i="35"/>
  <c r="O66" i="35"/>
  <c r="J61" i="21"/>
  <c r="H66" i="35"/>
  <c r="I61" i="21"/>
  <c r="I63" i="34"/>
  <c r="J63" i="34"/>
  <c r="K63" i="34"/>
  <c r="F63" i="34"/>
  <c r="O63" i="34"/>
  <c r="H63" i="34"/>
  <c r="K62" i="34"/>
  <c r="N62" i="34"/>
  <c r="I62" i="34"/>
  <c r="O62" i="34"/>
  <c r="G62" i="34"/>
  <c r="H62" i="34"/>
  <c r="G63" i="34"/>
  <c r="L63" i="34"/>
  <c r="N58" i="22"/>
  <c r="O58" i="22"/>
  <c r="O66" i="34"/>
  <c r="I66" i="34"/>
  <c r="H70" i="22"/>
  <c r="M70" i="22"/>
  <c r="K70" i="22"/>
  <c r="G77" i="18"/>
  <c r="I45" i="25" s="1"/>
  <c r="F77" i="18"/>
  <c r="H45" i="25" s="1"/>
  <c r="D72" i="18"/>
  <c r="K77" i="18"/>
  <c r="M45" i="25" s="1"/>
  <c r="H72" i="18"/>
  <c r="L77" i="18"/>
  <c r="N45" i="25" s="1"/>
  <c r="E77" i="18"/>
  <c r="N74" i="18"/>
  <c r="P36" i="25" s="1"/>
  <c r="O74" i="18"/>
  <c r="Q36" i="25" s="1"/>
  <c r="G70" i="22"/>
  <c r="I70" i="22"/>
  <c r="E70" i="22"/>
  <c r="M77" i="18"/>
  <c r="O45" i="25" s="1"/>
  <c r="E72" i="18"/>
  <c r="M72" i="18"/>
  <c r="J72" i="18"/>
  <c r="G72" i="18"/>
  <c r="L74" i="18"/>
  <c r="I74" i="18"/>
  <c r="K74" i="18"/>
  <c r="M36" i="25" s="1"/>
  <c r="D74" i="18"/>
  <c r="O70" i="22"/>
  <c r="L70" i="22"/>
  <c r="J77" i="18"/>
  <c r="L45" i="25" s="1"/>
  <c r="F72" i="18"/>
  <c r="O72" i="18"/>
  <c r="N72" i="18"/>
  <c r="H77" i="18"/>
  <c r="J45" i="25" s="1"/>
  <c r="M74" i="18"/>
  <c r="O36" i="25" s="1"/>
  <c r="G74" i="18"/>
  <c r="I36" i="25" s="1"/>
  <c r="F74" i="18"/>
  <c r="H36" i="25" s="1"/>
  <c r="K72" i="18"/>
  <c r="M92" i="35"/>
  <c r="L92" i="35"/>
  <c r="O92" i="35"/>
  <c r="H87" i="21"/>
  <c r="D87" i="21"/>
  <c r="I92" i="35"/>
  <c r="H92" i="35"/>
  <c r="K92" i="35"/>
  <c r="K87" i="21"/>
  <c r="G87" i="21"/>
  <c r="M87" i="21"/>
  <c r="E92" i="35"/>
  <c r="D92" i="35"/>
  <c r="G92" i="35"/>
  <c r="N87" i="21"/>
  <c r="L87" i="21"/>
  <c r="O87" i="21"/>
  <c r="F87" i="21"/>
  <c r="F92" i="35"/>
  <c r="J92" i="35"/>
  <c r="N92" i="35"/>
  <c r="E87" i="21"/>
  <c r="I87" i="21"/>
  <c r="J87" i="21"/>
  <c r="O165" i="21"/>
  <c r="O167" i="21" s="1"/>
  <c r="P90" i="10"/>
  <c r="P88" i="10"/>
  <c r="R34" i="9" s="1"/>
  <c r="H88" i="33"/>
  <c r="G88" i="33"/>
  <c r="E88" i="33"/>
  <c r="D88" i="33"/>
  <c r="J88" i="33"/>
  <c r="N88" i="33"/>
  <c r="K88" i="33"/>
  <c r="I88" i="33"/>
  <c r="O88" i="33"/>
  <c r="M88" i="33"/>
  <c r="F88" i="33"/>
  <c r="L88" i="33"/>
  <c r="Y7" i="10"/>
  <c r="L165" i="22"/>
  <c r="L167" i="22" s="1"/>
  <c r="R145" i="25"/>
  <c r="S16" i="22"/>
  <c r="I140" i="25"/>
  <c r="S26" i="18"/>
  <c r="G141" i="33"/>
  <c r="D141" i="33"/>
  <c r="E141" i="33"/>
  <c r="O136" i="22"/>
  <c r="G136" i="22"/>
  <c r="O141" i="33"/>
  <c r="L141" i="33"/>
  <c r="E59" i="14"/>
  <c r="E63" i="14" s="1"/>
  <c r="E56" i="14"/>
  <c r="E5" i="15" s="1"/>
  <c r="O165" i="22" l="1"/>
  <c r="O167" i="22" s="1"/>
  <c r="D23" i="22"/>
  <c r="G32" i="15"/>
  <c r="Q21" i="34" s="1"/>
  <c r="V9" i="12"/>
  <c r="J165" i="22"/>
  <c r="J167" i="22" s="1"/>
  <c r="Y9" i="10"/>
  <c r="L68" i="18"/>
  <c r="I68" i="18"/>
  <c r="F67" i="22"/>
  <c r="O72" i="34"/>
  <c r="J113" i="33"/>
  <c r="O113" i="33"/>
  <c r="M113" i="33"/>
  <c r="N113" i="33"/>
  <c r="M93" i="18"/>
  <c r="O66" i="25"/>
  <c r="O93" i="18"/>
  <c r="Q66" i="25"/>
  <c r="S112" i="21"/>
  <c r="O138" i="25"/>
  <c r="F142" i="25"/>
  <c r="I142" i="25"/>
  <c r="J107" i="25"/>
  <c r="L118" i="25"/>
  <c r="I110" i="25"/>
  <c r="P143" i="25"/>
  <c r="M87" i="25"/>
  <c r="L119" i="25"/>
  <c r="N131" i="25"/>
  <c r="O123" i="25"/>
  <c r="L107" i="25"/>
  <c r="P114" i="25"/>
  <c r="F121" i="25"/>
  <c r="N120" i="25"/>
  <c r="H155" i="25"/>
  <c r="Q142" i="25"/>
  <c r="I139" i="25"/>
  <c r="G144" i="25"/>
  <c r="I118" i="25"/>
  <c r="G110" i="25"/>
  <c r="Q131" i="25"/>
  <c r="F125" i="25"/>
  <c r="L142" i="25"/>
  <c r="K114" i="25"/>
  <c r="K110" i="25"/>
  <c r="K118" i="25"/>
  <c r="L124" i="25"/>
  <c r="H114" i="25"/>
  <c r="J137" i="25"/>
  <c r="J120" i="25"/>
  <c r="G131" i="25"/>
  <c r="R131" i="25" s="1"/>
  <c r="L131" i="25"/>
  <c r="N124" i="25"/>
  <c r="O119" i="25"/>
  <c r="N60" i="25"/>
  <c r="S77" i="25" s="1"/>
  <c r="S143" i="21"/>
  <c r="F132" i="25"/>
  <c r="P117" i="25"/>
  <c r="O117" i="25"/>
  <c r="H136" i="25"/>
  <c r="Q143" i="25"/>
  <c r="J117" i="25"/>
  <c r="I121" i="25"/>
  <c r="L130" i="25"/>
  <c r="H148" i="25"/>
  <c r="Q152" i="25"/>
  <c r="I129" i="25"/>
  <c r="G120" i="25"/>
  <c r="Q130" i="25"/>
  <c r="P131" i="25"/>
  <c r="P125" i="25"/>
  <c r="F120" i="25"/>
  <c r="H87" i="25"/>
  <c r="J155" i="25"/>
  <c r="O155" i="25"/>
  <c r="O148" i="25"/>
  <c r="O130" i="25"/>
  <c r="G125" i="25"/>
  <c r="J129" i="25"/>
  <c r="J119" i="25"/>
  <c r="M132" i="25"/>
  <c r="I106" i="25"/>
  <c r="J106" i="25"/>
  <c r="F130" i="25"/>
  <c r="I130" i="25"/>
  <c r="N152" i="25"/>
  <c r="Q120" i="25"/>
  <c r="P119" i="25"/>
  <c r="Q106" i="25"/>
  <c r="Q144" i="25"/>
  <c r="N110" i="25"/>
  <c r="I144" i="25"/>
  <c r="K121" i="25"/>
  <c r="G138" i="25"/>
  <c r="K136" i="25"/>
  <c r="J136" i="25"/>
  <c r="H107" i="25"/>
  <c r="M155" i="25"/>
  <c r="I148" i="25"/>
  <c r="M120" i="25"/>
  <c r="P129" i="25"/>
  <c r="K138" i="25"/>
  <c r="N136" i="25"/>
  <c r="F136" i="25"/>
  <c r="Q117" i="25"/>
  <c r="N129" i="25"/>
  <c r="I123" i="25"/>
  <c r="L117" i="25"/>
  <c r="L139" i="25"/>
  <c r="Q139" i="25"/>
  <c r="F117" i="25"/>
  <c r="G118" i="25"/>
  <c r="K119" i="25"/>
  <c r="G130" i="25"/>
  <c r="M119" i="25"/>
  <c r="R119" i="25" s="1"/>
  <c r="F131" i="25"/>
  <c r="I119" i="25"/>
  <c r="P152" i="25"/>
  <c r="J131" i="25"/>
  <c r="Q129" i="25"/>
  <c r="G148" i="25"/>
  <c r="F124" i="25"/>
  <c r="J152" i="25"/>
  <c r="G129" i="25"/>
  <c r="N132" i="25"/>
  <c r="J130" i="25"/>
  <c r="O131" i="25"/>
  <c r="H125" i="25"/>
  <c r="O88" i="25"/>
  <c r="O87" i="25"/>
  <c r="P138" i="25"/>
  <c r="P148" i="25"/>
  <c r="P120" i="25"/>
  <c r="N125" i="25"/>
  <c r="M129" i="25"/>
  <c r="K87" i="25"/>
  <c r="K88" i="25"/>
  <c r="O137" i="25"/>
  <c r="M114" i="25"/>
  <c r="G137" i="25"/>
  <c r="P121" i="25"/>
  <c r="L138" i="25"/>
  <c r="N114" i="25"/>
  <c r="H110" i="25"/>
  <c r="N107" i="25"/>
  <c r="Q124" i="25"/>
  <c r="K132" i="25"/>
  <c r="I132" i="25"/>
  <c r="L148" i="25"/>
  <c r="G155" i="25"/>
  <c r="G136" i="25"/>
  <c r="O121" i="25"/>
  <c r="M138" i="25"/>
  <c r="M143" i="25"/>
  <c r="G121" i="25"/>
  <c r="R121" i="25" s="1"/>
  <c r="G114" i="25"/>
  <c r="I117" i="25"/>
  <c r="H106" i="25"/>
  <c r="F139" i="25"/>
  <c r="H117" i="25"/>
  <c r="H120" i="25"/>
  <c r="O125" i="25"/>
  <c r="Q123" i="25"/>
  <c r="N117" i="25"/>
  <c r="M142" i="25"/>
  <c r="J125" i="25"/>
  <c r="N123" i="25"/>
  <c r="H144" i="25"/>
  <c r="F119" i="25"/>
  <c r="H130" i="25"/>
  <c r="N148" i="25"/>
  <c r="M124" i="25"/>
  <c r="L152" i="25"/>
  <c r="P130" i="25"/>
  <c r="L155" i="25"/>
  <c r="M125" i="25"/>
  <c r="I124" i="25"/>
  <c r="K120" i="25"/>
  <c r="O152" i="25"/>
  <c r="G119" i="25"/>
  <c r="Q148" i="25"/>
  <c r="H124" i="25"/>
  <c r="I152" i="25"/>
  <c r="J132" i="25"/>
  <c r="L87" i="25"/>
  <c r="I88" i="25"/>
  <c r="O132" i="25"/>
  <c r="I125" i="25"/>
  <c r="K125" i="25"/>
  <c r="I131" i="25"/>
  <c r="H88" i="25"/>
  <c r="I87" i="25"/>
  <c r="Q121" i="25"/>
  <c r="F143" i="25"/>
  <c r="F118" i="25"/>
  <c r="O114" i="25"/>
  <c r="L137" i="25"/>
  <c r="H118" i="25"/>
  <c r="P107" i="25"/>
  <c r="K107" i="25"/>
  <c r="M152" i="25"/>
  <c r="L120" i="25"/>
  <c r="F155" i="25"/>
  <c r="J148" i="25"/>
  <c r="O106" i="25"/>
  <c r="H121" i="25"/>
  <c r="Q118" i="25"/>
  <c r="L136" i="25"/>
  <c r="O144" i="25"/>
  <c r="Q138" i="25"/>
  <c r="M110" i="25"/>
  <c r="L114" i="25"/>
  <c r="G142" i="25"/>
  <c r="P123" i="25"/>
  <c r="L132" i="25"/>
  <c r="M130" i="25"/>
  <c r="L106" i="25"/>
  <c r="P144" i="25"/>
  <c r="Q137" i="25"/>
  <c r="M137" i="25"/>
  <c r="G139" i="25"/>
  <c r="G123" i="25"/>
  <c r="F107" i="25"/>
  <c r="K152" i="25"/>
  <c r="H129" i="25"/>
  <c r="L110" i="25"/>
  <c r="N137" i="25"/>
  <c r="N143" i="25"/>
  <c r="N144" i="25"/>
  <c r="N142" i="25"/>
  <c r="S96" i="22"/>
  <c r="Q125" i="25"/>
  <c r="J143" i="25"/>
  <c r="K142" i="25"/>
  <c r="I107" i="25"/>
  <c r="K144" i="25"/>
  <c r="O110" i="25"/>
  <c r="I137" i="25"/>
  <c r="O120" i="25"/>
  <c r="K130" i="25"/>
  <c r="H131" i="25"/>
  <c r="P142" i="25"/>
  <c r="M121" i="25"/>
  <c r="I136" i="25"/>
  <c r="J144" i="25"/>
  <c r="K155" i="25"/>
  <c r="P155" i="25"/>
  <c r="J123" i="25"/>
  <c r="Q107" i="25"/>
  <c r="J138" i="25"/>
  <c r="H137" i="25"/>
  <c r="F106" i="25"/>
  <c r="K131" i="25"/>
  <c r="H139" i="25"/>
  <c r="F138" i="25"/>
  <c r="F110" i="25"/>
  <c r="I143" i="25"/>
  <c r="H132" i="25"/>
  <c r="F137" i="25"/>
  <c r="I138" i="25"/>
  <c r="Q155" i="25"/>
  <c r="J87" i="25"/>
  <c r="F129" i="25"/>
  <c r="Q132" i="25"/>
  <c r="L125" i="25"/>
  <c r="M131" i="25"/>
  <c r="N119" i="25"/>
  <c r="P118" i="25"/>
  <c r="P137" i="25"/>
  <c r="M117" i="25"/>
  <c r="N87" i="25"/>
  <c r="S84" i="22"/>
  <c r="G67" i="21"/>
  <c r="G72" i="35"/>
  <c r="H67" i="21"/>
  <c r="J67" i="21"/>
  <c r="D72" i="35"/>
  <c r="G113" i="33"/>
  <c r="K113" i="34"/>
  <c r="N113" i="34"/>
  <c r="K129" i="25"/>
  <c r="Q114" i="25"/>
  <c r="O142" i="25"/>
  <c r="K123" i="25"/>
  <c r="N139" i="25"/>
  <c r="O136" i="25"/>
  <c r="J118" i="25"/>
  <c r="N138" i="25"/>
  <c r="J121" i="25"/>
  <c r="N130" i="25"/>
  <c r="G132" i="25"/>
  <c r="K139" i="25"/>
  <c r="L143" i="25"/>
  <c r="H143" i="25"/>
  <c r="K106" i="25"/>
  <c r="K124" i="25"/>
  <c r="J124" i="25"/>
  <c r="H142" i="25"/>
  <c r="N118" i="25"/>
  <c r="J110" i="25"/>
  <c r="L144" i="25"/>
  <c r="L88" i="25"/>
  <c r="H152" i="25"/>
  <c r="R152" i="25" s="1"/>
  <c r="H123" i="25"/>
  <c r="M139" i="25"/>
  <c r="J114" i="25"/>
  <c r="M144" i="25"/>
  <c r="R144" i="25" s="1"/>
  <c r="P136" i="25"/>
  <c r="I155" i="25"/>
  <c r="M107" i="25"/>
  <c r="K137" i="25"/>
  <c r="M88" i="25"/>
  <c r="P124" i="25"/>
  <c r="G106" i="25"/>
  <c r="F148" i="25"/>
  <c r="R148" i="25" s="1"/>
  <c r="K148" i="25"/>
  <c r="Q119" i="25"/>
  <c r="P132" i="25"/>
  <c r="N88" i="25"/>
  <c r="K117" i="25"/>
  <c r="F114" i="25"/>
  <c r="M165" i="22"/>
  <c r="M167" i="22" s="1"/>
  <c r="S120" i="21"/>
  <c r="S153" i="22"/>
  <c r="D148" i="21"/>
  <c r="S147" i="21"/>
  <c r="S69" i="22"/>
  <c r="S121" i="22"/>
  <c r="S93" i="22"/>
  <c r="N161" i="18"/>
  <c r="G72" i="34"/>
  <c r="S113" i="21"/>
  <c r="S84" i="21"/>
  <c r="S151" i="22"/>
  <c r="N76" i="35"/>
  <c r="N71" i="21"/>
  <c r="L71" i="21"/>
  <c r="F71" i="21"/>
  <c r="H71" i="21"/>
  <c r="J71" i="21"/>
  <c r="J76" i="35"/>
  <c r="O71" i="21"/>
  <c r="I76" i="35"/>
  <c r="M71" i="21"/>
  <c r="O90" i="10"/>
  <c r="S70" i="21"/>
  <c r="D85" i="35"/>
  <c r="E80" i="21"/>
  <c r="M80" i="21"/>
  <c r="I68" i="22"/>
  <c r="T20" i="9"/>
  <c r="F71" i="34" s="1"/>
  <c r="Y24" i="11"/>
  <c r="Z24" i="11" s="1"/>
  <c r="L85" i="34"/>
  <c r="D85" i="34"/>
  <c r="H68" i="22"/>
  <c r="Y30" i="11"/>
  <c r="Z30" i="11" s="1"/>
  <c r="Y25" i="11"/>
  <c r="Z25" i="11" s="1"/>
  <c r="Y25" i="12"/>
  <c r="Z25" i="12" s="1"/>
  <c r="Q88" i="10"/>
  <c r="R35" i="9" s="1"/>
  <c r="D86" i="33" s="1"/>
  <c r="E81" i="33"/>
  <c r="E68" i="22"/>
  <c r="M68" i="22"/>
  <c r="G68" i="22"/>
  <c r="O68" i="22"/>
  <c r="I71" i="21"/>
  <c r="D71" i="21"/>
  <c r="F68" i="22"/>
  <c r="M31" i="11"/>
  <c r="T25" i="9"/>
  <c r="S75" i="21"/>
  <c r="L12" i="25"/>
  <c r="J68" i="18"/>
  <c r="R24" i="13"/>
  <c r="V24" i="13"/>
  <c r="Y24" i="13" s="1"/>
  <c r="Z24" i="13" s="1"/>
  <c r="H80" i="21"/>
  <c r="H68" i="18"/>
  <c r="D67" i="21"/>
  <c r="S74" i="22"/>
  <c r="N68" i="18"/>
  <c r="P12" i="25"/>
  <c r="S72" i="21"/>
  <c r="O12" i="25"/>
  <c r="M68" i="18"/>
  <c r="V24" i="12"/>
  <c r="R24" i="12"/>
  <c r="Q24" i="12"/>
  <c r="G68" i="18"/>
  <c r="K67" i="21"/>
  <c r="F67" i="21"/>
  <c r="E72" i="35"/>
  <c r="F72" i="35"/>
  <c r="H72" i="35"/>
  <c r="L67" i="21"/>
  <c r="N72" i="35"/>
  <c r="O67" i="21"/>
  <c r="I72" i="35"/>
  <c r="I67" i="21"/>
  <c r="M67" i="21"/>
  <c r="K72" i="35"/>
  <c r="O72" i="35"/>
  <c r="L85" i="35"/>
  <c r="J80" i="22"/>
  <c r="K80" i="22"/>
  <c r="J72" i="35"/>
  <c r="E67" i="21"/>
  <c r="N67" i="21"/>
  <c r="M72" i="35"/>
  <c r="F72" i="34"/>
  <c r="E72" i="34"/>
  <c r="L72" i="34"/>
  <c r="Z9" i="10"/>
  <c r="Z90" i="10" s="1"/>
  <c r="Y90" i="10"/>
  <c r="V9" i="9"/>
  <c r="K89" i="13"/>
  <c r="M9" i="13"/>
  <c r="N84" i="33"/>
  <c r="G85" i="34"/>
  <c r="I85" i="34"/>
  <c r="K86" i="33"/>
  <c r="O12" i="13"/>
  <c r="Y12" i="13" s="1"/>
  <c r="Z12" i="13" s="1"/>
  <c r="S72" i="22"/>
  <c r="O10" i="13"/>
  <c r="V10" i="13"/>
  <c r="R10" i="13"/>
  <c r="J85" i="34"/>
  <c r="M61" i="35"/>
  <c r="F61" i="35"/>
  <c r="G61" i="35"/>
  <c r="N56" i="21"/>
  <c r="L56" i="21"/>
  <c r="K56" i="21"/>
  <c r="H61" i="35"/>
  <c r="J56" i="21"/>
  <c r="D61" i="35"/>
  <c r="D56" i="21"/>
  <c r="H56" i="21"/>
  <c r="L61" i="35"/>
  <c r="N61" i="35"/>
  <c r="G56" i="21"/>
  <c r="O61" i="35"/>
  <c r="K61" i="35"/>
  <c r="E56" i="21"/>
  <c r="O56" i="21"/>
  <c r="M56" i="21"/>
  <c r="E61" i="35"/>
  <c r="J61" i="35"/>
  <c r="F56" i="21"/>
  <c r="I56" i="21"/>
  <c r="I61" i="35"/>
  <c r="O85" i="34"/>
  <c r="J81" i="33"/>
  <c r="Y10" i="11"/>
  <c r="Z10" i="11" s="1"/>
  <c r="S75" i="22"/>
  <c r="S62" i="21"/>
  <c r="S62" i="22"/>
  <c r="V14" i="9"/>
  <c r="K87" i="13"/>
  <c r="S67" i="22"/>
  <c r="S74" i="21"/>
  <c r="D84" i="33"/>
  <c r="H85" i="34"/>
  <c r="G60" i="21"/>
  <c r="I65" i="35"/>
  <c r="M65" i="35"/>
  <c r="O60" i="21"/>
  <c r="O65" i="35"/>
  <c r="I60" i="21"/>
  <c r="E60" i="21"/>
  <c r="D65" i="35"/>
  <c r="L60" i="21"/>
  <c r="E65" i="35"/>
  <c r="N65" i="35"/>
  <c r="J60" i="21"/>
  <c r="L65" i="35"/>
  <c r="K65" i="35"/>
  <c r="M60" i="21"/>
  <c r="N60" i="21"/>
  <c r="G65" i="35"/>
  <c r="F60" i="21"/>
  <c r="J65" i="35"/>
  <c r="K60" i="21"/>
  <c r="F65" i="35"/>
  <c r="H60" i="21"/>
  <c r="D60" i="21"/>
  <c r="H65" i="35"/>
  <c r="F85" i="34"/>
  <c r="E85" i="34"/>
  <c r="G84" i="33"/>
  <c r="K85" i="34"/>
  <c r="M85" i="34"/>
  <c r="F80" i="21"/>
  <c r="L64" i="33"/>
  <c r="L68" i="33" s="1"/>
  <c r="O64" i="33"/>
  <c r="O68" i="33" s="1"/>
  <c r="N64" i="33"/>
  <c r="N68" i="33" s="1"/>
  <c r="M64" i="33"/>
  <c r="M68" i="33" s="1"/>
  <c r="E64" i="33"/>
  <c r="E68" i="33" s="1"/>
  <c r="H64" i="33"/>
  <c r="H68" i="33" s="1"/>
  <c r="K64" i="33"/>
  <c r="K68" i="33" s="1"/>
  <c r="J64" i="33"/>
  <c r="J68" i="33" s="1"/>
  <c r="I64" i="33"/>
  <c r="I68" i="33" s="1"/>
  <c r="D64" i="33"/>
  <c r="D68" i="33" s="1"/>
  <c r="G64" i="33"/>
  <c r="G68" i="33" s="1"/>
  <c r="F64" i="33"/>
  <c r="F68" i="33" s="1"/>
  <c r="E85" i="35"/>
  <c r="G80" i="21"/>
  <c r="M85" i="35"/>
  <c r="G85" i="35"/>
  <c r="H85" i="35"/>
  <c r="J85" i="35"/>
  <c r="H81" i="33"/>
  <c r="Y21" i="10"/>
  <c r="Z21" i="10" s="1"/>
  <c r="N85" i="35"/>
  <c r="K85" i="35"/>
  <c r="N80" i="21"/>
  <c r="J80" i="21"/>
  <c r="I80" i="21"/>
  <c r="D80" i="21"/>
  <c r="M81" i="33"/>
  <c r="R17" i="9"/>
  <c r="H15" i="16" s="1"/>
  <c r="J87" i="11"/>
  <c r="I85" i="35"/>
  <c r="O80" i="21"/>
  <c r="O85" i="35"/>
  <c r="F85" i="35"/>
  <c r="K80" i="21"/>
  <c r="I81" i="33"/>
  <c r="L81" i="33"/>
  <c r="O81" i="33"/>
  <c r="E169" i="21"/>
  <c r="E32" i="23" s="1"/>
  <c r="D115" i="9"/>
  <c r="D118" i="9" s="1"/>
  <c r="R75" i="25"/>
  <c r="R21" i="25"/>
  <c r="R72" i="25"/>
  <c r="R63" i="25"/>
  <c r="R33" i="25"/>
  <c r="S17" i="18"/>
  <c r="R54" i="25"/>
  <c r="R66" i="25"/>
  <c r="R57" i="25"/>
  <c r="R69" i="25"/>
  <c r="R129" i="25"/>
  <c r="R143" i="25"/>
  <c r="R51" i="25"/>
  <c r="R42" i="25"/>
  <c r="R117" i="25"/>
  <c r="J20" i="18"/>
  <c r="D20" i="18"/>
  <c r="N20" i="18"/>
  <c r="P20" i="18"/>
  <c r="K20" i="18"/>
  <c r="E20" i="18"/>
  <c r="G20" i="18"/>
  <c r="D40" i="15"/>
  <c r="M20" i="18"/>
  <c r="O20" i="18"/>
  <c r="H20" i="18"/>
  <c r="L20" i="18"/>
  <c r="I20" i="18"/>
  <c r="F20" i="18"/>
  <c r="R20" i="18"/>
  <c r="Q20" i="18"/>
  <c r="M17" i="22"/>
  <c r="J17" i="22"/>
  <c r="R17" i="22"/>
  <c r="D17" i="22"/>
  <c r="N17" i="22"/>
  <c r="P17" i="22"/>
  <c r="I40" i="15"/>
  <c r="K17" i="22"/>
  <c r="O17" i="22"/>
  <c r="I17" i="22"/>
  <c r="Q17" i="22"/>
  <c r="H17" i="22"/>
  <c r="G17" i="22"/>
  <c r="E17" i="22"/>
  <c r="L17" i="22"/>
  <c r="F17" i="22"/>
  <c r="D22" i="34"/>
  <c r="K22" i="34"/>
  <c r="Q22" i="34"/>
  <c r="O22" i="34"/>
  <c r="L22" i="34"/>
  <c r="E22" i="34"/>
  <c r="I22" i="34"/>
  <c r="J22" i="34"/>
  <c r="H22" i="34"/>
  <c r="N22" i="34"/>
  <c r="P22" i="34"/>
  <c r="M22" i="34"/>
  <c r="F22" i="34"/>
  <c r="R22" i="34"/>
  <c r="G22" i="34"/>
  <c r="P21" i="35"/>
  <c r="O21" i="35"/>
  <c r="F21" i="35"/>
  <c r="M21" i="35"/>
  <c r="H18" i="21"/>
  <c r="G18" i="21"/>
  <c r="R18" i="21"/>
  <c r="F18" i="21"/>
  <c r="K18" i="21"/>
  <c r="D21" i="35"/>
  <c r="R21" i="35"/>
  <c r="J21" i="35"/>
  <c r="M18" i="21"/>
  <c r="I18" i="21"/>
  <c r="K21" i="35"/>
  <c r="Q21" i="35"/>
  <c r="P18" i="21"/>
  <c r="N18" i="21"/>
  <c r="D18" i="21"/>
  <c r="L21" i="35"/>
  <c r="G21" i="35"/>
  <c r="I21" i="35"/>
  <c r="L18" i="21"/>
  <c r="O18" i="21"/>
  <c r="J18" i="21"/>
  <c r="H21" i="35"/>
  <c r="N21" i="35"/>
  <c r="E21" i="35"/>
  <c r="E18" i="21"/>
  <c r="Q18" i="21"/>
  <c r="E31" i="15"/>
  <c r="E32" i="15"/>
  <c r="E33" i="15"/>
  <c r="G4" i="9"/>
  <c r="G5" i="9" s="1"/>
  <c r="R21" i="18"/>
  <c r="G21" i="18"/>
  <c r="L21" i="18"/>
  <c r="I21" i="18"/>
  <c r="F21" i="18"/>
  <c r="P21" i="18"/>
  <c r="H21" i="18"/>
  <c r="J21" i="18"/>
  <c r="E21" i="18"/>
  <c r="Q21" i="18"/>
  <c r="N21" i="18"/>
  <c r="K21" i="18"/>
  <c r="M21" i="18"/>
  <c r="D21" i="18"/>
  <c r="O21" i="18"/>
  <c r="D18" i="22"/>
  <c r="R18" i="22"/>
  <c r="L18" i="22"/>
  <c r="J18" i="22"/>
  <c r="O18" i="22"/>
  <c r="I18" i="22"/>
  <c r="E18" i="22"/>
  <c r="M18" i="22"/>
  <c r="K18" i="22"/>
  <c r="P18" i="22"/>
  <c r="N18" i="22"/>
  <c r="H18" i="22"/>
  <c r="Q18" i="22"/>
  <c r="F18" i="22"/>
  <c r="G18" i="22"/>
  <c r="G20" i="35"/>
  <c r="F20" i="35"/>
  <c r="H20" i="35"/>
  <c r="P20" i="35"/>
  <c r="O20" i="35"/>
  <c r="J20" i="35"/>
  <c r="L20" i="35"/>
  <c r="K20" i="35"/>
  <c r="M20" i="35"/>
  <c r="D20" i="35"/>
  <c r="R20" i="35"/>
  <c r="E20" i="35"/>
  <c r="I20" i="35"/>
  <c r="L17" i="21"/>
  <c r="H17" i="21"/>
  <c r="H23" i="21" s="1"/>
  <c r="J17" i="21"/>
  <c r="Q17" i="21"/>
  <c r="M17" i="21"/>
  <c r="O17" i="21"/>
  <c r="H40" i="15"/>
  <c r="R17" i="21"/>
  <c r="I17" i="21"/>
  <c r="I23" i="21" s="1"/>
  <c r="G17" i="21"/>
  <c r="N20" i="35"/>
  <c r="K17" i="21"/>
  <c r="K23" i="21" s="1"/>
  <c r="N17" i="21"/>
  <c r="N23" i="21" s="1"/>
  <c r="D17" i="21"/>
  <c r="Q20" i="35"/>
  <c r="E17" i="21"/>
  <c r="F17" i="21"/>
  <c r="F23" i="21" s="1"/>
  <c r="P17" i="21"/>
  <c r="P23" i="21" s="1"/>
  <c r="N21" i="34"/>
  <c r="I21" i="34"/>
  <c r="D21" i="34"/>
  <c r="M21" i="34"/>
  <c r="L21" i="34"/>
  <c r="H21" i="34"/>
  <c r="F21" i="34"/>
  <c r="L4" i="9"/>
  <c r="L5" i="9" s="1"/>
  <c r="G22" i="18"/>
  <c r="J22" i="18"/>
  <c r="L22" i="18"/>
  <c r="Q22" i="18"/>
  <c r="K22" i="18"/>
  <c r="M22" i="18"/>
  <c r="O22" i="18"/>
  <c r="H22" i="18"/>
  <c r="F22" i="18"/>
  <c r="I22" i="18"/>
  <c r="P22" i="18"/>
  <c r="N22" i="18"/>
  <c r="R22" i="18"/>
  <c r="E22" i="18"/>
  <c r="D22" i="18"/>
  <c r="D22" i="35"/>
  <c r="R22" i="35"/>
  <c r="P22" i="35"/>
  <c r="M22" i="35"/>
  <c r="N22" i="35"/>
  <c r="G22" i="35"/>
  <c r="I22" i="35"/>
  <c r="O22" i="35"/>
  <c r="J22" i="35"/>
  <c r="K22" i="35"/>
  <c r="E22" i="35"/>
  <c r="L22" i="35"/>
  <c r="F22" i="35"/>
  <c r="Q22" i="35"/>
  <c r="H22" i="35"/>
  <c r="F20" i="34"/>
  <c r="E20" i="34"/>
  <c r="P20" i="34"/>
  <c r="N20" i="34"/>
  <c r="I20" i="34"/>
  <c r="H20" i="34"/>
  <c r="J20" i="34"/>
  <c r="K20" i="34"/>
  <c r="O20" i="34"/>
  <c r="Q20" i="34"/>
  <c r="G20" i="34"/>
  <c r="D20" i="34"/>
  <c r="R20" i="34"/>
  <c r="M20" i="34"/>
  <c r="G40" i="15"/>
  <c r="L20" i="34"/>
  <c r="L137" i="22"/>
  <c r="O137" i="22"/>
  <c r="D137" i="22"/>
  <c r="N137" i="22"/>
  <c r="I137" i="22"/>
  <c r="J137" i="22"/>
  <c r="M137" i="22"/>
  <c r="H137" i="22"/>
  <c r="F137" i="22"/>
  <c r="G137" i="22"/>
  <c r="K137" i="22"/>
  <c r="E137" i="22"/>
  <c r="L142" i="35"/>
  <c r="K142" i="35"/>
  <c r="F142" i="35"/>
  <c r="G137" i="21"/>
  <c r="I137" i="21"/>
  <c r="F137" i="21"/>
  <c r="E142" i="35"/>
  <c r="O142" i="35"/>
  <c r="J142" i="35"/>
  <c r="L137" i="21"/>
  <c r="M137" i="21"/>
  <c r="D137" i="21"/>
  <c r="M142" i="35"/>
  <c r="H142" i="35"/>
  <c r="G142" i="35"/>
  <c r="O137" i="21"/>
  <c r="N137" i="21"/>
  <c r="J137" i="21"/>
  <c r="I142" i="35"/>
  <c r="D142" i="35"/>
  <c r="N142" i="35"/>
  <c r="H137" i="21"/>
  <c r="E137" i="21"/>
  <c r="K137" i="21"/>
  <c r="S131" i="22"/>
  <c r="I136" i="35"/>
  <c r="D136" i="35"/>
  <c r="N136" i="35"/>
  <c r="K131" i="21"/>
  <c r="F131" i="21"/>
  <c r="G131" i="21"/>
  <c r="L136" i="35"/>
  <c r="K136" i="35"/>
  <c r="F136" i="35"/>
  <c r="O131" i="21"/>
  <c r="L131" i="21"/>
  <c r="M131" i="21"/>
  <c r="E136" i="35"/>
  <c r="O136" i="35"/>
  <c r="J136" i="35"/>
  <c r="H131" i="21"/>
  <c r="N131" i="21"/>
  <c r="D131" i="21"/>
  <c r="M136" i="35"/>
  <c r="H136" i="35"/>
  <c r="G136" i="35"/>
  <c r="E131" i="21"/>
  <c r="J131" i="21"/>
  <c r="I131" i="21"/>
  <c r="I135" i="35"/>
  <c r="D135" i="35"/>
  <c r="J135" i="35"/>
  <c r="D130" i="21"/>
  <c r="K130" i="21"/>
  <c r="E130" i="21"/>
  <c r="E135" i="35"/>
  <c r="O135" i="35"/>
  <c r="F135" i="35"/>
  <c r="O130" i="21"/>
  <c r="F130" i="21"/>
  <c r="H130" i="21"/>
  <c r="M135" i="35"/>
  <c r="H135" i="35"/>
  <c r="G135" i="35"/>
  <c r="I130" i="21"/>
  <c r="J130" i="21"/>
  <c r="G130" i="21"/>
  <c r="L135" i="35"/>
  <c r="K135" i="35"/>
  <c r="N135" i="35"/>
  <c r="M130" i="21"/>
  <c r="L130" i="21"/>
  <c r="N130" i="21"/>
  <c r="K130" i="22"/>
  <c r="I130" i="22"/>
  <c r="D130" i="22"/>
  <c r="H130" i="22"/>
  <c r="L130" i="22"/>
  <c r="E130" i="22"/>
  <c r="F130" i="22"/>
  <c r="O130" i="22"/>
  <c r="N130" i="22"/>
  <c r="M130" i="22"/>
  <c r="J130" i="22"/>
  <c r="G130" i="22"/>
  <c r="E133" i="35"/>
  <c r="O133" i="35"/>
  <c r="N133" i="35"/>
  <c r="M128" i="21"/>
  <c r="F128" i="21"/>
  <c r="H128" i="21"/>
  <c r="I133" i="35"/>
  <c r="J128" i="21"/>
  <c r="L133" i="35"/>
  <c r="K133" i="35"/>
  <c r="J133" i="35"/>
  <c r="D128" i="21"/>
  <c r="N128" i="21"/>
  <c r="E128" i="21"/>
  <c r="M133" i="35"/>
  <c r="H133" i="35"/>
  <c r="G133" i="35"/>
  <c r="G128" i="21"/>
  <c r="K128" i="21"/>
  <c r="L128" i="21"/>
  <c r="D133" i="35"/>
  <c r="F133" i="35"/>
  <c r="O128" i="21"/>
  <c r="I128" i="21"/>
  <c r="G128" i="22"/>
  <c r="M128" i="22"/>
  <c r="H128" i="22"/>
  <c r="N128" i="22"/>
  <c r="F128" i="22"/>
  <c r="O128" i="22"/>
  <c r="L128" i="22"/>
  <c r="D128" i="22"/>
  <c r="J128" i="22"/>
  <c r="I128" i="22"/>
  <c r="E128" i="22"/>
  <c r="K128" i="22"/>
  <c r="I132" i="35"/>
  <c r="D132" i="35"/>
  <c r="N132" i="35"/>
  <c r="F127" i="21"/>
  <c r="D127" i="21"/>
  <c r="N127" i="21"/>
  <c r="O127" i="21"/>
  <c r="M132" i="35"/>
  <c r="G132" i="35"/>
  <c r="G127" i="21"/>
  <c r="H127" i="21"/>
  <c r="E132" i="35"/>
  <c r="O132" i="35"/>
  <c r="J132" i="35"/>
  <c r="K127" i="21"/>
  <c r="L127" i="21"/>
  <c r="I127" i="21"/>
  <c r="E127" i="21"/>
  <c r="H132" i="35"/>
  <c r="J127" i="21"/>
  <c r="L132" i="35"/>
  <c r="K132" i="35"/>
  <c r="F132" i="35"/>
  <c r="M127" i="21"/>
  <c r="K127" i="22"/>
  <c r="M127" i="22"/>
  <c r="O127" i="22"/>
  <c r="N127" i="22"/>
  <c r="H127" i="22"/>
  <c r="E127" i="22"/>
  <c r="I127" i="22"/>
  <c r="L127" i="22"/>
  <c r="D127" i="22"/>
  <c r="G127" i="22"/>
  <c r="F127" i="22"/>
  <c r="J127" i="22"/>
  <c r="O126" i="22"/>
  <c r="M126" i="22"/>
  <c r="I126" i="22"/>
  <c r="E126" i="22"/>
  <c r="L126" i="22"/>
  <c r="J126" i="22"/>
  <c r="H126" i="22"/>
  <c r="G126" i="22"/>
  <c r="F126" i="22"/>
  <c r="K126" i="22"/>
  <c r="N126" i="22"/>
  <c r="D126" i="22"/>
  <c r="S126" i="22" s="1"/>
  <c r="I131" i="35"/>
  <c r="D131" i="35"/>
  <c r="J131" i="35"/>
  <c r="K126" i="21"/>
  <c r="J126" i="21"/>
  <c r="N126" i="21"/>
  <c r="H131" i="35"/>
  <c r="E126" i="21"/>
  <c r="L126" i="21"/>
  <c r="E131" i="35"/>
  <c r="O131" i="35"/>
  <c r="F131" i="35"/>
  <c r="D126" i="21"/>
  <c r="H126" i="21"/>
  <c r="G126" i="21"/>
  <c r="L131" i="35"/>
  <c r="K131" i="35"/>
  <c r="N131" i="35"/>
  <c r="M126" i="21"/>
  <c r="I126" i="21"/>
  <c r="O126" i="21"/>
  <c r="M131" i="35"/>
  <c r="G131" i="35"/>
  <c r="F126" i="21"/>
  <c r="F125" i="22"/>
  <c r="M125" i="22"/>
  <c r="L125" i="22"/>
  <c r="H125" i="22"/>
  <c r="J125" i="22"/>
  <c r="N125" i="22"/>
  <c r="O125" i="22"/>
  <c r="D125" i="22"/>
  <c r="K125" i="22"/>
  <c r="I125" i="22"/>
  <c r="G125" i="22"/>
  <c r="E125" i="22"/>
  <c r="E130" i="35"/>
  <c r="O130" i="35"/>
  <c r="N130" i="35"/>
  <c r="G125" i="21"/>
  <c r="O125" i="21"/>
  <c r="K125" i="21"/>
  <c r="D130" i="35"/>
  <c r="H125" i="21"/>
  <c r="L130" i="35"/>
  <c r="K130" i="35"/>
  <c r="J130" i="35"/>
  <c r="M125" i="21"/>
  <c r="L125" i="21"/>
  <c r="F125" i="21"/>
  <c r="I130" i="35"/>
  <c r="F130" i="35"/>
  <c r="D125" i="21"/>
  <c r="J125" i="21"/>
  <c r="M130" i="35"/>
  <c r="H130" i="35"/>
  <c r="G130" i="35"/>
  <c r="N125" i="21"/>
  <c r="I125" i="21"/>
  <c r="E125" i="21"/>
  <c r="O124" i="22"/>
  <c r="L124" i="22"/>
  <c r="D124" i="22"/>
  <c r="K124" i="22"/>
  <c r="E124" i="22"/>
  <c r="N124" i="22"/>
  <c r="G124" i="22"/>
  <c r="J124" i="22"/>
  <c r="H124" i="22"/>
  <c r="M124" i="22"/>
  <c r="I124" i="22"/>
  <c r="F124" i="22"/>
  <c r="E129" i="35"/>
  <c r="O129" i="35"/>
  <c r="N129" i="35"/>
  <c r="G124" i="21"/>
  <c r="O124" i="21"/>
  <c r="I124" i="21"/>
  <c r="I129" i="35"/>
  <c r="D129" i="35"/>
  <c r="F129" i="35"/>
  <c r="N124" i="21"/>
  <c r="J124" i="21"/>
  <c r="E124" i="21"/>
  <c r="L129" i="35"/>
  <c r="K129" i="35"/>
  <c r="J129" i="35"/>
  <c r="K124" i="21"/>
  <c r="D124" i="21"/>
  <c r="M124" i="21"/>
  <c r="M129" i="35"/>
  <c r="H129" i="35"/>
  <c r="G129" i="35"/>
  <c r="F124" i="21"/>
  <c r="H124" i="21"/>
  <c r="L124" i="21"/>
  <c r="H89" i="8"/>
  <c r="I128" i="35"/>
  <c r="D128" i="35"/>
  <c r="N128" i="35"/>
  <c r="H123" i="21"/>
  <c r="L123" i="21"/>
  <c r="K123" i="21"/>
  <c r="L128" i="35"/>
  <c r="K128" i="35"/>
  <c r="O123" i="21"/>
  <c r="F128" i="35"/>
  <c r="N123" i="21"/>
  <c r="D123" i="21"/>
  <c r="F123" i="21"/>
  <c r="M128" i="35"/>
  <c r="H128" i="35"/>
  <c r="G128" i="35"/>
  <c r="J123" i="21"/>
  <c r="E123" i="21"/>
  <c r="E128" i="35"/>
  <c r="O128" i="35"/>
  <c r="J128" i="35"/>
  <c r="M123" i="21"/>
  <c r="G123" i="21"/>
  <c r="I123" i="21"/>
  <c r="K123" i="22"/>
  <c r="E123" i="22"/>
  <c r="I123" i="22"/>
  <c r="N123" i="22"/>
  <c r="O123" i="22"/>
  <c r="G123" i="22"/>
  <c r="M123" i="22"/>
  <c r="J123" i="22"/>
  <c r="L123" i="22"/>
  <c r="H123" i="22"/>
  <c r="F123" i="22"/>
  <c r="D123" i="22"/>
  <c r="I43" i="8"/>
  <c r="V79" i="9" s="1"/>
  <c r="U79" i="9"/>
  <c r="G89" i="8"/>
  <c r="N124" i="33"/>
  <c r="N149" i="33" s="1"/>
  <c r="N160" i="33" s="1"/>
  <c r="E124" i="33"/>
  <c r="D124" i="33"/>
  <c r="D149" i="33" s="1"/>
  <c r="D160" i="33" s="1"/>
  <c r="R103" i="9"/>
  <c r="H20" i="16" s="1"/>
  <c r="O124" i="33"/>
  <c r="J124" i="33"/>
  <c r="J149" i="33" s="1"/>
  <c r="J160" i="33" s="1"/>
  <c r="I124" i="33"/>
  <c r="I149" i="33" s="1"/>
  <c r="I160" i="33" s="1"/>
  <c r="K124" i="33"/>
  <c r="K149" i="33" s="1"/>
  <c r="K160" i="33" s="1"/>
  <c r="F124" i="33"/>
  <c r="F149" i="33" s="1"/>
  <c r="F160" i="33" s="1"/>
  <c r="H124" i="33"/>
  <c r="H149" i="33" s="1"/>
  <c r="H160" i="33" s="1"/>
  <c r="G124" i="33"/>
  <c r="G149" i="33" s="1"/>
  <c r="G160" i="33" s="1"/>
  <c r="M124" i="33"/>
  <c r="M149" i="33" s="1"/>
  <c r="M160" i="33" s="1"/>
  <c r="L124" i="33"/>
  <c r="L149" i="33" s="1"/>
  <c r="L160" i="33" s="1"/>
  <c r="E149" i="33"/>
  <c r="E160" i="33" s="1"/>
  <c r="O149" i="33"/>
  <c r="O160" i="33" s="1"/>
  <c r="U76" i="9"/>
  <c r="U103" i="9" s="1"/>
  <c r="L20" i="16" s="1"/>
  <c r="I40" i="8"/>
  <c r="I124" i="34"/>
  <c r="I149" i="34" s="1"/>
  <c r="I160" i="34" s="1"/>
  <c r="D124" i="34"/>
  <c r="D149" i="34" s="1"/>
  <c r="D160" i="34" s="1"/>
  <c r="G124" i="34"/>
  <c r="G149" i="34" s="1"/>
  <c r="G160" i="34" s="1"/>
  <c r="E124" i="34"/>
  <c r="E149" i="34" s="1"/>
  <c r="E160" i="34" s="1"/>
  <c r="J124" i="34"/>
  <c r="J149" i="34" s="1"/>
  <c r="J160" i="34" s="1"/>
  <c r="F124" i="34"/>
  <c r="F149" i="34" s="1"/>
  <c r="F160" i="34" s="1"/>
  <c r="L124" i="34"/>
  <c r="L149" i="34" s="1"/>
  <c r="L160" i="34" s="1"/>
  <c r="N124" i="34"/>
  <c r="N149" i="34" s="1"/>
  <c r="N160" i="34" s="1"/>
  <c r="K124" i="34"/>
  <c r="K149" i="34" s="1"/>
  <c r="K160" i="34" s="1"/>
  <c r="M124" i="34"/>
  <c r="M149" i="34" s="1"/>
  <c r="M160" i="34" s="1"/>
  <c r="H124" i="34"/>
  <c r="H149" i="34" s="1"/>
  <c r="H160" i="34" s="1"/>
  <c r="O124" i="34"/>
  <c r="O149" i="34" s="1"/>
  <c r="O160" i="34" s="1"/>
  <c r="E121" i="35"/>
  <c r="O121" i="35"/>
  <c r="F121" i="35"/>
  <c r="D116" i="21"/>
  <c r="L116" i="21"/>
  <c r="M116" i="21"/>
  <c r="I121" i="35"/>
  <c r="J121" i="35"/>
  <c r="F116" i="21"/>
  <c r="N116" i="21"/>
  <c r="L121" i="35"/>
  <c r="K121" i="35"/>
  <c r="N121" i="35"/>
  <c r="E116" i="21"/>
  <c r="I116" i="21"/>
  <c r="H116" i="21"/>
  <c r="G116" i="21"/>
  <c r="M121" i="35"/>
  <c r="H121" i="35"/>
  <c r="G121" i="35"/>
  <c r="K116" i="21"/>
  <c r="J116" i="21"/>
  <c r="O116" i="21"/>
  <c r="D121" i="35"/>
  <c r="L116" i="22"/>
  <c r="H116" i="22"/>
  <c r="O116" i="22"/>
  <c r="M116" i="22"/>
  <c r="G116" i="22"/>
  <c r="N116" i="22"/>
  <c r="I116" i="22"/>
  <c r="D116" i="22"/>
  <c r="E116" i="22"/>
  <c r="K116" i="22"/>
  <c r="F116" i="22"/>
  <c r="J116" i="22"/>
  <c r="S114" i="22"/>
  <c r="S114" i="21"/>
  <c r="J95" i="22"/>
  <c r="N95" i="22"/>
  <c r="I95" i="22"/>
  <c r="M95" i="22"/>
  <c r="E95" i="22"/>
  <c r="L95" i="22"/>
  <c r="K95" i="22"/>
  <c r="D95" i="22"/>
  <c r="F95" i="22"/>
  <c r="G95" i="22"/>
  <c r="O95" i="22"/>
  <c r="H95" i="22"/>
  <c r="L100" i="35"/>
  <c r="K100" i="35"/>
  <c r="F100" i="35"/>
  <c r="H95" i="21"/>
  <c r="M95" i="21"/>
  <c r="J95" i="21"/>
  <c r="E100" i="35"/>
  <c r="N95" i="21"/>
  <c r="M100" i="35"/>
  <c r="H100" i="35"/>
  <c r="G100" i="35"/>
  <c r="G95" i="21"/>
  <c r="K95" i="21"/>
  <c r="F95" i="21"/>
  <c r="I100" i="35"/>
  <c r="D100" i="35"/>
  <c r="N100" i="35"/>
  <c r="I95" i="21"/>
  <c r="D95" i="21"/>
  <c r="O95" i="21"/>
  <c r="O100" i="35"/>
  <c r="J100" i="35"/>
  <c r="L95" i="21"/>
  <c r="E95" i="21"/>
  <c r="F113" i="33"/>
  <c r="L113" i="34"/>
  <c r="I113" i="34"/>
  <c r="H113" i="34"/>
  <c r="T115" i="9"/>
  <c r="G113" i="34"/>
  <c r="I101" i="35"/>
  <c r="D101" i="35"/>
  <c r="F101" i="35"/>
  <c r="E96" i="21"/>
  <c r="M96" i="21"/>
  <c r="K96" i="21"/>
  <c r="M101" i="35"/>
  <c r="H101" i="35"/>
  <c r="G101" i="35"/>
  <c r="O96" i="21"/>
  <c r="I96" i="21"/>
  <c r="H96" i="21"/>
  <c r="E101" i="35"/>
  <c r="O101" i="35"/>
  <c r="J101" i="35"/>
  <c r="N96" i="21"/>
  <c r="L96" i="21"/>
  <c r="J96" i="21"/>
  <c r="L101" i="35"/>
  <c r="K101" i="35"/>
  <c r="N101" i="35"/>
  <c r="D96" i="21"/>
  <c r="D108" i="21" s="1"/>
  <c r="F96" i="21"/>
  <c r="G96" i="21"/>
  <c r="F113" i="34"/>
  <c r="D113" i="34"/>
  <c r="F94" i="22"/>
  <c r="N94" i="22"/>
  <c r="D94" i="22"/>
  <c r="O94" i="22"/>
  <c r="M94" i="22"/>
  <c r="I94" i="22"/>
  <c r="G94" i="22"/>
  <c r="J94" i="22"/>
  <c r="E94" i="22"/>
  <c r="H94" i="22"/>
  <c r="L94" i="22"/>
  <c r="K94" i="22"/>
  <c r="E99" i="35"/>
  <c r="D99" i="35"/>
  <c r="N99" i="35"/>
  <c r="M94" i="21"/>
  <c r="J94" i="21"/>
  <c r="D94" i="21"/>
  <c r="H94" i="21"/>
  <c r="I99" i="35"/>
  <c r="H99" i="35"/>
  <c r="G99" i="35"/>
  <c r="F94" i="21"/>
  <c r="L94" i="21"/>
  <c r="G94" i="21"/>
  <c r="F99" i="35"/>
  <c r="O99" i="35"/>
  <c r="J99" i="35"/>
  <c r="E94" i="21"/>
  <c r="N94" i="21"/>
  <c r="O94" i="21"/>
  <c r="I94" i="21"/>
  <c r="K94" i="21"/>
  <c r="M99" i="35"/>
  <c r="L99" i="35"/>
  <c r="K99" i="35"/>
  <c r="R115" i="9"/>
  <c r="H19" i="16"/>
  <c r="D92" i="22"/>
  <c r="M92" i="22"/>
  <c r="H92" i="22"/>
  <c r="G92" i="22"/>
  <c r="J92" i="22"/>
  <c r="K92" i="22"/>
  <c r="F92" i="22"/>
  <c r="I92" i="22"/>
  <c r="N92" i="22"/>
  <c r="E92" i="22"/>
  <c r="L92" i="22"/>
  <c r="O92" i="22"/>
  <c r="I97" i="35"/>
  <c r="I113" i="35" s="1"/>
  <c r="D97" i="35"/>
  <c r="J97" i="35"/>
  <c r="L92" i="21"/>
  <c r="L108" i="21" s="1"/>
  <c r="E92" i="21"/>
  <c r="E108" i="21" s="1"/>
  <c r="N92" i="21"/>
  <c r="L97" i="35"/>
  <c r="K97" i="35"/>
  <c r="K113" i="35" s="1"/>
  <c r="N97" i="35"/>
  <c r="N113" i="35" s="1"/>
  <c r="I92" i="21"/>
  <c r="D92" i="21"/>
  <c r="G92" i="21"/>
  <c r="M97" i="35"/>
  <c r="M113" i="35" s="1"/>
  <c r="H97" i="35"/>
  <c r="G97" i="35"/>
  <c r="H92" i="21"/>
  <c r="K92" i="21"/>
  <c r="K108" i="21" s="1"/>
  <c r="J92" i="21"/>
  <c r="E97" i="35"/>
  <c r="O97" i="35"/>
  <c r="F97" i="35"/>
  <c r="F113" i="35" s="1"/>
  <c r="F92" i="21"/>
  <c r="O92" i="21"/>
  <c r="M92" i="21"/>
  <c r="S91" i="21"/>
  <c r="L19" i="16"/>
  <c r="L91" i="22"/>
  <c r="I91" i="22"/>
  <c r="I108" i="22" s="1"/>
  <c r="G91" i="22"/>
  <c r="V65" i="9"/>
  <c r="O91" i="22"/>
  <c r="O108" i="22" s="1"/>
  <c r="F91" i="22"/>
  <c r="D91" i="22"/>
  <c r="N91" i="22"/>
  <c r="K91" i="22"/>
  <c r="K108" i="22" s="1"/>
  <c r="M91" i="22"/>
  <c r="J91" i="22"/>
  <c r="H91" i="22"/>
  <c r="E91" i="22"/>
  <c r="G80" i="22"/>
  <c r="L80" i="22"/>
  <c r="H80" i="22"/>
  <c r="M80" i="22"/>
  <c r="I80" i="22"/>
  <c r="Y8" i="13"/>
  <c r="Z8" i="13" s="1"/>
  <c r="N80" i="22"/>
  <c r="D80" i="22"/>
  <c r="O80" i="22"/>
  <c r="V7" i="13"/>
  <c r="Y23" i="12"/>
  <c r="Z23" i="12" s="1"/>
  <c r="Y9" i="12"/>
  <c r="Z9" i="12" s="1"/>
  <c r="Q25" i="13"/>
  <c r="R25" i="13"/>
  <c r="V25" i="13"/>
  <c r="V30" i="13"/>
  <c r="Q30" i="13"/>
  <c r="R30" i="13"/>
  <c r="Y28" i="13"/>
  <c r="Z28" i="13" s="1"/>
  <c r="Y31" i="13"/>
  <c r="Z31" i="13" s="1"/>
  <c r="N68" i="22"/>
  <c r="L68" i="22"/>
  <c r="K68" i="22"/>
  <c r="D68" i="22"/>
  <c r="Y26" i="13"/>
  <c r="Z26" i="13" s="1"/>
  <c r="Q13" i="12"/>
  <c r="Q89" i="12" s="1"/>
  <c r="R13" i="12"/>
  <c r="V13" i="12"/>
  <c r="M21" i="11"/>
  <c r="T13" i="9"/>
  <c r="Y9" i="11"/>
  <c r="Z9" i="11" s="1"/>
  <c r="Y18" i="12"/>
  <c r="Z18" i="12" s="1"/>
  <c r="Y28" i="12"/>
  <c r="Z28" i="12" s="1"/>
  <c r="Y32" i="11"/>
  <c r="Z32" i="11" s="1"/>
  <c r="Y7" i="12"/>
  <c r="Z7" i="12" s="1"/>
  <c r="R19" i="12"/>
  <c r="Q19" i="12"/>
  <c r="V19" i="12"/>
  <c r="Y19" i="12" s="1"/>
  <c r="Z19" i="12" s="1"/>
  <c r="M11" i="11"/>
  <c r="T8" i="9"/>
  <c r="J89" i="11"/>
  <c r="Y12" i="11"/>
  <c r="Z12" i="11" s="1"/>
  <c r="E80" i="22"/>
  <c r="Y23" i="13"/>
  <c r="Z23" i="13" s="1"/>
  <c r="E71" i="34"/>
  <c r="H71" i="34"/>
  <c r="R29" i="11"/>
  <c r="Q29" i="11"/>
  <c r="V29" i="11"/>
  <c r="Y29" i="11" s="1"/>
  <c r="Z29" i="11" s="1"/>
  <c r="M32" i="13"/>
  <c r="V27" i="9"/>
  <c r="Y14" i="12"/>
  <c r="Z14" i="12" s="1"/>
  <c r="V13" i="13"/>
  <c r="R13" i="13"/>
  <c r="Q13" i="13"/>
  <c r="Q89" i="13" s="1"/>
  <c r="Y26" i="12"/>
  <c r="Z26" i="12" s="1"/>
  <c r="Y14" i="11"/>
  <c r="Z14" i="11" s="1"/>
  <c r="Y10" i="12"/>
  <c r="Z10" i="12" s="1"/>
  <c r="J29" i="12"/>
  <c r="M29" i="12" s="1"/>
  <c r="I29" i="13"/>
  <c r="J29" i="13" s="1"/>
  <c r="M29" i="13" s="1"/>
  <c r="M32" i="12"/>
  <c r="U27" i="9"/>
  <c r="Q19" i="11"/>
  <c r="V19" i="11"/>
  <c r="Y19" i="11" s="1"/>
  <c r="Z19" i="11" s="1"/>
  <c r="R19" i="11"/>
  <c r="Y30" i="12"/>
  <c r="Z30" i="12" s="1"/>
  <c r="I11" i="13"/>
  <c r="J11" i="13" s="1"/>
  <c r="J87" i="13" s="1"/>
  <c r="J11" i="12"/>
  <c r="Y7" i="13"/>
  <c r="Z7" i="13" s="1"/>
  <c r="S57" i="21"/>
  <c r="U20" i="9"/>
  <c r="M27" i="12"/>
  <c r="E81" i="18"/>
  <c r="M27" i="13"/>
  <c r="V13" i="9"/>
  <c r="M21" i="13"/>
  <c r="J84" i="33"/>
  <c r="H84" i="33"/>
  <c r="K84" i="33"/>
  <c r="F81" i="33"/>
  <c r="G81" i="33"/>
  <c r="S71" i="22"/>
  <c r="F84" i="33"/>
  <c r="L84" i="33"/>
  <c r="M84" i="33"/>
  <c r="E84" i="33"/>
  <c r="O84" i="33"/>
  <c r="R45" i="25"/>
  <c r="S61" i="21"/>
  <c r="D81" i="33"/>
  <c r="M21" i="12"/>
  <c r="U13" i="9"/>
  <c r="S58" i="22"/>
  <c r="F16" i="16"/>
  <c r="F18" i="16" s="1"/>
  <c r="F23" i="16" s="1"/>
  <c r="G19" i="16" s="1"/>
  <c r="R12" i="12"/>
  <c r="O12" i="12"/>
  <c r="V12" i="12"/>
  <c r="N81" i="33"/>
  <c r="S68" i="21"/>
  <c r="S70" i="22"/>
  <c r="D81" i="18"/>
  <c r="S61" i="22"/>
  <c r="E68" i="18"/>
  <c r="G12" i="25"/>
  <c r="K81" i="33"/>
  <c r="R90" i="10"/>
  <c r="R88" i="10"/>
  <c r="R36" i="9" s="1"/>
  <c r="V90" i="10"/>
  <c r="V88" i="10"/>
  <c r="S57" i="22"/>
  <c r="P30" i="25"/>
  <c r="N81" i="18"/>
  <c r="K36" i="25"/>
  <c r="I81" i="18"/>
  <c r="O30" i="25"/>
  <c r="M81" i="18"/>
  <c r="Q30" i="25"/>
  <c r="O81" i="18"/>
  <c r="J30" i="25"/>
  <c r="H81" i="18"/>
  <c r="H30" i="25"/>
  <c r="F81" i="18"/>
  <c r="I30" i="25"/>
  <c r="G81" i="18"/>
  <c r="S58" i="21"/>
  <c r="N36" i="25"/>
  <c r="L81" i="18"/>
  <c r="M30" i="25"/>
  <c r="K81" i="18"/>
  <c r="L30" i="25"/>
  <c r="J81" i="18"/>
  <c r="S87" i="21"/>
  <c r="O85" i="33"/>
  <c r="D85" i="33"/>
  <c r="E85" i="33"/>
  <c r="K85" i="33"/>
  <c r="I85" i="33"/>
  <c r="J85" i="33"/>
  <c r="N85" i="33"/>
  <c r="M85" i="33"/>
  <c r="F85" i="33"/>
  <c r="L85" i="33"/>
  <c r="H85" i="33"/>
  <c r="G85" i="33"/>
  <c r="Z7" i="10"/>
  <c r="Y88" i="10"/>
  <c r="F169" i="21"/>
  <c r="K21" i="34" l="1"/>
  <c r="K28" i="34" s="1"/>
  <c r="K56" i="34" s="1"/>
  <c r="K169" i="34" s="1"/>
  <c r="K171" i="34" s="1"/>
  <c r="O21" i="34"/>
  <c r="O28" i="34" s="1"/>
  <c r="O56" i="34" s="1"/>
  <c r="O169" i="34" s="1"/>
  <c r="O171" i="34" s="1"/>
  <c r="E21" i="34"/>
  <c r="J21" i="34"/>
  <c r="J28" i="34" s="1"/>
  <c r="J56" i="34" s="1"/>
  <c r="J169" i="34" s="1"/>
  <c r="J171" i="34" s="1"/>
  <c r="R21" i="34"/>
  <c r="R28" i="34" s="1"/>
  <c r="R56" i="34" s="1"/>
  <c r="G21" i="34"/>
  <c r="G28" i="34" s="1"/>
  <c r="G56" i="34" s="1"/>
  <c r="G169" i="34" s="1"/>
  <c r="G171" i="34" s="1"/>
  <c r="P21" i="34"/>
  <c r="P28" i="34" s="1"/>
  <c r="P56" i="34" s="1"/>
  <c r="P164" i="34" s="1"/>
  <c r="D164" i="35" s="1"/>
  <c r="M28" i="34"/>
  <c r="M56" i="34" s="1"/>
  <c r="M169" i="34" s="1"/>
  <c r="M171" i="34" s="1"/>
  <c r="R106" i="25"/>
  <c r="R107" i="25"/>
  <c r="R142" i="25"/>
  <c r="R136" i="25"/>
  <c r="S112" i="25"/>
  <c r="R132" i="25"/>
  <c r="R139" i="25"/>
  <c r="R138" i="25"/>
  <c r="R137" i="25"/>
  <c r="R110" i="25"/>
  <c r="R123" i="25"/>
  <c r="R118" i="25"/>
  <c r="R88" i="25"/>
  <c r="R120" i="25"/>
  <c r="R125" i="25"/>
  <c r="R155" i="25"/>
  <c r="R124" i="25"/>
  <c r="R130" i="25"/>
  <c r="Z88" i="10"/>
  <c r="R60" i="25"/>
  <c r="R114" i="25"/>
  <c r="E108" i="22"/>
  <c r="G108" i="21"/>
  <c r="H108" i="22"/>
  <c r="N108" i="22"/>
  <c r="E113" i="35"/>
  <c r="G113" i="35"/>
  <c r="S134" i="25"/>
  <c r="R87" i="25"/>
  <c r="R12" i="25"/>
  <c r="M108" i="21"/>
  <c r="J108" i="22"/>
  <c r="J108" i="21"/>
  <c r="H113" i="35"/>
  <c r="I108" i="21"/>
  <c r="S116" i="22"/>
  <c r="I71" i="34"/>
  <c r="S71" i="21"/>
  <c r="L71" i="34"/>
  <c r="J86" i="33"/>
  <c r="M86" i="33"/>
  <c r="O86" i="33"/>
  <c r="M71" i="34"/>
  <c r="D71" i="34"/>
  <c r="L86" i="33"/>
  <c r="G86" i="33"/>
  <c r="K71" i="34"/>
  <c r="H86" i="33"/>
  <c r="I86" i="33"/>
  <c r="E86" i="33"/>
  <c r="N86" i="33"/>
  <c r="F86" i="33"/>
  <c r="N71" i="34"/>
  <c r="O71" i="34"/>
  <c r="G71" i="34"/>
  <c r="J71" i="34"/>
  <c r="V31" i="11"/>
  <c r="Q31" i="11"/>
  <c r="R31" i="11"/>
  <c r="Q87" i="11"/>
  <c r="T35" i="9" s="1"/>
  <c r="G86" i="34" s="1"/>
  <c r="S68" i="22"/>
  <c r="N76" i="34"/>
  <c r="G76" i="34"/>
  <c r="G81" i="34" s="1"/>
  <c r="O76" i="34"/>
  <c r="O81" i="34" s="1"/>
  <c r="F76" i="34"/>
  <c r="F81" i="34" s="1"/>
  <c r="D76" i="34"/>
  <c r="M76" i="34"/>
  <c r="M81" i="34" s="1"/>
  <c r="E76" i="34"/>
  <c r="E81" i="34" s="1"/>
  <c r="L76" i="34"/>
  <c r="L81" i="34" s="1"/>
  <c r="J76" i="34"/>
  <c r="K76" i="34"/>
  <c r="K81" i="34" s="1"/>
  <c r="I76" i="34"/>
  <c r="H76" i="34"/>
  <c r="H81" i="34" s="1"/>
  <c r="T30" i="9"/>
  <c r="J16" i="16" s="1"/>
  <c r="S67" i="21"/>
  <c r="Y24" i="12"/>
  <c r="Z24" i="12" s="1"/>
  <c r="S60" i="21"/>
  <c r="S56" i="21"/>
  <c r="Y10" i="13"/>
  <c r="Z10" i="13" s="1"/>
  <c r="J56" i="22"/>
  <c r="H56" i="22"/>
  <c r="K56" i="22"/>
  <c r="E56" i="22"/>
  <c r="I56" i="22"/>
  <c r="M56" i="22"/>
  <c r="N56" i="22"/>
  <c r="F56" i="22"/>
  <c r="G56" i="22"/>
  <c r="L56" i="22"/>
  <c r="O56" i="22"/>
  <c r="D56" i="22"/>
  <c r="R9" i="13"/>
  <c r="O9" i="13"/>
  <c r="V9" i="13"/>
  <c r="E60" i="22"/>
  <c r="I60" i="22"/>
  <c r="N60" i="22"/>
  <c r="J60" i="22"/>
  <c r="M60" i="22"/>
  <c r="F60" i="22"/>
  <c r="O60" i="22"/>
  <c r="G60" i="22"/>
  <c r="D60" i="22"/>
  <c r="K60" i="22"/>
  <c r="H60" i="22"/>
  <c r="L60" i="22"/>
  <c r="S80" i="22"/>
  <c r="S80" i="21"/>
  <c r="J23" i="21"/>
  <c r="R36" i="25"/>
  <c r="I28" i="34"/>
  <c r="I56" i="34" s="1"/>
  <c r="I169" i="34" s="1"/>
  <c r="I171" i="34" s="1"/>
  <c r="M28" i="35"/>
  <c r="M56" i="35" s="1"/>
  <c r="S22" i="18"/>
  <c r="L28" i="18"/>
  <c r="L56" i="18" s="1"/>
  <c r="L170" i="18" s="1"/>
  <c r="L172" i="18" s="1"/>
  <c r="M23" i="21"/>
  <c r="P28" i="35"/>
  <c r="P56" i="35" s="1"/>
  <c r="Q28" i="34"/>
  <c r="Q56" i="34" s="1"/>
  <c r="Q169" i="34" s="1"/>
  <c r="E28" i="34"/>
  <c r="E56" i="34" s="1"/>
  <c r="E169" i="34" s="1"/>
  <c r="F28" i="35"/>
  <c r="F56" i="35" s="1"/>
  <c r="J28" i="35"/>
  <c r="J56" i="35" s="1"/>
  <c r="G23" i="21"/>
  <c r="O23" i="21"/>
  <c r="R28" i="35"/>
  <c r="R56" i="35" s="1"/>
  <c r="R164" i="35" s="1"/>
  <c r="H28" i="35"/>
  <c r="H56" i="35" s="1"/>
  <c r="J23" i="22"/>
  <c r="Q23" i="21"/>
  <c r="I28" i="35"/>
  <c r="I56" i="35" s="1"/>
  <c r="G23" i="22"/>
  <c r="M23" i="22"/>
  <c r="L28" i="34"/>
  <c r="L56" i="34" s="1"/>
  <c r="L169" i="34" s="1"/>
  <c r="L171" i="34" s="1"/>
  <c r="D28" i="34"/>
  <c r="D56" i="34" s="1"/>
  <c r="D169" i="34" s="1"/>
  <c r="N28" i="34"/>
  <c r="N56" i="34" s="1"/>
  <c r="N169" i="34" s="1"/>
  <c r="N171" i="34" s="1"/>
  <c r="S17" i="21"/>
  <c r="E23" i="21"/>
  <c r="R23" i="21"/>
  <c r="O28" i="35"/>
  <c r="O56" i="35" s="1"/>
  <c r="G28" i="35"/>
  <c r="G56" i="35" s="1"/>
  <c r="S21" i="18"/>
  <c r="G22" i="33"/>
  <c r="L22" i="33"/>
  <c r="K22" i="33"/>
  <c r="E22" i="33"/>
  <c r="M22" i="33"/>
  <c r="H22" i="33"/>
  <c r="R22" i="33"/>
  <c r="P22" i="33"/>
  <c r="I22" i="33"/>
  <c r="J22" i="33"/>
  <c r="D22" i="33"/>
  <c r="F22" i="33"/>
  <c r="O22" i="33"/>
  <c r="Q22" i="33"/>
  <c r="N22" i="33"/>
  <c r="H23" i="22"/>
  <c r="K23" i="22"/>
  <c r="S17" i="22"/>
  <c r="Q28" i="18"/>
  <c r="Q56" i="18" s="1"/>
  <c r="F10" i="16"/>
  <c r="F12" i="16" s="1"/>
  <c r="D58" i="15"/>
  <c r="P28" i="18"/>
  <c r="P56" i="18" s="1"/>
  <c r="J10" i="16"/>
  <c r="J12" i="16" s="1"/>
  <c r="G58" i="15"/>
  <c r="F28" i="34"/>
  <c r="F56" i="34" s="1"/>
  <c r="F169" i="34" s="1"/>
  <c r="Q28" i="35"/>
  <c r="Q56" i="35" s="1"/>
  <c r="N28" i="35"/>
  <c r="N56" i="35" s="1"/>
  <c r="H58" i="15"/>
  <c r="L10" i="16"/>
  <c r="L12" i="16" s="1"/>
  <c r="E28" i="35"/>
  <c r="E56" i="35" s="1"/>
  <c r="K28" i="35"/>
  <c r="K56" i="35" s="1"/>
  <c r="N23" i="22"/>
  <c r="Q21" i="33"/>
  <c r="G21" i="33"/>
  <c r="P21" i="33"/>
  <c r="E21" i="33"/>
  <c r="L21" i="33"/>
  <c r="I21" i="33"/>
  <c r="K21" i="33"/>
  <c r="O21" i="33"/>
  <c r="D21" i="33"/>
  <c r="N21" i="33"/>
  <c r="M21" i="33"/>
  <c r="J21" i="33"/>
  <c r="H21" i="33"/>
  <c r="F21" i="33"/>
  <c r="R21" i="33"/>
  <c r="L23" i="22"/>
  <c r="Q23" i="22"/>
  <c r="I58" i="15"/>
  <c r="N10" i="16"/>
  <c r="N12" i="16" s="1"/>
  <c r="R23" i="22"/>
  <c r="R28" i="18"/>
  <c r="R56" i="18" s="1"/>
  <c r="H28" i="18"/>
  <c r="H56" i="18" s="1"/>
  <c r="H170" i="18" s="1"/>
  <c r="H172" i="18" s="1"/>
  <c r="G28" i="18"/>
  <c r="G56" i="18" s="1"/>
  <c r="G170" i="18" s="1"/>
  <c r="G172" i="18" s="1"/>
  <c r="N28" i="18"/>
  <c r="N56" i="18" s="1"/>
  <c r="N170" i="18" s="1"/>
  <c r="N172" i="18" s="1"/>
  <c r="H28" i="34"/>
  <c r="H56" i="34" s="1"/>
  <c r="H169" i="34" s="1"/>
  <c r="H171" i="34" s="1"/>
  <c r="L28" i="35"/>
  <c r="L56" i="35" s="1"/>
  <c r="I20" i="33"/>
  <c r="F20" i="33"/>
  <c r="D20" i="33"/>
  <c r="G20" i="33"/>
  <c r="M20" i="33"/>
  <c r="N20" i="33"/>
  <c r="R20" i="33"/>
  <c r="E20" i="33"/>
  <c r="O20" i="33"/>
  <c r="L20" i="33"/>
  <c r="P20" i="33"/>
  <c r="J20" i="33"/>
  <c r="E40" i="15"/>
  <c r="Q20" i="33"/>
  <c r="K20" i="33"/>
  <c r="H20" i="33"/>
  <c r="L23" i="21"/>
  <c r="D23" i="21"/>
  <c r="S18" i="21"/>
  <c r="I23" i="22"/>
  <c r="P23" i="22"/>
  <c r="F28" i="18"/>
  <c r="F56" i="18" s="1"/>
  <c r="F170" i="18" s="1"/>
  <c r="F172" i="18" s="1"/>
  <c r="O28" i="18"/>
  <c r="O56" i="18" s="1"/>
  <c r="O170" i="18" s="1"/>
  <c r="O172" i="18" s="1"/>
  <c r="E28" i="18"/>
  <c r="E56" i="18" s="1"/>
  <c r="E170" i="18" s="1"/>
  <c r="E172" i="18" s="1"/>
  <c r="D28" i="18"/>
  <c r="S20" i="18"/>
  <c r="D28" i="35"/>
  <c r="D56" i="35" s="1"/>
  <c r="S18" i="22"/>
  <c r="O23" i="22"/>
  <c r="I28" i="18"/>
  <c r="I56" i="18" s="1"/>
  <c r="I170" i="18" s="1"/>
  <c r="I172" i="18" s="1"/>
  <c r="M28" i="18"/>
  <c r="M56" i="18" s="1"/>
  <c r="M170" i="18" s="1"/>
  <c r="M172" i="18" s="1"/>
  <c r="K28" i="18"/>
  <c r="K56" i="18" s="1"/>
  <c r="K170" i="18" s="1"/>
  <c r="K172" i="18" s="1"/>
  <c r="J28" i="18"/>
  <c r="J56" i="18" s="1"/>
  <c r="J170" i="18" s="1"/>
  <c r="J172" i="18" s="1"/>
  <c r="S131" i="21"/>
  <c r="S130" i="21"/>
  <c r="S130" i="22"/>
  <c r="S128" i="22"/>
  <c r="S128" i="21"/>
  <c r="S127" i="22"/>
  <c r="S127" i="21"/>
  <c r="S126" i="21"/>
  <c r="S125" i="22"/>
  <c r="S125" i="21"/>
  <c r="S124" i="22"/>
  <c r="S124" i="21"/>
  <c r="S123" i="22"/>
  <c r="S123" i="21"/>
  <c r="E127" i="35"/>
  <c r="O127" i="35"/>
  <c r="F127" i="35"/>
  <c r="F122" i="21"/>
  <c r="E122" i="21"/>
  <c r="H122" i="21"/>
  <c r="L127" i="35"/>
  <c r="K127" i="35"/>
  <c r="N127" i="35"/>
  <c r="G122" i="21"/>
  <c r="K122" i="21"/>
  <c r="N122" i="21"/>
  <c r="I127" i="35"/>
  <c r="D127" i="35"/>
  <c r="J127" i="35"/>
  <c r="J122" i="21"/>
  <c r="O122" i="21"/>
  <c r="I122" i="21"/>
  <c r="M127" i="35"/>
  <c r="H127" i="35"/>
  <c r="G127" i="35"/>
  <c r="M122" i="21"/>
  <c r="L122" i="21"/>
  <c r="D122" i="21"/>
  <c r="S122" i="21" s="1"/>
  <c r="H122" i="22"/>
  <c r="F122" i="22"/>
  <c r="O122" i="22"/>
  <c r="D122" i="22"/>
  <c r="G122" i="22"/>
  <c r="E122" i="22"/>
  <c r="N122" i="22"/>
  <c r="M122" i="22"/>
  <c r="L122" i="22"/>
  <c r="J122" i="22"/>
  <c r="I122" i="22"/>
  <c r="K122" i="22"/>
  <c r="V76" i="9"/>
  <c r="I77" i="8"/>
  <c r="I89" i="8" s="1"/>
  <c r="D119" i="21"/>
  <c r="N124" i="35"/>
  <c r="N149" i="35" s="1"/>
  <c r="N160" i="35" s="1"/>
  <c r="L124" i="35"/>
  <c r="L149" i="35" s="1"/>
  <c r="L160" i="35" s="1"/>
  <c r="D124" i="35"/>
  <c r="D149" i="35" s="1"/>
  <c r="D160" i="35" s="1"/>
  <c r="F119" i="21"/>
  <c r="K119" i="21"/>
  <c r="K144" i="21" s="1"/>
  <c r="O119" i="21"/>
  <c r="O144" i="21" s="1"/>
  <c r="N119" i="21"/>
  <c r="J119" i="21"/>
  <c r="O124" i="35"/>
  <c r="O149" i="35" s="1"/>
  <c r="O160" i="35" s="1"/>
  <c r="J124" i="35"/>
  <c r="J149" i="35" s="1"/>
  <c r="J160" i="35" s="1"/>
  <c r="J169" i="35" s="1"/>
  <c r="J171" i="35" s="1"/>
  <c r="H124" i="35"/>
  <c r="M119" i="21"/>
  <c r="M144" i="21" s="1"/>
  <c r="E119" i="21"/>
  <c r="E144" i="21" s="1"/>
  <c r="G119" i="21"/>
  <c r="G144" i="21" s="1"/>
  <c r="K124" i="35"/>
  <c r="F124" i="35"/>
  <c r="F149" i="35" s="1"/>
  <c r="F160" i="35" s="1"/>
  <c r="M124" i="35"/>
  <c r="M149" i="35" s="1"/>
  <c r="M160" i="35" s="1"/>
  <c r="I119" i="21"/>
  <c r="I144" i="21" s="1"/>
  <c r="G124" i="35"/>
  <c r="I124" i="35"/>
  <c r="E124" i="35"/>
  <c r="E149" i="35" s="1"/>
  <c r="E160" i="35" s="1"/>
  <c r="L119" i="21"/>
  <c r="L144" i="21" s="1"/>
  <c r="H119" i="21"/>
  <c r="H144" i="21" s="1"/>
  <c r="U115" i="9"/>
  <c r="S116" i="21"/>
  <c r="O108" i="21"/>
  <c r="S95" i="21"/>
  <c r="S95" i="22"/>
  <c r="M108" i="22"/>
  <c r="N108" i="21"/>
  <c r="D113" i="35"/>
  <c r="S96" i="21"/>
  <c r="J113" i="35"/>
  <c r="L113" i="35"/>
  <c r="S94" i="21"/>
  <c r="S94" i="22"/>
  <c r="O113" i="35"/>
  <c r="H108" i="21"/>
  <c r="G108" i="22"/>
  <c r="F108" i="21"/>
  <c r="F108" i="22"/>
  <c r="S92" i="22"/>
  <c r="L108" i="22"/>
  <c r="S92" i="21"/>
  <c r="N19" i="16"/>
  <c r="S91" i="22"/>
  <c r="D108" i="22"/>
  <c r="Y13" i="12"/>
  <c r="Z13" i="12" s="1"/>
  <c r="Y30" i="13"/>
  <c r="Z30" i="13" s="1"/>
  <c r="Y25" i="13"/>
  <c r="Z25" i="13" s="1"/>
  <c r="Q29" i="13"/>
  <c r="V29" i="13"/>
  <c r="R29" i="13"/>
  <c r="R32" i="13"/>
  <c r="Q32" i="13"/>
  <c r="V32" i="13"/>
  <c r="M11" i="13"/>
  <c r="J89" i="13"/>
  <c r="V8" i="9"/>
  <c r="Q29" i="12"/>
  <c r="R29" i="12"/>
  <c r="V29" i="12"/>
  <c r="G64" i="34"/>
  <c r="J64" i="34"/>
  <c r="D64" i="34"/>
  <c r="N64" i="34"/>
  <c r="E64" i="34"/>
  <c r="O64" i="34"/>
  <c r="I64" i="34"/>
  <c r="K64" i="34"/>
  <c r="L64" i="34"/>
  <c r="H64" i="34"/>
  <c r="M64" i="34"/>
  <c r="F64" i="34"/>
  <c r="V20" i="9"/>
  <c r="G66" i="22" s="1"/>
  <c r="F78" i="35"/>
  <c r="J78" i="35"/>
  <c r="K73" i="21"/>
  <c r="N73" i="21"/>
  <c r="J73" i="21"/>
  <c r="E78" i="35"/>
  <c r="D73" i="21"/>
  <c r="M78" i="35"/>
  <c r="D78" i="35"/>
  <c r="E73" i="21"/>
  <c r="O73" i="21"/>
  <c r="H78" i="35"/>
  <c r="G78" i="35"/>
  <c r="M73" i="21"/>
  <c r="L78" i="35"/>
  <c r="L73" i="21"/>
  <c r="F73" i="21"/>
  <c r="I78" i="35"/>
  <c r="G73" i="21"/>
  <c r="N78" i="35"/>
  <c r="I73" i="21"/>
  <c r="K78" i="35"/>
  <c r="O78" i="35"/>
  <c r="H73" i="21"/>
  <c r="O21" i="11"/>
  <c r="R21" i="11"/>
  <c r="V21" i="11"/>
  <c r="M11" i="12"/>
  <c r="J89" i="12"/>
  <c r="U8" i="9"/>
  <c r="J87" i="12"/>
  <c r="O11" i="11"/>
  <c r="R11" i="11"/>
  <c r="M89" i="11"/>
  <c r="V11" i="11"/>
  <c r="M87" i="11"/>
  <c r="R32" i="12"/>
  <c r="V32" i="12"/>
  <c r="Q32" i="12"/>
  <c r="Y13" i="13"/>
  <c r="Z13" i="13" s="1"/>
  <c r="G73" i="22"/>
  <c r="N73" i="22"/>
  <c r="O73" i="22"/>
  <c r="M73" i="22"/>
  <c r="E73" i="22"/>
  <c r="D73" i="22"/>
  <c r="H73" i="22"/>
  <c r="K73" i="22"/>
  <c r="J73" i="22"/>
  <c r="L73" i="22"/>
  <c r="F73" i="22"/>
  <c r="I73" i="22"/>
  <c r="I60" i="34"/>
  <c r="N60" i="34"/>
  <c r="H60" i="34"/>
  <c r="J60" i="34"/>
  <c r="G60" i="34"/>
  <c r="D60" i="34"/>
  <c r="D68" i="34" s="1"/>
  <c r="T17" i="9"/>
  <c r="J15" i="16" s="1"/>
  <c r="K60" i="34"/>
  <c r="O60" i="34"/>
  <c r="O68" i="34" s="1"/>
  <c r="F60" i="34"/>
  <c r="L60" i="34"/>
  <c r="P60" i="34"/>
  <c r="P68" i="34" s="1"/>
  <c r="E60" i="34"/>
  <c r="M60" i="34"/>
  <c r="M68" i="34" s="1"/>
  <c r="D66" i="21"/>
  <c r="M66" i="21"/>
  <c r="G71" i="35"/>
  <c r="N71" i="35"/>
  <c r="E71" i="35"/>
  <c r="F71" i="35"/>
  <c r="H71" i="35"/>
  <c r="H66" i="21"/>
  <c r="F66" i="21"/>
  <c r="I71" i="35"/>
  <c r="J71" i="35"/>
  <c r="M71" i="35"/>
  <c r="G66" i="21"/>
  <c r="O66" i="21"/>
  <c r="D71" i="35"/>
  <c r="O71" i="35"/>
  <c r="J66" i="21"/>
  <c r="L71" i="35"/>
  <c r="I66" i="21"/>
  <c r="N66" i="21"/>
  <c r="K66" i="21"/>
  <c r="E66" i="21"/>
  <c r="U30" i="9"/>
  <c r="L16" i="16" s="1"/>
  <c r="L66" i="21"/>
  <c r="K71" i="35"/>
  <c r="S26" i="25"/>
  <c r="F25" i="16"/>
  <c r="F36" i="16" s="1"/>
  <c r="F37" i="16" s="1"/>
  <c r="R27" i="13"/>
  <c r="V27" i="13"/>
  <c r="Q27" i="13"/>
  <c r="V27" i="12"/>
  <c r="R27" i="12"/>
  <c r="Q27" i="12"/>
  <c r="V21" i="12"/>
  <c r="O21" i="12"/>
  <c r="R21" i="12"/>
  <c r="M87" i="12"/>
  <c r="J59" i="22"/>
  <c r="M59" i="22"/>
  <c r="G59" i="22"/>
  <c r="D59" i="22"/>
  <c r="E59" i="22"/>
  <c r="F59" i="22"/>
  <c r="L59" i="22"/>
  <c r="H59" i="22"/>
  <c r="I59" i="22"/>
  <c r="N59" i="22"/>
  <c r="O59" i="22"/>
  <c r="K59" i="22"/>
  <c r="G17" i="16"/>
  <c r="G15" i="16"/>
  <c r="H59" i="21"/>
  <c r="M59" i="21"/>
  <c r="K64" i="35"/>
  <c r="E59" i="21"/>
  <c r="N59" i="21"/>
  <c r="F64" i="35"/>
  <c r="K59" i="21"/>
  <c r="H64" i="35"/>
  <c r="U17" i="9"/>
  <c r="L15" i="16" s="1"/>
  <c r="E64" i="35"/>
  <c r="I59" i="21"/>
  <c r="J64" i="35"/>
  <c r="J59" i="21"/>
  <c r="F59" i="21"/>
  <c r="G64" i="35"/>
  <c r="O64" i="35"/>
  <c r="M64" i="35"/>
  <c r="D59" i="21"/>
  <c r="L64" i="35"/>
  <c r="I64" i="35"/>
  <c r="O59" i="21"/>
  <c r="D64" i="35"/>
  <c r="L59" i="21"/>
  <c r="G59" i="21"/>
  <c r="N64" i="35"/>
  <c r="O21" i="13"/>
  <c r="R21" i="13"/>
  <c r="V21" i="13"/>
  <c r="M87" i="13"/>
  <c r="S56" i="25"/>
  <c r="G20" i="16"/>
  <c r="D90" i="33"/>
  <c r="O90" i="33"/>
  <c r="G90" i="33"/>
  <c r="F90" i="33"/>
  <c r="E90" i="33"/>
  <c r="J90" i="33"/>
  <c r="K90" i="33"/>
  <c r="L90" i="33"/>
  <c r="H90" i="33"/>
  <c r="I90" i="33"/>
  <c r="N90" i="33"/>
  <c r="M90" i="33"/>
  <c r="Y12" i="12"/>
  <c r="Z12" i="12" s="1"/>
  <c r="G16" i="16"/>
  <c r="E87" i="33"/>
  <c r="G87" i="33"/>
  <c r="H87" i="33"/>
  <c r="K87" i="33"/>
  <c r="J87" i="33"/>
  <c r="M87" i="33"/>
  <c r="D87" i="33"/>
  <c r="L87" i="33"/>
  <c r="I87" i="33"/>
  <c r="F87" i="33"/>
  <c r="N87" i="33"/>
  <c r="O87" i="33"/>
  <c r="O93" i="33" s="1"/>
  <c r="R42" i="9"/>
  <c r="R30" i="25"/>
  <c r="G169" i="21"/>
  <c r="F32" i="23"/>
  <c r="M169" i="35" l="1"/>
  <c r="M171" i="35" s="1"/>
  <c r="E169" i="35"/>
  <c r="Q164" i="34"/>
  <c r="E164" i="35" s="1"/>
  <c r="E167" i="35" s="1"/>
  <c r="P169" i="34"/>
  <c r="F28" i="33"/>
  <c r="F56" i="33" s="1"/>
  <c r="F169" i="33" s="1"/>
  <c r="F171" i="33" s="1"/>
  <c r="O86" i="34"/>
  <c r="I149" i="35"/>
  <c r="I160" i="35" s="1"/>
  <c r="J144" i="21"/>
  <c r="F144" i="21"/>
  <c r="I81" i="34"/>
  <c r="G149" i="35"/>
  <c r="G160" i="35" s="1"/>
  <c r="G169" i="35" s="1"/>
  <c r="G171" i="35" s="1"/>
  <c r="J81" i="34"/>
  <c r="D81" i="34"/>
  <c r="K81" i="35"/>
  <c r="E81" i="35"/>
  <c r="F93" i="33"/>
  <c r="O81" i="35"/>
  <c r="M93" i="33"/>
  <c r="F81" i="35"/>
  <c r="J81" i="35"/>
  <c r="N86" i="34"/>
  <c r="E76" i="21"/>
  <c r="I81" i="35"/>
  <c r="M76" i="21"/>
  <c r="N81" i="34"/>
  <c r="Y29" i="12"/>
  <c r="Z29" i="12" s="1"/>
  <c r="L86" i="34"/>
  <c r="E68" i="34"/>
  <c r="G68" i="34"/>
  <c r="I68" i="34"/>
  <c r="D86" i="34"/>
  <c r="J86" i="34"/>
  <c r="I86" i="34"/>
  <c r="Y31" i="11"/>
  <c r="Z31" i="11" s="1"/>
  <c r="I66" i="22"/>
  <c r="I76" i="22" s="1"/>
  <c r="L68" i="34"/>
  <c r="E86" i="34"/>
  <c r="M86" i="34"/>
  <c r="F86" i="34"/>
  <c r="H86" i="34"/>
  <c r="K86" i="34"/>
  <c r="S56" i="22"/>
  <c r="Y9" i="13"/>
  <c r="Z9" i="13" s="1"/>
  <c r="S60" i="22"/>
  <c r="I93" i="33"/>
  <c r="J93" i="33"/>
  <c r="J76" i="21"/>
  <c r="F76" i="21"/>
  <c r="J68" i="34"/>
  <c r="G76" i="22"/>
  <c r="H68" i="34"/>
  <c r="Y21" i="11"/>
  <c r="Z21" i="11" s="1"/>
  <c r="I76" i="21"/>
  <c r="D81" i="35"/>
  <c r="G81" i="35"/>
  <c r="J28" i="33"/>
  <c r="J56" i="33" s="1"/>
  <c r="J169" i="33" s="1"/>
  <c r="J171" i="33" s="1"/>
  <c r="H28" i="33"/>
  <c r="H56" i="33" s="1"/>
  <c r="H169" i="33" s="1"/>
  <c r="H171" i="33" s="1"/>
  <c r="R157" i="25"/>
  <c r="I169" i="35"/>
  <c r="I171" i="35" s="1"/>
  <c r="F169" i="35"/>
  <c r="P169" i="35"/>
  <c r="P164" i="35"/>
  <c r="L169" i="35"/>
  <c r="L171" i="35" s="1"/>
  <c r="R169" i="35"/>
  <c r="O169" i="35"/>
  <c r="O171" i="35" s="1"/>
  <c r="Q28" i="33"/>
  <c r="Q56" i="33" s="1"/>
  <c r="Q169" i="33" s="1"/>
  <c r="L28" i="33"/>
  <c r="L56" i="33" s="1"/>
  <c r="L169" i="33" s="1"/>
  <c r="L171" i="33" s="1"/>
  <c r="N28" i="33"/>
  <c r="N56" i="33" s="1"/>
  <c r="N169" i="33" s="1"/>
  <c r="N171" i="33" s="1"/>
  <c r="D169" i="35"/>
  <c r="K28" i="33"/>
  <c r="K56" i="33" s="1"/>
  <c r="K169" i="33" s="1"/>
  <c r="K171" i="33" s="1"/>
  <c r="P28" i="33"/>
  <c r="P56" i="33" s="1"/>
  <c r="R28" i="33"/>
  <c r="R56" i="33" s="1"/>
  <c r="D28" i="33"/>
  <c r="D56" i="33" s="1"/>
  <c r="D169" i="33" s="1"/>
  <c r="G28" i="33"/>
  <c r="G56" i="33" s="1"/>
  <c r="G169" i="33" s="1"/>
  <c r="G171" i="33" s="1"/>
  <c r="Q164" i="35"/>
  <c r="Q169" i="35"/>
  <c r="D56" i="18"/>
  <c r="D170" i="18" s="1"/>
  <c r="D172" i="18" s="1"/>
  <c r="D174" i="18" s="1"/>
  <c r="S156" i="25"/>
  <c r="S28" i="18"/>
  <c r="R165" i="18"/>
  <c r="R170" i="18"/>
  <c r="Q165" i="18"/>
  <c r="E164" i="33" s="1"/>
  <c r="E167" i="33" s="1"/>
  <c r="Q170" i="18"/>
  <c r="N169" i="35"/>
  <c r="N171" i="35" s="1"/>
  <c r="E58" i="15"/>
  <c r="H10" i="16"/>
  <c r="H12" i="16" s="1"/>
  <c r="O28" i="33"/>
  <c r="O56" i="33" s="1"/>
  <c r="O169" i="33" s="1"/>
  <c r="O171" i="33" s="1"/>
  <c r="M28" i="33"/>
  <c r="M56" i="33" s="1"/>
  <c r="M169" i="33" s="1"/>
  <c r="M171" i="33" s="1"/>
  <c r="I28" i="33"/>
  <c r="I56" i="33" s="1"/>
  <c r="I169" i="33" s="1"/>
  <c r="I171" i="33" s="1"/>
  <c r="E28" i="33"/>
  <c r="E56" i="33" s="1"/>
  <c r="E169" i="33" s="1"/>
  <c r="P170" i="18"/>
  <c r="P165" i="18"/>
  <c r="D164" i="33" s="1"/>
  <c r="R164" i="34"/>
  <c r="R169" i="34"/>
  <c r="S122" i="22"/>
  <c r="K149" i="35"/>
  <c r="K160" i="35" s="1"/>
  <c r="K169" i="35" s="1"/>
  <c r="K171" i="35" s="1"/>
  <c r="H149" i="35"/>
  <c r="H160" i="35" s="1"/>
  <c r="H169" i="35" s="1"/>
  <c r="H171" i="35" s="1"/>
  <c r="N144" i="21"/>
  <c r="S119" i="21"/>
  <c r="D144" i="21"/>
  <c r="N119" i="22"/>
  <c r="N144" i="22" s="1"/>
  <c r="K119" i="22"/>
  <c r="K144" i="22" s="1"/>
  <c r="F119" i="22"/>
  <c r="F144" i="22" s="1"/>
  <c r="M119" i="22"/>
  <c r="M144" i="22" s="1"/>
  <c r="L119" i="22"/>
  <c r="L144" i="22" s="1"/>
  <c r="I119" i="22"/>
  <c r="I144" i="22" s="1"/>
  <c r="G119" i="22"/>
  <c r="G144" i="22" s="1"/>
  <c r="E119" i="22"/>
  <c r="E144" i="22" s="1"/>
  <c r="D119" i="22"/>
  <c r="O119" i="22"/>
  <c r="O144" i="22" s="1"/>
  <c r="J119" i="22"/>
  <c r="J144" i="22" s="1"/>
  <c r="H119" i="22"/>
  <c r="H144" i="22" s="1"/>
  <c r="V103" i="9"/>
  <c r="G18" i="16"/>
  <c r="L66" i="22"/>
  <c r="L76" i="22" s="1"/>
  <c r="M66" i="22"/>
  <c r="M76" i="22" s="1"/>
  <c r="L76" i="21"/>
  <c r="N76" i="21"/>
  <c r="M81" i="35"/>
  <c r="H76" i="21"/>
  <c r="N81" i="35"/>
  <c r="J66" i="22"/>
  <c r="J76" i="22" s="1"/>
  <c r="V30" i="9"/>
  <c r="N16" i="16" s="1"/>
  <c r="F66" i="22"/>
  <c r="F76" i="22" s="1"/>
  <c r="N66" i="22"/>
  <c r="N76" i="22" s="1"/>
  <c r="H81" i="35"/>
  <c r="H66" i="22"/>
  <c r="H76" i="22" s="1"/>
  <c r="D66" i="22"/>
  <c r="D76" i="22" s="1"/>
  <c r="E66" i="22"/>
  <c r="E76" i="22" s="1"/>
  <c r="Q87" i="13"/>
  <c r="V35" i="9" s="1"/>
  <c r="F81" i="22" s="1"/>
  <c r="O66" i="22"/>
  <c r="O76" i="22" s="1"/>
  <c r="K66" i="22"/>
  <c r="K76" i="22" s="1"/>
  <c r="F68" i="34"/>
  <c r="N68" i="34"/>
  <c r="S73" i="22"/>
  <c r="Y32" i="12"/>
  <c r="Z32" i="12" s="1"/>
  <c r="J55" i="21"/>
  <c r="G55" i="21"/>
  <c r="G63" i="21" s="1"/>
  <c r="D60" i="35"/>
  <c r="D68" i="35" s="1"/>
  <c r="I60" i="35"/>
  <c r="I68" i="35" s="1"/>
  <c r="E60" i="35"/>
  <c r="M55" i="21"/>
  <c r="D55" i="21"/>
  <c r="D63" i="21" s="1"/>
  <c r="N55" i="21"/>
  <c r="N63" i="21" s="1"/>
  <c r="L60" i="35"/>
  <c r="L68" i="35" s="1"/>
  <c r="P60" i="35"/>
  <c r="P68" i="35" s="1"/>
  <c r="O55" i="21"/>
  <c r="O63" i="21" s="1"/>
  <c r="O60" i="35"/>
  <c r="O68" i="35" s="1"/>
  <c r="L55" i="21"/>
  <c r="L63" i="21" s="1"/>
  <c r="G60" i="35"/>
  <c r="G68" i="35" s="1"/>
  <c r="F60" i="35"/>
  <c r="F68" i="35" s="1"/>
  <c r="E55" i="21"/>
  <c r="E63" i="21" s="1"/>
  <c r="K55" i="21"/>
  <c r="H55" i="21"/>
  <c r="H63" i="21" s="1"/>
  <c r="K60" i="35"/>
  <c r="K68" i="35" s="1"/>
  <c r="H60" i="35"/>
  <c r="H68" i="35" s="1"/>
  <c r="J60" i="35"/>
  <c r="J68" i="35" s="1"/>
  <c r="M60" i="35"/>
  <c r="M68" i="35" s="1"/>
  <c r="I55" i="21"/>
  <c r="I63" i="21" s="1"/>
  <c r="F55" i="21"/>
  <c r="F63" i="21" s="1"/>
  <c r="N60" i="35"/>
  <c r="N68" i="35" s="1"/>
  <c r="R11" i="13"/>
  <c r="R89" i="13" s="1"/>
  <c r="V11" i="13"/>
  <c r="O11" i="13"/>
  <c r="O89" i="13" s="1"/>
  <c r="M89" i="13"/>
  <c r="R87" i="13"/>
  <c r="V36" i="9" s="1"/>
  <c r="K63" i="21"/>
  <c r="V89" i="11"/>
  <c r="V87" i="11"/>
  <c r="Y11" i="11"/>
  <c r="R87" i="12"/>
  <c r="U36" i="9" s="1"/>
  <c r="L81" i="35"/>
  <c r="O76" i="21"/>
  <c r="R89" i="11"/>
  <c r="R87" i="11"/>
  <c r="T36" i="9" s="1"/>
  <c r="Y32" i="13"/>
  <c r="Z32" i="13" s="1"/>
  <c r="Y29" i="13"/>
  <c r="Z29" i="13" s="1"/>
  <c r="S73" i="21"/>
  <c r="E68" i="35"/>
  <c r="M63" i="21"/>
  <c r="Q87" i="12"/>
  <c r="U35" i="9" s="1"/>
  <c r="F81" i="21" s="1"/>
  <c r="J63" i="21"/>
  <c r="Y21" i="12"/>
  <c r="Z21" i="12" s="1"/>
  <c r="K76" i="21"/>
  <c r="G76" i="21"/>
  <c r="K68" i="34"/>
  <c r="O89" i="11"/>
  <c r="O87" i="11"/>
  <c r="T33" i="9" s="1"/>
  <c r="O11" i="12"/>
  <c r="R11" i="12"/>
  <c r="R89" i="12" s="1"/>
  <c r="V11" i="12"/>
  <c r="V87" i="12" s="1"/>
  <c r="M89" i="12"/>
  <c r="N55" i="22"/>
  <c r="N63" i="22" s="1"/>
  <c r="L55" i="22"/>
  <c r="L63" i="22" s="1"/>
  <c r="I55" i="22"/>
  <c r="I63" i="22" s="1"/>
  <c r="M55" i="22"/>
  <c r="M63" i="22" s="1"/>
  <c r="O55" i="22"/>
  <c r="O63" i="22" s="1"/>
  <c r="H55" i="22"/>
  <c r="H63" i="22" s="1"/>
  <c r="F55" i="22"/>
  <c r="F63" i="22" s="1"/>
  <c r="V17" i="9"/>
  <c r="N15" i="16" s="1"/>
  <c r="K55" i="22"/>
  <c r="K63" i="22" s="1"/>
  <c r="J55" i="22"/>
  <c r="J63" i="22" s="1"/>
  <c r="G55" i="22"/>
  <c r="G63" i="22" s="1"/>
  <c r="E55" i="22"/>
  <c r="E63" i="22" s="1"/>
  <c r="D55" i="22"/>
  <c r="L93" i="33"/>
  <c r="Y27" i="13"/>
  <c r="Z27" i="13" s="1"/>
  <c r="F26" i="16"/>
  <c r="Y27" i="12"/>
  <c r="D76" i="21"/>
  <c r="S66" i="21"/>
  <c r="L81" i="22"/>
  <c r="N93" i="33"/>
  <c r="D93" i="33"/>
  <c r="H93" i="33"/>
  <c r="Y21" i="13"/>
  <c r="S59" i="22"/>
  <c r="E93" i="33"/>
  <c r="S59" i="21"/>
  <c r="H17" i="16"/>
  <c r="H18" i="16" s="1"/>
  <c r="H23" i="16" s="1"/>
  <c r="I15" i="16" s="1"/>
  <c r="R44" i="9"/>
  <c r="R118" i="9" s="1"/>
  <c r="G93" i="33"/>
  <c r="K93" i="33"/>
  <c r="G32" i="23"/>
  <c r="H169" i="21"/>
  <c r="E171" i="35" l="1"/>
  <c r="K81" i="22"/>
  <c r="G81" i="21"/>
  <c r="O81" i="22"/>
  <c r="I86" i="35"/>
  <c r="N81" i="22"/>
  <c r="H81" i="22"/>
  <c r="M81" i="22"/>
  <c r="J81" i="22"/>
  <c r="D81" i="22"/>
  <c r="G81" i="22"/>
  <c r="E81" i="22"/>
  <c r="I81" i="22"/>
  <c r="Q164" i="33"/>
  <c r="E164" i="34" s="1"/>
  <c r="E167" i="34" s="1"/>
  <c r="E171" i="34" s="1"/>
  <c r="E171" i="33"/>
  <c r="D11" i="23"/>
  <c r="E174" i="18"/>
  <c r="R164" i="33"/>
  <c r="R169" i="33"/>
  <c r="P164" i="33"/>
  <c r="D164" i="34" s="1"/>
  <c r="P169" i="33"/>
  <c r="N20" i="16"/>
  <c r="V115" i="9"/>
  <c r="S119" i="22"/>
  <c r="D144" i="22"/>
  <c r="S55" i="22"/>
  <c r="F90" i="35"/>
  <c r="D85" i="21"/>
  <c r="J85" i="21"/>
  <c r="J90" i="35"/>
  <c r="F85" i="21"/>
  <c r="H90" i="35"/>
  <c r="O85" i="21"/>
  <c r="L85" i="21"/>
  <c r="O90" i="35"/>
  <c r="E85" i="21"/>
  <c r="K86" i="35"/>
  <c r="S66" i="22"/>
  <c r="L86" i="35"/>
  <c r="K81" i="21"/>
  <c r="O81" i="21"/>
  <c r="I84" i="34"/>
  <c r="K84" i="34"/>
  <c r="D84" i="34"/>
  <c r="J84" i="34"/>
  <c r="F84" i="34"/>
  <c r="H84" i="34"/>
  <c r="E84" i="34"/>
  <c r="G84" i="34"/>
  <c r="L84" i="34"/>
  <c r="O84" i="34"/>
  <c r="M84" i="34"/>
  <c r="N84" i="34"/>
  <c r="T42" i="9"/>
  <c r="L90" i="35"/>
  <c r="K90" i="35"/>
  <c r="I90" i="35"/>
  <c r="G85" i="21"/>
  <c r="N90" i="35"/>
  <c r="M85" i="21"/>
  <c r="M90" i="35"/>
  <c r="V89" i="13"/>
  <c r="Y11" i="13"/>
  <c r="Y87" i="13" s="1"/>
  <c r="S55" i="21"/>
  <c r="N85" i="21"/>
  <c r="G90" i="35"/>
  <c r="I85" i="21"/>
  <c r="E90" i="35"/>
  <c r="O86" i="35"/>
  <c r="H86" i="35"/>
  <c r="G86" i="35"/>
  <c r="H81" i="21"/>
  <c r="D86" i="35"/>
  <c r="E86" i="35"/>
  <c r="Y11" i="12"/>
  <c r="Y87" i="12" s="1"/>
  <c r="V89" i="12"/>
  <c r="Y87" i="11"/>
  <c r="Z11" i="11"/>
  <c r="Y89" i="11"/>
  <c r="D82" i="22"/>
  <c r="F82" i="22"/>
  <c r="M82" i="22"/>
  <c r="H82" i="22"/>
  <c r="G82" i="22"/>
  <c r="E82" i="22"/>
  <c r="L82" i="22"/>
  <c r="I82" i="22"/>
  <c r="K82" i="22"/>
  <c r="J82" i="22"/>
  <c r="O82" i="22"/>
  <c r="N82" i="22"/>
  <c r="L81" i="21"/>
  <c r="N81" i="21"/>
  <c r="I81" i="21"/>
  <c r="N86" i="35"/>
  <c r="F86" i="35"/>
  <c r="D81" i="21"/>
  <c r="D63" i="22"/>
  <c r="V87" i="13"/>
  <c r="M85" i="22" s="1"/>
  <c r="K85" i="21"/>
  <c r="H85" i="21"/>
  <c r="D90" i="35"/>
  <c r="M81" i="21"/>
  <c r="J86" i="35"/>
  <c r="J81" i="21"/>
  <c r="E81" i="21"/>
  <c r="M86" i="35"/>
  <c r="O87" i="13"/>
  <c r="V33" i="9" s="1"/>
  <c r="G87" i="34"/>
  <c r="L87" i="34"/>
  <c r="N87" i="34"/>
  <c r="M87" i="34"/>
  <c r="I87" i="34"/>
  <c r="J87" i="34"/>
  <c r="D87" i="34"/>
  <c r="H87" i="34"/>
  <c r="K87" i="34"/>
  <c r="F87" i="34"/>
  <c r="O87" i="34"/>
  <c r="E87" i="34"/>
  <c r="H90" i="34"/>
  <c r="O90" i="34"/>
  <c r="D90" i="34"/>
  <c r="N90" i="34"/>
  <c r="J90" i="34"/>
  <c r="G90" i="34"/>
  <c r="F90" i="34"/>
  <c r="K90" i="34"/>
  <c r="M90" i="34"/>
  <c r="E90" i="34"/>
  <c r="L90" i="34"/>
  <c r="I90" i="34"/>
  <c r="O87" i="12"/>
  <c r="U33" i="9" s="1"/>
  <c r="O89" i="12"/>
  <c r="O87" i="35"/>
  <c r="I82" i="21"/>
  <c r="K87" i="35"/>
  <c r="D82" i="21"/>
  <c r="O82" i="21"/>
  <c r="L87" i="35"/>
  <c r="E82" i="21"/>
  <c r="H87" i="35"/>
  <c r="I87" i="35"/>
  <c r="H82" i="21"/>
  <c r="M82" i="21"/>
  <c r="E87" i="35"/>
  <c r="D87" i="35"/>
  <c r="J82" i="21"/>
  <c r="G87" i="35"/>
  <c r="K82" i="21"/>
  <c r="N87" i="35"/>
  <c r="F82" i="21"/>
  <c r="J87" i="35"/>
  <c r="M87" i="35"/>
  <c r="F87" i="35"/>
  <c r="G82" i="21"/>
  <c r="N82" i="21"/>
  <c r="L82" i="21"/>
  <c r="Z27" i="12"/>
  <c r="H85" i="22"/>
  <c r="K85" i="22"/>
  <c r="J85" i="22"/>
  <c r="Z21" i="13"/>
  <c r="I19" i="16"/>
  <c r="H25" i="16"/>
  <c r="H26" i="16" s="1"/>
  <c r="I16" i="16"/>
  <c r="I20" i="16"/>
  <c r="I17" i="16"/>
  <c r="I169" i="21"/>
  <c r="H32" i="23"/>
  <c r="S81" i="22" l="1"/>
  <c r="E85" i="22"/>
  <c r="I85" i="22"/>
  <c r="N85" i="22"/>
  <c r="D85" i="22"/>
  <c r="G85" i="22"/>
  <c r="O93" i="34"/>
  <c r="S81" i="21"/>
  <c r="S85" i="21"/>
  <c r="F85" i="22"/>
  <c r="O85" i="22"/>
  <c r="L85" i="22"/>
  <c r="D93" i="34"/>
  <c r="H93" i="34"/>
  <c r="F164" i="35"/>
  <c r="F167" i="35" s="1"/>
  <c r="F171" i="35" s="1"/>
  <c r="F164" i="34"/>
  <c r="F167" i="34" s="1"/>
  <c r="F171" i="34" s="1"/>
  <c r="E11" i="23"/>
  <c r="F174" i="18"/>
  <c r="I18" i="16"/>
  <c r="H36" i="16"/>
  <c r="J31" i="16" s="1"/>
  <c r="Z11" i="12"/>
  <c r="Z89" i="12" s="1"/>
  <c r="Y89" i="12"/>
  <c r="Z11" i="13"/>
  <c r="Z89" i="13" s="1"/>
  <c r="Y89" i="13"/>
  <c r="K93" i="34"/>
  <c r="M93" i="34"/>
  <c r="E93" i="34"/>
  <c r="Z89" i="11"/>
  <c r="Z87" i="11"/>
  <c r="J17" i="16"/>
  <c r="T44" i="9"/>
  <c r="T118" i="9" s="1"/>
  <c r="L93" i="34"/>
  <c r="F93" i="34"/>
  <c r="I93" i="34"/>
  <c r="K79" i="22"/>
  <c r="K88" i="22" s="1"/>
  <c r="L79" i="22"/>
  <c r="L88" i="22" s="1"/>
  <c r="I79" i="22"/>
  <c r="H79" i="22"/>
  <c r="H88" i="22" s="1"/>
  <c r="O79" i="22"/>
  <c r="O88" i="22" s="1"/>
  <c r="E79" i="22"/>
  <c r="E88" i="22" s="1"/>
  <c r="G79" i="22"/>
  <c r="N79" i="22"/>
  <c r="F79" i="22"/>
  <c r="F88" i="22" s="1"/>
  <c r="J79" i="22"/>
  <c r="J88" i="22" s="1"/>
  <c r="D79" i="22"/>
  <c r="M79" i="22"/>
  <c r="M88" i="22" s="1"/>
  <c r="S82" i="22"/>
  <c r="S82" i="21"/>
  <c r="V42" i="9"/>
  <c r="V44" i="9" s="1"/>
  <c r="V118" i="9" s="1"/>
  <c r="H84" i="35"/>
  <c r="H93" i="35" s="1"/>
  <c r="E84" i="35"/>
  <c r="E93" i="35" s="1"/>
  <c r="J84" i="35"/>
  <c r="J93" i="35" s="1"/>
  <c r="F79" i="21"/>
  <c r="F88" i="21" s="1"/>
  <c r="I84" i="35"/>
  <c r="I93" i="35" s="1"/>
  <c r="U42" i="9"/>
  <c r="O84" i="35"/>
  <c r="O93" i="35" s="1"/>
  <c r="K84" i="35"/>
  <c r="K93" i="35" s="1"/>
  <c r="J79" i="21"/>
  <c r="J88" i="21" s="1"/>
  <c r="G79" i="21"/>
  <c r="G88" i="21" s="1"/>
  <c r="K79" i="21"/>
  <c r="K88" i="21" s="1"/>
  <c r="D79" i="21"/>
  <c r="L84" i="35"/>
  <c r="L93" i="35" s="1"/>
  <c r="L79" i="21"/>
  <c r="L88" i="21" s="1"/>
  <c r="G84" i="35"/>
  <c r="G93" i="35" s="1"/>
  <c r="E79" i="21"/>
  <c r="E88" i="21" s="1"/>
  <c r="M84" i="35"/>
  <c r="M93" i="35" s="1"/>
  <c r="O79" i="21"/>
  <c r="O88" i="21" s="1"/>
  <c r="M79" i="21"/>
  <c r="M88" i="21" s="1"/>
  <c r="N84" i="35"/>
  <c r="N93" i="35" s="1"/>
  <c r="D84" i="35"/>
  <c r="D93" i="35" s="1"/>
  <c r="F84" i="35"/>
  <c r="F93" i="35" s="1"/>
  <c r="H79" i="21"/>
  <c r="H88" i="21" s="1"/>
  <c r="N79" i="21"/>
  <c r="N88" i="21" s="1"/>
  <c r="I79" i="21"/>
  <c r="I88" i="21" s="1"/>
  <c r="J93" i="34"/>
  <c r="N93" i="34"/>
  <c r="G93" i="34"/>
  <c r="I32" i="23"/>
  <c r="J169" i="21"/>
  <c r="G88" i="22" l="1"/>
  <c r="I88" i="22"/>
  <c r="S85" i="22"/>
  <c r="N17" i="16"/>
  <c r="N18" i="16" s="1"/>
  <c r="N23" i="16" s="1"/>
  <c r="O20" i="16" s="1"/>
  <c r="N88" i="22"/>
  <c r="F11" i="23"/>
  <c r="G174" i="18"/>
  <c r="H37" i="16"/>
  <c r="S79" i="22"/>
  <c r="U44" i="9"/>
  <c r="U118" i="9" s="1"/>
  <c r="L17" i="16"/>
  <c r="D88" i="22"/>
  <c r="S79" i="21"/>
  <c r="D88" i="21"/>
  <c r="Z87" i="13"/>
  <c r="J18" i="16"/>
  <c r="J23" i="16" s="1"/>
  <c r="Z87" i="12"/>
  <c r="K169" i="21"/>
  <c r="J32" i="23"/>
  <c r="O16" i="16" l="1"/>
  <c r="N25" i="16"/>
  <c r="N26" i="16" s="1"/>
  <c r="O19" i="16"/>
  <c r="O15" i="16"/>
  <c r="O18" i="16" s="1"/>
  <c r="O17" i="16"/>
  <c r="G11" i="23"/>
  <c r="H174" i="18"/>
  <c r="L18" i="16"/>
  <c r="L23" i="16" s="1"/>
  <c r="M17" i="16" s="1"/>
  <c r="K15" i="16"/>
  <c r="J25" i="16"/>
  <c r="K20" i="16"/>
  <c r="K16" i="16"/>
  <c r="K19" i="16"/>
  <c r="K17" i="16"/>
  <c r="K32" i="23"/>
  <c r="L169" i="21"/>
  <c r="I174" i="18" l="1"/>
  <c r="H11" i="23"/>
  <c r="J26" i="16"/>
  <c r="J36" i="16"/>
  <c r="K18" i="16"/>
  <c r="M16" i="16"/>
  <c r="M20" i="16"/>
  <c r="M15" i="16"/>
  <c r="L25" i="16"/>
  <c r="L26" i="16" s="1"/>
  <c r="M19" i="16"/>
  <c r="M169" i="21"/>
  <c r="L32" i="23"/>
  <c r="J174" i="18" l="1"/>
  <c r="I11" i="23"/>
  <c r="M18" i="16"/>
  <c r="J37" i="16"/>
  <c r="L31" i="16"/>
  <c r="L36" i="16" s="1"/>
  <c r="N169" i="21"/>
  <c r="M32" i="23"/>
  <c r="J11" i="23" l="1"/>
  <c r="K174" i="18"/>
  <c r="L37" i="16"/>
  <c r="N31" i="16"/>
  <c r="N36" i="16" s="1"/>
  <c r="N37" i="16" s="1"/>
  <c r="O169" i="21"/>
  <c r="N32" i="23"/>
  <c r="L174" i="18" l="1"/>
  <c r="K11" i="23"/>
  <c r="D159" i="22"/>
  <c r="D163" i="22" s="1"/>
  <c r="D167" i="22" s="1"/>
  <c r="D169" i="22" s="1"/>
  <c r="O32" i="23"/>
  <c r="M174" i="18" l="1"/>
  <c r="L11" i="23"/>
  <c r="E169" i="22"/>
  <c r="D39" i="23"/>
  <c r="D46" i="23" s="1"/>
  <c r="M11" i="23" l="1"/>
  <c r="N174" i="18"/>
  <c r="F169" i="22"/>
  <c r="E39" i="23"/>
  <c r="E46" i="23" s="1"/>
  <c r="N11" i="23" l="1"/>
  <c r="O174" i="18"/>
  <c r="G169" i="22"/>
  <c r="F39" i="23"/>
  <c r="F46" i="23" s="1"/>
  <c r="D163" i="33" l="1"/>
  <c r="D167" i="33" s="1"/>
  <c r="D171" i="33" s="1"/>
  <c r="D173" i="33" s="1"/>
  <c r="E173" i="33" s="1"/>
  <c r="F173" i="33" s="1"/>
  <c r="G173" i="33" s="1"/>
  <c r="H173" i="33" s="1"/>
  <c r="I173" i="33" s="1"/>
  <c r="J173" i="33" s="1"/>
  <c r="K173" i="33" s="1"/>
  <c r="L173" i="33" s="1"/>
  <c r="M173" i="33" s="1"/>
  <c r="N173" i="33" s="1"/>
  <c r="O173" i="33" s="1"/>
  <c r="D163" i="34" s="1"/>
  <c r="D167" i="34" s="1"/>
  <c r="D171" i="34" s="1"/>
  <c r="D173" i="34" s="1"/>
  <c r="E173" i="34" s="1"/>
  <c r="F173" i="34" s="1"/>
  <c r="G173" i="34" s="1"/>
  <c r="H173" i="34" s="1"/>
  <c r="I173" i="34" s="1"/>
  <c r="J173" i="34" s="1"/>
  <c r="K173" i="34" s="1"/>
  <c r="L173" i="34" s="1"/>
  <c r="M173" i="34" s="1"/>
  <c r="N173" i="34" s="1"/>
  <c r="O173" i="34" s="1"/>
  <c r="D163" i="35" s="1"/>
  <c r="D167" i="35" s="1"/>
  <c r="D171" i="35" s="1"/>
  <c r="D173" i="35" s="1"/>
  <c r="E173" i="35" s="1"/>
  <c r="F173" i="35" s="1"/>
  <c r="G173" i="35" s="1"/>
  <c r="H173" i="35" s="1"/>
  <c r="I173" i="35" s="1"/>
  <c r="J173" i="35" s="1"/>
  <c r="K173" i="35" s="1"/>
  <c r="L173" i="35" s="1"/>
  <c r="M173" i="35" s="1"/>
  <c r="N173" i="35" s="1"/>
  <c r="O173" i="35" s="1"/>
  <c r="O11" i="23"/>
  <c r="G39" i="23"/>
  <c r="G46" i="23" s="1"/>
  <c r="H169" i="22"/>
  <c r="I169" i="22" l="1"/>
  <c r="H39" i="23"/>
  <c r="H46" i="23" s="1"/>
  <c r="J169" i="22" l="1"/>
  <c r="I39" i="23"/>
  <c r="I46" i="23" s="1"/>
  <c r="K169" i="22" l="1"/>
  <c r="J39" i="23"/>
  <c r="J46" i="23" s="1"/>
  <c r="K39" i="23" l="1"/>
  <c r="K46" i="23" s="1"/>
  <c r="L169" i="22"/>
  <c r="M169" i="22" l="1"/>
  <c r="L39" i="23"/>
  <c r="L46" i="23" s="1"/>
  <c r="N169" i="22" l="1"/>
  <c r="M39" i="23"/>
  <c r="M46" i="23" s="1"/>
  <c r="N39" i="23" l="1"/>
  <c r="N46" i="23" s="1"/>
  <c r="O169" i="22"/>
  <c r="O39" i="23" s="1"/>
  <c r="O46"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B6" authorId="0" shapeId="0" xr:uid="{00000000-0006-0000-0000-000001000000}">
      <text>
        <r>
          <rPr>
            <b/>
            <sz val="9"/>
            <color indexed="81"/>
            <rFont val="Tahoma"/>
            <family val="2"/>
          </rPr>
          <t>Miles:</t>
        </r>
        <r>
          <rPr>
            <sz val="9"/>
            <color indexed="81"/>
            <rFont val="Tahoma"/>
            <family val="2"/>
          </rPr>
          <t xml:space="preserve">
This tab's formulas (columns D thru I) key off of the SACS codes in this column.  So make sure these SACS codes agree with the ones used in the Employee Input tab(s)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Miles</author>
    <author>Susan Lefkowitz</author>
  </authors>
  <commentList>
    <comment ref="A7" authorId="0" shapeId="0" xr:uid="{00000000-0006-0000-1000-000001000000}">
      <text>
        <r>
          <rPr>
            <b/>
            <sz val="9"/>
            <color indexed="81"/>
            <rFont val="Tahoma"/>
            <family val="2"/>
          </rPr>
          <t>Miles:</t>
        </r>
        <r>
          <rPr>
            <sz val="9"/>
            <color indexed="81"/>
            <rFont val="Tahoma"/>
            <family val="2"/>
          </rPr>
          <t xml:space="preserve">
Do not erase this row, though please feel free to modify its content</t>
        </r>
      </text>
    </comment>
    <comment ref="X13" authorId="1" shapeId="0" xr:uid="{C6EA063D-6AD0-4F04-9532-9BF1A0031CEF}">
      <text>
        <r>
          <rPr>
            <b/>
            <sz val="9"/>
            <color indexed="81"/>
            <rFont val="Tahoma"/>
            <family val="2"/>
          </rPr>
          <t>Susan Lefkowitz:</t>
        </r>
        <r>
          <rPr>
            <sz val="9"/>
            <color indexed="81"/>
            <rFont val="Tahoma"/>
            <family val="2"/>
          </rPr>
          <t xml:space="preserve">
Retired STRS</t>
        </r>
      </text>
    </comment>
    <comment ref="A86" authorId="0" shapeId="0" xr:uid="{00000000-0006-0000-1000-00000200000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00000000-0006-0000-1100-00000100000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00000000-0006-0000-1100-00000200000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shapeId="0" xr:uid="{00000000-0006-0000-1100-00000300000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shapeId="0" xr:uid="{00000000-0006-0000-1100-000004000000}">
      <text>
        <r>
          <rPr>
            <b/>
            <sz val="9"/>
            <color indexed="81"/>
            <rFont val="Tahoma"/>
            <family val="2"/>
          </rPr>
          <t>Miles:</t>
        </r>
        <r>
          <rPr>
            <sz val="9"/>
            <color indexed="81"/>
            <rFont val="Tahoma"/>
            <family val="2"/>
          </rPr>
          <t xml:space="preserve">
Ensure no double counting with Revenue line 8019, Prior Year Income</t>
        </r>
      </text>
    </comment>
    <comment ref="C161" authorId="0" shapeId="0" xr:uid="{00000000-0006-0000-1100-000005000000}">
      <text>
        <r>
          <rPr>
            <b/>
            <sz val="9"/>
            <color indexed="81"/>
            <rFont val="Tahoma"/>
            <family val="2"/>
          </rPr>
          <t>Miles:</t>
        </r>
        <r>
          <rPr>
            <sz val="9"/>
            <color indexed="81"/>
            <rFont val="Tahoma"/>
            <family val="2"/>
          </rPr>
          <t xml:space="preserve">
Interest is covered via Expense line 7438</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A7" authorId="0" shapeId="0" xr:uid="{00000000-0006-0000-1300-000001000000}">
      <text>
        <r>
          <rPr>
            <b/>
            <sz val="9"/>
            <color indexed="81"/>
            <rFont val="Tahoma"/>
            <family val="2"/>
          </rPr>
          <t>Miles:</t>
        </r>
        <r>
          <rPr>
            <sz val="9"/>
            <color indexed="81"/>
            <rFont val="Tahoma"/>
            <family val="2"/>
          </rPr>
          <t xml:space="preserve">
Do not erase this row, though please feel free to modify its content</t>
        </r>
      </text>
    </comment>
    <comment ref="A86" authorId="0" shapeId="0" xr:uid="{00000000-0006-0000-1300-00000200000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00000000-0006-0000-1400-00000100000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00000000-0006-0000-1400-00000200000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shapeId="0" xr:uid="{00000000-0006-0000-1400-00000300000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shapeId="0" xr:uid="{00000000-0006-0000-1400-000004000000}">
      <text>
        <r>
          <rPr>
            <b/>
            <sz val="9"/>
            <color indexed="81"/>
            <rFont val="Tahoma"/>
            <family val="2"/>
          </rPr>
          <t>Miles:</t>
        </r>
        <r>
          <rPr>
            <sz val="9"/>
            <color indexed="81"/>
            <rFont val="Tahoma"/>
            <family val="2"/>
          </rPr>
          <t xml:space="preserve">
Ensure no double counting with Revenue line 8019, Prior Year Income</t>
        </r>
      </text>
    </comment>
    <comment ref="C161" authorId="0" shapeId="0" xr:uid="{00000000-0006-0000-1400-000005000000}">
      <text>
        <r>
          <rPr>
            <b/>
            <sz val="9"/>
            <color indexed="81"/>
            <rFont val="Tahoma"/>
            <family val="2"/>
          </rPr>
          <t>Miles:</t>
        </r>
        <r>
          <rPr>
            <sz val="9"/>
            <color indexed="81"/>
            <rFont val="Tahoma"/>
            <family val="2"/>
          </rPr>
          <t xml:space="preserve">
Interest is covered via Expense line 7438</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00000000-0006-0000-1500-00000100000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00000000-0006-0000-1500-00000200000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00000000-0006-0000-0700-00000100000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00000000-0006-0000-0700-00000200000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8" authorId="0" shapeId="0" xr:uid="{00000000-0006-0000-0700-00000300000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60" authorId="0" shapeId="0" xr:uid="{00000000-0006-0000-0700-000004000000}">
      <text>
        <r>
          <rPr>
            <b/>
            <sz val="9"/>
            <color indexed="81"/>
            <rFont val="Tahoma"/>
            <family val="2"/>
          </rPr>
          <t>Miles:</t>
        </r>
        <r>
          <rPr>
            <sz val="9"/>
            <color indexed="81"/>
            <rFont val="Tahoma"/>
            <family val="2"/>
          </rPr>
          <t xml:space="preserve">
Ensure no double counting with Revenue line 8019, Prior Year Income</t>
        </r>
      </text>
    </comment>
    <comment ref="C162" authorId="0" shapeId="0" xr:uid="{00000000-0006-0000-0700-000005000000}">
      <text>
        <r>
          <rPr>
            <b/>
            <sz val="9"/>
            <color indexed="81"/>
            <rFont val="Tahoma"/>
            <family val="2"/>
          </rPr>
          <t>Miles:</t>
        </r>
        <r>
          <rPr>
            <sz val="9"/>
            <color indexed="81"/>
            <rFont val="Tahoma"/>
            <family val="2"/>
          </rPr>
          <t xml:space="preserve">
Interest is covered via Expense line 7438</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00000000-0006-0000-0800-00000100000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00000000-0006-0000-0800-00000200000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58F9503D-99D6-49BA-9B9E-AA579BB25BBD}">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8F971798-6EFC-4601-B03D-9960C77908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C50FEFC1-BBBF-43D9-BCF3-264C5D8642CF}">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8C2DA59C-4C1A-4C00-A123-4BCA72E06024}">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6D5C4C8B-34D9-411F-B093-40C800246A79}">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C5999055-4C72-44AE-B092-46B99C0535A8}">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 Lefkowitz</author>
    <author>Scott Warner</author>
  </authors>
  <commentList>
    <comment ref="D34" authorId="0" shapeId="0" xr:uid="{B0E1C2E1-BE7A-44DA-8EC4-3D606DB4AD2C}">
      <text>
        <r>
          <rPr>
            <b/>
            <sz val="9"/>
            <color indexed="81"/>
            <rFont val="Tahoma"/>
            <family val="2"/>
          </rPr>
          <t>Susan Lefkowitz:</t>
        </r>
        <r>
          <rPr>
            <sz val="9"/>
            <color indexed="81"/>
            <rFont val="Tahoma"/>
            <family val="2"/>
          </rPr>
          <t xml:space="preserve">
GF CARES</t>
        </r>
      </text>
    </comment>
    <comment ref="K38" authorId="1" shapeId="0" xr:uid="{08BCAE8A-4BBB-4282-B829-28384A5869AD}">
      <text>
        <r>
          <rPr>
            <b/>
            <sz val="9"/>
            <color indexed="81"/>
            <rFont val="Tahoma"/>
            <family val="2"/>
          </rPr>
          <t>Scott Warner:</t>
        </r>
        <r>
          <rPr>
            <sz val="9"/>
            <color indexed="81"/>
            <rFont val="Tahoma"/>
            <family val="2"/>
          </rPr>
          <t xml:space="preserve">
Based on a 25% reduction from the $1,117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00000000-0006-0000-1200-00000100000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00000000-0006-0000-1200-00000200000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tc={2BD7EFE5-8BF6-414A-BEB4-040A8BA5BA5F}</author>
  </authors>
  <commentList>
    <comment ref="E50" authorId="0" shapeId="0" xr:uid="{2BD7EFE5-8BF6-414A-BEB4-040A8BA5BA5F}">
      <text>
        <t>[Threaded comment]
Your version of Excel allows you to read this threaded comment; however, any edits to it will get removed if the file is opened in a newer version of Excel. Learn more: https://go.microsoft.com/fwlink/?linkid=870924
Comment:
    NCTIP/Admin Mentor</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Miles</author>
    <author>Karen</author>
  </authors>
  <commentList>
    <comment ref="B6" authorId="0" shapeId="0" xr:uid="{00000000-0006-0000-0500-000001000000}">
      <text>
        <r>
          <rPr>
            <b/>
            <sz val="9"/>
            <color indexed="81"/>
            <rFont val="Tahoma"/>
            <family val="2"/>
          </rPr>
          <t>Miles:</t>
        </r>
        <r>
          <rPr>
            <sz val="9"/>
            <color indexed="81"/>
            <rFont val="Tahoma"/>
            <family val="2"/>
          </rPr>
          <t xml:space="preserve">
This tab's formulas (columns D thru I) key off of the SACS codes in this column.  So make sure these SACS codes agree with the ones used in the Employee Input tab(s)</t>
        </r>
      </text>
    </comment>
    <comment ref="R47" authorId="1" shapeId="0" xr:uid="{72B9228C-97E7-44C3-A7E8-457A62C37A10}">
      <text>
        <r>
          <rPr>
            <b/>
            <sz val="9"/>
            <color indexed="81"/>
            <rFont val="Tahoma"/>
            <family val="2"/>
          </rPr>
          <t>Karen:</t>
        </r>
        <r>
          <rPr>
            <sz val="9"/>
            <color indexed="81"/>
            <rFont val="Tahoma"/>
            <family val="2"/>
          </rPr>
          <t xml:space="preserve">
Reduced</t>
        </r>
      </text>
    </comment>
    <comment ref="R49" authorId="1" shapeId="0" xr:uid="{508374EB-2CC1-47AE-8E57-730BEB915C1C}">
      <text>
        <r>
          <rPr>
            <b/>
            <sz val="9"/>
            <color indexed="81"/>
            <rFont val="Tahoma"/>
            <family val="2"/>
          </rPr>
          <t>Karen:</t>
        </r>
        <r>
          <rPr>
            <sz val="9"/>
            <color indexed="81"/>
            <rFont val="Tahoma"/>
            <family val="2"/>
          </rPr>
          <t xml:space="preserve">
Increased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Miles</author>
    <author>Susan Lefkowitz</author>
    <author>Susan</author>
  </authors>
  <commentList>
    <comment ref="A7" authorId="0" shapeId="0" xr:uid="{00000000-0006-0000-0600-000001000000}">
      <text>
        <r>
          <rPr>
            <b/>
            <sz val="9"/>
            <color indexed="81"/>
            <rFont val="Tahoma"/>
            <family val="2"/>
          </rPr>
          <t>Miles:</t>
        </r>
        <r>
          <rPr>
            <sz val="9"/>
            <color indexed="81"/>
            <rFont val="Tahoma"/>
            <family val="2"/>
          </rPr>
          <t xml:space="preserve">
Do not erase this row, though please feel free to modify its content</t>
        </r>
      </text>
    </comment>
    <comment ref="F13" authorId="1" shapeId="0" xr:uid="{AF77FA2D-DD24-4895-BAA4-B43553E0F43F}">
      <text>
        <r>
          <rPr>
            <b/>
            <sz val="9"/>
            <color indexed="81"/>
            <rFont val="Tahoma"/>
            <family val="2"/>
          </rPr>
          <t>Susan Lefkowitz:</t>
        </r>
        <r>
          <rPr>
            <sz val="9"/>
            <color indexed="81"/>
            <rFont val="Tahoma"/>
            <family val="2"/>
          </rPr>
          <t xml:space="preserve">
Hourly Wage</t>
        </r>
      </text>
    </comment>
    <comment ref="G13" authorId="1" shapeId="0" xr:uid="{6545CEBD-6E57-409B-8A0E-0A2F074EB1FC}">
      <text>
        <r>
          <rPr>
            <b/>
            <sz val="9"/>
            <color indexed="81"/>
            <rFont val="Tahoma"/>
            <family val="2"/>
          </rPr>
          <t>Susan Lefkowitz:</t>
        </r>
        <r>
          <rPr>
            <sz val="9"/>
            <color indexed="81"/>
            <rFont val="Tahoma"/>
            <family val="2"/>
          </rPr>
          <t xml:space="preserve">
Hours Per Week</t>
        </r>
      </text>
    </comment>
    <comment ref="H13" authorId="1" shapeId="0" xr:uid="{5262959F-C691-491B-9E4F-62E8ABCBCECB}">
      <text>
        <r>
          <rPr>
            <b/>
            <sz val="9"/>
            <color indexed="81"/>
            <rFont val="Tahoma"/>
            <family val="2"/>
          </rPr>
          <t>Susan Lefkowitz:</t>
        </r>
        <r>
          <rPr>
            <sz val="9"/>
            <color indexed="81"/>
            <rFont val="Tahoma"/>
            <family val="2"/>
          </rPr>
          <t xml:space="preserve">
Days Per Year</t>
        </r>
      </text>
    </comment>
    <comment ref="O13" authorId="1" shapeId="0" xr:uid="{6D8B13E6-5671-4861-A80E-2C763C2AF96A}">
      <text>
        <r>
          <rPr>
            <b/>
            <sz val="9"/>
            <color indexed="81"/>
            <rFont val="Tahoma"/>
            <family val="2"/>
          </rPr>
          <t>Susan Lefkowitz:</t>
        </r>
        <r>
          <rPr>
            <sz val="9"/>
            <color indexed="81"/>
            <rFont val="Tahoma"/>
            <family val="2"/>
          </rPr>
          <t xml:space="preserve">
Retired STRS</t>
        </r>
      </text>
    </comment>
    <comment ref="I26" authorId="2" shapeId="0" xr:uid="{38FF93FF-E6B0-464E-B542-D648E6846098}">
      <text>
        <r>
          <rPr>
            <b/>
            <sz val="9"/>
            <color indexed="81"/>
            <rFont val="Tahoma"/>
            <family val="2"/>
          </rPr>
          <t>Susan:</t>
        </r>
        <r>
          <rPr>
            <sz val="9"/>
            <color indexed="81"/>
            <rFont val="Tahoma"/>
            <family val="2"/>
          </rPr>
          <t xml:space="preserve">
22 hours/week = $915 per week. We redued by 8 weeks for $7320
</t>
        </r>
      </text>
    </comment>
    <comment ref="I27" authorId="2" shapeId="0" xr:uid="{1FD66609-4CD9-45B7-BB76-7092239824C2}">
      <text>
        <r>
          <rPr>
            <b/>
            <sz val="9"/>
            <color indexed="81"/>
            <rFont val="Tahoma"/>
            <family val="2"/>
          </rPr>
          <t>Susan:</t>
        </r>
        <r>
          <rPr>
            <sz val="9"/>
            <color indexed="81"/>
            <rFont val="Tahoma"/>
            <family val="2"/>
          </rPr>
          <t xml:space="preserve">
32 hours/week We reduced the salary by $480/week for 8 weeks $3840</t>
        </r>
      </text>
    </comment>
    <comment ref="A34" authorId="0" shapeId="0" xr:uid="{00000000-0006-0000-0600-00000200000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A7" authorId="0" shapeId="0" xr:uid="{00000000-0006-0000-0A00-000001000000}">
      <text>
        <r>
          <rPr>
            <b/>
            <sz val="9"/>
            <color indexed="81"/>
            <rFont val="Tahoma"/>
            <family val="2"/>
          </rPr>
          <t>Miles:</t>
        </r>
        <r>
          <rPr>
            <sz val="9"/>
            <color indexed="81"/>
            <rFont val="Tahoma"/>
            <family val="2"/>
          </rPr>
          <t xml:space="preserve">
Do not erase this row, though please feel free to modify its content</t>
        </r>
      </text>
    </comment>
    <comment ref="A87" authorId="0" shapeId="0" xr:uid="{00000000-0006-0000-0A00-00000200000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00000000-0006-0000-0B00-00000100000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00000000-0006-0000-0B00-00000200000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shapeId="0" xr:uid="{00000000-0006-0000-0B00-00000300000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shapeId="0" xr:uid="{00000000-0006-0000-0B00-000004000000}">
      <text>
        <r>
          <rPr>
            <b/>
            <sz val="9"/>
            <color indexed="81"/>
            <rFont val="Tahoma"/>
            <family val="2"/>
          </rPr>
          <t>Miles:</t>
        </r>
        <r>
          <rPr>
            <sz val="9"/>
            <color indexed="81"/>
            <rFont val="Tahoma"/>
            <family val="2"/>
          </rPr>
          <t xml:space="preserve">
Ensure no double counting with Revenue line 8019, Prior Year Income</t>
        </r>
      </text>
    </comment>
    <comment ref="C161" authorId="0" shapeId="0" xr:uid="{00000000-0006-0000-0B00-000005000000}">
      <text>
        <r>
          <rPr>
            <b/>
            <sz val="9"/>
            <color indexed="81"/>
            <rFont val="Tahoma"/>
            <family val="2"/>
          </rPr>
          <t>Miles:</t>
        </r>
        <r>
          <rPr>
            <sz val="9"/>
            <color indexed="81"/>
            <rFont val="Tahoma"/>
            <family val="2"/>
          </rPr>
          <t xml:space="preserve">
Interest is covered via Expense line 7438</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A7" authorId="0" shapeId="0" xr:uid="{00000000-0006-0000-0D00-000001000000}">
      <text>
        <r>
          <rPr>
            <b/>
            <sz val="9"/>
            <color indexed="81"/>
            <rFont val="Tahoma"/>
            <family val="2"/>
          </rPr>
          <t>Miles:</t>
        </r>
        <r>
          <rPr>
            <sz val="9"/>
            <color indexed="81"/>
            <rFont val="Tahoma"/>
            <family val="2"/>
          </rPr>
          <t xml:space="preserve">
Do not erase this row, though please feel free to modify its content</t>
        </r>
      </text>
    </comment>
    <comment ref="A86" authorId="0" shapeId="0" xr:uid="{00000000-0006-0000-0D00-00000200000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Miles</author>
  </authors>
  <commentList>
    <comment ref="C9" authorId="0" shapeId="0" xr:uid="{00000000-0006-0000-0E00-00000100000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shapeId="0" xr:uid="{00000000-0006-0000-0E00-00000200000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shapeId="0" xr:uid="{00000000-0006-0000-0E00-00000300000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shapeId="0" xr:uid="{00000000-0006-0000-0E00-000004000000}">
      <text>
        <r>
          <rPr>
            <b/>
            <sz val="9"/>
            <color indexed="81"/>
            <rFont val="Tahoma"/>
            <family val="2"/>
          </rPr>
          <t>Miles:</t>
        </r>
        <r>
          <rPr>
            <sz val="9"/>
            <color indexed="81"/>
            <rFont val="Tahoma"/>
            <family val="2"/>
          </rPr>
          <t xml:space="preserve">
Ensure no double counting with Revenue line 8019, Prior Year Income</t>
        </r>
      </text>
    </comment>
    <comment ref="C161" authorId="0" shapeId="0" xr:uid="{00000000-0006-0000-0E00-000005000000}">
      <text>
        <r>
          <rPr>
            <b/>
            <sz val="9"/>
            <color indexed="81"/>
            <rFont val="Tahoma"/>
            <family val="2"/>
          </rPr>
          <t>Miles:</t>
        </r>
        <r>
          <rPr>
            <sz val="9"/>
            <color indexed="81"/>
            <rFont val="Tahoma"/>
            <family val="2"/>
          </rPr>
          <t xml:space="preserve">
Interest is covered via Expense line 7438</t>
        </r>
      </text>
    </comment>
  </commentList>
</comments>
</file>

<file path=xl/sharedStrings.xml><?xml version="1.0" encoding="utf-8"?>
<sst xmlns="http://schemas.openxmlformats.org/spreadsheetml/2006/main" count="3647" uniqueCount="1349">
  <si>
    <t>SACS</t>
  </si>
  <si>
    <t>Full Name</t>
  </si>
  <si>
    <t>Title</t>
  </si>
  <si>
    <t>FTE</t>
  </si>
  <si>
    <t>Department</t>
  </si>
  <si>
    <t>Salary Rate</t>
  </si>
  <si>
    <t>STRS, certificated</t>
  </si>
  <si>
    <t>PERS, classified</t>
  </si>
  <si>
    <t>Clean Value results</t>
  </si>
  <si>
    <t>Data</t>
  </si>
  <si>
    <t>1100</t>
  </si>
  <si>
    <t xml:space="preserve">Certificated Teachers' Salaries                                                 </t>
  </si>
  <si>
    <t>1200</t>
  </si>
  <si>
    <t xml:space="preserve">Certificated Pupil Support Salaries                                             </t>
  </si>
  <si>
    <t>1300</t>
  </si>
  <si>
    <t xml:space="preserve">Certificated Supervisors' and Administrators' Salaries                          </t>
  </si>
  <si>
    <t>1900</t>
  </si>
  <si>
    <t xml:space="preserve">Other Certificated Salaries                                                     </t>
  </si>
  <si>
    <t>2100</t>
  </si>
  <si>
    <t xml:space="preserve">Classified Instructional Salaries                                               </t>
  </si>
  <si>
    <t>2200</t>
  </si>
  <si>
    <t xml:space="preserve">Classified Support Salaries                                                     </t>
  </si>
  <si>
    <t>2300</t>
  </si>
  <si>
    <t xml:space="preserve">Classified Supervisors' and Administrators' Salaries                            </t>
  </si>
  <si>
    <t>2400</t>
  </si>
  <si>
    <t xml:space="preserve">Clerical, Technical, and Office Staff Salaries                                  </t>
  </si>
  <si>
    <t>2900</t>
  </si>
  <si>
    <t xml:space="preserve">Other Classified Salaries                                                       </t>
  </si>
  <si>
    <t>3100</t>
  </si>
  <si>
    <t xml:space="preserve">(Obsolete) State Teachers' Retirement System                                    </t>
  </si>
  <si>
    <t>3101</t>
  </si>
  <si>
    <t xml:space="preserve">State Teachers' Retirement System, certificated positions                       </t>
  </si>
  <si>
    <t>3102</t>
  </si>
  <si>
    <t xml:space="preserve">State Teachers' Retirement System, classified positions                         </t>
  </si>
  <si>
    <t>3200</t>
  </si>
  <si>
    <t xml:space="preserve">(Obsolete) Public Employees' Retirement System                                  </t>
  </si>
  <si>
    <t>3201</t>
  </si>
  <si>
    <t xml:space="preserve">Public Employees' Retirement System, certificated positions                     </t>
  </si>
  <si>
    <t>3202</t>
  </si>
  <si>
    <t xml:space="preserve">Public Employees' Retirement System, classified positions                       </t>
  </si>
  <si>
    <t>3300</t>
  </si>
  <si>
    <t xml:space="preserve">(Obsolete) Social Security/Medicare/Alternative                                 </t>
  </si>
  <si>
    <t>3301</t>
  </si>
  <si>
    <t xml:space="preserve">OASDI/Medicare/Alternative, certificated positions                              </t>
  </si>
  <si>
    <t>3302</t>
  </si>
  <si>
    <t xml:space="preserve">OASDI/Medicare/Alternative, classified positions                                </t>
  </si>
  <si>
    <t>3400</t>
  </si>
  <si>
    <t xml:space="preserve">(Obsolete) Health &amp; Welfare Benefits                                            </t>
  </si>
  <si>
    <t>3401</t>
  </si>
  <si>
    <t xml:space="preserve">Health &amp; Welfare Benefits, certificated positions                               </t>
  </si>
  <si>
    <t>3402</t>
  </si>
  <si>
    <t xml:space="preserve">Health &amp; Welfare Benefits, classified positions                                 </t>
  </si>
  <si>
    <t>3500</t>
  </si>
  <si>
    <t xml:space="preserve">(Obsolete) State Unemployment Insurance                                         </t>
  </si>
  <si>
    <t>3501</t>
  </si>
  <si>
    <t xml:space="preserve">State Unemployment Insurance, certificated positions                            </t>
  </si>
  <si>
    <t>3502</t>
  </si>
  <si>
    <t xml:space="preserve">State Unemployment Insurance, classified positions                              </t>
  </si>
  <si>
    <t>3600</t>
  </si>
  <si>
    <t xml:space="preserve">(Obsolete) Worker's Compensation Insurance                                      </t>
  </si>
  <si>
    <t>3601</t>
  </si>
  <si>
    <t xml:space="preserve">Workers' Compensation Insurance, certificated positions                         </t>
  </si>
  <si>
    <t>3602</t>
  </si>
  <si>
    <t xml:space="preserve">Workers' Compensation Insurance, classified positions                           </t>
  </si>
  <si>
    <t>3700</t>
  </si>
  <si>
    <t xml:space="preserve">(Obsolete) Retiree Benefits                                                     </t>
  </si>
  <si>
    <t>3701</t>
  </si>
  <si>
    <t xml:space="preserve">OPEB, Allocated, certificated positions                                         </t>
  </si>
  <si>
    <t>3702</t>
  </si>
  <si>
    <t xml:space="preserve">OPEB, Allocated, classified positions                                           </t>
  </si>
  <si>
    <t>3751</t>
  </si>
  <si>
    <t xml:space="preserve">OPEB, Active Employees, certificated positions                                  </t>
  </si>
  <si>
    <t>3752</t>
  </si>
  <si>
    <t xml:space="preserve">OPEB, Active Employees, classified positions                                    </t>
  </si>
  <si>
    <t>3800</t>
  </si>
  <si>
    <t xml:space="preserve">(Obsolete) PERS Reduction                                                       </t>
  </si>
  <si>
    <t>3801</t>
  </si>
  <si>
    <t xml:space="preserve">PERS Reduction, certificated positions                                          </t>
  </si>
  <si>
    <t>3802</t>
  </si>
  <si>
    <t xml:space="preserve">PERS Reduction, classified positions                                            </t>
  </si>
  <si>
    <t>3900</t>
  </si>
  <si>
    <t xml:space="preserve">(Obsolete) Other Benefits                                                       </t>
  </si>
  <si>
    <t>3901</t>
  </si>
  <si>
    <t xml:space="preserve">Other Benefits, certificated positions                                          </t>
  </si>
  <si>
    <t>3902</t>
  </si>
  <si>
    <t xml:space="preserve">Other Benefits, classified positions                                            </t>
  </si>
  <si>
    <t>4100</t>
  </si>
  <si>
    <t xml:space="preserve">Approved Textbooks and Core Curricula Materials                                 </t>
  </si>
  <si>
    <t>4200</t>
  </si>
  <si>
    <t xml:space="preserve">Books and Other Reference Materials                                             </t>
  </si>
  <si>
    <t>4300</t>
  </si>
  <si>
    <t xml:space="preserve">Materials and Supplies                                                          </t>
  </si>
  <si>
    <t>4400</t>
  </si>
  <si>
    <t xml:space="preserve">Noncapitalized Equipment                                                        </t>
  </si>
  <si>
    <t>4700</t>
  </si>
  <si>
    <t xml:space="preserve">Food                                                                            </t>
  </si>
  <si>
    <t>5100</t>
  </si>
  <si>
    <t xml:space="preserve">Subagreements for Services                                                      </t>
  </si>
  <si>
    <t>5200</t>
  </si>
  <si>
    <t xml:space="preserve">Travel and Conferences                                                          </t>
  </si>
  <si>
    <t>5300</t>
  </si>
  <si>
    <t xml:space="preserve">Dues and Memberships                                                            </t>
  </si>
  <si>
    <t>5400</t>
  </si>
  <si>
    <t xml:space="preserve">Insurance                                                                       </t>
  </si>
  <si>
    <t>5440</t>
  </si>
  <si>
    <t xml:space="preserve">Pupil Insurance                                                                 </t>
  </si>
  <si>
    <t>5450</t>
  </si>
  <si>
    <t xml:space="preserve">Other Insurance                                                                 </t>
  </si>
  <si>
    <t>5500</t>
  </si>
  <si>
    <t xml:space="preserve">Operations and Housekeeping Services                                            </t>
  </si>
  <si>
    <t>5600</t>
  </si>
  <si>
    <t xml:space="preserve">Rentals, Leases, Repairs, and Noncapitalized Improvements                       </t>
  </si>
  <si>
    <t>5710</t>
  </si>
  <si>
    <t xml:space="preserve">Transfers of Direct Costs                                                       </t>
  </si>
  <si>
    <t>5750</t>
  </si>
  <si>
    <t xml:space="preserve">Transfers of Direct Costs - Interfund                                           </t>
  </si>
  <si>
    <t>5800</t>
  </si>
  <si>
    <t xml:space="preserve">Professional/Consulting Services and Operating Expenditures                     </t>
  </si>
  <si>
    <t>5900</t>
  </si>
  <si>
    <t xml:space="preserve">Communications                                                                  </t>
  </si>
  <si>
    <t>6100</t>
  </si>
  <si>
    <t xml:space="preserve">Land                                                                            </t>
  </si>
  <si>
    <t>6170</t>
  </si>
  <si>
    <t xml:space="preserve">Land Improvements                                                               </t>
  </si>
  <si>
    <t>6200</t>
  </si>
  <si>
    <t xml:space="preserve">Buildings and Improvements of Buildings                                         </t>
  </si>
  <si>
    <t>6300</t>
  </si>
  <si>
    <t xml:space="preserve">Books and Media for New School Libraries or Major Expansion of School Libraries </t>
  </si>
  <si>
    <t>6400</t>
  </si>
  <si>
    <t xml:space="preserve">Equipment                                                                       </t>
  </si>
  <si>
    <t>6500</t>
  </si>
  <si>
    <t xml:space="preserve">Equipment Replacement                                                           </t>
  </si>
  <si>
    <t>6900</t>
  </si>
  <si>
    <t xml:space="preserve">Depreciation Expense                                                            </t>
  </si>
  <si>
    <t>7110</t>
  </si>
  <si>
    <t xml:space="preserve">Tuition for Instruction Under Interdistrict Attendance Agreements               </t>
  </si>
  <si>
    <t>7130</t>
  </si>
  <si>
    <t xml:space="preserve">State Special Schools                                                           </t>
  </si>
  <si>
    <t>7141</t>
  </si>
  <si>
    <t>Other Tuition, Excess Costs, and/or Deficit Payments to Districts or Charter Sch</t>
  </si>
  <si>
    <t>7142</t>
  </si>
  <si>
    <t xml:space="preserve">Other Tuition, Excess Costs, and/or Deficit Payments to County Offices          </t>
  </si>
  <si>
    <t>7143</t>
  </si>
  <si>
    <t xml:space="preserve">Other Tuition, Excess Costs, and/or Deficit Payments to JPAs                    </t>
  </si>
  <si>
    <t>7211</t>
  </si>
  <si>
    <t xml:space="preserve">Transfers of Pass-Through Revenues to Districts or Charter Schools              </t>
  </si>
  <si>
    <t>7212</t>
  </si>
  <si>
    <t xml:space="preserve">Transfers of Pass-Through Revenues to County Offices                            </t>
  </si>
  <si>
    <t>7213</t>
  </si>
  <si>
    <t xml:space="preserve">Transfers of Pass-Through Revenues to JPAs                                      </t>
  </si>
  <si>
    <t>7221</t>
  </si>
  <si>
    <t xml:space="preserve">Transfers of Apportionments to Districts or Charter Schools                     </t>
  </si>
  <si>
    <t>7222</t>
  </si>
  <si>
    <t xml:space="preserve">Transfers of Apportionments to County Offices                                   </t>
  </si>
  <si>
    <t>7223</t>
  </si>
  <si>
    <t xml:space="preserve">Transfers of Apportionments to JPAs                                             </t>
  </si>
  <si>
    <t>7280</t>
  </si>
  <si>
    <t xml:space="preserve">(Obsolete) Transfers to Charter Schools in Lieu of Property Taxes               </t>
  </si>
  <si>
    <t>7281</t>
  </si>
  <si>
    <t xml:space="preserve">All Other Transfers to Districts or Charter Schools                             </t>
  </si>
  <si>
    <t>7282</t>
  </si>
  <si>
    <t xml:space="preserve">All Other Transfers to County Offices                                           </t>
  </si>
  <si>
    <t>7283</t>
  </si>
  <si>
    <t xml:space="preserve">All Other Transfers to JPAs                                                     </t>
  </si>
  <si>
    <t>7299</t>
  </si>
  <si>
    <t xml:space="preserve">All Other Transfers Out to All Others                                           </t>
  </si>
  <si>
    <t>7310</t>
  </si>
  <si>
    <t xml:space="preserve">Transfers of Indirect Costs                                                     </t>
  </si>
  <si>
    <t>7350</t>
  </si>
  <si>
    <t xml:space="preserve">Transfers of Indirect Costs - Interfund                                         </t>
  </si>
  <si>
    <t>7370</t>
  </si>
  <si>
    <t xml:space="preserve">Transfers of Direct Support Costs                                               </t>
  </si>
  <si>
    <t>7380</t>
  </si>
  <si>
    <t xml:space="preserve">Transfers of Direct Support Costs - Interfund                                   </t>
  </si>
  <si>
    <t>7432</t>
  </si>
  <si>
    <t xml:space="preserve">State School Building Repayments                                                </t>
  </si>
  <si>
    <t>7433</t>
  </si>
  <si>
    <t xml:space="preserve">Bond Redemptions                                                                </t>
  </si>
  <si>
    <t>7434</t>
  </si>
  <si>
    <t xml:space="preserve">Bond Interest and Other Service Charges                                         </t>
  </si>
  <si>
    <t>7435</t>
  </si>
  <si>
    <t xml:space="preserve">Repayment of State School Building Fund Aid - Proceeds from Bonds               </t>
  </si>
  <si>
    <t>7436</t>
  </si>
  <si>
    <t xml:space="preserve">Payments to Original District for Acquisition of Property                       </t>
  </si>
  <si>
    <t>7438</t>
  </si>
  <si>
    <t xml:space="preserve">Debt Service - Interest                                                         </t>
  </si>
  <si>
    <t>7439</t>
  </si>
  <si>
    <t xml:space="preserve">Other Debt Service - Principal                                                  </t>
  </si>
  <si>
    <t>7611</t>
  </si>
  <si>
    <t xml:space="preserve">From General Fund to Child Development Fund                                     </t>
  </si>
  <si>
    <t>7612</t>
  </si>
  <si>
    <t xml:space="preserve">Between General Fund and Special Reserve Fund                                   </t>
  </si>
  <si>
    <t>7613</t>
  </si>
  <si>
    <t>To State School Building Fund/County School Facilities Fund from All Other Funds</t>
  </si>
  <si>
    <t>7614</t>
  </si>
  <si>
    <t xml:space="preserve">From Bond Interest and Redemption Fund to General Fund                          </t>
  </si>
  <si>
    <t>7615</t>
  </si>
  <si>
    <t xml:space="preserve">From General, Special Reserve, and Building Funds to Deferred Maintenance Fund  </t>
  </si>
  <si>
    <t>7616</t>
  </si>
  <si>
    <t xml:space="preserve">From General Fund to Cafeteria Fund                                             </t>
  </si>
  <si>
    <t>7619</t>
  </si>
  <si>
    <t xml:space="preserve">Other Authorized Interfund Transfers Out                                        </t>
  </si>
  <si>
    <t>7632</t>
  </si>
  <si>
    <t xml:space="preserve">(Obsolete) State School Building Repayment                                      </t>
  </si>
  <si>
    <t>7633</t>
  </si>
  <si>
    <t xml:space="preserve">(Obsolete) Bond Redemptions                                                     </t>
  </si>
  <si>
    <t>7634</t>
  </si>
  <si>
    <t xml:space="preserve">(Obsolete) Bond Interest and Other Service Charges                              </t>
  </si>
  <si>
    <t>7635</t>
  </si>
  <si>
    <t xml:space="preserve">(Obsolete) Repayment of State School Building Fund Aid - Proceeds from Bonds    </t>
  </si>
  <si>
    <t>7636</t>
  </si>
  <si>
    <t xml:space="preserve">(Obsolete) Payments to Original District for Acquisition of Property            </t>
  </si>
  <si>
    <t>7638</t>
  </si>
  <si>
    <t xml:space="preserve">(Obsolete) Debt Service - Interest                                              </t>
  </si>
  <si>
    <t>7639</t>
  </si>
  <si>
    <t xml:space="preserve">(Obsolete) Other Debt Service - Principal                                       </t>
  </si>
  <si>
    <t>7641</t>
  </si>
  <si>
    <t xml:space="preserve">(Obsolete) Long-Term Loan Repayments                                            </t>
  </si>
  <si>
    <t>7649</t>
  </si>
  <si>
    <t xml:space="preserve">(Obsolete) Other Loan Repayments                                                </t>
  </si>
  <si>
    <t>7651</t>
  </si>
  <si>
    <t xml:space="preserve">Transfers of Funds from Lapsed/Reorganized LEAs                                 </t>
  </si>
  <si>
    <t>7699</t>
  </si>
  <si>
    <t xml:space="preserve">All Other Financing Uses                                                        </t>
  </si>
  <si>
    <t>8011</t>
  </si>
  <si>
    <t xml:space="preserve">Revenue Limit State Aid - Current Year                                          </t>
  </si>
  <si>
    <t>8015</t>
  </si>
  <si>
    <t xml:space="preserve">Charter Schools General Purpose Entitlement - State Aid                         </t>
  </si>
  <si>
    <t>8019</t>
  </si>
  <si>
    <t xml:space="preserve">Revenue Limit State Aid - Prior Years                                           </t>
  </si>
  <si>
    <t>8021</t>
  </si>
  <si>
    <t xml:space="preserve">Homeowners' Exemptions                                                          </t>
  </si>
  <si>
    <t>8022</t>
  </si>
  <si>
    <t xml:space="preserve">Timber Yield Tax                                                                </t>
  </si>
  <si>
    <t>8029</t>
  </si>
  <si>
    <t xml:space="preserve">Other Subventions/In-Lieu Taxes                                                 </t>
  </si>
  <si>
    <t>8030</t>
  </si>
  <si>
    <t xml:space="preserve">(Obsolete) Trailer Coach Fees                                                   </t>
  </si>
  <si>
    <t>8041</t>
  </si>
  <si>
    <t xml:space="preserve">Secured Roll Taxes                                                              </t>
  </si>
  <si>
    <t>8042</t>
  </si>
  <si>
    <t xml:space="preserve">Unsecured Roll Taxes                                                            </t>
  </si>
  <si>
    <t>8043</t>
  </si>
  <si>
    <t xml:space="preserve">Prior Years' Taxes                                                              </t>
  </si>
  <si>
    <t>8044</t>
  </si>
  <si>
    <t xml:space="preserve">Supplemental Taxes                                                              </t>
  </si>
  <si>
    <t>8045</t>
  </si>
  <si>
    <t xml:space="preserve">Education Revenue Augmentation Fund (ERAF)                                      </t>
  </si>
  <si>
    <t>8046</t>
  </si>
  <si>
    <t xml:space="preserve">Supplemental Educational Revenue Augmentation Fund (SERAF)                      </t>
  </si>
  <si>
    <t>8047</t>
  </si>
  <si>
    <t xml:space="preserve">Community Redevelopment Funds                                                   </t>
  </si>
  <si>
    <t>8048</t>
  </si>
  <si>
    <t xml:space="preserve">Penalties and Interest from Delinquent Taxes                                    </t>
  </si>
  <si>
    <t>8070</t>
  </si>
  <si>
    <t xml:space="preserve">Receipts from County Board of Supervisors                                       </t>
  </si>
  <si>
    <t>8081</t>
  </si>
  <si>
    <t xml:space="preserve">Royalties and Bonuses                                                           </t>
  </si>
  <si>
    <t>8082</t>
  </si>
  <si>
    <t xml:space="preserve">Other In-Lieu Taxes                                                             </t>
  </si>
  <si>
    <t>8089</t>
  </si>
  <si>
    <t xml:space="preserve">Less: Non-Revenue Limit (50 Percent) Adjustment                                 </t>
  </si>
  <si>
    <t>8091</t>
  </si>
  <si>
    <t xml:space="preserve">Revenue Limit Transfers - Current Year                                          </t>
  </si>
  <si>
    <t>8092</t>
  </si>
  <si>
    <t xml:space="preserve">PERS Reduction Transfer                                                         </t>
  </si>
  <si>
    <t>8096</t>
  </si>
  <si>
    <t xml:space="preserve">Transfers to Charter Schools in Lieu of Property Taxes                          </t>
  </si>
  <si>
    <t>8097</t>
  </si>
  <si>
    <t xml:space="preserve">Property Taxes Transfers                                                        </t>
  </si>
  <si>
    <t>8099</t>
  </si>
  <si>
    <t xml:space="preserve">Revenue Limit Transfers - Prior Years                                           </t>
  </si>
  <si>
    <t>8110</t>
  </si>
  <si>
    <t xml:space="preserve">Maintenance and Operations (Public Law 81-874)                                  </t>
  </si>
  <si>
    <t>8181</t>
  </si>
  <si>
    <t xml:space="preserve">Special Education - Entitlement                                                 </t>
  </si>
  <si>
    <t>8182</t>
  </si>
  <si>
    <t xml:space="preserve">Special Education - Discretionary Grants                                        </t>
  </si>
  <si>
    <t>8220</t>
  </si>
  <si>
    <t xml:space="preserve">Child Nutrition Programs                                                        </t>
  </si>
  <si>
    <t>8260</t>
  </si>
  <si>
    <t xml:space="preserve">Forest Reserve Funds                                                            </t>
  </si>
  <si>
    <t>8270</t>
  </si>
  <si>
    <t xml:space="preserve">Flood Control Funds                                                             </t>
  </si>
  <si>
    <t>8280</t>
  </si>
  <si>
    <t xml:space="preserve">U.S. Wildlife Reserve Funds                                                     </t>
  </si>
  <si>
    <t>8281</t>
  </si>
  <si>
    <t xml:space="preserve">FEMA                                                                            </t>
  </si>
  <si>
    <t>8285</t>
  </si>
  <si>
    <t xml:space="preserve">Interagency Contracts Between LEAs                                              </t>
  </si>
  <si>
    <t>8287</t>
  </si>
  <si>
    <t xml:space="preserve">Pass-Through Revenues from Federal Sources                                      </t>
  </si>
  <si>
    <t>8290</t>
  </si>
  <si>
    <t xml:space="preserve">All Other Federal Revenue                                                       </t>
  </si>
  <si>
    <t>8311</t>
  </si>
  <si>
    <t xml:space="preserve">Other State Apportionments - Current Year                                       </t>
  </si>
  <si>
    <t>8319</t>
  </si>
  <si>
    <t xml:space="preserve">Other State Apportionments - Prior Years                                        </t>
  </si>
  <si>
    <t>8425</t>
  </si>
  <si>
    <t xml:space="preserve">Year-Round School Incentive                                                     </t>
  </si>
  <si>
    <t>8434</t>
  </si>
  <si>
    <t xml:space="preserve">Class Size Reduction, Grades K-3                                                </t>
  </si>
  <si>
    <t>8435</t>
  </si>
  <si>
    <t xml:space="preserve">Class Size Reduction, Grade Nine                                                </t>
  </si>
  <si>
    <t>8480</t>
  </si>
  <si>
    <t xml:space="preserve">Charter Schools Categorical Block Grant                                         </t>
  </si>
  <si>
    <t>8520</t>
  </si>
  <si>
    <t xml:space="preserve">Child Nutrition                                                                 </t>
  </si>
  <si>
    <t>8530</t>
  </si>
  <si>
    <t xml:space="preserve">Child Development Apportionments                                                </t>
  </si>
  <si>
    <t>8540</t>
  </si>
  <si>
    <t xml:space="preserve">Deferred Maintenance Allowance                                                  </t>
  </si>
  <si>
    <t>8545</t>
  </si>
  <si>
    <t xml:space="preserve">School Facilities Apportionments                                                </t>
  </si>
  <si>
    <t>8550</t>
  </si>
  <si>
    <t xml:space="preserve">Mandated Cost Reimbursements                                                    </t>
  </si>
  <si>
    <t>8560</t>
  </si>
  <si>
    <t xml:space="preserve">State Lottery Revenue                                                           </t>
  </si>
  <si>
    <t>8571</t>
  </si>
  <si>
    <t xml:space="preserve">Voted Indebtedness Levies, Homeowners' Exemptions                               </t>
  </si>
  <si>
    <t>8572</t>
  </si>
  <si>
    <t xml:space="preserve">Voted Indebtedness Levies, Other Subventions/In-Lieu Taxes                      </t>
  </si>
  <si>
    <t>8575</t>
  </si>
  <si>
    <t xml:space="preserve">Other Restricted Levies, Homeowners' Exemptions                                 </t>
  </si>
  <si>
    <t>8576</t>
  </si>
  <si>
    <t xml:space="preserve">Other Restricted Levies, Other Subventions/In-Lieu Taxes                        </t>
  </si>
  <si>
    <t>8587</t>
  </si>
  <si>
    <t xml:space="preserve">Pass-Through Revenues from State Sources                                        </t>
  </si>
  <si>
    <t>8590</t>
  </si>
  <si>
    <t xml:space="preserve">All Other State Revenue                                                         </t>
  </si>
  <si>
    <t>8611</t>
  </si>
  <si>
    <t xml:space="preserve">Voted Indebtedness Levies, Secured Roll                                         </t>
  </si>
  <si>
    <t>8612</t>
  </si>
  <si>
    <t xml:space="preserve">Voted Indebtedness Levies, Unsecured Roll                                       </t>
  </si>
  <si>
    <t>8613</t>
  </si>
  <si>
    <t xml:space="preserve">Voted Indebtedness Levies, Prior Years' Taxes                                   </t>
  </si>
  <si>
    <t>8614</t>
  </si>
  <si>
    <t xml:space="preserve">Voted Indebtedness Levies, Supplemental Taxes                                   </t>
  </si>
  <si>
    <t>8615</t>
  </si>
  <si>
    <t xml:space="preserve">Other Restricted Levies, Secured Roll                                           </t>
  </si>
  <si>
    <t>8616</t>
  </si>
  <si>
    <t xml:space="preserve">Other Restricted Levies, Unsecured Roll                                         </t>
  </si>
  <si>
    <t>8617</t>
  </si>
  <si>
    <t xml:space="preserve">Other Restricted Levies, Prior Years' Taxes                                     </t>
  </si>
  <si>
    <t>8618</t>
  </si>
  <si>
    <t xml:space="preserve">Other Restricted Levies, Supplemental Taxes                                     </t>
  </si>
  <si>
    <t>8621</t>
  </si>
  <si>
    <t xml:space="preserve">Parcel Taxes                                                                    </t>
  </si>
  <si>
    <t>8622</t>
  </si>
  <si>
    <t xml:space="preserve">Other Non-Ad Valorem Taxes                                                      </t>
  </si>
  <si>
    <t>8625</t>
  </si>
  <si>
    <t xml:space="preserve">Community Redevelopment Funds Not Subject to Revenue Limit Deduction            </t>
  </si>
  <si>
    <t>8629</t>
  </si>
  <si>
    <t xml:space="preserve">Penalties and Interest from Delinquent Non-Revenue Limit Taxes                  </t>
  </si>
  <si>
    <t>8631</t>
  </si>
  <si>
    <t xml:space="preserve">Sale of Equipment and Supplies                                                  </t>
  </si>
  <si>
    <t>8632</t>
  </si>
  <si>
    <t xml:space="preserve">Sale of Publications                                                            </t>
  </si>
  <si>
    <t>8634</t>
  </si>
  <si>
    <t xml:space="preserve">Food Service Sales                                                              </t>
  </si>
  <si>
    <t>8639</t>
  </si>
  <si>
    <t xml:space="preserve">All Other Sales                                                                 </t>
  </si>
  <si>
    <t>8650</t>
  </si>
  <si>
    <t xml:space="preserve">Leases and Rentals                                                              </t>
  </si>
  <si>
    <t>8660</t>
  </si>
  <si>
    <t xml:space="preserve">Interest                                                                        </t>
  </si>
  <si>
    <t>8662</t>
  </si>
  <si>
    <t xml:space="preserve">Net Increase (Decrease) in the Fair Value of Investments                        </t>
  </si>
  <si>
    <t>8671</t>
  </si>
  <si>
    <t xml:space="preserve">Adult Education Fees                                                            </t>
  </si>
  <si>
    <t>8672</t>
  </si>
  <si>
    <t xml:space="preserve">Nonresident Student Fees                                                        </t>
  </si>
  <si>
    <t>8673</t>
  </si>
  <si>
    <t xml:space="preserve">Child Development Parent Fees                                                   </t>
  </si>
  <si>
    <t>8674</t>
  </si>
  <si>
    <t xml:space="preserve">In-District Premiums/Contributions                                              </t>
  </si>
  <si>
    <t>8675</t>
  </si>
  <si>
    <t xml:space="preserve">Transportation Fees from Individuals                                            </t>
  </si>
  <si>
    <t>8677</t>
  </si>
  <si>
    <t xml:space="preserve">Interagency Services Between LEAs                                               </t>
  </si>
  <si>
    <t>8681</t>
  </si>
  <si>
    <t xml:space="preserve">Mitigation/Developer Fees                                                       </t>
  </si>
  <si>
    <t>8689</t>
  </si>
  <si>
    <t xml:space="preserve">All Other Fees and Contracts                                                    </t>
  </si>
  <si>
    <t>8691</t>
  </si>
  <si>
    <t xml:space="preserve">Plus: Miscellaneous Funds Non-Revenue Limit (50 Percent) Adjustment             </t>
  </si>
  <si>
    <t>8697</t>
  </si>
  <si>
    <t xml:space="preserve">Pass-Through Revenue from Local Sources                                         </t>
  </si>
  <si>
    <t>8699</t>
  </si>
  <si>
    <t xml:space="preserve">All Other Local Revenue                                                         </t>
  </si>
  <si>
    <t>8710</t>
  </si>
  <si>
    <t xml:space="preserve">Tuition                                                                         </t>
  </si>
  <si>
    <t>8780</t>
  </si>
  <si>
    <t>(Obsolete) Transfers from Sponsoring LEAs to Charter Schools in Lieu of Property</t>
  </si>
  <si>
    <t>8781</t>
  </si>
  <si>
    <t xml:space="preserve">All Other Transfers from Districts or Charter Schools                           </t>
  </si>
  <si>
    <t>8782</t>
  </si>
  <si>
    <t xml:space="preserve">All Other Transfers from County Offices                                         </t>
  </si>
  <si>
    <t>8783</t>
  </si>
  <si>
    <t xml:space="preserve">All Other Transfers from JPAs                                                   </t>
  </si>
  <si>
    <t>8791</t>
  </si>
  <si>
    <t xml:space="preserve">Transfers of Apportionments from Districts or Charter Schools                   </t>
  </si>
  <si>
    <t>8792</t>
  </si>
  <si>
    <t xml:space="preserve">Transfers of Apportionments from County Offices                                 </t>
  </si>
  <si>
    <t>8793</t>
  </si>
  <si>
    <t xml:space="preserve">Transfers of Apportionments from JPAs                                           </t>
  </si>
  <si>
    <t>8799</t>
  </si>
  <si>
    <t xml:space="preserve">Other Transfers In from All Others                                              </t>
  </si>
  <si>
    <t>8911</t>
  </si>
  <si>
    <t xml:space="preserve">To Child Development Fund from General Fund                                     </t>
  </si>
  <si>
    <t>8912</t>
  </si>
  <si>
    <t>8913</t>
  </si>
  <si>
    <t>8914</t>
  </si>
  <si>
    <t xml:space="preserve">To General Fund from Bond Interest and Redemption Fund                          </t>
  </si>
  <si>
    <t>8915</t>
  </si>
  <si>
    <t xml:space="preserve">To Deferred Maintenance Fund from General, Special Reserve and Building Funds   </t>
  </si>
  <si>
    <t>8916</t>
  </si>
  <si>
    <t xml:space="preserve">To Cafeteria Fund from General Fund                                             </t>
  </si>
  <si>
    <t>8919</t>
  </si>
  <si>
    <t xml:space="preserve">Other Authorized Interfund Transfers In                                         </t>
  </si>
  <si>
    <t>8931</t>
  </si>
  <si>
    <t xml:space="preserve">Emergency Apportionments                                                        </t>
  </si>
  <si>
    <t>8935</t>
  </si>
  <si>
    <t xml:space="preserve">(Obsolete) School Facilities Apportionments                                     </t>
  </si>
  <si>
    <t>8951</t>
  </si>
  <si>
    <t xml:space="preserve">Proceeds from Sale of Bonds                                                     </t>
  </si>
  <si>
    <t>8953</t>
  </si>
  <si>
    <t xml:space="preserve">Proceeds from Sale/Lease Purchase of Land and Buildings                         </t>
  </si>
  <si>
    <t>8961</t>
  </si>
  <si>
    <t xml:space="preserve">County School Building Aid                                                      </t>
  </si>
  <si>
    <t>8965</t>
  </si>
  <si>
    <t xml:space="preserve">Transfers from Funds of Lapsed/Reorganized LEAs                                 </t>
  </si>
  <si>
    <t>8971</t>
  </si>
  <si>
    <t xml:space="preserve">Proceeds from Certificates of Participation                                     </t>
  </si>
  <si>
    <t>8972</t>
  </si>
  <si>
    <t xml:space="preserve">Proceeds from Capital Leases                                                    </t>
  </si>
  <si>
    <t>8973</t>
  </si>
  <si>
    <t xml:space="preserve">Proceeds from Lease Revenue Bonds                                               </t>
  </si>
  <si>
    <t>8979</t>
  </si>
  <si>
    <t xml:space="preserve">All Other Financing Sources                                                     </t>
  </si>
  <si>
    <t>8980</t>
  </si>
  <si>
    <t xml:space="preserve">Contributions from Unrestricted Revenues                                        </t>
  </si>
  <si>
    <t>8990</t>
  </si>
  <si>
    <t xml:space="preserve">Contributions from Restricted Revenues                                          </t>
  </si>
  <si>
    <t>8995</t>
  </si>
  <si>
    <t xml:space="preserve">Categorical Education Block Grant Transfers                                     </t>
  </si>
  <si>
    <t>8997</t>
  </si>
  <si>
    <t xml:space="preserve">Transfers of Restricted Balances                                                </t>
  </si>
  <si>
    <t>8998</t>
  </si>
  <si>
    <t xml:space="preserve">Categorical Flexibility Transfers                                               </t>
  </si>
  <si>
    <t>9110</t>
  </si>
  <si>
    <t xml:space="preserve">Cash in County Treasury                                                         </t>
  </si>
  <si>
    <t>9111</t>
  </si>
  <si>
    <t xml:space="preserve">Fair Value Adjustment to Cash in County Treasury                                </t>
  </si>
  <si>
    <t>9120</t>
  </si>
  <si>
    <t xml:space="preserve">Cash in Bank(s)                                                                 </t>
  </si>
  <si>
    <t>9130</t>
  </si>
  <si>
    <t xml:space="preserve">Revolving Cash Account                                                          </t>
  </si>
  <si>
    <t>9135</t>
  </si>
  <si>
    <t xml:space="preserve">Cash with a Fiscal Agent/Trustee                                                </t>
  </si>
  <si>
    <t>9140</t>
  </si>
  <si>
    <t xml:space="preserve">Cash Collections Awaiting Deposit                                               </t>
  </si>
  <si>
    <t>9150</t>
  </si>
  <si>
    <t xml:space="preserve">Investments                                                                     </t>
  </si>
  <si>
    <t>9200</t>
  </si>
  <si>
    <t xml:space="preserve">Accounts Receivable                                                             </t>
  </si>
  <si>
    <t>9290</t>
  </si>
  <si>
    <t xml:space="preserve">Due from Grantor Governments                                                    </t>
  </si>
  <si>
    <t>9310</t>
  </si>
  <si>
    <t xml:space="preserve">Due from Other Funds                                                            </t>
  </si>
  <si>
    <t>9320</t>
  </si>
  <si>
    <t xml:space="preserve">Stores                                                                          </t>
  </si>
  <si>
    <t>9330</t>
  </si>
  <si>
    <t xml:space="preserve">Prepaid Expenditures (Expenses)                                                 </t>
  </si>
  <si>
    <t>9340</t>
  </si>
  <si>
    <t xml:space="preserve">Other Current Assets                                                            </t>
  </si>
  <si>
    <t>9410</t>
  </si>
  <si>
    <t>9420</t>
  </si>
  <si>
    <t>9425</t>
  </si>
  <si>
    <t xml:space="preserve">Accumulated Depreciation - Land Improvements                                    </t>
  </si>
  <si>
    <t>9430</t>
  </si>
  <si>
    <t xml:space="preserve">Buildings                                                                       </t>
  </si>
  <si>
    <t>9435</t>
  </si>
  <si>
    <t xml:space="preserve">Accumulated Depreciation - Buildings                                            </t>
  </si>
  <si>
    <t>9440</t>
  </si>
  <si>
    <t>9445</t>
  </si>
  <si>
    <t xml:space="preserve">Accumulated Depreciation - Equipment                                            </t>
  </si>
  <si>
    <t>9450</t>
  </si>
  <si>
    <t xml:space="preserve">Work in Progress                                                                </t>
  </si>
  <si>
    <t>9500</t>
  </si>
  <si>
    <t xml:space="preserve">Accounts Payable (Current Liabilities)                                          </t>
  </si>
  <si>
    <t>9590</t>
  </si>
  <si>
    <t xml:space="preserve">Due to Grantor Governments                                                      </t>
  </si>
  <si>
    <t>9610</t>
  </si>
  <si>
    <t xml:space="preserve">Due to Other Funds                                                              </t>
  </si>
  <si>
    <t>9620</t>
  </si>
  <si>
    <t xml:space="preserve">Due to Student Groups/Other Agencies                                            </t>
  </si>
  <si>
    <t>9640</t>
  </si>
  <si>
    <t xml:space="preserve">Current Loans                                                                   </t>
  </si>
  <si>
    <t>9650</t>
  </si>
  <si>
    <t xml:space="preserve">Deferred Revenue                                                                </t>
  </si>
  <si>
    <t>9661</t>
  </si>
  <si>
    <t xml:space="preserve">General Obligation Bond Payable                                                 </t>
  </si>
  <si>
    <t>9662</t>
  </si>
  <si>
    <t xml:space="preserve">State School Building Loans Payable                                             </t>
  </si>
  <si>
    <t>9664</t>
  </si>
  <si>
    <t xml:space="preserve">Net OPEB Obligation                                                             </t>
  </si>
  <si>
    <t>9665</t>
  </si>
  <si>
    <t xml:space="preserve">Compensated Absences Payable                                                    </t>
  </si>
  <si>
    <t>9666</t>
  </si>
  <si>
    <t xml:space="preserve">Certificates of Participation (COPs) Payable                                    </t>
  </si>
  <si>
    <t>9667</t>
  </si>
  <si>
    <t xml:space="preserve">Capital Leases Payable                                                          </t>
  </si>
  <si>
    <t>9668</t>
  </si>
  <si>
    <t xml:space="preserve">Lease Revenue Bonds Payable                                                     </t>
  </si>
  <si>
    <t>9669</t>
  </si>
  <si>
    <t xml:space="preserve">Other General Long-Term Debt                                                    </t>
  </si>
  <si>
    <t>9711</t>
  </si>
  <si>
    <t xml:space="preserve">Reserve for Revolving Cash                                                      </t>
  </si>
  <si>
    <t>9712</t>
  </si>
  <si>
    <t xml:space="preserve">Reserve for Stores                                                              </t>
  </si>
  <si>
    <t>9713</t>
  </si>
  <si>
    <t xml:space="preserve">Reserve for Prepaid Expenditures (Expenses)                                     </t>
  </si>
  <si>
    <t>9719</t>
  </si>
  <si>
    <t xml:space="preserve">Reserve for All Others                                                          </t>
  </si>
  <si>
    <t>9730</t>
  </si>
  <si>
    <t xml:space="preserve">General Reserve                                                                 </t>
  </si>
  <si>
    <t>9740</t>
  </si>
  <si>
    <t xml:space="preserve">Legally Restricted Balance                                                      </t>
  </si>
  <si>
    <t>9770</t>
  </si>
  <si>
    <t xml:space="preserve">Designated for Economic Uncertainties                                           </t>
  </si>
  <si>
    <t>9775</t>
  </si>
  <si>
    <t xml:space="preserve">Designated for the Unrealized Gains of Investments and Cash in County Treasury  </t>
  </si>
  <si>
    <t>9780</t>
  </si>
  <si>
    <t xml:space="preserve">Other Designations                                                              </t>
  </si>
  <si>
    <t>9790</t>
  </si>
  <si>
    <t xml:space="preserve">Undesignated/Unappropriated                                                     </t>
  </si>
  <si>
    <t>9791</t>
  </si>
  <si>
    <t xml:space="preserve">Beginning Fund Balance                                                          </t>
  </si>
  <si>
    <t>9793</t>
  </si>
  <si>
    <t xml:space="preserve">Audit Adjustments                                                               </t>
  </si>
  <si>
    <t>9795</t>
  </si>
  <si>
    <t xml:space="preserve">Other Restatements                                                              </t>
  </si>
  <si>
    <t>9980</t>
  </si>
  <si>
    <t xml:space="preserve">Amount Available                                                                </t>
  </si>
  <si>
    <t>9989</t>
  </si>
  <si>
    <t xml:space="preserve">Amount to be Provided                                                           </t>
  </si>
  <si>
    <t>9990</t>
  </si>
  <si>
    <t xml:space="preserve">Investment in General Fixed Assets                                              </t>
  </si>
  <si>
    <t>2410</t>
  </si>
  <si>
    <t>5210</t>
  </si>
  <si>
    <t>5605</t>
  </si>
  <si>
    <t>5610</t>
  </si>
  <si>
    <t>5810</t>
  </si>
  <si>
    <t>7010</t>
  </si>
  <si>
    <t>1000</t>
  </si>
  <si>
    <t>1120</t>
  </si>
  <si>
    <t>2110</t>
  </si>
  <si>
    <t>4000</t>
  </si>
  <si>
    <t>5000</t>
  </si>
  <si>
    <t>6000</t>
  </si>
  <si>
    <t>7500</t>
  </si>
  <si>
    <t>= STRS employer rate</t>
  </si>
  <si>
    <t>= PERS employer rate</t>
  </si>
  <si>
    <t>Monthly</t>
  </si>
  <si>
    <t>Health Rate</t>
  </si>
  <si>
    <t>= Default monthly employer health expense</t>
  </si>
  <si>
    <t>ACCTID</t>
  </si>
  <si>
    <t>ACCTDESC</t>
  </si>
  <si>
    <t>Teachers'  Salaries</t>
  </si>
  <si>
    <t>Teachers'  Bonuses</t>
  </si>
  <si>
    <t>Substitute Expense</t>
  </si>
  <si>
    <t>Certificated Pupil Support Salaries</t>
  </si>
  <si>
    <t>Certificated Supervisor and Administrator Salaries</t>
  </si>
  <si>
    <t>Certificated Supervisor and Administrator Bonuses</t>
  </si>
  <si>
    <t>Other Certificated Salaries</t>
  </si>
  <si>
    <t>Other Certificated Overtime</t>
  </si>
  <si>
    <t>Instructional Aide Salaries</t>
  </si>
  <si>
    <t>Instructional Aide Overtime</t>
  </si>
  <si>
    <t>Classified Support Salaries</t>
  </si>
  <si>
    <t>Classified Support Overtime</t>
  </si>
  <si>
    <t>Classified Supervisor and Administrator Salaries</t>
  </si>
  <si>
    <t>Clerical, Technical, and Office Staff Salaries</t>
  </si>
  <si>
    <t>Clerical, Technical, and Office Staff Overtime</t>
  </si>
  <si>
    <t>Other Classified Salaries</t>
  </si>
  <si>
    <t>Other Stipends</t>
  </si>
  <si>
    <t>Other Classified Overtime</t>
  </si>
  <si>
    <t>State Teachers' Retirement System, certificated positions</t>
  </si>
  <si>
    <t>Public Employees' Retirement System, classified positions</t>
  </si>
  <si>
    <t>Health &amp; Welfare Benefits</t>
  </si>
  <si>
    <t>State Unemployment Insurance</t>
  </si>
  <si>
    <t>Worker Compensation Insurance</t>
  </si>
  <si>
    <t>Approved Textbooks and Core Curricula Materials</t>
  </si>
  <si>
    <t>Books and Other Reference Materials</t>
  </si>
  <si>
    <t>Classroom Materials and Supplies</t>
  </si>
  <si>
    <t>Materials and Supplies</t>
  </si>
  <si>
    <t>Noncapitalized Equipment</t>
  </si>
  <si>
    <t>Travel and Conferences</t>
  </si>
  <si>
    <t>Training and Development Expense</t>
  </si>
  <si>
    <t>Dues and Memberships</t>
  </si>
  <si>
    <t>Insurance</t>
  </si>
  <si>
    <t>Operation and Housekeeping Services/Supplies</t>
  </si>
  <si>
    <t>Utilities</t>
  </si>
  <si>
    <t>Space Rental/Leases Expense</t>
  </si>
  <si>
    <t>Building Maintenance</t>
  </si>
  <si>
    <t>Equipment Rental/Lease Expense</t>
  </si>
  <si>
    <t>Equipment Repair</t>
  </si>
  <si>
    <t>Professional/Consulting Services and Operating Expenditures</t>
  </si>
  <si>
    <t>Banking and Payroll Service Fees</t>
  </si>
  <si>
    <t>Educational Consultants</t>
  </si>
  <si>
    <t>Communications</t>
  </si>
  <si>
    <t>Depreciation Expense</t>
  </si>
  <si>
    <t>Miscellaneous Expense</t>
  </si>
  <si>
    <t>Special Education Encroachment</t>
  </si>
  <si>
    <t>Fundraising Expense</t>
  </si>
  <si>
    <t>Debt Service - Interest</t>
  </si>
  <si>
    <t>District Oversight Fee</t>
  </si>
  <si>
    <t>Charter Schools General Purpose Entitlement - State Aid</t>
  </si>
  <si>
    <t>Special Education - Entitlement</t>
  </si>
  <si>
    <t>Federal Child Nutrition Programs</t>
  </si>
  <si>
    <t>All Other Federal Revenue</t>
  </si>
  <si>
    <t>Charter School Categorical Block Grant</t>
  </si>
  <si>
    <t>State Child Nutrition Program</t>
  </si>
  <si>
    <t>State Lottery Revenue</t>
  </si>
  <si>
    <t>All Other State Revenues</t>
  </si>
  <si>
    <t>Interest</t>
  </si>
  <si>
    <t>Charter Schools Funding In-Lieu of Property Taxes</t>
  </si>
  <si>
    <t>All Other Transfers from County Offices</t>
  </si>
  <si>
    <t>All Other Transfers from Other Locations</t>
  </si>
  <si>
    <t>Student Lunch Revenue</t>
  </si>
  <si>
    <t>Student Body (ASB) Fundraising Revenue</t>
  </si>
  <si>
    <t>School Site Fundraising</t>
  </si>
  <si>
    <t>Rental Income</t>
  </si>
  <si>
    <t>Cash in Bank(s)</t>
  </si>
  <si>
    <t>Investments</t>
  </si>
  <si>
    <t>Accounts Receivables</t>
  </si>
  <si>
    <t>Loans Receivable</t>
  </si>
  <si>
    <t>Prepaid Expenses</t>
  </si>
  <si>
    <t>Employee Advances</t>
  </si>
  <si>
    <t>Other Current Assets</t>
  </si>
  <si>
    <t>Security Deposits</t>
  </si>
  <si>
    <t>Land</t>
  </si>
  <si>
    <t>Building Improvements</t>
  </si>
  <si>
    <t>Accumulated Depreciation - Building Improvements</t>
  </si>
  <si>
    <t>Buildings</t>
  </si>
  <si>
    <t>Accumulated Depreciation - Buildings</t>
  </si>
  <si>
    <t>Furniture &amp; Fixtures</t>
  </si>
  <si>
    <t>Computer Equipment</t>
  </si>
  <si>
    <t>Transportation Equipment</t>
  </si>
  <si>
    <t>Accumulated Depreciation - Furniture &amp; Fixtures</t>
  </si>
  <si>
    <t>Accumulated Depreciation - Computer Equipment</t>
  </si>
  <si>
    <t>Accumulated Depreciation - Transportation Equipment</t>
  </si>
  <si>
    <t>Construction in Progress</t>
  </si>
  <si>
    <t>Accounts Payable-System</t>
  </si>
  <si>
    <t>Accrued Salaries</t>
  </si>
  <si>
    <t>Accrued Payroll Taxes</t>
  </si>
  <si>
    <t>Accrued STRS</t>
  </si>
  <si>
    <t>Accrued PERS</t>
  </si>
  <si>
    <t>Accounts Payable-Accrual</t>
  </si>
  <si>
    <t>Loans Payable</t>
  </si>
  <si>
    <t>Deferred Revenue</t>
  </si>
  <si>
    <t>Voluntary Deductions</t>
  </si>
  <si>
    <t>Revolving Loan Payable</t>
  </si>
  <si>
    <t>Other Postemployment Benefits Payable</t>
  </si>
  <si>
    <t>Compensated Abscences Payable</t>
  </si>
  <si>
    <t>Capital Leases Payable</t>
  </si>
  <si>
    <t>Secured Debt Outstanding</t>
  </si>
  <si>
    <t>Reserve for Economic Uncertainty</t>
  </si>
  <si>
    <t>Undesignated Fund Balance</t>
  </si>
  <si>
    <t xml:space="preserve">= State Unemployment Insurance yearly employer expense </t>
  </si>
  <si>
    <t>= Workers' Comp employer rate</t>
  </si>
  <si>
    <t>= Medicare employer rate</t>
  </si>
  <si>
    <t xml:space="preserve">Total </t>
  </si>
  <si>
    <t>Benefits</t>
  </si>
  <si>
    <t>Total Direct</t>
  </si>
  <si>
    <t>Compensation</t>
  </si>
  <si>
    <t>Total</t>
  </si>
  <si>
    <t>Books and Supplies</t>
  </si>
  <si>
    <t>4430</t>
  </si>
  <si>
    <t>5501</t>
  </si>
  <si>
    <t>5505</t>
  </si>
  <si>
    <t>5601</t>
  </si>
  <si>
    <t>5803</t>
  </si>
  <si>
    <t>5805</t>
  </si>
  <si>
    <t>7000</t>
  </si>
  <si>
    <t>8291</t>
  </si>
  <si>
    <t>8292</t>
  </si>
  <si>
    <t>8293</t>
  </si>
  <si>
    <t>8294</t>
  </si>
  <si>
    <t>8295</t>
  </si>
  <si>
    <t>8784</t>
  </si>
  <si>
    <t>8982</t>
  </si>
  <si>
    <t>8983</t>
  </si>
  <si>
    <t>8984</t>
  </si>
  <si>
    <t>8985</t>
  </si>
  <si>
    <t>8986</t>
  </si>
  <si>
    <t>9125</t>
  </si>
  <si>
    <t>9311</t>
  </si>
  <si>
    <t>9335</t>
  </si>
  <si>
    <t>9350</t>
  </si>
  <si>
    <t>9441</t>
  </si>
  <si>
    <t>9442</t>
  </si>
  <si>
    <t>9446</t>
  </si>
  <si>
    <t>9447</t>
  </si>
  <si>
    <t>9501</t>
  </si>
  <si>
    <t>9502</t>
  </si>
  <si>
    <t>9503</t>
  </si>
  <si>
    <t>9504</t>
  </si>
  <si>
    <t>9505</t>
  </si>
  <si>
    <t>9660</t>
  </si>
  <si>
    <t>9663</t>
  </si>
  <si>
    <t>1105</t>
  </si>
  <si>
    <t>1305</t>
  </si>
  <si>
    <t>1910</t>
  </si>
  <si>
    <t>2210</t>
  </si>
  <si>
    <t>2905</t>
  </si>
  <si>
    <t>2910</t>
  </si>
  <si>
    <t>3403</t>
  </si>
  <si>
    <t>3503</t>
  </si>
  <si>
    <t>3603</t>
  </si>
  <si>
    <t>Subtotal</t>
  </si>
  <si>
    <t>Services and Other Operating Expenses</t>
  </si>
  <si>
    <t>Capital Outlay</t>
  </si>
  <si>
    <t>Other Outgoing</t>
  </si>
  <si>
    <t>Subotal</t>
  </si>
  <si>
    <t>Employee Inputs</t>
  </si>
  <si>
    <t>SACS Series</t>
  </si>
  <si>
    <t>SACS Object Code</t>
  </si>
  <si>
    <t>Code Description</t>
  </si>
  <si>
    <t>Retirement System</t>
  </si>
  <si>
    <t>for Employee</t>
  </si>
  <si>
    <t>Total Expenses</t>
  </si>
  <si>
    <t>Certificated Salaries</t>
  </si>
  <si>
    <t>Classified Salaries</t>
  </si>
  <si>
    <t>Employee Benefits</t>
  </si>
  <si>
    <t>Total Personnel Expenses</t>
  </si>
  <si>
    <t>Total Non-Personnel Expenses</t>
  </si>
  <si>
    <t>2000</t>
  </si>
  <si>
    <t>3000</t>
  </si>
  <si>
    <t>Salary</t>
  </si>
  <si>
    <t>Totals</t>
  </si>
  <si>
    <t>Overtime</t>
  </si>
  <si>
    <t>Bonus and</t>
  </si>
  <si>
    <t>Stipends</t>
  </si>
  <si>
    <t>Teachers Only</t>
  </si>
  <si>
    <t>Expenses Summary</t>
  </si>
  <si>
    <t>Non-Personnel Expenses Input</t>
  </si>
  <si>
    <t>Enrollment By Grade</t>
  </si>
  <si>
    <t>Kindergarten</t>
  </si>
  <si>
    <t>Grade 1</t>
  </si>
  <si>
    <t>Grade 2</t>
  </si>
  <si>
    <t>Grade 3</t>
  </si>
  <si>
    <t>Grade 4</t>
  </si>
  <si>
    <t>Grade 5</t>
  </si>
  <si>
    <t>Grade 6</t>
  </si>
  <si>
    <t>Grade 7</t>
  </si>
  <si>
    <t>Grade 8</t>
  </si>
  <si>
    <t>Grade 9</t>
  </si>
  <si>
    <t xml:space="preserve">Grade 10 </t>
  </si>
  <si>
    <t>Grade 11</t>
  </si>
  <si>
    <t>Grade 12</t>
  </si>
  <si>
    <t>Other Enrollment (Grade 12+, etc.)</t>
  </si>
  <si>
    <t>Total Enrollment</t>
  </si>
  <si>
    <t>Daily Attendance Rate</t>
  </si>
  <si>
    <t>ADA Grades K-3</t>
  </si>
  <si>
    <t>ADA Grades 4-6</t>
  </si>
  <si>
    <t>ADA Grades 7-8</t>
  </si>
  <si>
    <t>ADA Grades 9-12</t>
  </si>
  <si>
    <t>Average Daily Attendance Rate</t>
  </si>
  <si>
    <t>Average Daily Attendance by Grade</t>
  </si>
  <si>
    <t>Average Overall Daily Attendance</t>
  </si>
  <si>
    <t>Average Daily Attendance by Grade Range</t>
  </si>
  <si>
    <t>Number of Students</t>
  </si>
  <si>
    <t>English Language Learners</t>
  </si>
  <si>
    <t>Percentage of Students - ELL</t>
  </si>
  <si>
    <t>Poverty and Free/Reduced Price Lunch</t>
  </si>
  <si>
    <t>Student Input</t>
  </si>
  <si>
    <t>State</t>
  </si>
  <si>
    <t>Lottery</t>
  </si>
  <si>
    <t>if applicable</t>
  </si>
  <si>
    <t>no</t>
  </si>
  <si>
    <t>Federal</t>
  </si>
  <si>
    <t>Generally, if &gt;70% free/reduced priced lunch students</t>
  </si>
  <si>
    <t>Title I</t>
  </si>
  <si>
    <t>Title II</t>
  </si>
  <si>
    <t>Title III</t>
  </si>
  <si>
    <t>Title IV</t>
  </si>
  <si>
    <t>Title V</t>
  </si>
  <si>
    <t>if applicable, this year's amount</t>
  </si>
  <si>
    <t>Revenue</t>
  </si>
  <si>
    <t>Local</t>
  </si>
  <si>
    <t>Federal Revenue</t>
  </si>
  <si>
    <t>Local Revenue</t>
  </si>
  <si>
    <t>local district funding rate, per ADA</t>
  </si>
  <si>
    <t>Total Revenue</t>
  </si>
  <si>
    <t>Budget Summary</t>
  </si>
  <si>
    <t>Expenses</t>
  </si>
  <si>
    <r>
      <t xml:space="preserve">Surplus / </t>
    </r>
    <r>
      <rPr>
        <b/>
        <sz val="12"/>
        <color rgb="FFFF0000"/>
        <rFont val="Times New Roman"/>
        <family val="1"/>
      </rPr>
      <t>(Deficit)</t>
    </r>
  </si>
  <si>
    <t>Monthly Cash Flow Assumptions</t>
  </si>
  <si>
    <t>July</t>
  </si>
  <si>
    <t>Aug</t>
  </si>
  <si>
    <t>Sept</t>
  </si>
  <si>
    <t>Oct</t>
  </si>
  <si>
    <t>Nov</t>
  </si>
  <si>
    <t>Dec</t>
  </si>
  <si>
    <t>Jan</t>
  </si>
  <si>
    <t>Feb</t>
  </si>
  <si>
    <t>Mar</t>
  </si>
  <si>
    <t>Apr</t>
  </si>
  <si>
    <t>May</t>
  </si>
  <si>
    <t>June</t>
  </si>
  <si>
    <t>Is this a new charter school?</t>
  </si>
  <si>
    <t>Operating School's General Purpose, state aid schedule</t>
  </si>
  <si>
    <t>New School's General Purpose, state aid schedule</t>
  </si>
  <si>
    <t>Monthly Cash Flow Projections</t>
  </si>
  <si>
    <t>These rows are hidden to maintain parallel contstruction with % tab</t>
  </si>
  <si>
    <r>
      <t xml:space="preserve">Total Monthly Surplus / </t>
    </r>
    <r>
      <rPr>
        <b/>
        <sz val="12"/>
        <color rgb="FFFF0000"/>
        <rFont val="Times New Roman"/>
        <family val="1"/>
      </rPr>
      <t>(Deficit)</t>
    </r>
  </si>
  <si>
    <t>Monthly Cash Flow Projection Graph</t>
  </si>
  <si>
    <t>Additional items needed for cash flow</t>
  </si>
  <si>
    <t>Cash balance at previous year end</t>
  </si>
  <si>
    <t>Accounts Receivable</t>
  </si>
  <si>
    <t>Accounts Payable</t>
  </si>
  <si>
    <t>Loan Principal Payable</t>
  </si>
  <si>
    <t>Please ensure you update the "Additional items…" section and $ amounts at the very bottom</t>
  </si>
  <si>
    <t>Enter $ Amounts</t>
  </si>
  <si>
    <r>
      <t xml:space="preserve">Monthly Operating Surplus / </t>
    </r>
    <r>
      <rPr>
        <b/>
        <sz val="12"/>
        <color rgb="FFFF0000"/>
        <rFont val="Times New Roman"/>
        <family val="1"/>
      </rPr>
      <t>(Deficit)</t>
    </r>
  </si>
  <si>
    <t>Projected Monthly Cash Balance</t>
  </si>
  <si>
    <t>Prior Year Income / Adjustments</t>
  </si>
  <si>
    <t>8591</t>
  </si>
  <si>
    <t>8592</t>
  </si>
  <si>
    <t>4315</t>
  </si>
  <si>
    <t>General Student Equipment</t>
  </si>
  <si>
    <t>5815</t>
  </si>
  <si>
    <t>Advertising / Recruiting</t>
  </si>
  <si>
    <t>5820</t>
  </si>
  <si>
    <t>5890</t>
  </si>
  <si>
    <t>Interest Expense / Misc. Fees</t>
  </si>
  <si>
    <t>5891</t>
  </si>
  <si>
    <t>Charter School Capital Fees</t>
  </si>
  <si>
    <t>5899</t>
  </si>
  <si>
    <t>8785</t>
  </si>
  <si>
    <t>FSCSYR</t>
  </si>
  <si>
    <t>FSCSDSG</t>
  </si>
  <si>
    <t>FSCSCURN</t>
  </si>
  <si>
    <t>CURNTYPE</t>
  </si>
  <si>
    <t>NETPERD1</t>
  </si>
  <si>
    <t>NETPERD2</t>
  </si>
  <si>
    <t>NETPERD3</t>
  </si>
  <si>
    <t>NETPERD4</t>
  </si>
  <si>
    <t>NETPERD5</t>
  </si>
  <si>
    <t>NETPERD6</t>
  </si>
  <si>
    <t>NETPERD7</t>
  </si>
  <si>
    <t>NETPERD8</t>
  </si>
  <si>
    <t>NETPERD9</t>
  </si>
  <si>
    <t>NETPERD10</t>
  </si>
  <si>
    <t>NETPERD11</t>
  </si>
  <si>
    <t>NETPERD12</t>
  </si>
  <si>
    <t>110002000</t>
  </si>
  <si>
    <t>1</t>
  </si>
  <si>
    <t>USD</t>
  </si>
  <si>
    <t>F</t>
  </si>
  <si>
    <t>110002065</t>
  </si>
  <si>
    <t>110502000</t>
  </si>
  <si>
    <t>110502001</t>
  </si>
  <si>
    <t>110502065</t>
  </si>
  <si>
    <t>112002000</t>
  </si>
  <si>
    <t>112002001</t>
  </si>
  <si>
    <t>112002065</t>
  </si>
  <si>
    <t>120002000</t>
  </si>
  <si>
    <t>120002065</t>
  </si>
  <si>
    <t>130002000</t>
  </si>
  <si>
    <t>130002001</t>
  </si>
  <si>
    <t>130002065</t>
  </si>
  <si>
    <t>130502000</t>
  </si>
  <si>
    <t>130502001</t>
  </si>
  <si>
    <t>130502065</t>
  </si>
  <si>
    <t>190002000</t>
  </si>
  <si>
    <t>190002001</t>
  </si>
  <si>
    <t>190002065</t>
  </si>
  <si>
    <t>191002000</t>
  </si>
  <si>
    <t>191002001</t>
  </si>
  <si>
    <t>191002065</t>
  </si>
  <si>
    <t>210002000</t>
  </si>
  <si>
    <t>210002001</t>
  </si>
  <si>
    <t>210002065</t>
  </si>
  <si>
    <t>211002000</t>
  </si>
  <si>
    <t>211002001</t>
  </si>
  <si>
    <t>211002065</t>
  </si>
  <si>
    <t>220002000</t>
  </si>
  <si>
    <t>220002001</t>
  </si>
  <si>
    <t>220002065</t>
  </si>
  <si>
    <t>221002000</t>
  </si>
  <si>
    <t>221002001</t>
  </si>
  <si>
    <t>221002065</t>
  </si>
  <si>
    <t>230002000</t>
  </si>
  <si>
    <t>230002001</t>
  </si>
  <si>
    <t>230002065</t>
  </si>
  <si>
    <t>240002000</t>
  </si>
  <si>
    <t>240002001</t>
  </si>
  <si>
    <t>240002065</t>
  </si>
  <si>
    <t>241002000</t>
  </si>
  <si>
    <t>241002001</t>
  </si>
  <si>
    <t>241002065</t>
  </si>
  <si>
    <t>290002000</t>
  </si>
  <si>
    <t>290002001</t>
  </si>
  <si>
    <t>290002065</t>
  </si>
  <si>
    <t>290502000</t>
  </si>
  <si>
    <t>290502001</t>
  </si>
  <si>
    <t>290502065</t>
  </si>
  <si>
    <t>291002000</t>
  </si>
  <si>
    <t>291002001</t>
  </si>
  <si>
    <t>291002065</t>
  </si>
  <si>
    <t>310102000</t>
  </si>
  <si>
    <t>310102065</t>
  </si>
  <si>
    <t>320202000</t>
  </si>
  <si>
    <t>320202065</t>
  </si>
  <si>
    <t>331302065</t>
  </si>
  <si>
    <t>332302000</t>
  </si>
  <si>
    <t>332302001</t>
  </si>
  <si>
    <t>332302065</t>
  </si>
  <si>
    <t>340302065</t>
  </si>
  <si>
    <t>410002000</t>
  </si>
  <si>
    <t>420002000</t>
  </si>
  <si>
    <t>430002000</t>
  </si>
  <si>
    <t>431502000</t>
  </si>
  <si>
    <t>440002000</t>
  </si>
  <si>
    <t>443002000</t>
  </si>
  <si>
    <t>520002000</t>
  </si>
  <si>
    <t>521002000</t>
  </si>
  <si>
    <t>530002000</t>
  </si>
  <si>
    <t>540002000</t>
  </si>
  <si>
    <t>550002000</t>
  </si>
  <si>
    <t>550102000</t>
  </si>
  <si>
    <t>550502000</t>
  </si>
  <si>
    <t>560002000</t>
  </si>
  <si>
    <t>560102000</t>
  </si>
  <si>
    <t>560502000</t>
  </si>
  <si>
    <t>561002000</t>
  </si>
  <si>
    <t>580002000</t>
  </si>
  <si>
    <t>580302000</t>
  </si>
  <si>
    <t>580502000</t>
  </si>
  <si>
    <t>581002000</t>
  </si>
  <si>
    <t>581002065</t>
  </si>
  <si>
    <t>581502000</t>
  </si>
  <si>
    <t>589002000</t>
  </si>
  <si>
    <t>590002000</t>
  </si>
  <si>
    <t>590002001</t>
  </si>
  <si>
    <t>590002065</t>
  </si>
  <si>
    <t>599902000</t>
  </si>
  <si>
    <t>599902001</t>
  </si>
  <si>
    <t>599902065</t>
  </si>
  <si>
    <t>690002000</t>
  </si>
  <si>
    <t>700002000</t>
  </si>
  <si>
    <t>700002001</t>
  </si>
  <si>
    <t>700002065</t>
  </si>
  <si>
    <t>701002065</t>
  </si>
  <si>
    <t>801502000</t>
  </si>
  <si>
    <t>809602000</t>
  </si>
  <si>
    <t>818102065</t>
  </si>
  <si>
    <t>822002000</t>
  </si>
  <si>
    <t>829002000</t>
  </si>
  <si>
    <t>829002001</t>
  </si>
  <si>
    <t>829102001</t>
  </si>
  <si>
    <t>829202002</t>
  </si>
  <si>
    <t>829302003</t>
  </si>
  <si>
    <t>829402004</t>
  </si>
  <si>
    <t>829502005</t>
  </si>
  <si>
    <t>829902000</t>
  </si>
  <si>
    <t>829902001</t>
  </si>
  <si>
    <t>829902065</t>
  </si>
  <si>
    <t>831102000</t>
  </si>
  <si>
    <t>831102065</t>
  </si>
  <si>
    <t>852002000</t>
  </si>
  <si>
    <t>859002000</t>
  </si>
  <si>
    <t>859002065</t>
  </si>
  <si>
    <t>859102000</t>
  </si>
  <si>
    <t>859202000</t>
  </si>
  <si>
    <t>859902000</t>
  </si>
  <si>
    <t>898002000</t>
  </si>
  <si>
    <t>898202000</t>
  </si>
  <si>
    <t>898302000</t>
  </si>
  <si>
    <t>898402000</t>
  </si>
  <si>
    <t>898502000</t>
  </si>
  <si>
    <t>898602000</t>
  </si>
  <si>
    <t>898902000</t>
  </si>
  <si>
    <t>899902000</t>
  </si>
  <si>
    <t>899902065</t>
  </si>
  <si>
    <t>310102001</t>
  </si>
  <si>
    <t>320202001</t>
  </si>
  <si>
    <t>331302000</t>
  </si>
  <si>
    <t>331302001</t>
  </si>
  <si>
    <t>340302000</t>
  </si>
  <si>
    <t>340302001</t>
  </si>
  <si>
    <t>350302000</t>
  </si>
  <si>
    <t>350302001</t>
  </si>
  <si>
    <t>350302065</t>
  </si>
  <si>
    <t>360302000</t>
  </si>
  <si>
    <t>360302001</t>
  </si>
  <si>
    <t>360302065</t>
  </si>
  <si>
    <t>Series Check</t>
  </si>
  <si>
    <t>Federal / 8200 only:</t>
  </si>
  <si>
    <t>Local and State:</t>
  </si>
  <si>
    <t>Also note that red cells are hard-coded tied to certain rows of the cash flow tab, may need to be modified</t>
  </si>
  <si>
    <t>All should be "100.00%", if not then this sheet isn't probably capturing what is in the cash flow tab</t>
  </si>
  <si>
    <t>Directions:</t>
  </si>
  <si>
    <t>Once this tab is ready (see series check below), right click on the tab, choose "Move or Copy", check the box "create a copy", move to a "(new book)"</t>
  </si>
  <si>
    <t>Then highlight the whole data series (currently A1:Q201), copy, choose cell A1 of the new workbook, then choose "Paste Special", choose "Paste Values", then save this file as an Excel 97-2003 workbook, then erase column S.</t>
  </si>
  <si>
    <t>per current year ADA</t>
  </si>
  <si>
    <t>Assumed revenue rate increase over previous year:</t>
  </si>
  <si>
    <t>Revenue Rates</t>
  </si>
  <si>
    <t>By default, the below %s are equal to the previous year's %s.  Feel free to overwrite</t>
  </si>
  <si>
    <t>Please ensure you update the "Additional items…" section at the very bottom and the corresponding $ amounts at the very bottom of each year's "Cash Flow $s" tab (e.g. loan principal payable line)</t>
  </si>
  <si>
    <t>Ending Balance</t>
  </si>
  <si>
    <t>= Salary increase</t>
  </si>
  <si>
    <t>3313</t>
  </si>
  <si>
    <t>OASDI</t>
  </si>
  <si>
    <t>3323</t>
  </si>
  <si>
    <t>Medicare</t>
  </si>
  <si>
    <t>= OASDI employer rate</t>
  </si>
  <si>
    <t>Health and Welfare</t>
  </si>
  <si>
    <t>SUI</t>
  </si>
  <si>
    <t>Workers' Comp</t>
  </si>
  <si>
    <t>3903</t>
  </si>
  <si>
    <t>3703</t>
  </si>
  <si>
    <t>Other Post Employment Benefits</t>
  </si>
  <si>
    <t>= possible formula for STD, GTL, LTD, AD&amp;D</t>
  </si>
  <si>
    <t>Other Post Employement Benefits</t>
  </si>
  <si>
    <t>Other Benefits</t>
  </si>
  <si>
    <t>Food and Food Supplies</t>
  </si>
  <si>
    <t>Student Transportation / Field Trips</t>
  </si>
  <si>
    <t>5602</t>
  </si>
  <si>
    <t>Other Space Rental</t>
  </si>
  <si>
    <t>Legal Services and Audit</t>
  </si>
  <si>
    <t>5999</t>
  </si>
  <si>
    <t>Expense Suspense</t>
  </si>
  <si>
    <t>8299</t>
  </si>
  <si>
    <t>Prior Year Federal Revenue</t>
  </si>
  <si>
    <t>Supplemental Instruction</t>
  </si>
  <si>
    <t>8599</t>
  </si>
  <si>
    <t>Prior Year State Income</t>
  </si>
  <si>
    <t>8989</t>
  </si>
  <si>
    <t>8999</t>
  </si>
  <si>
    <t>Revenue Suspense</t>
  </si>
  <si>
    <t>Restriction Codes:</t>
  </si>
  <si>
    <t>01 - Title I</t>
  </si>
  <si>
    <t>02 - Title II</t>
  </si>
  <si>
    <t>03 - Title III</t>
  </si>
  <si>
    <t>04 - Title IV</t>
  </si>
  <si>
    <t>05 - Title V</t>
  </si>
  <si>
    <t>65 - SPED</t>
  </si>
  <si>
    <t>61 - ASES</t>
  </si>
  <si>
    <t>OASDI 6.2% of 106,800</t>
  </si>
  <si>
    <t>Medicare  1.45%</t>
  </si>
  <si>
    <t>All Employer contributions for Health and welfare</t>
  </si>
  <si>
    <t>All employer contributions for State Unemployment Insurance including experience charges</t>
  </si>
  <si>
    <t>All Employer contributions for Worker Compensation Insurance</t>
  </si>
  <si>
    <t>Other Employee Benefits</t>
  </si>
  <si>
    <t>Employer 403b contributions</t>
  </si>
  <si>
    <t xml:space="preserve">Includes all testing and exam supplies </t>
  </si>
  <si>
    <t>Includes printing and copying expense, custodial supplies, any noninstructional supplies, food purchased for staff training, t shirts</t>
  </si>
  <si>
    <t xml:space="preserve">Use for Noncapitalized equipment other than student related </t>
  </si>
  <si>
    <t>Noncapitalized Student Equipment</t>
  </si>
  <si>
    <t>Change to Noncapitalized Student Equipment (band, uniforms, atheletic, arts) Items that are useful for more than one year but below the 2500 capitalization threshhold</t>
  </si>
  <si>
    <t>Includes ONLY NSLP related expenses</t>
  </si>
  <si>
    <t>Includes Auto Mileage and Parking, hotel reimbursements, airfare, taxis, food while out of town</t>
  </si>
  <si>
    <t>Would include all publications as well</t>
  </si>
  <si>
    <t>All Insurance except employee benefits</t>
  </si>
  <si>
    <t>Operation and Housekeeping Services</t>
  </si>
  <si>
    <t>Include Security Services, Transportation repair</t>
  </si>
  <si>
    <t xml:space="preserve">Would include electricity, water, heating. </t>
  </si>
  <si>
    <t>Student Transportation/Field Trips</t>
  </si>
  <si>
    <t>Student Field Trip expenses</t>
  </si>
  <si>
    <t>Only building rents</t>
  </si>
  <si>
    <t>Services only…supplies should be 4300</t>
  </si>
  <si>
    <t>Would include short term rentals such as sports fields, graduation/event hall</t>
  </si>
  <si>
    <t>Includes transportation repair</t>
  </si>
  <si>
    <t>would include all non instructional services except legal and audit and banking and payroll; e.g. djay for student dance, photographer</t>
  </si>
  <si>
    <t>Advertising/Recruiting</t>
  </si>
  <si>
    <t>Livescan; all recruiting for students and employees</t>
  </si>
  <si>
    <t>All expenses for school fundraisers</t>
  </si>
  <si>
    <t>Interest expense/fees</t>
  </si>
  <si>
    <t>For all interest except on long term debt</t>
  </si>
  <si>
    <t>New account for fees related to Charter school Capital…the factoring and the program fees</t>
  </si>
  <si>
    <t>CMO Management Fees</t>
  </si>
  <si>
    <t>New Account on Multi schools</t>
  </si>
  <si>
    <t>Includes all postage and all messenger services as well as telephone</t>
  </si>
  <si>
    <t>New account holding items for which we have no documentation</t>
  </si>
  <si>
    <t>Only for long term debts</t>
  </si>
  <si>
    <t>Prior Year Income/Adjustments</t>
  </si>
  <si>
    <t>Only prior year General Purpose and In lieu</t>
  </si>
  <si>
    <t>would include Charter School Facility INCENTIVE Grants (monthly installments) and 21st Century after school</t>
  </si>
  <si>
    <t xml:space="preserve">with restriction 01 </t>
  </si>
  <si>
    <t>with restriction 02</t>
  </si>
  <si>
    <t>with restriction 03</t>
  </si>
  <si>
    <t>with restriction 04</t>
  </si>
  <si>
    <t>with restriction 05 would include Public Charter School Grant Program</t>
  </si>
  <si>
    <t>New Account Would contain any federal revenues from prior years</t>
  </si>
  <si>
    <t>New Account would contain Retained and Recommended, Low Star, Core Subject, Risk of Failing, Supplemental Categorical for New Schools</t>
  </si>
  <si>
    <t>Class Size Reduction, Grades K-3</t>
  </si>
  <si>
    <t>Includes State ASES with restriction 61</t>
  </si>
  <si>
    <t>SB 740</t>
  </si>
  <si>
    <t>Do not include the amounts for Charter School Finance Incentive Grants which are federal</t>
  </si>
  <si>
    <t>Arts and Music Block Grant</t>
  </si>
  <si>
    <t>New Account</t>
  </si>
  <si>
    <t>New Account all prior year state except General Purpose and in lieu which is 8019</t>
  </si>
  <si>
    <t>Inactivate</t>
  </si>
  <si>
    <t>SPED state/Transfers of Apportionments from County Offices</t>
  </si>
  <si>
    <t>Non Federal SPED</t>
  </si>
  <si>
    <t>Would be fees charged between CMO and schools</t>
  </si>
  <si>
    <t>Foundation Grants/Donations</t>
  </si>
  <si>
    <t>All other Local Revenue</t>
  </si>
  <si>
    <t>Includes contributions for field trips, parent payments for childcare/afterschool, prop tax refunds, workers comp refunds related to prior year expense.</t>
  </si>
  <si>
    <t>Would include any contributions and revenues from fundraisers</t>
  </si>
  <si>
    <t>Would include any receipts from the use of their building by community groups</t>
  </si>
  <si>
    <t>CSC Sale of Future Revenue Streams</t>
  </si>
  <si>
    <t>New Account holding revenue items for which we have no documentation</t>
  </si>
  <si>
    <t>Cash account descriptions can vary; generally we start with 9120 and as they open and close we can change accounts</t>
  </si>
  <si>
    <t>Cash in County Treasury</t>
  </si>
  <si>
    <t>USE ONLY FOR OCCASIONAL checks….do not charge entire payrolls here!!!!!</t>
  </si>
  <si>
    <t>9415</t>
  </si>
  <si>
    <t>Land Improvements</t>
  </si>
  <si>
    <t>9506</t>
  </si>
  <si>
    <t>Credit Card Payable</t>
  </si>
  <si>
    <t>Should agree to balance due on Credit Card statements</t>
  </si>
  <si>
    <t>Set up Loans payable for each loan</t>
  </si>
  <si>
    <t>4000-4999 are for books and supplies</t>
  </si>
  <si>
    <t>5000-5999 are for services and other operating expenditures</t>
  </si>
  <si>
    <t>Personnel Object Code Guidance - CSAM</t>
  </si>
  <si>
    <t>Code</t>
  </si>
  <si>
    <t>Description</t>
  </si>
  <si>
    <t>Teachers</t>
  </si>
  <si>
    <t>Teachers - Home &amp; Hospital</t>
  </si>
  <si>
    <t>Special Ed Resource Specialist</t>
  </si>
  <si>
    <t>Special Ed Resource Teachers</t>
  </si>
  <si>
    <t>Teachers - Pull Out Basis</t>
  </si>
  <si>
    <t>Librarian</t>
  </si>
  <si>
    <t>Social Worker</t>
  </si>
  <si>
    <t>Psychologists</t>
  </si>
  <si>
    <t>Counselors</t>
  </si>
  <si>
    <t>Nurses</t>
  </si>
  <si>
    <t>Audiometrists</t>
  </si>
  <si>
    <t>Principals</t>
  </si>
  <si>
    <t>Administrative Deans</t>
  </si>
  <si>
    <t>Instructional Supervisors</t>
  </si>
  <si>
    <t>Coordinators</t>
  </si>
  <si>
    <t>Directors</t>
  </si>
  <si>
    <t>Certificated Assistants (whether or not they supervise)</t>
  </si>
  <si>
    <t>Superintendents</t>
  </si>
  <si>
    <t>Other Certificated Staff who are not 1100, 1200 or 1300.</t>
  </si>
  <si>
    <t>Resource Teachers not performing classroom duties</t>
  </si>
  <si>
    <t>Special Education Specialists</t>
  </si>
  <si>
    <t>Other Program Specialists</t>
  </si>
  <si>
    <t>Cannot be used for instructional staff</t>
  </si>
  <si>
    <t>Instructional Aides</t>
  </si>
  <si>
    <t>Non-Certificated Charter School Teachers</t>
  </si>
  <si>
    <t>Non-Certificated Instructional Personnel</t>
  </si>
  <si>
    <t>Coaches</t>
  </si>
  <si>
    <t>Tutors</t>
  </si>
  <si>
    <t>Drug/Alcohol Program Mentors</t>
  </si>
  <si>
    <t>Library Aide</t>
  </si>
  <si>
    <t>Media Aide</t>
  </si>
  <si>
    <t>Counselor Aide</t>
  </si>
  <si>
    <t>Health Aide</t>
  </si>
  <si>
    <t>Bus Drivers / Mechanics / Other Transportation Personnel</t>
  </si>
  <si>
    <t>Food Service Personnel</t>
  </si>
  <si>
    <t>Business Managers</t>
  </si>
  <si>
    <t>Controllers</t>
  </si>
  <si>
    <t>Site Administrators</t>
  </si>
  <si>
    <t>Stipends for Board Members</t>
  </si>
  <si>
    <t>Non-Certificated Superintendents, Assistant Superintendents</t>
  </si>
  <si>
    <t>Clerks</t>
  </si>
  <si>
    <t>Secretaries</t>
  </si>
  <si>
    <t>Accountants</t>
  </si>
  <si>
    <t>Bookkeepers</t>
  </si>
  <si>
    <t>Programmers</t>
  </si>
  <si>
    <t>Computer Technical Support</t>
  </si>
  <si>
    <t>Machine Operators</t>
  </si>
  <si>
    <t>Computer Operators</t>
  </si>
  <si>
    <t>Classified not in 2100 - 2400 codes</t>
  </si>
  <si>
    <t>Noon Supervision Personnel</t>
  </si>
  <si>
    <t>Building Inspectors</t>
  </si>
  <si>
    <t>Work Experience Students</t>
  </si>
  <si>
    <t>estimate based on January 2013 Governor's budget</t>
  </si>
  <si>
    <t>SSC 3/14</t>
  </si>
  <si>
    <t>LCFF for all grades; state aid portion</t>
  </si>
  <si>
    <t>LCFF for all grades; EPA portion</t>
  </si>
  <si>
    <t>In-Lieu of Property Taxes, all grades</t>
  </si>
  <si>
    <t>801202030</t>
  </si>
  <si>
    <t>per ADA</t>
  </si>
  <si>
    <t>Beginning Fund Balance</t>
  </si>
  <si>
    <t>743802000</t>
  </si>
  <si>
    <t>STRS</t>
  </si>
  <si>
    <t xml:space="preserve">Debt </t>
  </si>
  <si>
    <t>560202000</t>
  </si>
  <si>
    <t>801102000</t>
  </si>
  <si>
    <t>848002000</t>
  </si>
  <si>
    <t>2018-19</t>
  </si>
  <si>
    <t>See FCMAT LCFF Calculator</t>
  </si>
  <si>
    <t>Mandate Block Grant</t>
  </si>
  <si>
    <t>Other Enrollment (CTC)</t>
  </si>
  <si>
    <t>5875</t>
  </si>
  <si>
    <t>587502000</t>
  </si>
  <si>
    <t>110002001</t>
  </si>
  <si>
    <t>856002022</t>
  </si>
  <si>
    <t>2015</t>
  </si>
  <si>
    <t>879202065</t>
  </si>
  <si>
    <t>879202000</t>
  </si>
  <si>
    <t>110002030</t>
  </si>
  <si>
    <t>521002002</t>
  </si>
  <si>
    <t>.</t>
  </si>
  <si>
    <t>As a % of LCFF Revenue</t>
  </si>
  <si>
    <t>Total Personnel Expense</t>
  </si>
  <si>
    <t>In-Lieu</t>
  </si>
  <si>
    <t>Allowance /</t>
  </si>
  <si>
    <t>Property Tax</t>
  </si>
  <si>
    <t>1205</t>
  </si>
  <si>
    <t>Certificated Pupil Support Bonuses</t>
  </si>
  <si>
    <t>2019-20</t>
  </si>
  <si>
    <t>Unduplicated %</t>
  </si>
  <si>
    <t/>
  </si>
  <si>
    <t>5850</t>
  </si>
  <si>
    <t>Scholarships</t>
  </si>
  <si>
    <t>2020-21</t>
  </si>
  <si>
    <t>5885</t>
  </si>
  <si>
    <t>Summer School Program</t>
  </si>
  <si>
    <t>120502000</t>
  </si>
  <si>
    <t>585002000</t>
  </si>
  <si>
    <t>588502000</t>
  </si>
  <si>
    <t>866002000</t>
  </si>
  <si>
    <t>4342</t>
  </si>
  <si>
    <t>Materials for Athletics</t>
  </si>
  <si>
    <t>4381</t>
  </si>
  <si>
    <t>Materials for Plant Maintenance</t>
  </si>
  <si>
    <t>5811</t>
  </si>
  <si>
    <t>5836</t>
  </si>
  <si>
    <t>Transportation Services</t>
  </si>
  <si>
    <t>5842</t>
  </si>
  <si>
    <t>Services Student Athletics</t>
  </si>
  <si>
    <t>5873</t>
  </si>
  <si>
    <t>Financial Services</t>
  </si>
  <si>
    <t>5877</t>
  </si>
  <si>
    <t>IT Services</t>
  </si>
  <si>
    <t>Other State Revenues</t>
  </si>
  <si>
    <t>8910</t>
  </si>
  <si>
    <t>Transfer in From LLC</t>
  </si>
  <si>
    <t>5806</t>
  </si>
  <si>
    <t>Audit Services</t>
  </si>
  <si>
    <t>Student Transportation / Events</t>
  </si>
  <si>
    <t xml:space="preserve">Legal Services </t>
  </si>
  <si>
    <t>2021-22</t>
  </si>
  <si>
    <t>Special Education - Federal IDEA</t>
  </si>
  <si>
    <t>Special Education - AB 602</t>
  </si>
  <si>
    <t>State LCFF Revenue</t>
  </si>
  <si>
    <t>Other State Revenue</t>
  </si>
  <si>
    <t>Restricted Lottery</t>
  </si>
  <si>
    <t>Use FCMAT LCFF Calculator Summary Tab</t>
  </si>
  <si>
    <t>LCFF</t>
  </si>
  <si>
    <t>Subtotal State Revenues</t>
  </si>
  <si>
    <t>Subtotal Federal Revenues</t>
  </si>
  <si>
    <t>Subtotal Local Revenues</t>
  </si>
  <si>
    <t xml:space="preserve">   </t>
  </si>
  <si>
    <t>2022-23</t>
  </si>
  <si>
    <t>2023-24</t>
  </si>
  <si>
    <t>Software &amp; Software Licensing</t>
  </si>
  <si>
    <t>Personnel Services - Livescan</t>
  </si>
  <si>
    <t>Teacher</t>
  </si>
  <si>
    <t>Five Year Budget, 2020-21 through 2024-25</t>
  </si>
  <si>
    <t>Average Daily Attendance</t>
  </si>
  <si>
    <t>Five Year Budget, 2020-21  to 2024-25</t>
  </si>
  <si>
    <t>Federal Child Nutrition Program</t>
  </si>
  <si>
    <t xml:space="preserve"> </t>
  </si>
  <si>
    <t>Foundation Grants / Donations</t>
  </si>
  <si>
    <t>Student  Body (ASB) Fundraising Revenue</t>
  </si>
  <si>
    <t>Donations</t>
  </si>
  <si>
    <t>Fund Development</t>
  </si>
  <si>
    <t>In Kind Contributions</t>
  </si>
  <si>
    <t xml:space="preserve">All Other Local Revenue </t>
  </si>
  <si>
    <t>SPED State/Other Transfers of Apportionments from County</t>
  </si>
  <si>
    <t>Other Student Actitivies</t>
  </si>
  <si>
    <t>Employee Tuition Reimbursement</t>
  </si>
  <si>
    <t>Student Body (ASB Fundraising)</t>
  </si>
  <si>
    <t>Field Trip Expenses</t>
  </si>
  <si>
    <t xml:space="preserve">             </t>
  </si>
  <si>
    <t>Teachers'  Stipend</t>
  </si>
  <si>
    <t xml:space="preserve">SPED </t>
  </si>
  <si>
    <t>Certificated Teachers</t>
  </si>
  <si>
    <t>2024-25</t>
  </si>
  <si>
    <t>SB740</t>
  </si>
  <si>
    <t>Certificated Admin</t>
  </si>
  <si>
    <t>Revolving Loan Repayment</t>
  </si>
  <si>
    <t>CORE Loan Repayment</t>
  </si>
  <si>
    <t>Name / Title</t>
  </si>
  <si>
    <t>Three Rivers - 23-65565-0123737</t>
  </si>
  <si>
    <t>19-20 P2 90.49 (Classroom Based 85.70)</t>
  </si>
  <si>
    <t xml:space="preserve">Depreciation Expense      </t>
  </si>
  <si>
    <t>Natalie Shoptaw</t>
  </si>
  <si>
    <t>Dani Krebs</t>
  </si>
  <si>
    <t>Linda Tulley</t>
  </si>
  <si>
    <t>Kim Morgan</t>
  </si>
  <si>
    <t>Virginia Varnum</t>
  </si>
  <si>
    <t>Reading Specialist</t>
  </si>
  <si>
    <t>Title 1</t>
  </si>
  <si>
    <t>Roger Coy</t>
  </si>
  <si>
    <t>Principal</t>
  </si>
  <si>
    <t>Yesenia Huerta</t>
  </si>
  <si>
    <t>Rebecca Deerwater</t>
  </si>
  <si>
    <t>Madeline Brink</t>
  </si>
  <si>
    <t>Rana Adams</t>
  </si>
  <si>
    <t>W. Kimmelman</t>
  </si>
  <si>
    <t>Marsha Bartholomay</t>
  </si>
  <si>
    <t>Counselor</t>
  </si>
  <si>
    <t>Sofia Duran</t>
  </si>
  <si>
    <t>Marcia Mollett</t>
  </si>
  <si>
    <t>Support</t>
  </si>
  <si>
    <t>Lunch Aide</t>
  </si>
  <si>
    <t>Instructional Aide</t>
  </si>
  <si>
    <t>Angela Leal</t>
  </si>
  <si>
    <t>FCMAT 12/14</t>
  </si>
  <si>
    <t>16.86 K-6 /46.87 9-12</t>
  </si>
  <si>
    <t>K-6 = 68.12 x 16.86</t>
  </si>
  <si>
    <t>9-12 = 26.04 x 46.87</t>
  </si>
  <si>
    <t xml:space="preserve">Capital Outlay </t>
  </si>
  <si>
    <t xml:space="preserve">Other State Revenues </t>
  </si>
  <si>
    <t>EPA</t>
  </si>
  <si>
    <t>R. Lottery</t>
  </si>
  <si>
    <t>ESSER</t>
  </si>
  <si>
    <t>LLMF State</t>
  </si>
  <si>
    <t>Geer</t>
  </si>
  <si>
    <t>CRF</t>
  </si>
  <si>
    <t>YTD 1/27</t>
  </si>
  <si>
    <t>GEN</t>
  </si>
  <si>
    <t>Vacant</t>
  </si>
  <si>
    <t>Robert</t>
  </si>
  <si>
    <t>Inst. Aide</t>
  </si>
  <si>
    <t>GEER</t>
  </si>
  <si>
    <t>ESSER I</t>
  </si>
  <si>
    <t>ESSER II</t>
  </si>
  <si>
    <t>LLMF</t>
  </si>
  <si>
    <t>ESSER III</t>
  </si>
  <si>
    <t>All Other Federal Revenue, GEER/CRF</t>
  </si>
  <si>
    <t>In Person Instruction</t>
  </si>
  <si>
    <t>Expanded Learning Opportunity</t>
  </si>
  <si>
    <t>Michael Lang</t>
  </si>
  <si>
    <t>maria Gibson</t>
  </si>
  <si>
    <t>Utility</t>
  </si>
  <si>
    <t>x</t>
  </si>
  <si>
    <t>ELO</t>
  </si>
  <si>
    <t>Mindy Ballentine</t>
  </si>
  <si>
    <t>.1 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</si>
</sst>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quot;$&quot;* #,##0_);_(&quot;$&quot;* \(#,##0\);_(&quot;$&quot;* &quot;-&quot;??_);_(@_)"/>
    <numFmt numFmtId="168" formatCode="0.0000%"/>
    <numFmt numFmtId="169" formatCode="0.000%"/>
  </numFmts>
  <fonts count="53" x14ac:knownFonts="1">
    <font>
      <sz val="11"/>
      <color theme="1"/>
      <name val="Calibri"/>
      <family val="2"/>
      <scheme val="minor"/>
    </font>
    <font>
      <sz val="11"/>
      <color theme="1"/>
      <name val="Calibri"/>
      <family val="2"/>
      <scheme val="minor"/>
    </font>
    <font>
      <sz val="10"/>
      <name val="MS Sans Serif"/>
      <family val="2"/>
    </font>
    <font>
      <sz val="12"/>
      <name val="Times New Roman"/>
      <family val="1"/>
    </font>
    <font>
      <b/>
      <sz val="12"/>
      <name val="Times New Roman"/>
      <family val="1"/>
    </font>
    <font>
      <sz val="12"/>
      <color theme="1"/>
      <name val="Times New Roman"/>
      <family val="1"/>
    </font>
    <font>
      <sz val="12"/>
      <color rgb="FFFF0000"/>
      <name val="Times New Roman"/>
      <family val="1"/>
    </font>
    <font>
      <b/>
      <sz val="12"/>
      <color theme="1"/>
      <name val="Times New Roman"/>
      <family val="1"/>
    </font>
    <font>
      <b/>
      <sz val="14"/>
      <color theme="1"/>
      <name val="Times New Roman"/>
      <family val="1"/>
    </font>
    <font>
      <b/>
      <sz val="16"/>
      <name val="Times New Roman"/>
      <family val="1"/>
    </font>
    <font>
      <b/>
      <sz val="14"/>
      <name val="Times New Roman"/>
      <family val="1"/>
    </font>
    <font>
      <sz val="9"/>
      <color indexed="81"/>
      <name val="Tahoma"/>
      <family val="2"/>
    </font>
    <font>
      <b/>
      <sz val="9"/>
      <color indexed="81"/>
      <name val="Tahoma"/>
      <family val="2"/>
    </font>
    <font>
      <b/>
      <sz val="14"/>
      <color rgb="FFFF0000"/>
      <name val="Times New Roman"/>
      <family val="1"/>
    </font>
    <font>
      <b/>
      <sz val="12"/>
      <color indexed="8"/>
      <name val="Times New Roman"/>
      <family val="1"/>
    </font>
    <font>
      <sz val="12"/>
      <color indexed="8"/>
      <name val="Times New Roman"/>
      <family val="1"/>
    </font>
    <font>
      <b/>
      <sz val="14"/>
      <color indexed="8"/>
      <name val="Times New Roman"/>
      <family val="1"/>
    </font>
    <font>
      <b/>
      <sz val="12"/>
      <color rgb="FFFF0000"/>
      <name val="Times New Roman"/>
      <family val="1"/>
    </font>
    <font>
      <sz val="12"/>
      <color indexed="10"/>
      <name val="Times New Roman"/>
      <family val="1"/>
    </font>
    <font>
      <b/>
      <u/>
      <sz val="12"/>
      <name val="Times New Roman"/>
      <family val="1"/>
    </font>
    <font>
      <sz val="10"/>
      <name val="MS Sans Serif"/>
      <family val="2"/>
    </font>
    <font>
      <sz val="10"/>
      <color rgb="FFFF0000"/>
      <name val="MS Sans Serif"/>
      <family val="2"/>
    </font>
    <font>
      <sz val="10"/>
      <color theme="1"/>
      <name val="MS Sans Serif"/>
      <family val="2"/>
    </font>
    <font>
      <b/>
      <u/>
      <sz val="10"/>
      <name val="MS Sans Serif"/>
      <family val="2"/>
    </font>
    <font>
      <b/>
      <sz val="10"/>
      <color rgb="FFFF0000"/>
      <name val="MS Sans Serif"/>
      <family val="2"/>
    </font>
    <font>
      <b/>
      <sz val="11"/>
      <color theme="1"/>
      <name val="Calibri"/>
      <family val="2"/>
    </font>
    <font>
      <b/>
      <sz val="9"/>
      <color theme="1"/>
      <name val="Calibri"/>
      <family val="2"/>
      <scheme val="minor"/>
    </font>
    <font>
      <b/>
      <sz val="9"/>
      <color theme="1"/>
      <name val="Calibri"/>
      <family val="2"/>
    </font>
    <font>
      <b/>
      <i/>
      <sz val="9"/>
      <color theme="1"/>
      <name val="Calibri"/>
      <family val="2"/>
    </font>
    <font>
      <sz val="8"/>
      <color rgb="FFFF0000"/>
      <name val="Times New Roman"/>
      <family val="1"/>
    </font>
    <font>
      <sz val="10"/>
      <name val="Arial"/>
      <family val="2"/>
    </font>
    <font>
      <sz val="8"/>
      <color theme="1"/>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sz val="8"/>
      <color indexed="8"/>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b/>
      <sz val="10"/>
      <name val="MS Sans Serif"/>
      <family val="2"/>
    </font>
    <font>
      <i/>
      <sz val="11"/>
      <name val="Times New Roman"/>
      <family val="1"/>
    </font>
    <font>
      <b/>
      <i/>
      <sz val="11"/>
      <name val="Times New Roman"/>
      <family val="1"/>
    </font>
    <font>
      <b/>
      <i/>
      <sz val="11"/>
      <color theme="1"/>
      <name val="Calibri"/>
      <family val="2"/>
      <scheme val="minor"/>
    </font>
    <font>
      <b/>
      <sz val="16"/>
      <color theme="1"/>
      <name val="Times New Roman"/>
      <family val="1"/>
    </font>
    <font>
      <u/>
      <sz val="12"/>
      <color rgb="FFFF0000"/>
      <name val="Times New Roman"/>
      <family val="1"/>
    </font>
    <font>
      <sz val="10"/>
      <name val="Calibri"/>
      <family val="2"/>
      <scheme val="minor"/>
    </font>
  </fonts>
  <fills count="39">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s>
  <borders count="28">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thin">
        <color indexed="64"/>
      </bottom>
      <diagonal/>
    </border>
    <border>
      <left style="medium">
        <color theme="0" tint="-0.14996795556505021"/>
      </left>
      <right style="medium">
        <color theme="0" tint="-0.14996795556505021"/>
      </right>
      <top/>
      <bottom style="medium">
        <color theme="0" tint="-0.14996795556505021"/>
      </bottom>
      <diagonal/>
    </border>
    <border>
      <left style="thin">
        <color indexed="64"/>
      </left>
      <right/>
      <top/>
      <bottom/>
      <diagonal/>
    </border>
  </borders>
  <cellStyleXfs count="29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4" fillId="8" borderId="11" applyNumberFormat="0" applyAlignment="0" applyProtection="0"/>
    <xf numFmtId="0" fontId="34" fillId="8" borderId="11" applyNumberFormat="0" applyAlignment="0" applyProtection="0"/>
    <xf numFmtId="0" fontId="34" fillId="8" borderId="11" applyNumberFormat="0" applyAlignment="0" applyProtection="0"/>
    <xf numFmtId="0" fontId="34" fillId="8" borderId="11" applyNumberFormat="0" applyAlignment="0" applyProtection="0"/>
    <xf numFmtId="0" fontId="34" fillId="8" borderId="11" applyNumberFormat="0" applyAlignment="0" applyProtection="0"/>
    <xf numFmtId="0" fontId="34" fillId="8" borderId="11" applyNumberFormat="0" applyAlignment="0" applyProtection="0"/>
    <xf numFmtId="0" fontId="35" fillId="9" borderId="14" applyNumberFormat="0" applyAlignment="0" applyProtection="0"/>
    <xf numFmtId="0" fontId="35" fillId="9" borderId="14" applyNumberFormat="0" applyAlignment="0" applyProtection="0"/>
    <xf numFmtId="0" fontId="35" fillId="9" borderId="14" applyNumberFormat="0" applyAlignment="0" applyProtection="0"/>
    <xf numFmtId="0" fontId="35" fillId="9" borderId="14" applyNumberFormat="0" applyAlignment="0" applyProtection="0"/>
    <xf numFmtId="0" fontId="35" fillId="9" borderId="14" applyNumberFormat="0" applyAlignment="0" applyProtection="0"/>
    <xf numFmtId="0" fontId="35" fillId="9" borderId="14" applyNumberFormat="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7" borderId="11" applyNumberFormat="0" applyAlignment="0" applyProtection="0"/>
    <xf numFmtId="0" fontId="40" fillId="7" borderId="11" applyNumberFormat="0" applyAlignment="0" applyProtection="0"/>
    <xf numFmtId="0" fontId="40" fillId="7" borderId="11" applyNumberFormat="0" applyAlignment="0" applyProtection="0"/>
    <xf numFmtId="0" fontId="40" fillId="7" borderId="11" applyNumberFormat="0" applyAlignment="0" applyProtection="0"/>
    <xf numFmtId="0" fontId="40" fillId="7" borderId="11" applyNumberFormat="0" applyAlignment="0" applyProtection="0"/>
    <xf numFmtId="0" fontId="40" fillId="7" borderId="11" applyNumberFormat="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31" fillId="0" borderId="0"/>
    <xf numFmtId="0" fontId="31" fillId="0" borderId="0"/>
    <xf numFmtId="0" fontId="31" fillId="0" borderId="0"/>
    <xf numFmtId="0" fontId="1" fillId="0" borderId="0"/>
    <xf numFmtId="0" fontId="36" fillId="10" borderId="15" applyNumberFormat="0" applyFont="0" applyAlignment="0" applyProtection="0"/>
    <xf numFmtId="0" fontId="36" fillId="10" borderId="15" applyNumberFormat="0" applyFont="0" applyAlignment="0" applyProtection="0"/>
    <xf numFmtId="0" fontId="36" fillId="10" borderId="15" applyNumberFormat="0" applyFont="0" applyAlignment="0" applyProtection="0"/>
    <xf numFmtId="0" fontId="36" fillId="10" borderId="15" applyNumberFormat="0" applyFont="0" applyAlignment="0" applyProtection="0"/>
    <xf numFmtId="0" fontId="36" fillId="10" borderId="15" applyNumberFormat="0" applyFont="0" applyAlignment="0" applyProtection="0"/>
    <xf numFmtId="0" fontId="36" fillId="10" borderId="15" applyNumberFormat="0" applyFont="0" applyAlignment="0" applyProtection="0"/>
    <xf numFmtId="0" fontId="31" fillId="10" borderId="15" applyNumberFormat="0" applyFont="0" applyAlignment="0" applyProtection="0"/>
    <xf numFmtId="0" fontId="43" fillId="8" borderId="12" applyNumberFormat="0" applyAlignment="0" applyProtection="0"/>
    <xf numFmtId="0" fontId="43" fillId="8" borderId="12" applyNumberFormat="0" applyAlignment="0" applyProtection="0"/>
    <xf numFmtId="0" fontId="43" fillId="8" borderId="12" applyNumberFormat="0" applyAlignment="0" applyProtection="0"/>
    <xf numFmtId="0" fontId="43" fillId="8" borderId="12" applyNumberFormat="0" applyAlignment="0" applyProtection="0"/>
    <xf numFmtId="0" fontId="43" fillId="8" borderId="12" applyNumberFormat="0" applyAlignment="0" applyProtection="0"/>
    <xf numFmtId="0" fontId="43" fillId="8" borderId="12" applyNumberFormat="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349">
    <xf numFmtId="0" fontId="0" fillId="0" borderId="0" xfId="0"/>
    <xf numFmtId="0" fontId="3" fillId="0" borderId="0" xfId="4" applyFont="1"/>
    <xf numFmtId="0" fontId="3" fillId="0" borderId="0" xfId="4" applyNumberFormat="1" applyFont="1"/>
    <xf numFmtId="0" fontId="3" fillId="0" borderId="0" xfId="4" quotePrefix="1" applyNumberFormat="1" applyFont="1"/>
    <xf numFmtId="14" fontId="3" fillId="0" borderId="0" xfId="4" applyNumberFormat="1" applyFont="1"/>
    <xf numFmtId="0" fontId="4" fillId="2" borderId="0" xfId="0" applyFont="1" applyFill="1" applyBorder="1" applyAlignment="1">
      <alignment horizontal="left"/>
    </xf>
    <xf numFmtId="0" fontId="5" fillId="0" borderId="0" xfId="0" applyFont="1"/>
    <xf numFmtId="0" fontId="6" fillId="0" borderId="0" xfId="0" applyFont="1"/>
    <xf numFmtId="10" fontId="6" fillId="0" borderId="0" xfId="3" applyNumberFormat="1" applyFont="1"/>
    <xf numFmtId="0" fontId="5" fillId="0" borderId="0" xfId="0" quotePrefix="1" applyFont="1"/>
    <xf numFmtId="43" fontId="5" fillId="0" borderId="0" xfId="1" applyFont="1"/>
    <xf numFmtId="43" fontId="6" fillId="0" borderId="0" xfId="1" applyFont="1"/>
    <xf numFmtId="43" fontId="5" fillId="0" borderId="0" xfId="0" applyNumberFormat="1" applyFont="1"/>
    <xf numFmtId="0" fontId="6" fillId="0" borderId="0" xfId="0" applyFont="1" applyAlignment="1">
      <alignment horizontal="center"/>
    </xf>
    <xf numFmtId="0" fontId="6" fillId="0" borderId="0" xfId="1" applyNumberFormat="1" applyFont="1" applyAlignment="1">
      <alignment horizontal="center"/>
    </xf>
    <xf numFmtId="43" fontId="6" fillId="0" borderId="0" xfId="1" applyFont="1" applyAlignment="1">
      <alignment horizontal="left"/>
    </xf>
    <xf numFmtId="43" fontId="6" fillId="0" borderId="0" xfId="1"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8" fillId="0" borderId="0" xfId="0" applyFont="1"/>
    <xf numFmtId="0" fontId="9" fillId="0" borderId="0" xfId="0" applyFont="1"/>
    <xf numFmtId="0" fontId="5" fillId="0" borderId="1" xfId="0" applyFont="1" applyBorder="1"/>
    <xf numFmtId="0" fontId="6" fillId="0" borderId="1" xfId="0" applyFont="1" applyBorder="1" applyAlignment="1">
      <alignment horizontal="center"/>
    </xf>
    <xf numFmtId="0" fontId="6" fillId="0" borderId="1" xfId="0" applyFont="1" applyBorder="1" applyAlignment="1">
      <alignment horizontal="left"/>
    </xf>
    <xf numFmtId="0" fontId="7" fillId="0" borderId="1" xfId="0" applyFont="1" applyBorder="1" applyAlignment="1">
      <alignment horizontal="center"/>
    </xf>
    <xf numFmtId="0" fontId="5" fillId="0" borderId="1" xfId="0" applyFont="1" applyBorder="1" applyAlignment="1">
      <alignment horizontal="left"/>
    </xf>
    <xf numFmtId="0" fontId="4" fillId="0" borderId="1" xfId="0" applyFont="1" applyBorder="1" applyAlignment="1">
      <alignment horizontal="center"/>
    </xf>
    <xf numFmtId="0" fontId="10" fillId="0" borderId="0" xfId="4" applyFont="1"/>
    <xf numFmtId="0" fontId="10" fillId="0" borderId="1" xfId="4" applyNumberFormat="1" applyFont="1" applyBorder="1"/>
    <xf numFmtId="0" fontId="3" fillId="0" borderId="0" xfId="4" applyFont="1" applyAlignment="1">
      <alignment horizontal="center"/>
    </xf>
    <xf numFmtId="0" fontId="10" fillId="0" borderId="1" xfId="4" applyFont="1" applyBorder="1" applyAlignment="1">
      <alignment horizontal="center"/>
    </xf>
    <xf numFmtId="14" fontId="4" fillId="0" borderId="0" xfId="4" quotePrefix="1" applyNumberFormat="1" applyFont="1"/>
    <xf numFmtId="0" fontId="4" fillId="0" borderId="0" xfId="4" applyNumberFormat="1" applyFont="1"/>
    <xf numFmtId="0" fontId="4" fillId="0" borderId="0" xfId="4" applyFont="1"/>
    <xf numFmtId="0" fontId="4" fillId="0" borderId="0" xfId="4" quotePrefix="1" applyNumberFormat="1" applyFont="1"/>
    <xf numFmtId="43" fontId="4" fillId="0" borderId="0" xfId="1" applyFont="1" applyAlignment="1">
      <alignment horizontal="center"/>
    </xf>
    <xf numFmtId="43" fontId="4" fillId="0" borderId="0" xfId="1" applyFont="1"/>
    <xf numFmtId="0" fontId="6" fillId="0" borderId="1" xfId="0" applyFont="1" applyBorder="1"/>
    <xf numFmtId="49" fontId="3" fillId="0" borderId="0" xfId="4" applyNumberFormat="1" applyFont="1"/>
    <xf numFmtId="49" fontId="10" fillId="0" borderId="0" xfId="4" applyNumberFormat="1" applyFont="1"/>
    <xf numFmtId="49" fontId="10" fillId="0" borderId="1" xfId="4" applyNumberFormat="1" applyFont="1" applyBorder="1"/>
    <xf numFmtId="49" fontId="4" fillId="0" borderId="0" xfId="4" quotePrefix="1" applyNumberFormat="1" applyFont="1"/>
    <xf numFmtId="49" fontId="6" fillId="0" borderId="0" xfId="0" applyNumberFormat="1" applyFont="1" applyAlignment="1">
      <alignment horizontal="center"/>
    </xf>
    <xf numFmtId="44" fontId="4" fillId="0" borderId="0" xfId="2" applyFont="1" applyAlignment="1">
      <alignment horizontal="center"/>
    </xf>
    <xf numFmtId="0" fontId="10" fillId="0" borderId="0" xfId="4" applyNumberFormat="1" applyFont="1" applyBorder="1"/>
    <xf numFmtId="0" fontId="10" fillId="0" borderId="0" xfId="4" applyFont="1" applyBorder="1" applyAlignment="1">
      <alignment horizontal="center"/>
    </xf>
    <xf numFmtId="0" fontId="14" fillId="0" borderId="0" xfId="0" applyFont="1" applyBorder="1"/>
    <xf numFmtId="0" fontId="15" fillId="0" borderId="0" xfId="0" applyFont="1" applyBorder="1"/>
    <xf numFmtId="166" fontId="14" fillId="0" borderId="0" xfId="1" applyNumberFormat="1" applyFont="1" applyBorder="1" applyAlignment="1">
      <alignment horizontal="center"/>
    </xf>
    <xf numFmtId="166" fontId="14" fillId="0" borderId="0" xfId="1" applyNumberFormat="1" applyFont="1" applyFill="1" applyBorder="1" applyAlignment="1">
      <alignment horizontal="center"/>
    </xf>
    <xf numFmtId="0" fontId="14" fillId="0" borderId="0" xfId="0" applyFont="1" applyBorder="1" applyAlignment="1">
      <alignment horizontal="center"/>
    </xf>
    <xf numFmtId="0" fontId="15" fillId="0" borderId="3" xfId="0" applyFont="1" applyBorder="1"/>
    <xf numFmtId="0" fontId="14" fillId="0" borderId="3" xfId="0" applyFont="1" applyBorder="1"/>
    <xf numFmtId="166" fontId="6" fillId="0" borderId="3" xfId="1" applyNumberFormat="1" applyFont="1" applyBorder="1" applyAlignment="1">
      <alignment horizontal="center"/>
    </xf>
    <xf numFmtId="9" fontId="15" fillId="0" borderId="0" xfId="3" applyFont="1" applyBorder="1" applyAlignment="1">
      <alignment horizontal="center"/>
    </xf>
    <xf numFmtId="165" fontId="3" fillId="0" borderId="3" xfId="1" applyNumberFormat="1" applyFont="1" applyBorder="1" applyAlignment="1">
      <alignment horizontal="center"/>
    </xf>
    <xf numFmtId="164" fontId="6" fillId="0" borderId="3" xfId="3" applyNumberFormat="1" applyFont="1" applyBorder="1" applyAlignment="1">
      <alignment horizontal="right"/>
    </xf>
    <xf numFmtId="166" fontId="14" fillId="0" borderId="3" xfId="1" applyNumberFormat="1" applyFont="1" applyBorder="1"/>
    <xf numFmtId="164" fontId="14" fillId="0" borderId="3" xfId="3" applyNumberFormat="1" applyFont="1" applyBorder="1" applyAlignment="1">
      <alignment horizontal="right"/>
    </xf>
    <xf numFmtId="166" fontId="3" fillId="0" borderId="3" xfId="1" applyNumberFormat="1" applyFont="1" applyBorder="1" applyAlignment="1">
      <alignment horizontal="center"/>
    </xf>
    <xf numFmtId="0" fontId="15" fillId="0" borderId="3" xfId="0" quotePrefix="1" applyFont="1" applyBorder="1"/>
    <xf numFmtId="14" fontId="3" fillId="0" borderId="3" xfId="4" applyNumberFormat="1" applyFont="1" applyBorder="1"/>
    <xf numFmtId="0" fontId="3" fillId="0" borderId="3" xfId="4" quotePrefix="1" applyNumberFormat="1" applyFont="1" applyBorder="1"/>
    <xf numFmtId="164" fontId="6" fillId="0" borderId="0" xfId="3" applyNumberFormat="1" applyFont="1" applyBorder="1" applyAlignment="1">
      <alignment horizontal="right"/>
    </xf>
    <xf numFmtId="0" fontId="13" fillId="0" borderId="1" xfId="4" applyFont="1" applyBorder="1" applyAlignment="1">
      <alignment horizontal="center"/>
    </xf>
    <xf numFmtId="0" fontId="16" fillId="0" borderId="0" xfId="0" applyFont="1" applyBorder="1"/>
    <xf numFmtId="0" fontId="3" fillId="0" borderId="0" xfId="4" applyFont="1" applyBorder="1" applyAlignment="1">
      <alignment horizontal="center"/>
    </xf>
    <xf numFmtId="0" fontId="15" fillId="0" borderId="0" xfId="0" quotePrefix="1" applyFont="1" applyBorder="1"/>
    <xf numFmtId="14" fontId="4" fillId="0" borderId="0" xfId="4" applyNumberFormat="1" applyFont="1"/>
    <xf numFmtId="0" fontId="4" fillId="0" borderId="4" xfId="4" applyNumberFormat="1" applyFont="1" applyBorder="1"/>
    <xf numFmtId="0" fontId="3" fillId="0" borderId="5" xfId="4" applyFont="1" applyBorder="1"/>
    <xf numFmtId="0" fontId="10" fillId="0" borderId="4" xfId="4" applyNumberFormat="1" applyFont="1" applyBorder="1"/>
    <xf numFmtId="0" fontId="10" fillId="0" borderId="5" xfId="4" applyFont="1" applyBorder="1"/>
    <xf numFmtId="0" fontId="4" fillId="0" borderId="0" xfId="4" applyFont="1" applyAlignment="1">
      <alignment horizontal="left"/>
    </xf>
    <xf numFmtId="0" fontId="3" fillId="0" borderId="0" xfId="4" applyFont="1" applyAlignment="1">
      <alignment horizontal="left"/>
    </xf>
    <xf numFmtId="0" fontId="3" fillId="0" borderId="0" xfId="4" applyFont="1" applyAlignment="1">
      <alignment horizontal="right"/>
    </xf>
    <xf numFmtId="166" fontId="4" fillId="0" borderId="0" xfId="1" applyNumberFormat="1" applyFont="1"/>
    <xf numFmtId="44" fontId="10" fillId="0" borderId="0" xfId="4" applyNumberFormat="1" applyFont="1" applyBorder="1" applyAlignment="1">
      <alignment horizontal="center"/>
    </xf>
    <xf numFmtId="166" fontId="3" fillId="0" borderId="0" xfId="1" applyNumberFormat="1" applyFont="1" applyBorder="1" applyAlignment="1">
      <alignment horizontal="center"/>
    </xf>
    <xf numFmtId="44" fontId="4" fillId="0" borderId="0" xfId="2" applyFont="1" applyBorder="1" applyAlignment="1">
      <alignment horizontal="center"/>
    </xf>
    <xf numFmtId="49" fontId="10" fillId="0" borderId="0" xfId="4" applyNumberFormat="1" applyFont="1" applyBorder="1"/>
    <xf numFmtId="49" fontId="3" fillId="0" borderId="0" xfId="4" applyNumberFormat="1" applyFont="1" applyBorder="1"/>
    <xf numFmtId="0" fontId="3" fillId="0" borderId="0" xfId="4" applyNumberFormat="1" applyFont="1" applyBorder="1"/>
    <xf numFmtId="14" fontId="3" fillId="0" borderId="1" xfId="4" applyNumberFormat="1" applyFont="1" applyBorder="1"/>
    <xf numFmtId="0" fontId="3" fillId="0" borderId="1" xfId="4" quotePrefix="1" applyNumberFormat="1" applyFont="1" applyBorder="1"/>
    <xf numFmtId="0" fontId="4" fillId="0" borderId="1" xfId="4" quotePrefix="1" applyNumberFormat="1" applyFont="1" applyBorder="1"/>
    <xf numFmtId="0" fontId="3" fillId="0" borderId="0" xfId="4" quotePrefix="1" applyNumberFormat="1" applyFont="1" applyBorder="1"/>
    <xf numFmtId="0" fontId="3" fillId="0" borderId="3" xfId="4" applyNumberFormat="1" applyFont="1" applyBorder="1"/>
    <xf numFmtId="9" fontId="6" fillId="0" borderId="0" xfId="4" applyNumberFormat="1" applyFont="1" applyAlignment="1">
      <alignment horizontal="center"/>
    </xf>
    <xf numFmtId="9" fontId="13" fillId="0" borderId="0" xfId="4" applyNumberFormat="1" applyFont="1" applyAlignment="1">
      <alignment horizontal="center"/>
    </xf>
    <xf numFmtId="9" fontId="13" fillId="0" borderId="0" xfId="4" applyNumberFormat="1" applyFont="1" applyBorder="1" applyAlignment="1">
      <alignment horizontal="center"/>
    </xf>
    <xf numFmtId="9" fontId="17" fillId="0" borderId="0" xfId="1" applyNumberFormat="1" applyFont="1" applyBorder="1" applyAlignment="1">
      <alignment horizontal="center"/>
    </xf>
    <xf numFmtId="9" fontId="6" fillId="0" borderId="3" xfId="1" applyNumberFormat="1" applyFont="1" applyBorder="1" applyAlignment="1">
      <alignment horizontal="center"/>
    </xf>
    <xf numFmtId="9" fontId="6" fillId="0" borderId="0" xfId="1" applyNumberFormat="1" applyFont="1" applyBorder="1" applyAlignment="1">
      <alignment horizontal="center"/>
    </xf>
    <xf numFmtId="9" fontId="17" fillId="0" borderId="0" xfId="2" applyNumberFormat="1" applyFont="1" applyAlignment="1">
      <alignment horizontal="center"/>
    </xf>
    <xf numFmtId="9" fontId="6" fillId="0" borderId="0" xfId="1" applyNumberFormat="1" applyFont="1" applyAlignment="1">
      <alignment horizontal="center"/>
    </xf>
    <xf numFmtId="9" fontId="6" fillId="0" borderId="3" xfId="4" applyNumberFormat="1" applyFont="1" applyBorder="1" applyAlignment="1">
      <alignment horizontal="center"/>
    </xf>
    <xf numFmtId="9" fontId="6" fillId="0" borderId="0" xfId="0" applyNumberFormat="1" applyFont="1" applyAlignment="1">
      <alignment horizontal="center"/>
    </xf>
    <xf numFmtId="9" fontId="6" fillId="0" borderId="0" xfId="2" applyNumberFormat="1" applyFont="1" applyAlignment="1">
      <alignment horizontal="center"/>
    </xf>
    <xf numFmtId="9" fontId="10" fillId="0" borderId="1" xfId="4" applyNumberFormat="1" applyFont="1" applyBorder="1" applyAlignment="1">
      <alignment horizontal="center"/>
    </xf>
    <xf numFmtId="9" fontId="3" fillId="0" borderId="0" xfId="4" applyNumberFormat="1" applyFont="1" applyAlignment="1">
      <alignment horizontal="center"/>
    </xf>
    <xf numFmtId="9" fontId="6" fillId="0" borderId="0" xfId="4" applyNumberFormat="1" applyFont="1" applyBorder="1" applyAlignment="1">
      <alignment horizontal="center"/>
    </xf>
    <xf numFmtId="9" fontId="4" fillId="0" borderId="0" xfId="4" applyNumberFormat="1" applyFont="1" applyBorder="1" applyAlignment="1">
      <alignment horizontal="right"/>
    </xf>
    <xf numFmtId="9" fontId="17" fillId="0" borderId="0" xfId="4" applyNumberFormat="1" applyFont="1" applyBorder="1" applyAlignment="1">
      <alignment horizontal="center"/>
    </xf>
    <xf numFmtId="10" fontId="3" fillId="0" borderId="0" xfId="4" applyNumberFormat="1" applyFont="1" applyAlignment="1">
      <alignment horizontal="center"/>
    </xf>
    <xf numFmtId="164" fontId="6" fillId="0" borderId="3" xfId="1" applyNumberFormat="1" applyFont="1" applyBorder="1" applyAlignment="1">
      <alignment horizontal="center"/>
    </xf>
    <xf numFmtId="9" fontId="6" fillId="0" borderId="3" xfId="3" applyNumberFormat="1" applyFont="1" applyBorder="1" applyAlignment="1">
      <alignment horizontal="center"/>
    </xf>
    <xf numFmtId="9" fontId="18" fillId="0" borderId="3" xfId="3" applyFont="1" applyBorder="1" applyAlignment="1">
      <alignment horizontal="center"/>
    </xf>
    <xf numFmtId="164" fontId="18" fillId="0" borderId="3" xfId="3" applyNumberFormat="1" applyFont="1" applyBorder="1" applyAlignment="1">
      <alignment horizontal="center"/>
    </xf>
    <xf numFmtId="9" fontId="3" fillId="0" borderId="3" xfId="3" applyFont="1" applyBorder="1" applyAlignment="1">
      <alignment horizontal="center"/>
    </xf>
    <xf numFmtId="164" fontId="6" fillId="0" borderId="3" xfId="3" applyNumberFormat="1" applyFont="1" applyBorder="1" applyAlignment="1">
      <alignment horizontal="center"/>
    </xf>
    <xf numFmtId="164" fontId="3" fillId="0" borderId="3" xfId="3" applyNumberFormat="1" applyFont="1" applyBorder="1" applyAlignment="1">
      <alignment horizontal="center"/>
    </xf>
    <xf numFmtId="9" fontId="6" fillId="0" borderId="0" xfId="3" applyNumberFormat="1" applyFont="1" applyBorder="1" applyAlignment="1">
      <alignment horizontal="center"/>
    </xf>
    <xf numFmtId="164" fontId="6" fillId="0" borderId="0" xfId="1" applyNumberFormat="1" applyFont="1" applyBorder="1" applyAlignment="1">
      <alignment horizontal="center"/>
    </xf>
    <xf numFmtId="10" fontId="6" fillId="0" borderId="0" xfId="1" applyNumberFormat="1" applyFont="1" applyBorder="1" applyAlignment="1">
      <alignment horizontal="center"/>
    </xf>
    <xf numFmtId="0" fontId="5" fillId="0" borderId="0" xfId="0" applyFont="1" applyBorder="1"/>
    <xf numFmtId="164" fontId="6" fillId="0" borderId="0" xfId="3" applyNumberFormat="1" applyFont="1" applyBorder="1" applyAlignment="1">
      <alignment horizontal="center"/>
    </xf>
    <xf numFmtId="14" fontId="3" fillId="0" borderId="0" xfId="4" applyNumberFormat="1" applyFont="1" applyBorder="1"/>
    <xf numFmtId="9" fontId="17" fillId="0" borderId="0" xfId="4" applyNumberFormat="1" applyFont="1" applyBorder="1" applyAlignment="1">
      <alignment horizontal="left"/>
    </xf>
    <xf numFmtId="9" fontId="3" fillId="0" borderId="0" xfId="3" applyNumberFormat="1" applyFont="1" applyBorder="1" applyAlignment="1">
      <alignment horizontal="center"/>
    </xf>
    <xf numFmtId="9" fontId="3" fillId="0" borderId="0" xfId="1" applyNumberFormat="1" applyFont="1" applyBorder="1" applyAlignment="1">
      <alignment horizontal="center"/>
    </xf>
    <xf numFmtId="9" fontId="4" fillId="0" borderId="0" xfId="2" applyNumberFormat="1" applyFont="1" applyAlignment="1">
      <alignment horizontal="center"/>
    </xf>
    <xf numFmtId="9" fontId="3" fillId="0" borderId="3" xfId="1" applyNumberFormat="1" applyFont="1" applyBorder="1" applyAlignment="1">
      <alignment horizontal="center"/>
    </xf>
    <xf numFmtId="9" fontId="3" fillId="0" borderId="0" xfId="1" applyNumberFormat="1" applyFont="1" applyAlignment="1">
      <alignment horizontal="center"/>
    </xf>
    <xf numFmtId="49" fontId="3" fillId="0" borderId="5" xfId="4" applyNumberFormat="1" applyFont="1" applyBorder="1"/>
    <xf numFmtId="9" fontId="6" fillId="0" borderId="7" xfId="2" applyNumberFormat="1" applyFont="1" applyBorder="1" applyAlignment="1">
      <alignment horizontal="center"/>
    </xf>
    <xf numFmtId="0" fontId="6" fillId="0" borderId="3" xfId="0" quotePrefix="1" applyFont="1" applyBorder="1"/>
    <xf numFmtId="0" fontId="6" fillId="0" borderId="3" xfId="0" applyFont="1" applyBorder="1"/>
    <xf numFmtId="14" fontId="6" fillId="0" borderId="3" xfId="4" applyNumberFormat="1" applyFont="1" applyBorder="1"/>
    <xf numFmtId="0" fontId="6" fillId="0" borderId="3" xfId="4" quotePrefix="1" applyNumberFormat="1" applyFont="1" applyBorder="1"/>
    <xf numFmtId="0" fontId="6" fillId="0" borderId="3" xfId="4" applyNumberFormat="1" applyFont="1" applyBorder="1"/>
    <xf numFmtId="49" fontId="6" fillId="0" borderId="3" xfId="4" applyNumberFormat="1" applyFont="1" applyBorder="1"/>
    <xf numFmtId="14" fontId="3" fillId="0" borderId="3" xfId="4" quotePrefix="1" applyNumberFormat="1" applyFont="1" applyBorder="1"/>
    <xf numFmtId="0" fontId="3" fillId="2" borderId="3" xfId="0" applyFont="1" applyFill="1" applyBorder="1" applyAlignment="1">
      <alignment horizontal="left"/>
    </xf>
    <xf numFmtId="49" fontId="3" fillId="0" borderId="3" xfId="4" quotePrefix="1" applyNumberFormat="1" applyFont="1" applyBorder="1"/>
    <xf numFmtId="49" fontId="10" fillId="0" borderId="3" xfId="4" applyNumberFormat="1" applyFont="1" applyBorder="1"/>
    <xf numFmtId="43" fontId="3" fillId="0" borderId="3" xfId="1" applyFont="1" applyBorder="1" applyAlignment="1">
      <alignment horizontal="left"/>
    </xf>
    <xf numFmtId="0" fontId="3" fillId="0" borderId="4" xfId="4" applyNumberFormat="1" applyFont="1" applyBorder="1"/>
    <xf numFmtId="9" fontId="3" fillId="0" borderId="0" xfId="4" applyNumberFormat="1" applyFont="1" applyBorder="1" applyAlignment="1">
      <alignment horizontal="center"/>
    </xf>
    <xf numFmtId="0" fontId="3" fillId="0" borderId="5" xfId="4" applyNumberFormat="1" applyFont="1" applyBorder="1" applyAlignment="1">
      <alignment horizontal="right"/>
    </xf>
    <xf numFmtId="6" fontId="3" fillId="0" borderId="5" xfId="4" applyNumberFormat="1" applyFont="1" applyBorder="1" applyAlignment="1">
      <alignment horizontal="center"/>
    </xf>
    <xf numFmtId="6" fontId="3" fillId="0" borderId="6" xfId="4" applyNumberFormat="1" applyFont="1" applyBorder="1" applyAlignment="1">
      <alignment horizontal="center"/>
    </xf>
    <xf numFmtId="167" fontId="6" fillId="0" borderId="0" xfId="2" applyNumberFormat="1" applyFont="1" applyAlignment="1">
      <alignment horizontal="center"/>
    </xf>
    <xf numFmtId="9" fontId="3" fillId="0" borderId="3" xfId="3" applyNumberFormat="1" applyFont="1" applyBorder="1" applyAlignment="1">
      <alignment horizontal="center"/>
    </xf>
    <xf numFmtId="6" fontId="4" fillId="0" borderId="5" xfId="4" applyNumberFormat="1" applyFont="1" applyBorder="1" applyAlignment="1">
      <alignment horizontal="center"/>
    </xf>
    <xf numFmtId="6" fontId="4" fillId="0" borderId="6" xfId="4" applyNumberFormat="1" applyFont="1" applyBorder="1" applyAlignment="1">
      <alignment horizontal="center"/>
    </xf>
    <xf numFmtId="6" fontId="6" fillId="0" borderId="0" xfId="4" applyNumberFormat="1" applyFont="1" applyAlignment="1">
      <alignment horizontal="center"/>
    </xf>
    <xf numFmtId="0" fontId="19" fillId="0" borderId="0" xfId="4" applyFont="1" applyAlignment="1">
      <alignment horizontal="left"/>
    </xf>
    <xf numFmtId="6" fontId="3" fillId="0" borderId="4" xfId="4" applyNumberFormat="1" applyFont="1" applyBorder="1" applyAlignment="1">
      <alignment horizontal="center"/>
    </xf>
    <xf numFmtId="166" fontId="6" fillId="0" borderId="0" xfId="1" applyNumberFormat="1" applyFont="1" applyBorder="1" applyAlignment="1">
      <alignment horizontal="left"/>
    </xf>
    <xf numFmtId="14" fontId="6" fillId="0" borderId="3" xfId="4" quotePrefix="1" applyNumberFormat="1" applyFont="1" applyBorder="1"/>
    <xf numFmtId="0" fontId="20" fillId="0" borderId="0" xfId="5" quotePrefix="1" applyNumberFormat="1"/>
    <xf numFmtId="0" fontId="20" fillId="0" borderId="0" xfId="5"/>
    <xf numFmtId="0" fontId="2" fillId="0" borderId="0" xfId="5" quotePrefix="1" applyNumberFormat="1" applyFont="1"/>
    <xf numFmtId="0" fontId="22" fillId="0" borderId="0" xfId="5" quotePrefix="1" applyNumberFormat="1" applyFont="1"/>
    <xf numFmtId="0" fontId="22" fillId="0" borderId="0" xfId="5" applyFont="1"/>
    <xf numFmtId="10" fontId="20" fillId="0" borderId="0" xfId="3" applyNumberFormat="1" applyFont="1"/>
    <xf numFmtId="10" fontId="23" fillId="0" borderId="0" xfId="3" applyNumberFormat="1" applyFont="1"/>
    <xf numFmtId="10" fontId="2" fillId="0" borderId="0" xfId="3" applyNumberFormat="1" applyFont="1"/>
    <xf numFmtId="0" fontId="24" fillId="0" borderId="0" xfId="5" applyFont="1"/>
    <xf numFmtId="43" fontId="21" fillId="0" borderId="0" xfId="1" quotePrefix="1" applyFont="1"/>
    <xf numFmtId="164" fontId="6" fillId="0" borderId="0" xfId="3" applyNumberFormat="1" applyFont="1" applyAlignment="1">
      <alignment horizontal="center"/>
    </xf>
    <xf numFmtId="0" fontId="3" fillId="0" borderId="2" xfId="4" applyFont="1" applyBorder="1" applyAlignment="1">
      <alignment horizontal="left"/>
    </xf>
    <xf numFmtId="0" fontId="3" fillId="0" borderId="2" xfId="4" applyFont="1" applyBorder="1" applyAlignment="1">
      <alignment horizontal="center"/>
    </xf>
    <xf numFmtId="167" fontId="4" fillId="0" borderId="0" xfId="2" applyNumberFormat="1" applyFont="1" applyAlignment="1">
      <alignment horizontal="center"/>
    </xf>
    <xf numFmtId="0" fontId="4" fillId="0" borderId="2" xfId="4" applyFont="1" applyBorder="1" applyAlignment="1">
      <alignment horizontal="left"/>
    </xf>
    <xf numFmtId="166" fontId="6" fillId="0" borderId="0" xfId="1" applyNumberFormat="1" applyFont="1" applyAlignment="1">
      <alignment horizontal="center"/>
    </xf>
    <xf numFmtId="167" fontId="3" fillId="0" borderId="3" xfId="1" applyNumberFormat="1" applyFont="1" applyBorder="1" applyAlignment="1">
      <alignment horizontal="center"/>
    </xf>
    <xf numFmtId="167" fontId="3" fillId="0" borderId="0" xfId="4" applyNumberFormat="1" applyFont="1" applyAlignment="1">
      <alignment horizontal="center"/>
    </xf>
    <xf numFmtId="167" fontId="5" fillId="0" borderId="0" xfId="0" applyNumberFormat="1" applyFont="1" applyAlignment="1">
      <alignment horizontal="center"/>
    </xf>
    <xf numFmtId="167" fontId="3" fillId="0" borderId="1" xfId="4" applyNumberFormat="1" applyFont="1" applyBorder="1" applyAlignment="1">
      <alignment horizontal="center"/>
    </xf>
    <xf numFmtId="9" fontId="6" fillId="0" borderId="0" xfId="4" applyNumberFormat="1" applyFont="1" applyAlignment="1">
      <alignment horizontal="left"/>
    </xf>
    <xf numFmtId="10" fontId="3" fillId="0" borderId="0" xfId="4" applyNumberFormat="1" applyFont="1"/>
    <xf numFmtId="49" fontId="4" fillId="0" borderId="0" xfId="4" applyNumberFormat="1" applyFont="1"/>
    <xf numFmtId="166" fontId="4" fillId="0" borderId="0" xfId="2" applyNumberFormat="1" applyFont="1" applyAlignment="1">
      <alignment horizontal="center"/>
    </xf>
    <xf numFmtId="166" fontId="10" fillId="0" borderId="0" xfId="4" applyNumberFormat="1" applyFont="1" applyBorder="1" applyAlignment="1">
      <alignment horizontal="center"/>
    </xf>
    <xf numFmtId="166" fontId="3" fillId="0" borderId="1" xfId="2" applyNumberFormat="1" applyFont="1" applyBorder="1" applyAlignment="1">
      <alignment horizontal="center"/>
    </xf>
    <xf numFmtId="166" fontId="3" fillId="0" borderId="0" xfId="4" applyNumberFormat="1" applyFont="1" applyAlignment="1">
      <alignment horizontal="center"/>
    </xf>
    <xf numFmtId="9" fontId="3" fillId="0" borderId="0" xfId="3" applyFont="1" applyAlignment="1">
      <alignment horizontal="right"/>
    </xf>
    <xf numFmtId="164" fontId="6" fillId="0" borderId="0" xfId="3" applyNumberFormat="1" applyFont="1"/>
    <xf numFmtId="0" fontId="6" fillId="0" borderId="0" xfId="0" quotePrefix="1" applyFont="1"/>
    <xf numFmtId="44" fontId="5" fillId="0" borderId="3" xfId="4" applyNumberFormat="1" applyFont="1" applyBorder="1" applyAlignment="1">
      <alignment horizontal="center"/>
    </xf>
    <xf numFmtId="167" fontId="4" fillId="0" borderId="7" xfId="2" applyNumberFormat="1" applyFont="1" applyBorder="1" applyAlignment="1">
      <alignment horizontal="center"/>
    </xf>
    <xf numFmtId="167" fontId="4" fillId="0" borderId="0" xfId="3" applyNumberFormat="1" applyFont="1" applyBorder="1" applyAlignment="1">
      <alignment horizontal="center"/>
    </xf>
    <xf numFmtId="166" fontId="3" fillId="0" borderId="0" xfId="1" applyNumberFormat="1" applyFont="1" applyAlignment="1">
      <alignment horizontal="center"/>
    </xf>
    <xf numFmtId="166" fontId="3" fillId="0" borderId="1" xfId="1" applyNumberFormat="1" applyFont="1" applyBorder="1" applyAlignment="1">
      <alignment horizontal="center"/>
    </xf>
    <xf numFmtId="166" fontId="5" fillId="0" borderId="0" xfId="0" applyNumberFormat="1" applyFont="1" applyAlignment="1">
      <alignment horizontal="center"/>
    </xf>
    <xf numFmtId="166" fontId="3" fillId="0" borderId="1" xfId="4" applyNumberFormat="1" applyFont="1" applyBorder="1" applyAlignment="1">
      <alignment horizontal="center"/>
    </xf>
    <xf numFmtId="166" fontId="3" fillId="0" borderId="0" xfId="2" applyNumberFormat="1" applyFont="1" applyAlignment="1">
      <alignment horizontal="center"/>
    </xf>
    <xf numFmtId="0" fontId="5" fillId="0" borderId="1" xfId="0" applyFont="1" applyBorder="1" applyAlignment="1">
      <alignment horizontal="center"/>
    </xf>
    <xf numFmtId="49" fontId="6" fillId="0" borderId="3" xfId="4" quotePrefix="1" applyNumberFormat="1" applyFont="1" applyBorder="1"/>
    <xf numFmtId="0" fontId="0" fillId="0" borderId="0" xfId="0" quotePrefix="1" applyNumberFormat="1"/>
    <xf numFmtId="0" fontId="2" fillId="0" borderId="0" xfId="0" applyFont="1"/>
    <xf numFmtId="0" fontId="2" fillId="0" borderId="0" xfId="0" quotePrefix="1" applyFont="1"/>
    <xf numFmtId="0" fontId="2" fillId="0" borderId="0" xfId="0" quotePrefix="1" applyNumberFormat="1" applyFont="1"/>
    <xf numFmtId="0" fontId="0" fillId="0" borderId="0" xfId="0" quotePrefix="1" applyNumberFormat="1" applyFont="1"/>
    <xf numFmtId="0" fontId="2" fillId="0" borderId="0" xfId="0" applyFont="1" applyAlignment="1">
      <alignment wrapText="1"/>
    </xf>
    <xf numFmtId="0" fontId="0" fillId="0" borderId="0" xfId="0" applyAlignment="1">
      <alignment wrapText="1"/>
    </xf>
    <xf numFmtId="10" fontId="0" fillId="0" borderId="0" xfId="0" applyNumberFormat="1" applyAlignment="1">
      <alignment horizontal="left" wrapText="1"/>
    </xf>
    <xf numFmtId="10" fontId="0" fillId="0" borderId="0" xfId="0" applyNumberFormat="1" applyAlignment="1">
      <alignment wrapText="1"/>
    </xf>
    <xf numFmtId="0" fontId="2" fillId="0" borderId="0" xfId="0" quotePrefix="1" applyNumberFormat="1" applyFont="1" applyAlignment="1">
      <alignment horizontal="left"/>
    </xf>
    <xf numFmtId="0" fontId="25" fillId="0" borderId="0" xfId="0" quotePrefix="1" applyFont="1"/>
    <xf numFmtId="0" fontId="26" fillId="0" borderId="0" xfId="0" applyFont="1" applyAlignment="1">
      <alignment horizontal="left" vertical="center" wrapText="1"/>
    </xf>
    <xf numFmtId="0" fontId="27" fillId="0" borderId="0" xfId="0" applyFont="1" applyAlignment="1">
      <alignment horizontal="center"/>
    </xf>
    <xf numFmtId="0" fontId="27" fillId="0" borderId="0" xfId="0" applyFont="1"/>
    <xf numFmtId="0" fontId="28" fillId="0" borderId="0" xfId="0" applyFont="1"/>
    <xf numFmtId="0" fontId="4" fillId="3" borderId="0" xfId="4" applyNumberFormat="1" applyFont="1" applyFill="1"/>
    <xf numFmtId="43" fontId="6" fillId="0" borderId="3" xfId="1" applyNumberFormat="1" applyFont="1" applyBorder="1" applyAlignment="1">
      <alignment horizontal="center"/>
    </xf>
    <xf numFmtId="9" fontId="29" fillId="0" borderId="0" xfId="3" applyFont="1" applyAlignment="1">
      <alignment horizontal="center"/>
    </xf>
    <xf numFmtId="9" fontId="18" fillId="0" borderId="3" xfId="3" applyNumberFormat="1" applyFont="1" applyBorder="1" applyAlignment="1">
      <alignment horizontal="center"/>
    </xf>
    <xf numFmtId="164" fontId="18" fillId="3" borderId="3" xfId="3" applyNumberFormat="1" applyFont="1" applyFill="1" applyBorder="1" applyAlignment="1">
      <alignment horizontal="center"/>
    </xf>
    <xf numFmtId="164" fontId="17" fillId="0" borderId="0" xfId="1" applyNumberFormat="1" applyFont="1" applyBorder="1" applyAlignment="1">
      <alignment horizontal="center"/>
    </xf>
    <xf numFmtId="43" fontId="3" fillId="0" borderId="0" xfId="4" applyNumberFormat="1" applyFont="1" applyAlignment="1">
      <alignment horizontal="center"/>
    </xf>
    <xf numFmtId="167" fontId="10" fillId="0" borderId="5" xfId="4" applyNumberFormat="1" applyFont="1" applyBorder="1" applyAlignment="1">
      <alignment horizontal="center"/>
    </xf>
    <xf numFmtId="43" fontId="5" fillId="0" borderId="3" xfId="1" applyNumberFormat="1" applyFont="1" applyBorder="1" applyAlignment="1">
      <alignment horizontal="right"/>
    </xf>
    <xf numFmtId="0" fontId="6" fillId="0" borderId="0" xfId="1" applyNumberFormat="1" applyFont="1" applyAlignment="1">
      <alignment horizontal="left"/>
    </xf>
    <xf numFmtId="0" fontId="6" fillId="0" borderId="0" xfId="0" applyFont="1" applyAlignment="1">
      <alignment horizontal="left"/>
    </xf>
    <xf numFmtId="43" fontId="4" fillId="0" borderId="0" xfId="1" applyFont="1" applyAlignment="1">
      <alignment horizontal="left"/>
    </xf>
    <xf numFmtId="0" fontId="3" fillId="0" borderId="0" xfId="4" quotePrefix="1" applyNumberFormat="1" applyFont="1" applyAlignment="1">
      <alignment horizontal="left"/>
    </xf>
    <xf numFmtId="2" fontId="3" fillId="0" borderId="0" xfId="4" applyNumberFormat="1" applyFont="1" applyAlignment="1">
      <alignment horizontal="center"/>
    </xf>
    <xf numFmtId="0" fontId="46" fillId="0" borderId="0" xfId="5" applyFont="1"/>
    <xf numFmtId="43" fontId="14" fillId="0" borderId="3" xfId="1" applyNumberFormat="1" applyFont="1" applyBorder="1"/>
    <xf numFmtId="43" fontId="4" fillId="0" borderId="3" xfId="1" applyNumberFormat="1" applyFont="1" applyBorder="1" applyAlignment="1">
      <alignment horizontal="center"/>
    </xf>
    <xf numFmtId="43" fontId="3" fillId="0" borderId="3" xfId="1" applyNumberFormat="1" applyFont="1" applyBorder="1" applyAlignment="1">
      <alignment horizontal="center"/>
    </xf>
    <xf numFmtId="43" fontId="5" fillId="0" borderId="3" xfId="1" applyNumberFormat="1" applyFont="1" applyBorder="1" applyAlignment="1">
      <alignment horizontal="center"/>
    </xf>
    <xf numFmtId="166" fontId="4" fillId="0" borderId="0" xfId="4" applyNumberFormat="1" applyFont="1" applyAlignment="1">
      <alignment horizontal="center"/>
    </xf>
    <xf numFmtId="2" fontId="20" fillId="0" borderId="0" xfId="5" quotePrefix="1" applyNumberFormat="1"/>
    <xf numFmtId="164" fontId="3" fillId="0" borderId="0" xfId="3" applyNumberFormat="1" applyFont="1" applyBorder="1" applyAlignment="1">
      <alignment horizontal="right"/>
    </xf>
    <xf numFmtId="43" fontId="6" fillId="0" borderId="3" xfId="3" applyNumberFormat="1" applyFont="1" applyBorder="1" applyAlignment="1">
      <alignment horizontal="right"/>
    </xf>
    <xf numFmtId="43" fontId="6" fillId="35" borderId="0" xfId="1" applyFont="1" applyFill="1"/>
    <xf numFmtId="168" fontId="3" fillId="0" borderId="0" xfId="4" applyNumberFormat="1" applyFont="1" applyAlignment="1">
      <alignment horizontal="center"/>
    </xf>
    <xf numFmtId="166" fontId="3" fillId="35" borderId="3" xfId="1" applyNumberFormat="1" applyFont="1" applyFill="1" applyBorder="1" applyAlignment="1">
      <alignment horizontal="center"/>
    </xf>
    <xf numFmtId="9" fontId="6" fillId="0" borderId="0" xfId="3" applyFont="1" applyAlignment="1">
      <alignment horizontal="center"/>
    </xf>
    <xf numFmtId="10" fontId="5" fillId="0" borderId="0" xfId="3" applyNumberFormat="1" applyFont="1"/>
    <xf numFmtId="0" fontId="47" fillId="0" borderId="0" xfId="4" applyFont="1" applyAlignment="1">
      <alignment horizontal="center"/>
    </xf>
    <xf numFmtId="0" fontId="48" fillId="0" borderId="1" xfId="4" applyFont="1" applyBorder="1" applyAlignment="1">
      <alignment horizontal="center"/>
    </xf>
    <xf numFmtId="0" fontId="48" fillId="0" borderId="0" xfId="4" applyFont="1" applyBorder="1" applyAlignment="1">
      <alignment horizontal="center"/>
    </xf>
    <xf numFmtId="166" fontId="47" fillId="0" borderId="3" xfId="1" applyNumberFormat="1" applyFont="1" applyBorder="1" applyAlignment="1">
      <alignment horizontal="center"/>
    </xf>
    <xf numFmtId="167" fontId="48" fillId="0" borderId="0" xfId="2" applyNumberFormat="1" applyFont="1" applyAlignment="1">
      <alignment horizontal="center"/>
    </xf>
    <xf numFmtId="166" fontId="48" fillId="0" borderId="0" xfId="2" applyNumberFormat="1" applyFont="1" applyAlignment="1">
      <alignment horizontal="center"/>
    </xf>
    <xf numFmtId="166" fontId="48" fillId="0" borderId="0" xfId="4" applyNumberFormat="1" applyFont="1" applyBorder="1" applyAlignment="1">
      <alignment horizontal="center"/>
    </xf>
    <xf numFmtId="164" fontId="47" fillId="0" borderId="3" xfId="3" applyNumberFormat="1" applyFont="1" applyBorder="1" applyAlignment="1">
      <alignment horizontal="center"/>
    </xf>
    <xf numFmtId="164" fontId="48" fillId="0" borderId="0" xfId="3" applyNumberFormat="1" applyFont="1" applyAlignment="1">
      <alignment horizontal="center"/>
    </xf>
    <xf numFmtId="166" fontId="47" fillId="0" borderId="1" xfId="2" applyNumberFormat="1" applyFont="1" applyBorder="1" applyAlignment="1">
      <alignment horizontal="center"/>
    </xf>
    <xf numFmtId="9" fontId="47" fillId="0" borderId="0" xfId="3" applyFont="1" applyAlignment="1">
      <alignment horizontal="right"/>
    </xf>
    <xf numFmtId="166" fontId="47" fillId="0" borderId="0" xfId="4" applyNumberFormat="1" applyFont="1" applyAlignment="1">
      <alignment horizontal="center"/>
    </xf>
    <xf numFmtId="166" fontId="48" fillId="0" borderId="0" xfId="4" applyNumberFormat="1" applyFont="1" applyAlignment="1">
      <alignment horizontal="center"/>
    </xf>
    <xf numFmtId="49" fontId="47" fillId="0" borderId="0" xfId="4" applyNumberFormat="1" applyFont="1"/>
    <xf numFmtId="0" fontId="48" fillId="0" borderId="0" xfId="4" applyNumberFormat="1" applyFont="1" applyBorder="1"/>
    <xf numFmtId="49" fontId="48" fillId="0" borderId="3" xfId="4" quotePrefix="1" applyNumberFormat="1" applyFont="1" applyBorder="1"/>
    <xf numFmtId="0" fontId="48" fillId="2" borderId="3" xfId="0" applyFont="1" applyFill="1" applyBorder="1" applyAlignment="1">
      <alignment horizontal="right"/>
    </xf>
    <xf numFmtId="0" fontId="48" fillId="0" borderId="0" xfId="4" applyFont="1" applyAlignment="1">
      <alignment horizontal="center"/>
    </xf>
    <xf numFmtId="0" fontId="49" fillId="0" borderId="0" xfId="0" applyFont="1"/>
    <xf numFmtId="0" fontId="48" fillId="0" borderId="0" xfId="4" applyFont="1"/>
    <xf numFmtId="166" fontId="48" fillId="0" borderId="23" xfId="1" applyNumberFormat="1" applyFont="1" applyBorder="1" applyAlignment="1">
      <alignment horizontal="center"/>
    </xf>
    <xf numFmtId="164" fontId="48" fillId="0" borderId="23" xfId="3" applyNumberFormat="1" applyFont="1" applyBorder="1" applyAlignment="1">
      <alignment horizontal="center"/>
    </xf>
    <xf numFmtId="166" fontId="3" fillId="0" borderId="22" xfId="1" applyNumberFormat="1" applyFont="1" applyBorder="1" applyAlignment="1">
      <alignment horizontal="center"/>
    </xf>
    <xf numFmtId="164" fontId="47" fillId="0" borderId="22" xfId="3" applyNumberFormat="1" applyFont="1" applyBorder="1" applyAlignment="1">
      <alignment horizontal="center"/>
    </xf>
    <xf numFmtId="43" fontId="6" fillId="0" borderId="0" xfId="1" applyFont="1" applyFill="1"/>
    <xf numFmtId="0" fontId="6" fillId="0" borderId="0" xfId="1" applyNumberFormat="1" applyFont="1" applyFill="1" applyAlignment="1">
      <alignment horizontal="center"/>
    </xf>
    <xf numFmtId="43" fontId="5" fillId="0" borderId="0" xfId="1" applyFont="1" applyFill="1"/>
    <xf numFmtId="43" fontId="6" fillId="0" borderId="0" xfId="1" applyFont="1" applyFill="1" applyAlignment="1">
      <alignment horizontal="center"/>
    </xf>
    <xf numFmtId="9" fontId="6" fillId="0" borderId="0" xfId="3" applyFont="1" applyFill="1" applyAlignment="1">
      <alignment horizontal="center"/>
    </xf>
    <xf numFmtId="43" fontId="5" fillId="0" borderId="0" xfId="0" applyNumberFormat="1" applyFont="1" applyFill="1"/>
    <xf numFmtId="0" fontId="5" fillId="0" borderId="0" xfId="0" applyFont="1" applyFill="1"/>
    <xf numFmtId="2" fontId="6" fillId="0" borderId="3" xfId="3" applyNumberFormat="1" applyFont="1" applyBorder="1" applyAlignment="1">
      <alignment horizontal="right"/>
    </xf>
    <xf numFmtId="0" fontId="6" fillId="0" borderId="0" xfId="0" applyFont="1" applyAlignment="1"/>
    <xf numFmtId="0" fontId="6" fillId="0" borderId="1" xfId="0" applyFont="1" applyBorder="1" applyAlignment="1"/>
    <xf numFmtId="0" fontId="6" fillId="0" borderId="0" xfId="1" applyNumberFormat="1" applyFont="1" applyAlignment="1"/>
    <xf numFmtId="43" fontId="6" fillId="0" borderId="0" xfId="1" applyFont="1" applyFill="1" applyAlignment="1"/>
    <xf numFmtId="43" fontId="6" fillId="0" borderId="0" xfId="1" applyFont="1" applyAlignment="1"/>
    <xf numFmtId="43" fontId="4" fillId="0" borderId="0" xfId="1" applyFont="1" applyAlignment="1"/>
    <xf numFmtId="0" fontId="3" fillId="0" borderId="0" xfId="4" quotePrefix="1" applyNumberFormat="1" applyFont="1" applyAlignment="1"/>
    <xf numFmtId="9" fontId="48" fillId="0" borderId="0" xfId="3" applyNumberFormat="1" applyFont="1" applyAlignment="1">
      <alignment horizontal="center"/>
    </xf>
    <xf numFmtId="0" fontId="6" fillId="35" borderId="3" xfId="0" applyFont="1" applyFill="1" applyBorder="1"/>
    <xf numFmtId="169" fontId="6" fillId="0" borderId="0" xfId="3" applyNumberFormat="1" applyFont="1"/>
    <xf numFmtId="44" fontId="6" fillId="0" borderId="0" xfId="2" applyFont="1"/>
    <xf numFmtId="44" fontId="6" fillId="0" borderId="0" xfId="3" applyNumberFormat="1" applyFont="1"/>
    <xf numFmtId="44" fontId="6" fillId="0" borderId="0" xfId="3" applyNumberFormat="1" applyFont="1" applyAlignment="1">
      <alignment horizontal="center"/>
    </xf>
    <xf numFmtId="10" fontId="6" fillId="0" borderId="3" xfId="3" applyNumberFormat="1" applyFont="1" applyBorder="1" applyAlignment="1">
      <alignment horizontal="right"/>
    </xf>
    <xf numFmtId="44" fontId="3" fillId="0" borderId="0" xfId="4" applyNumberFormat="1" applyFont="1" applyAlignment="1">
      <alignment horizontal="center"/>
    </xf>
    <xf numFmtId="10" fontId="6" fillId="0" borderId="0" xfId="3" applyNumberFormat="1" applyFont="1" applyAlignment="1">
      <alignment horizontal="center"/>
    </xf>
    <xf numFmtId="0" fontId="6" fillId="0" borderId="3" xfId="0" quotePrefix="1" applyNumberFormat="1" applyFont="1" applyBorder="1"/>
    <xf numFmtId="0" fontId="5" fillId="0" borderId="0" xfId="0" quotePrefix="1" applyNumberFormat="1" applyFont="1" applyAlignment="1">
      <alignment horizontal="center"/>
    </xf>
    <xf numFmtId="167" fontId="4" fillId="0" borderId="5" xfId="4" applyNumberFormat="1" applyFont="1" applyBorder="1" applyAlignment="1">
      <alignment horizontal="center"/>
    </xf>
    <xf numFmtId="166" fontId="3" fillId="0" borderId="3" xfId="1" applyNumberFormat="1" applyFont="1" applyFill="1" applyBorder="1" applyAlignment="1">
      <alignment horizontal="center"/>
    </xf>
    <xf numFmtId="0" fontId="6" fillId="0" borderId="3" xfId="4" applyNumberFormat="1" applyFont="1" applyBorder="1" applyAlignment="1">
      <alignment horizontal="left"/>
    </xf>
    <xf numFmtId="0" fontId="3" fillId="0" borderId="3" xfId="4" applyNumberFormat="1" applyFont="1" applyBorder="1" applyAlignment="1">
      <alignment horizontal="left"/>
    </xf>
    <xf numFmtId="0" fontId="6" fillId="0" borderId="3" xfId="4" quotePrefix="1" applyNumberFormat="1" applyFont="1" applyBorder="1" applyAlignment="1">
      <alignment horizontal="left"/>
    </xf>
    <xf numFmtId="43" fontId="6" fillId="35" borderId="24" xfId="1" applyFont="1" applyFill="1" applyBorder="1"/>
    <xf numFmtId="0" fontId="6" fillId="0" borderId="24" xfId="0" applyFont="1" applyBorder="1"/>
    <xf numFmtId="0" fontId="3" fillId="0" borderId="25" xfId="0" applyFont="1" applyBorder="1"/>
    <xf numFmtId="166" fontId="6" fillId="0" borderId="0" xfId="1" applyNumberFormat="1" applyFont="1" applyFill="1" applyAlignment="1">
      <alignment horizontal="center"/>
    </xf>
    <xf numFmtId="43" fontId="6" fillId="0" borderId="24" xfId="1" applyFont="1" applyFill="1" applyBorder="1"/>
    <xf numFmtId="43" fontId="6" fillId="0" borderId="0" xfId="1" applyFont="1" applyFill="1" applyAlignment="1">
      <alignment horizontal="left"/>
    </xf>
    <xf numFmtId="166" fontId="4" fillId="0" borderId="0" xfId="4" applyNumberFormat="1" applyFont="1" applyFill="1" applyAlignment="1">
      <alignment horizontal="center"/>
    </xf>
    <xf numFmtId="43" fontId="6" fillId="0" borderId="0" xfId="0" applyNumberFormat="1" applyFont="1"/>
    <xf numFmtId="10" fontId="6" fillId="0" borderId="0" xfId="3" applyNumberFormat="1" applyFont="1" applyFill="1"/>
    <xf numFmtId="0" fontId="3" fillId="0" borderId="0" xfId="4" applyFont="1" applyAlignment="1">
      <alignment horizontal="center" vertical="center"/>
    </xf>
    <xf numFmtId="0" fontId="3" fillId="0" borderId="0" xfId="4" applyFont="1" applyAlignment="1">
      <alignment vertical="center"/>
    </xf>
    <xf numFmtId="0" fontId="6" fillId="0" borderId="0" xfId="4" applyFont="1" applyBorder="1" applyAlignment="1">
      <alignment horizontal="left"/>
    </xf>
    <xf numFmtId="44" fontId="3" fillId="0" borderId="0" xfId="2" applyFont="1" applyAlignment="1">
      <alignment horizontal="center"/>
    </xf>
    <xf numFmtId="43" fontId="4" fillId="0" borderId="0" xfId="4" applyNumberFormat="1" applyFont="1" applyAlignment="1">
      <alignment horizontal="left"/>
    </xf>
    <xf numFmtId="0" fontId="0" fillId="0" borderId="0" xfId="0" quotePrefix="1"/>
    <xf numFmtId="44" fontId="3" fillId="0" borderId="0" xfId="2" applyFont="1" applyFill="1" applyAlignment="1">
      <alignment horizontal="center"/>
    </xf>
    <xf numFmtId="43" fontId="4" fillId="0" borderId="0" xfId="4" applyNumberFormat="1" applyFont="1" applyAlignment="1">
      <alignment horizontal="center"/>
    </xf>
    <xf numFmtId="44" fontId="3" fillId="0" borderId="0" xfId="3" applyNumberFormat="1" applyFont="1" applyFill="1" applyAlignment="1">
      <alignment horizontal="right"/>
    </xf>
    <xf numFmtId="0" fontId="3" fillId="0" borderId="3" xfId="1" applyNumberFormat="1" applyFont="1" applyBorder="1" applyAlignment="1">
      <alignment horizontal="left"/>
    </xf>
    <xf numFmtId="0" fontId="3" fillId="0" borderId="3" xfId="4" quotePrefix="1" applyNumberFormat="1" applyFont="1" applyBorder="1" applyAlignment="1">
      <alignment horizontal="left"/>
    </xf>
    <xf numFmtId="166" fontId="3" fillId="0" borderId="3" xfId="1" applyNumberFormat="1" applyFont="1" applyFill="1" applyBorder="1" applyAlignment="1">
      <alignment horizontal="right"/>
    </xf>
    <xf numFmtId="0" fontId="6" fillId="0" borderId="0" xfId="0" applyFont="1" applyBorder="1"/>
    <xf numFmtId="0" fontId="51" fillId="0" borderId="1" xfId="0" applyFont="1" applyBorder="1" applyAlignment="1">
      <alignment horizontal="center"/>
    </xf>
    <xf numFmtId="43" fontId="6" fillId="0" borderId="26" xfId="1" applyFont="1" applyFill="1" applyBorder="1"/>
    <xf numFmtId="0" fontId="6" fillId="0" borderId="0" xfId="1" applyNumberFormat="1" applyFont="1" applyBorder="1" applyAlignment="1">
      <alignment horizontal="center"/>
    </xf>
    <xf numFmtId="0" fontId="6" fillId="0" borderId="0" xfId="1" applyNumberFormat="1" applyFont="1" applyFill="1" applyBorder="1" applyAlignment="1">
      <alignment horizontal="center"/>
    </xf>
    <xf numFmtId="43" fontId="4" fillId="0" borderId="0" xfId="1" applyFont="1" applyBorder="1"/>
    <xf numFmtId="167" fontId="4" fillId="3" borderId="0" xfId="2" applyNumberFormat="1" applyFont="1" applyFill="1" applyAlignment="1">
      <alignment horizontal="center"/>
    </xf>
    <xf numFmtId="44" fontId="3" fillId="0" borderId="0" xfId="2" applyFont="1"/>
    <xf numFmtId="14" fontId="3" fillId="36" borderId="3" xfId="4" applyNumberFormat="1" applyFont="1" applyFill="1" applyBorder="1"/>
    <xf numFmtId="0" fontId="3" fillId="36" borderId="3" xfId="4" applyNumberFormat="1" applyFont="1" applyFill="1" applyBorder="1" applyAlignment="1">
      <alignment horizontal="left"/>
    </xf>
    <xf numFmtId="43" fontId="3" fillId="0" borderId="3" xfId="3" applyNumberFormat="1" applyFont="1" applyBorder="1" applyAlignment="1">
      <alignment horizontal="right"/>
    </xf>
    <xf numFmtId="43" fontId="6" fillId="3" borderId="0" xfId="1" applyFont="1" applyFill="1" applyAlignment="1">
      <alignment horizontal="left"/>
    </xf>
    <xf numFmtId="0" fontId="6" fillId="37" borderId="0" xfId="0" applyFont="1" applyFill="1"/>
    <xf numFmtId="167" fontId="52" fillId="0" borderId="0" xfId="8" applyNumberFormat="1" applyFont="1" applyBorder="1" applyAlignment="1">
      <alignment shrinkToFit="1"/>
    </xf>
    <xf numFmtId="167" fontId="52" fillId="0" borderId="0" xfId="8" applyNumberFormat="1" applyFont="1" applyFill="1" applyBorder="1" applyAlignment="1">
      <alignment shrinkToFit="1"/>
    </xf>
    <xf numFmtId="0" fontId="6" fillId="3" borderId="0" xfId="1" applyNumberFormat="1" applyFont="1" applyFill="1" applyAlignment="1">
      <alignment horizontal="center"/>
    </xf>
    <xf numFmtId="43" fontId="3" fillId="0" borderId="0" xfId="1" applyFont="1" applyAlignment="1">
      <alignment horizontal="center"/>
    </xf>
    <xf numFmtId="166" fontId="3" fillId="3" borderId="3" xfId="1" applyNumberFormat="1" applyFont="1" applyFill="1" applyBorder="1" applyAlignment="1">
      <alignment horizontal="center"/>
    </xf>
    <xf numFmtId="0" fontId="3" fillId="0" borderId="3" xfId="4" applyFont="1" applyBorder="1" applyAlignment="1">
      <alignment horizontal="center"/>
    </xf>
    <xf numFmtId="0" fontId="3" fillId="0" borderId="19" xfId="4" applyFont="1" applyBorder="1"/>
    <xf numFmtId="0" fontId="3" fillId="0" borderId="27" xfId="4" applyFont="1" applyBorder="1"/>
    <xf numFmtId="0" fontId="4" fillId="0" borderId="20" xfId="4" applyFont="1" applyBorder="1"/>
    <xf numFmtId="0" fontId="4" fillId="0" borderId="2" xfId="4" applyFont="1" applyBorder="1" applyAlignment="1">
      <alignment horizontal="center"/>
    </xf>
    <xf numFmtId="0" fontId="4" fillId="0" borderId="21" xfId="4" applyFont="1" applyBorder="1" applyAlignment="1">
      <alignment horizontal="center"/>
    </xf>
    <xf numFmtId="166" fontId="3" fillId="38" borderId="3" xfId="1" applyNumberFormat="1" applyFont="1" applyFill="1" applyBorder="1" applyAlignment="1">
      <alignment horizontal="center"/>
    </xf>
    <xf numFmtId="43" fontId="3" fillId="38" borderId="3" xfId="3" applyNumberFormat="1" applyFont="1" applyFill="1" applyBorder="1" applyAlignment="1">
      <alignment horizontal="right"/>
    </xf>
    <xf numFmtId="167" fontId="52" fillId="38" borderId="0" xfId="8" applyNumberFormat="1" applyFont="1" applyFill="1" applyBorder="1" applyAlignment="1">
      <alignment shrinkToFit="1"/>
    </xf>
    <xf numFmtId="14" fontId="4" fillId="0" borderId="0" xfId="4" applyNumberFormat="1" applyFont="1" applyFill="1"/>
    <xf numFmtId="0" fontId="3" fillId="0" borderId="3" xfId="4" applyFont="1" applyBorder="1" applyAlignment="1">
      <alignment horizontal="center"/>
    </xf>
    <xf numFmtId="0" fontId="8" fillId="0" borderId="0" xfId="0" applyFont="1" applyAlignment="1">
      <alignment vertical="center" wrapText="1"/>
    </xf>
    <xf numFmtId="0" fontId="0" fillId="0" borderId="0" xfId="0" applyAlignment="1">
      <alignment vertical="center" wrapText="1"/>
    </xf>
    <xf numFmtId="0" fontId="50" fillId="0" borderId="0" xfId="0" applyFont="1" applyAlignment="1">
      <alignment vertical="center" wrapText="1"/>
    </xf>
    <xf numFmtId="166" fontId="6" fillId="0" borderId="19" xfId="1" applyNumberFormat="1" applyFont="1" applyBorder="1" applyAlignment="1">
      <alignment horizontal="left" vertical="center"/>
    </xf>
    <xf numFmtId="166" fontId="6" fillId="0" borderId="17" xfId="1" applyNumberFormat="1" applyFont="1" applyBorder="1" applyAlignment="1">
      <alignment horizontal="left" vertical="center"/>
    </xf>
    <xf numFmtId="166" fontId="6" fillId="0" borderId="18" xfId="1" applyNumberFormat="1" applyFont="1" applyBorder="1" applyAlignment="1">
      <alignment horizontal="left" vertical="center"/>
    </xf>
    <xf numFmtId="166" fontId="6" fillId="0" borderId="20" xfId="1" applyNumberFormat="1" applyFont="1" applyBorder="1" applyAlignment="1">
      <alignment horizontal="left" vertical="center"/>
    </xf>
    <xf numFmtId="166" fontId="6" fillId="0" borderId="2" xfId="1" applyNumberFormat="1" applyFont="1" applyBorder="1" applyAlignment="1">
      <alignment horizontal="left" vertical="center"/>
    </xf>
    <xf numFmtId="166" fontId="6" fillId="0" borderId="21" xfId="1" applyNumberFormat="1" applyFont="1" applyBorder="1" applyAlignment="1">
      <alignment horizontal="left" vertical="center"/>
    </xf>
  </cellXfs>
  <cellStyles count="297">
    <cellStyle name="20% - Accent1 2" xfId="9" xr:uid="{00000000-0005-0000-0000-000000000000}"/>
    <cellStyle name="20% - Accent1 3" xfId="10" xr:uid="{00000000-0005-0000-0000-000001000000}"/>
    <cellStyle name="20% - Accent1 4" xfId="11" xr:uid="{00000000-0005-0000-0000-000002000000}"/>
    <cellStyle name="20% - Accent1 5" xfId="12" xr:uid="{00000000-0005-0000-0000-000003000000}"/>
    <cellStyle name="20% - Accent1 6" xfId="13" xr:uid="{00000000-0005-0000-0000-000004000000}"/>
    <cellStyle name="20% - Accent1 7" xfId="14" xr:uid="{00000000-0005-0000-0000-000005000000}"/>
    <cellStyle name="20% - Accent2 2" xfId="15" xr:uid="{00000000-0005-0000-0000-000006000000}"/>
    <cellStyle name="20% - Accent2 3" xfId="16" xr:uid="{00000000-0005-0000-0000-000007000000}"/>
    <cellStyle name="20% - Accent2 4" xfId="17" xr:uid="{00000000-0005-0000-0000-000008000000}"/>
    <cellStyle name="20% - Accent2 5" xfId="18" xr:uid="{00000000-0005-0000-0000-000009000000}"/>
    <cellStyle name="20% - Accent2 6" xfId="19" xr:uid="{00000000-0005-0000-0000-00000A000000}"/>
    <cellStyle name="20% - Accent2 7" xfId="20" xr:uid="{00000000-0005-0000-0000-00000B000000}"/>
    <cellStyle name="20% - Accent3 2" xfId="21" xr:uid="{00000000-0005-0000-0000-00000C000000}"/>
    <cellStyle name="20% - Accent3 3" xfId="22" xr:uid="{00000000-0005-0000-0000-00000D000000}"/>
    <cellStyle name="20% - Accent3 4" xfId="23" xr:uid="{00000000-0005-0000-0000-00000E000000}"/>
    <cellStyle name="20% - Accent3 5" xfId="24" xr:uid="{00000000-0005-0000-0000-00000F000000}"/>
    <cellStyle name="20% - Accent3 6" xfId="25" xr:uid="{00000000-0005-0000-0000-000010000000}"/>
    <cellStyle name="20% - Accent3 7" xfId="26" xr:uid="{00000000-0005-0000-0000-000011000000}"/>
    <cellStyle name="20% - Accent4 2" xfId="27" xr:uid="{00000000-0005-0000-0000-000012000000}"/>
    <cellStyle name="20% - Accent4 3" xfId="28" xr:uid="{00000000-0005-0000-0000-000013000000}"/>
    <cellStyle name="20% - Accent4 4" xfId="29" xr:uid="{00000000-0005-0000-0000-000014000000}"/>
    <cellStyle name="20% - Accent4 5" xfId="30" xr:uid="{00000000-0005-0000-0000-000015000000}"/>
    <cellStyle name="20% - Accent4 6" xfId="31" xr:uid="{00000000-0005-0000-0000-000016000000}"/>
    <cellStyle name="20% - Accent4 7" xfId="32" xr:uid="{00000000-0005-0000-0000-000017000000}"/>
    <cellStyle name="20% - Accent5 2" xfId="33" xr:uid="{00000000-0005-0000-0000-000018000000}"/>
    <cellStyle name="20% - Accent5 3" xfId="34" xr:uid="{00000000-0005-0000-0000-000019000000}"/>
    <cellStyle name="20% - Accent5 4" xfId="35" xr:uid="{00000000-0005-0000-0000-00001A000000}"/>
    <cellStyle name="20% - Accent5 5" xfId="36" xr:uid="{00000000-0005-0000-0000-00001B000000}"/>
    <cellStyle name="20% - Accent5 6" xfId="37" xr:uid="{00000000-0005-0000-0000-00001C000000}"/>
    <cellStyle name="20% - Accent5 7" xfId="38" xr:uid="{00000000-0005-0000-0000-00001D000000}"/>
    <cellStyle name="20% - Accent6 2" xfId="39" xr:uid="{00000000-0005-0000-0000-00001E000000}"/>
    <cellStyle name="20% - Accent6 3" xfId="40" xr:uid="{00000000-0005-0000-0000-00001F000000}"/>
    <cellStyle name="20% - Accent6 4" xfId="41" xr:uid="{00000000-0005-0000-0000-000020000000}"/>
    <cellStyle name="20% - Accent6 5" xfId="42" xr:uid="{00000000-0005-0000-0000-000021000000}"/>
    <cellStyle name="20% - Accent6 6" xfId="43" xr:uid="{00000000-0005-0000-0000-000022000000}"/>
    <cellStyle name="20% - Accent6 7" xfId="44" xr:uid="{00000000-0005-0000-0000-000023000000}"/>
    <cellStyle name="40% - Accent1 2" xfId="45" xr:uid="{00000000-0005-0000-0000-000024000000}"/>
    <cellStyle name="40% - Accent1 3" xfId="46" xr:uid="{00000000-0005-0000-0000-000025000000}"/>
    <cellStyle name="40% - Accent1 4" xfId="47" xr:uid="{00000000-0005-0000-0000-000026000000}"/>
    <cellStyle name="40% - Accent1 5" xfId="48" xr:uid="{00000000-0005-0000-0000-000027000000}"/>
    <cellStyle name="40% - Accent1 6" xfId="49" xr:uid="{00000000-0005-0000-0000-000028000000}"/>
    <cellStyle name="40% - Accent1 7" xfId="50" xr:uid="{00000000-0005-0000-0000-000029000000}"/>
    <cellStyle name="40% - Accent2 2" xfId="51" xr:uid="{00000000-0005-0000-0000-00002A000000}"/>
    <cellStyle name="40% - Accent2 3" xfId="52" xr:uid="{00000000-0005-0000-0000-00002B000000}"/>
    <cellStyle name="40% - Accent2 4" xfId="53" xr:uid="{00000000-0005-0000-0000-00002C000000}"/>
    <cellStyle name="40% - Accent2 5" xfId="54" xr:uid="{00000000-0005-0000-0000-00002D000000}"/>
    <cellStyle name="40% - Accent2 6" xfId="55" xr:uid="{00000000-0005-0000-0000-00002E000000}"/>
    <cellStyle name="40% - Accent2 7" xfId="56" xr:uid="{00000000-0005-0000-0000-00002F000000}"/>
    <cellStyle name="40% - Accent3 2" xfId="57" xr:uid="{00000000-0005-0000-0000-000030000000}"/>
    <cellStyle name="40% - Accent3 3" xfId="58" xr:uid="{00000000-0005-0000-0000-000031000000}"/>
    <cellStyle name="40% - Accent3 4" xfId="59" xr:uid="{00000000-0005-0000-0000-000032000000}"/>
    <cellStyle name="40% - Accent3 5" xfId="60" xr:uid="{00000000-0005-0000-0000-000033000000}"/>
    <cellStyle name="40% - Accent3 6" xfId="61" xr:uid="{00000000-0005-0000-0000-000034000000}"/>
    <cellStyle name="40% - Accent3 7" xfId="62" xr:uid="{00000000-0005-0000-0000-000035000000}"/>
    <cellStyle name="40% - Accent4 2" xfId="63" xr:uid="{00000000-0005-0000-0000-000036000000}"/>
    <cellStyle name="40% - Accent4 3" xfId="64" xr:uid="{00000000-0005-0000-0000-000037000000}"/>
    <cellStyle name="40% - Accent4 4" xfId="65" xr:uid="{00000000-0005-0000-0000-000038000000}"/>
    <cellStyle name="40% - Accent4 5" xfId="66" xr:uid="{00000000-0005-0000-0000-000039000000}"/>
    <cellStyle name="40% - Accent4 6" xfId="67" xr:uid="{00000000-0005-0000-0000-00003A000000}"/>
    <cellStyle name="40% - Accent4 7" xfId="68" xr:uid="{00000000-0005-0000-0000-00003B000000}"/>
    <cellStyle name="40% - Accent5 2" xfId="69" xr:uid="{00000000-0005-0000-0000-00003C000000}"/>
    <cellStyle name="40% - Accent5 3" xfId="70" xr:uid="{00000000-0005-0000-0000-00003D000000}"/>
    <cellStyle name="40% - Accent5 4" xfId="71" xr:uid="{00000000-0005-0000-0000-00003E000000}"/>
    <cellStyle name="40% - Accent5 5" xfId="72" xr:uid="{00000000-0005-0000-0000-00003F000000}"/>
    <cellStyle name="40% - Accent5 6" xfId="73" xr:uid="{00000000-0005-0000-0000-000040000000}"/>
    <cellStyle name="40% - Accent5 7" xfId="74" xr:uid="{00000000-0005-0000-0000-000041000000}"/>
    <cellStyle name="40% - Accent6 2" xfId="75" xr:uid="{00000000-0005-0000-0000-000042000000}"/>
    <cellStyle name="40% - Accent6 3" xfId="76" xr:uid="{00000000-0005-0000-0000-000043000000}"/>
    <cellStyle name="40% - Accent6 4" xfId="77" xr:uid="{00000000-0005-0000-0000-000044000000}"/>
    <cellStyle name="40% - Accent6 5" xfId="78" xr:uid="{00000000-0005-0000-0000-000045000000}"/>
    <cellStyle name="40% - Accent6 6" xfId="79" xr:uid="{00000000-0005-0000-0000-000046000000}"/>
    <cellStyle name="40% - Accent6 7" xfId="80" xr:uid="{00000000-0005-0000-0000-000047000000}"/>
    <cellStyle name="60% - Accent1 2" xfId="81" xr:uid="{00000000-0005-0000-0000-000048000000}"/>
    <cellStyle name="60% - Accent1 3" xfId="82" xr:uid="{00000000-0005-0000-0000-000049000000}"/>
    <cellStyle name="60% - Accent1 4" xfId="83" xr:uid="{00000000-0005-0000-0000-00004A000000}"/>
    <cellStyle name="60% - Accent1 5" xfId="84" xr:uid="{00000000-0005-0000-0000-00004B000000}"/>
    <cellStyle name="60% - Accent1 6" xfId="85" xr:uid="{00000000-0005-0000-0000-00004C000000}"/>
    <cellStyle name="60% - Accent1 7" xfId="86" xr:uid="{00000000-0005-0000-0000-00004D000000}"/>
    <cellStyle name="60% - Accent2 2" xfId="87" xr:uid="{00000000-0005-0000-0000-00004E000000}"/>
    <cellStyle name="60% - Accent2 3" xfId="88" xr:uid="{00000000-0005-0000-0000-00004F000000}"/>
    <cellStyle name="60% - Accent2 4" xfId="89" xr:uid="{00000000-0005-0000-0000-000050000000}"/>
    <cellStyle name="60% - Accent2 5" xfId="90" xr:uid="{00000000-0005-0000-0000-000051000000}"/>
    <cellStyle name="60% - Accent2 6" xfId="91" xr:uid="{00000000-0005-0000-0000-000052000000}"/>
    <cellStyle name="60% - Accent2 7" xfId="92" xr:uid="{00000000-0005-0000-0000-000053000000}"/>
    <cellStyle name="60% - Accent3 2" xfId="93" xr:uid="{00000000-0005-0000-0000-000054000000}"/>
    <cellStyle name="60% - Accent3 3" xfId="94" xr:uid="{00000000-0005-0000-0000-000055000000}"/>
    <cellStyle name="60% - Accent3 4" xfId="95" xr:uid="{00000000-0005-0000-0000-000056000000}"/>
    <cellStyle name="60% - Accent3 5" xfId="96" xr:uid="{00000000-0005-0000-0000-000057000000}"/>
    <cellStyle name="60% - Accent3 6" xfId="97" xr:uid="{00000000-0005-0000-0000-000058000000}"/>
    <cellStyle name="60% - Accent3 7" xfId="98" xr:uid="{00000000-0005-0000-0000-000059000000}"/>
    <cellStyle name="60% - Accent4 2" xfId="99" xr:uid="{00000000-0005-0000-0000-00005A000000}"/>
    <cellStyle name="60% - Accent4 3" xfId="100" xr:uid="{00000000-0005-0000-0000-00005B000000}"/>
    <cellStyle name="60% - Accent4 4" xfId="101" xr:uid="{00000000-0005-0000-0000-00005C000000}"/>
    <cellStyle name="60% - Accent4 5" xfId="102" xr:uid="{00000000-0005-0000-0000-00005D000000}"/>
    <cellStyle name="60% - Accent4 6" xfId="103" xr:uid="{00000000-0005-0000-0000-00005E000000}"/>
    <cellStyle name="60% - Accent4 7" xfId="104" xr:uid="{00000000-0005-0000-0000-00005F000000}"/>
    <cellStyle name="60% - Accent5 2" xfId="105" xr:uid="{00000000-0005-0000-0000-000060000000}"/>
    <cellStyle name="60% - Accent5 3" xfId="106" xr:uid="{00000000-0005-0000-0000-000061000000}"/>
    <cellStyle name="60% - Accent5 4" xfId="107" xr:uid="{00000000-0005-0000-0000-000062000000}"/>
    <cellStyle name="60% - Accent5 5" xfId="108" xr:uid="{00000000-0005-0000-0000-000063000000}"/>
    <cellStyle name="60% - Accent5 6" xfId="109" xr:uid="{00000000-0005-0000-0000-000064000000}"/>
    <cellStyle name="60% - Accent5 7" xfId="110" xr:uid="{00000000-0005-0000-0000-000065000000}"/>
    <cellStyle name="60% - Accent6 2" xfId="111" xr:uid="{00000000-0005-0000-0000-000066000000}"/>
    <cellStyle name="60% - Accent6 3" xfId="112" xr:uid="{00000000-0005-0000-0000-000067000000}"/>
    <cellStyle name="60% - Accent6 4" xfId="113" xr:uid="{00000000-0005-0000-0000-000068000000}"/>
    <cellStyle name="60% - Accent6 5" xfId="114" xr:uid="{00000000-0005-0000-0000-000069000000}"/>
    <cellStyle name="60% - Accent6 6" xfId="115" xr:uid="{00000000-0005-0000-0000-00006A000000}"/>
    <cellStyle name="60% - Accent6 7" xfId="116" xr:uid="{00000000-0005-0000-0000-00006B000000}"/>
    <cellStyle name="Accent1 2" xfId="117" xr:uid="{00000000-0005-0000-0000-00006C000000}"/>
    <cellStyle name="Accent1 3" xfId="118" xr:uid="{00000000-0005-0000-0000-00006D000000}"/>
    <cellStyle name="Accent1 4" xfId="119" xr:uid="{00000000-0005-0000-0000-00006E000000}"/>
    <cellStyle name="Accent1 5" xfId="120" xr:uid="{00000000-0005-0000-0000-00006F000000}"/>
    <cellStyle name="Accent1 6" xfId="121" xr:uid="{00000000-0005-0000-0000-000070000000}"/>
    <cellStyle name="Accent1 7" xfId="122" xr:uid="{00000000-0005-0000-0000-000071000000}"/>
    <cellStyle name="Accent2 2" xfId="123" xr:uid="{00000000-0005-0000-0000-000072000000}"/>
    <cellStyle name="Accent2 3" xfId="124" xr:uid="{00000000-0005-0000-0000-000073000000}"/>
    <cellStyle name="Accent2 4" xfId="125" xr:uid="{00000000-0005-0000-0000-000074000000}"/>
    <cellStyle name="Accent2 5" xfId="126" xr:uid="{00000000-0005-0000-0000-000075000000}"/>
    <cellStyle name="Accent2 6" xfId="127" xr:uid="{00000000-0005-0000-0000-000076000000}"/>
    <cellStyle name="Accent2 7" xfId="128" xr:uid="{00000000-0005-0000-0000-000077000000}"/>
    <cellStyle name="Accent3 2" xfId="129" xr:uid="{00000000-0005-0000-0000-000078000000}"/>
    <cellStyle name="Accent3 3" xfId="130" xr:uid="{00000000-0005-0000-0000-000079000000}"/>
    <cellStyle name="Accent3 4" xfId="131" xr:uid="{00000000-0005-0000-0000-00007A000000}"/>
    <cellStyle name="Accent3 5" xfId="132" xr:uid="{00000000-0005-0000-0000-00007B000000}"/>
    <cellStyle name="Accent3 6" xfId="133" xr:uid="{00000000-0005-0000-0000-00007C000000}"/>
    <cellStyle name="Accent3 7" xfId="134" xr:uid="{00000000-0005-0000-0000-00007D000000}"/>
    <cellStyle name="Accent4 2" xfId="135" xr:uid="{00000000-0005-0000-0000-00007E000000}"/>
    <cellStyle name="Accent4 3" xfId="136" xr:uid="{00000000-0005-0000-0000-00007F000000}"/>
    <cellStyle name="Accent4 4" xfId="137" xr:uid="{00000000-0005-0000-0000-000080000000}"/>
    <cellStyle name="Accent4 5" xfId="138" xr:uid="{00000000-0005-0000-0000-000081000000}"/>
    <cellStyle name="Accent4 6" xfId="139" xr:uid="{00000000-0005-0000-0000-000082000000}"/>
    <cellStyle name="Accent4 7" xfId="140" xr:uid="{00000000-0005-0000-0000-000083000000}"/>
    <cellStyle name="Accent5 2" xfId="141" xr:uid="{00000000-0005-0000-0000-000084000000}"/>
    <cellStyle name="Accent5 3" xfId="142" xr:uid="{00000000-0005-0000-0000-000085000000}"/>
    <cellStyle name="Accent5 4" xfId="143" xr:uid="{00000000-0005-0000-0000-000086000000}"/>
    <cellStyle name="Accent5 5" xfId="144" xr:uid="{00000000-0005-0000-0000-000087000000}"/>
    <cellStyle name="Accent5 6" xfId="145" xr:uid="{00000000-0005-0000-0000-000088000000}"/>
    <cellStyle name="Accent5 7" xfId="146" xr:uid="{00000000-0005-0000-0000-000089000000}"/>
    <cellStyle name="Accent6 2" xfId="147" xr:uid="{00000000-0005-0000-0000-00008A000000}"/>
    <cellStyle name="Accent6 3" xfId="148" xr:uid="{00000000-0005-0000-0000-00008B000000}"/>
    <cellStyle name="Accent6 4" xfId="149" xr:uid="{00000000-0005-0000-0000-00008C000000}"/>
    <cellStyle name="Accent6 5" xfId="150" xr:uid="{00000000-0005-0000-0000-00008D000000}"/>
    <cellStyle name="Accent6 6" xfId="151" xr:uid="{00000000-0005-0000-0000-00008E000000}"/>
    <cellStyle name="Accent6 7" xfId="152" xr:uid="{00000000-0005-0000-0000-00008F000000}"/>
    <cellStyle name="Bad 2" xfId="153" xr:uid="{00000000-0005-0000-0000-000090000000}"/>
    <cellStyle name="Bad 3" xfId="154" xr:uid="{00000000-0005-0000-0000-000091000000}"/>
    <cellStyle name="Bad 4" xfId="155" xr:uid="{00000000-0005-0000-0000-000092000000}"/>
    <cellStyle name="Bad 5" xfId="156" xr:uid="{00000000-0005-0000-0000-000093000000}"/>
    <cellStyle name="Bad 6" xfId="157" xr:uid="{00000000-0005-0000-0000-000094000000}"/>
    <cellStyle name="Bad 7" xfId="158" xr:uid="{00000000-0005-0000-0000-000095000000}"/>
    <cellStyle name="Calculation 2" xfId="159" xr:uid="{00000000-0005-0000-0000-000096000000}"/>
    <cellStyle name="Calculation 3" xfId="160" xr:uid="{00000000-0005-0000-0000-000097000000}"/>
    <cellStyle name="Calculation 4" xfId="161" xr:uid="{00000000-0005-0000-0000-000098000000}"/>
    <cellStyle name="Calculation 5" xfId="162" xr:uid="{00000000-0005-0000-0000-000099000000}"/>
    <cellStyle name="Calculation 6" xfId="163" xr:uid="{00000000-0005-0000-0000-00009A000000}"/>
    <cellStyle name="Calculation 7" xfId="164" xr:uid="{00000000-0005-0000-0000-00009B000000}"/>
    <cellStyle name="Check Cell 2" xfId="165" xr:uid="{00000000-0005-0000-0000-00009C000000}"/>
    <cellStyle name="Check Cell 3" xfId="166" xr:uid="{00000000-0005-0000-0000-00009D000000}"/>
    <cellStyle name="Check Cell 4" xfId="167" xr:uid="{00000000-0005-0000-0000-00009E000000}"/>
    <cellStyle name="Check Cell 5" xfId="168" xr:uid="{00000000-0005-0000-0000-00009F000000}"/>
    <cellStyle name="Check Cell 6" xfId="169" xr:uid="{00000000-0005-0000-0000-0000A0000000}"/>
    <cellStyle name="Check Cell 7" xfId="170" xr:uid="{00000000-0005-0000-0000-0000A1000000}"/>
    <cellStyle name="Comma" xfId="1" builtinId="3"/>
    <cellStyle name="Comma [0] 2" xfId="171" xr:uid="{00000000-0005-0000-0000-0000A3000000}"/>
    <cellStyle name="Comma [0] 3" xfId="172" xr:uid="{00000000-0005-0000-0000-0000A4000000}"/>
    <cellStyle name="Comma [0] 4" xfId="173" xr:uid="{00000000-0005-0000-0000-0000A5000000}"/>
    <cellStyle name="Comma [0] 5" xfId="174" xr:uid="{00000000-0005-0000-0000-0000A6000000}"/>
    <cellStyle name="Comma [0] 6" xfId="175" xr:uid="{00000000-0005-0000-0000-0000A7000000}"/>
    <cellStyle name="Comma [0] 7" xfId="176" xr:uid="{00000000-0005-0000-0000-0000A8000000}"/>
    <cellStyle name="Comma [0] 8" xfId="177" xr:uid="{00000000-0005-0000-0000-0000A9000000}"/>
    <cellStyle name="Comma 10" xfId="178" xr:uid="{00000000-0005-0000-0000-0000AA000000}"/>
    <cellStyle name="Comma 2" xfId="7" xr:uid="{00000000-0005-0000-0000-0000AB000000}"/>
    <cellStyle name="Comma 3" xfId="179" xr:uid="{00000000-0005-0000-0000-0000AC000000}"/>
    <cellStyle name="Comma 4" xfId="180" xr:uid="{00000000-0005-0000-0000-0000AD000000}"/>
    <cellStyle name="Comma 5" xfId="181" xr:uid="{00000000-0005-0000-0000-0000AE000000}"/>
    <cellStyle name="Comma 6" xfId="182" xr:uid="{00000000-0005-0000-0000-0000AF000000}"/>
    <cellStyle name="Comma 7" xfId="183" xr:uid="{00000000-0005-0000-0000-0000B0000000}"/>
    <cellStyle name="Comma 8" xfId="184" xr:uid="{00000000-0005-0000-0000-0000B1000000}"/>
    <cellStyle name="Comma 9" xfId="185" xr:uid="{00000000-0005-0000-0000-0000B2000000}"/>
    <cellStyle name="Currency" xfId="2" builtinId="4"/>
    <cellStyle name="Currency [0] 2" xfId="186" xr:uid="{00000000-0005-0000-0000-0000B4000000}"/>
    <cellStyle name="Currency [0] 3" xfId="187" xr:uid="{00000000-0005-0000-0000-0000B5000000}"/>
    <cellStyle name="Currency [0] 4" xfId="188" xr:uid="{00000000-0005-0000-0000-0000B6000000}"/>
    <cellStyle name="Currency [0] 5" xfId="189" xr:uid="{00000000-0005-0000-0000-0000B7000000}"/>
    <cellStyle name="Currency [0] 6" xfId="190" xr:uid="{00000000-0005-0000-0000-0000B8000000}"/>
    <cellStyle name="Currency [0] 7" xfId="191" xr:uid="{00000000-0005-0000-0000-0000B9000000}"/>
    <cellStyle name="Currency [0] 8" xfId="192" xr:uid="{00000000-0005-0000-0000-0000BA000000}"/>
    <cellStyle name="Currency 10" xfId="193" xr:uid="{00000000-0005-0000-0000-0000BB000000}"/>
    <cellStyle name="Currency 2" xfId="8" xr:uid="{00000000-0005-0000-0000-0000BC000000}"/>
    <cellStyle name="Currency 3" xfId="194" xr:uid="{00000000-0005-0000-0000-0000BD000000}"/>
    <cellStyle name="Currency 4" xfId="195" xr:uid="{00000000-0005-0000-0000-0000BE000000}"/>
    <cellStyle name="Currency 5" xfId="196" xr:uid="{00000000-0005-0000-0000-0000BF000000}"/>
    <cellStyle name="Currency 6" xfId="197" xr:uid="{00000000-0005-0000-0000-0000C0000000}"/>
    <cellStyle name="Currency 7" xfId="198" xr:uid="{00000000-0005-0000-0000-0000C1000000}"/>
    <cellStyle name="Currency 8" xfId="199" xr:uid="{00000000-0005-0000-0000-0000C2000000}"/>
    <cellStyle name="Currency 9" xfId="200" xr:uid="{00000000-0005-0000-0000-0000C3000000}"/>
    <cellStyle name="Explanatory Text 2" xfId="201" xr:uid="{00000000-0005-0000-0000-0000C4000000}"/>
    <cellStyle name="Explanatory Text 3" xfId="202" xr:uid="{00000000-0005-0000-0000-0000C5000000}"/>
    <cellStyle name="Explanatory Text 4" xfId="203" xr:uid="{00000000-0005-0000-0000-0000C6000000}"/>
    <cellStyle name="Explanatory Text 5" xfId="204" xr:uid="{00000000-0005-0000-0000-0000C7000000}"/>
    <cellStyle name="Explanatory Text 6" xfId="205" xr:uid="{00000000-0005-0000-0000-0000C8000000}"/>
    <cellStyle name="Explanatory Text 7" xfId="206" xr:uid="{00000000-0005-0000-0000-0000C9000000}"/>
    <cellStyle name="Good 2" xfId="207" xr:uid="{00000000-0005-0000-0000-0000CA000000}"/>
    <cellStyle name="Good 3" xfId="208" xr:uid="{00000000-0005-0000-0000-0000CB000000}"/>
    <cellStyle name="Good 4" xfId="209" xr:uid="{00000000-0005-0000-0000-0000CC000000}"/>
    <cellStyle name="Good 5" xfId="210" xr:uid="{00000000-0005-0000-0000-0000CD000000}"/>
    <cellStyle name="Good 6" xfId="211" xr:uid="{00000000-0005-0000-0000-0000CE000000}"/>
    <cellStyle name="Good 7" xfId="212" xr:uid="{00000000-0005-0000-0000-0000CF000000}"/>
    <cellStyle name="Heading 1 2" xfId="213" xr:uid="{00000000-0005-0000-0000-0000D0000000}"/>
    <cellStyle name="Heading 1 3" xfId="214" xr:uid="{00000000-0005-0000-0000-0000D1000000}"/>
    <cellStyle name="Heading 1 4" xfId="215" xr:uid="{00000000-0005-0000-0000-0000D2000000}"/>
    <cellStyle name="Heading 1 5" xfId="216" xr:uid="{00000000-0005-0000-0000-0000D3000000}"/>
    <cellStyle name="Heading 1 6" xfId="217" xr:uid="{00000000-0005-0000-0000-0000D4000000}"/>
    <cellStyle name="Heading 1 7" xfId="218" xr:uid="{00000000-0005-0000-0000-0000D5000000}"/>
    <cellStyle name="Heading 2 2" xfId="219" xr:uid="{00000000-0005-0000-0000-0000D6000000}"/>
    <cellStyle name="Heading 2 3" xfId="220" xr:uid="{00000000-0005-0000-0000-0000D7000000}"/>
    <cellStyle name="Heading 2 4" xfId="221" xr:uid="{00000000-0005-0000-0000-0000D8000000}"/>
    <cellStyle name="Heading 2 5" xfId="222" xr:uid="{00000000-0005-0000-0000-0000D9000000}"/>
    <cellStyle name="Heading 2 6" xfId="223" xr:uid="{00000000-0005-0000-0000-0000DA000000}"/>
    <cellStyle name="Heading 2 7" xfId="224" xr:uid="{00000000-0005-0000-0000-0000DB000000}"/>
    <cellStyle name="Heading 3 2" xfId="225" xr:uid="{00000000-0005-0000-0000-0000DC000000}"/>
    <cellStyle name="Heading 3 3" xfId="226" xr:uid="{00000000-0005-0000-0000-0000DD000000}"/>
    <cellStyle name="Heading 3 4" xfId="227" xr:uid="{00000000-0005-0000-0000-0000DE000000}"/>
    <cellStyle name="Heading 3 5" xfId="228" xr:uid="{00000000-0005-0000-0000-0000DF000000}"/>
    <cellStyle name="Heading 3 6" xfId="229" xr:uid="{00000000-0005-0000-0000-0000E0000000}"/>
    <cellStyle name="Heading 3 7" xfId="230" xr:uid="{00000000-0005-0000-0000-0000E1000000}"/>
    <cellStyle name="Heading 4 2" xfId="231" xr:uid="{00000000-0005-0000-0000-0000E2000000}"/>
    <cellStyle name="Heading 4 3" xfId="232" xr:uid="{00000000-0005-0000-0000-0000E3000000}"/>
    <cellStyle name="Heading 4 4" xfId="233" xr:uid="{00000000-0005-0000-0000-0000E4000000}"/>
    <cellStyle name="Heading 4 5" xfId="234" xr:uid="{00000000-0005-0000-0000-0000E5000000}"/>
    <cellStyle name="Heading 4 6" xfId="235" xr:uid="{00000000-0005-0000-0000-0000E6000000}"/>
    <cellStyle name="Heading 4 7" xfId="236" xr:uid="{00000000-0005-0000-0000-0000E7000000}"/>
    <cellStyle name="Input 2" xfId="237" xr:uid="{00000000-0005-0000-0000-0000E8000000}"/>
    <cellStyle name="Input 3" xfId="238" xr:uid="{00000000-0005-0000-0000-0000E9000000}"/>
    <cellStyle name="Input 4" xfId="239" xr:uid="{00000000-0005-0000-0000-0000EA000000}"/>
    <cellStyle name="Input 5" xfId="240" xr:uid="{00000000-0005-0000-0000-0000EB000000}"/>
    <cellStyle name="Input 6" xfId="241" xr:uid="{00000000-0005-0000-0000-0000EC000000}"/>
    <cellStyle name="Input 7" xfId="242" xr:uid="{00000000-0005-0000-0000-0000ED000000}"/>
    <cellStyle name="Linked Cell 2" xfId="243" xr:uid="{00000000-0005-0000-0000-0000EE000000}"/>
    <cellStyle name="Linked Cell 3" xfId="244" xr:uid="{00000000-0005-0000-0000-0000EF000000}"/>
    <cellStyle name="Linked Cell 4" xfId="245" xr:uid="{00000000-0005-0000-0000-0000F0000000}"/>
    <cellStyle name="Linked Cell 5" xfId="246" xr:uid="{00000000-0005-0000-0000-0000F1000000}"/>
    <cellStyle name="Linked Cell 6" xfId="247" xr:uid="{00000000-0005-0000-0000-0000F2000000}"/>
    <cellStyle name="Linked Cell 7" xfId="248" xr:uid="{00000000-0005-0000-0000-0000F3000000}"/>
    <cellStyle name="Neutral 2" xfId="249" xr:uid="{00000000-0005-0000-0000-0000F4000000}"/>
    <cellStyle name="Neutral 3" xfId="250" xr:uid="{00000000-0005-0000-0000-0000F5000000}"/>
    <cellStyle name="Neutral 4" xfId="251" xr:uid="{00000000-0005-0000-0000-0000F6000000}"/>
    <cellStyle name="Neutral 5" xfId="252" xr:uid="{00000000-0005-0000-0000-0000F7000000}"/>
    <cellStyle name="Neutral 6" xfId="253" xr:uid="{00000000-0005-0000-0000-0000F8000000}"/>
    <cellStyle name="Neutral 7" xfId="254" xr:uid="{00000000-0005-0000-0000-0000F9000000}"/>
    <cellStyle name="Normal" xfId="0" builtinId="0"/>
    <cellStyle name="Normal 2" xfId="4" xr:uid="{00000000-0005-0000-0000-0000FB000000}"/>
    <cellStyle name="Normal 3" xfId="5" xr:uid="{00000000-0005-0000-0000-0000FC000000}"/>
    <cellStyle name="Normal 4" xfId="6" xr:uid="{00000000-0005-0000-0000-0000FD000000}"/>
    <cellStyle name="Normal 5" xfId="255" xr:uid="{00000000-0005-0000-0000-0000FE000000}"/>
    <cellStyle name="Normal 6" xfId="256" xr:uid="{00000000-0005-0000-0000-0000FF000000}"/>
    <cellStyle name="Normal 7" xfId="257" xr:uid="{00000000-0005-0000-0000-000000010000}"/>
    <cellStyle name="Normal 8" xfId="258" xr:uid="{00000000-0005-0000-0000-000001010000}"/>
    <cellStyle name="Note 2" xfId="259" xr:uid="{00000000-0005-0000-0000-000002010000}"/>
    <cellStyle name="Note 3" xfId="260" xr:uid="{00000000-0005-0000-0000-000003010000}"/>
    <cellStyle name="Note 4" xfId="261" xr:uid="{00000000-0005-0000-0000-000004010000}"/>
    <cellStyle name="Note 5" xfId="262" xr:uid="{00000000-0005-0000-0000-000005010000}"/>
    <cellStyle name="Note 6" xfId="263" xr:uid="{00000000-0005-0000-0000-000006010000}"/>
    <cellStyle name="Note 7" xfId="264" xr:uid="{00000000-0005-0000-0000-000007010000}"/>
    <cellStyle name="Note 8" xfId="265" xr:uid="{00000000-0005-0000-0000-000008010000}"/>
    <cellStyle name="Output 2" xfId="266" xr:uid="{00000000-0005-0000-0000-000009010000}"/>
    <cellStyle name="Output 3" xfId="267" xr:uid="{00000000-0005-0000-0000-00000A010000}"/>
    <cellStyle name="Output 4" xfId="268" xr:uid="{00000000-0005-0000-0000-00000B010000}"/>
    <cellStyle name="Output 5" xfId="269" xr:uid="{00000000-0005-0000-0000-00000C010000}"/>
    <cellStyle name="Output 6" xfId="270" xr:uid="{00000000-0005-0000-0000-00000D010000}"/>
    <cellStyle name="Output 7" xfId="271" xr:uid="{00000000-0005-0000-0000-00000E010000}"/>
    <cellStyle name="Percent" xfId="3" builtinId="5"/>
    <cellStyle name="Percent 2" xfId="272" xr:uid="{00000000-0005-0000-0000-000010010000}"/>
    <cellStyle name="Percent 3" xfId="273" xr:uid="{00000000-0005-0000-0000-000011010000}"/>
    <cellStyle name="Percent 4" xfId="274" xr:uid="{00000000-0005-0000-0000-000012010000}"/>
    <cellStyle name="Percent 5" xfId="275" xr:uid="{00000000-0005-0000-0000-000013010000}"/>
    <cellStyle name="Percent 6" xfId="276" xr:uid="{00000000-0005-0000-0000-000014010000}"/>
    <cellStyle name="Percent 7" xfId="277" xr:uid="{00000000-0005-0000-0000-000015010000}"/>
    <cellStyle name="Percent 8" xfId="278" xr:uid="{00000000-0005-0000-0000-000016010000}"/>
    <cellStyle name="Title 2" xfId="279" xr:uid="{00000000-0005-0000-0000-000017010000}"/>
    <cellStyle name="Title 3" xfId="280" xr:uid="{00000000-0005-0000-0000-000018010000}"/>
    <cellStyle name="Title 4" xfId="281" xr:uid="{00000000-0005-0000-0000-000019010000}"/>
    <cellStyle name="Title 5" xfId="282" xr:uid="{00000000-0005-0000-0000-00001A010000}"/>
    <cellStyle name="Title 6" xfId="283" xr:uid="{00000000-0005-0000-0000-00001B010000}"/>
    <cellStyle name="Title 7" xfId="284" xr:uid="{00000000-0005-0000-0000-00001C010000}"/>
    <cellStyle name="Total 2" xfId="285" xr:uid="{00000000-0005-0000-0000-00001D010000}"/>
    <cellStyle name="Total 3" xfId="286" xr:uid="{00000000-0005-0000-0000-00001E010000}"/>
    <cellStyle name="Total 4" xfId="287" xr:uid="{00000000-0005-0000-0000-00001F010000}"/>
    <cellStyle name="Total 5" xfId="288" xr:uid="{00000000-0005-0000-0000-000020010000}"/>
    <cellStyle name="Total 6" xfId="289" xr:uid="{00000000-0005-0000-0000-000021010000}"/>
    <cellStyle name="Total 7" xfId="290" xr:uid="{00000000-0005-0000-0000-000022010000}"/>
    <cellStyle name="Warning Text 2" xfId="291" xr:uid="{00000000-0005-0000-0000-000023010000}"/>
    <cellStyle name="Warning Text 3" xfId="292" xr:uid="{00000000-0005-0000-0000-000024010000}"/>
    <cellStyle name="Warning Text 4" xfId="293" xr:uid="{00000000-0005-0000-0000-000025010000}"/>
    <cellStyle name="Warning Text 5" xfId="294" xr:uid="{00000000-0005-0000-0000-000026010000}"/>
    <cellStyle name="Warning Text 6" xfId="295" xr:uid="{00000000-0005-0000-0000-000027010000}"/>
    <cellStyle name="Warning Text 7" xfId="296" xr:uid="{00000000-0005-0000-0000-00002801000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35"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2002595616507362"/>
          <c:y val="8.2744858544475747E-2"/>
          <c:w val="0.8581956168039987"/>
          <c:h val="0.89731239352724168"/>
        </c:manualLayout>
      </c:layout>
      <c:areaChart>
        <c:grouping val="standard"/>
        <c:varyColors val="0"/>
        <c:ser>
          <c:idx val="0"/>
          <c:order val="0"/>
          <c:tx>
            <c:strRef>
              <c:f>'Cash Flow graphs'!$C$11</c:f>
              <c:strCache>
                <c:ptCount val="1"/>
                <c:pt idx="0">
                  <c:v>Projected Monthly Cash Balance</c:v>
                </c:pt>
              </c:strCache>
            </c:strRef>
          </c:tx>
          <c:cat>
            <c:strRef>
              <c:f>'Cash Flow graphs'!$D$10:$O$10</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'Cash Flow graphs'!$D$11:$O$11</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5C2-403F-80FA-F0DF12CB6028}"/>
            </c:ext>
          </c:extLst>
        </c:ser>
        <c:dLbls>
          <c:showLegendKey val="0"/>
          <c:showVal val="0"/>
          <c:showCatName val="0"/>
          <c:showSerName val="0"/>
          <c:showPercent val="0"/>
          <c:showBubbleSize val="0"/>
        </c:dLbls>
        <c:axId val="713720264"/>
        <c:axId val="713722616"/>
      </c:areaChart>
      <c:catAx>
        <c:axId val="713720264"/>
        <c:scaling>
          <c:orientation val="minMax"/>
        </c:scaling>
        <c:delete val="0"/>
        <c:axPos val="b"/>
        <c:numFmt formatCode="General" sourceLinked="0"/>
        <c:majorTickMark val="out"/>
        <c:minorTickMark val="none"/>
        <c:tickLblPos val="nextTo"/>
        <c:crossAx val="713722616"/>
        <c:crosses val="autoZero"/>
        <c:auto val="1"/>
        <c:lblAlgn val="ctr"/>
        <c:lblOffset val="100"/>
        <c:noMultiLvlLbl val="0"/>
      </c:catAx>
      <c:valAx>
        <c:axId val="713722616"/>
        <c:scaling>
          <c:orientation val="minMax"/>
        </c:scaling>
        <c:delete val="0"/>
        <c:axPos val="l"/>
        <c:majorGridlines/>
        <c:numFmt formatCode="&quot;$&quot;#,##0_);[Red]\(&quot;$&quot;#,##0\)" sourceLinked="1"/>
        <c:majorTickMark val="out"/>
        <c:minorTickMark val="none"/>
        <c:tickLblPos val="nextTo"/>
        <c:crossAx val="713720264"/>
        <c:crosses val="autoZero"/>
        <c:crossBetween val="midCat"/>
      </c:valAx>
    </c:plotArea>
    <c:plotVisOnly val="1"/>
    <c:dispBlanksAs val="zero"/>
    <c:showDLblsOverMax val="0"/>
  </c:chart>
  <c:spPr>
    <a:ln cap="sq">
      <a:round/>
    </a:ln>
  </c:spPr>
  <c:printSettings>
    <c:headerFooter/>
    <c:pageMargins b="0.7500000000000081" l="0.70000000000000062" r="0.70000000000000062" t="0.750000000000008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1648929825416385"/>
          <c:y val="9.054839075348417E-2"/>
          <c:w val="0.86173228346456765"/>
          <c:h val="0.84858590350624752"/>
        </c:manualLayout>
      </c:layout>
      <c:areaChart>
        <c:grouping val="standard"/>
        <c:varyColors val="0"/>
        <c:ser>
          <c:idx val="0"/>
          <c:order val="0"/>
          <c:tx>
            <c:strRef>
              <c:f>'Cash Flow graphs'!$C$18</c:f>
              <c:strCache>
                <c:ptCount val="1"/>
                <c:pt idx="0">
                  <c:v>Projected Monthly Cash Balance</c:v>
                </c:pt>
              </c:strCache>
            </c:strRef>
          </c:tx>
          <c:val>
            <c:numRef>
              <c:f>'Cash Flow graphs'!$D$18:$O$18</c:f>
            </c:numRef>
          </c:val>
          <c:extLst>
            <c:ext xmlns:c15="http://schemas.microsoft.com/office/drawing/2012/chart" uri="{02D57815-91ED-43cb-92C2-25804820EDAC}">
              <c15:filteredCategoryTitle>
                <c15:cat>
                  <c:multiLvlStrRef>
                    <c:extLst>
                      <c:ext uri="{02D57815-91ED-43cb-92C2-25804820EDAC}">
                        <c15:formulaRef>
                          <c15:sqref>'Cash Flow graphs'!$D$17:$O$17</c15:sqref>
                        </c15:formulaRef>
                      </c:ext>
                    </c:extLst>
                  </c:multiLvlStrRef>
                </c15:cat>
              </c15:filteredCategoryTitle>
            </c:ext>
            <c:ext xmlns:c16="http://schemas.microsoft.com/office/drawing/2014/chart" uri="{C3380CC4-5D6E-409C-BE32-E72D297353CC}">
              <c16:uniqueId val="{00000000-53A7-4AC9-804C-F3EA2212F650}"/>
            </c:ext>
          </c:extLst>
        </c:ser>
        <c:dLbls>
          <c:showLegendKey val="0"/>
          <c:showVal val="0"/>
          <c:showCatName val="0"/>
          <c:showSerName val="0"/>
          <c:showPercent val="0"/>
          <c:showBubbleSize val="0"/>
        </c:dLbls>
        <c:axId val="713721048"/>
        <c:axId val="713722224"/>
      </c:areaChart>
      <c:catAx>
        <c:axId val="713721048"/>
        <c:scaling>
          <c:orientation val="minMax"/>
        </c:scaling>
        <c:delete val="0"/>
        <c:axPos val="b"/>
        <c:majorTickMark val="out"/>
        <c:minorTickMark val="none"/>
        <c:tickLblPos val="nextTo"/>
        <c:crossAx val="713722224"/>
        <c:crosses val="autoZero"/>
        <c:auto val="1"/>
        <c:lblAlgn val="ctr"/>
        <c:lblOffset val="100"/>
        <c:noMultiLvlLbl val="0"/>
      </c:catAx>
      <c:valAx>
        <c:axId val="713722224"/>
        <c:scaling>
          <c:orientation val="minMax"/>
        </c:scaling>
        <c:delete val="0"/>
        <c:axPos val="l"/>
        <c:majorGridlines/>
        <c:numFmt formatCode="&quot;$&quot;#,##0_);[Red]\(&quot;$&quot;#,##0\)" sourceLinked="1"/>
        <c:majorTickMark val="out"/>
        <c:minorTickMark val="none"/>
        <c:tickLblPos val="nextTo"/>
        <c:crossAx val="713721048"/>
        <c:crosses val="autoZero"/>
        <c:crossBetween val="midCat"/>
      </c:valAx>
    </c:plotArea>
    <c:plotVisOnly val="1"/>
    <c:dispBlanksAs val="zero"/>
    <c:showDLblsOverMax val="0"/>
  </c:chart>
  <c:spPr>
    <a:ln cap="sq">
      <a:round/>
    </a:ln>
  </c:spPr>
  <c:printSettings>
    <c:headerFooter/>
    <c:pageMargins b="0.75000000000000833" l="0.70000000000000062" r="0.70000000000000062" t="0.750000000000008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2002595616507362"/>
          <c:y val="8.6880217627312989E-2"/>
          <c:w val="0.85819561680399914"/>
          <c:h val="0.85505139115930662"/>
        </c:manualLayout>
      </c:layout>
      <c:areaChart>
        <c:grouping val="standard"/>
        <c:varyColors val="0"/>
        <c:ser>
          <c:idx val="0"/>
          <c:order val="0"/>
          <c:tx>
            <c:strRef>
              <c:f>'Cash Flow graphs'!$C$25</c:f>
              <c:strCache>
                <c:ptCount val="1"/>
                <c:pt idx="0">
                  <c:v>Projected Monthly Cash Balance</c:v>
                </c:pt>
              </c:strCache>
            </c:strRef>
          </c:tx>
          <c:val>
            <c:numRef>
              <c:f>'Cash Flow graphs'!$D$25:$O$25</c:f>
            </c:numRef>
          </c:val>
          <c:extLst>
            <c:ext xmlns:c15="http://schemas.microsoft.com/office/drawing/2012/chart" uri="{02D57815-91ED-43cb-92C2-25804820EDAC}">
              <c15:filteredCategoryTitle>
                <c15:cat>
                  <c:multiLvlStrRef>
                    <c:extLst>
                      <c:ext uri="{02D57815-91ED-43cb-92C2-25804820EDAC}">
                        <c15:formulaRef>
                          <c15:sqref>'Cash Flow graphs'!$D$24:$O$24</c15:sqref>
                        </c15:formulaRef>
                      </c:ext>
                    </c:extLst>
                  </c:multiLvlStrRef>
                </c15:cat>
              </c15:filteredCategoryTitle>
            </c:ext>
            <c:ext xmlns:c16="http://schemas.microsoft.com/office/drawing/2014/chart" uri="{C3380CC4-5D6E-409C-BE32-E72D297353CC}">
              <c16:uniqueId val="{00000000-65E0-4688-AD77-2D9E10C4BD1E}"/>
            </c:ext>
          </c:extLst>
        </c:ser>
        <c:dLbls>
          <c:showLegendKey val="0"/>
          <c:showVal val="0"/>
          <c:showCatName val="0"/>
          <c:showSerName val="0"/>
          <c:showPercent val="0"/>
          <c:showBubbleSize val="0"/>
        </c:dLbls>
        <c:axId val="713723008"/>
        <c:axId val="713723400"/>
      </c:areaChart>
      <c:catAx>
        <c:axId val="713723008"/>
        <c:scaling>
          <c:orientation val="minMax"/>
        </c:scaling>
        <c:delete val="0"/>
        <c:axPos val="b"/>
        <c:majorTickMark val="out"/>
        <c:minorTickMark val="none"/>
        <c:tickLblPos val="nextTo"/>
        <c:crossAx val="713723400"/>
        <c:crosses val="autoZero"/>
        <c:auto val="1"/>
        <c:lblAlgn val="ctr"/>
        <c:lblOffset val="100"/>
        <c:noMultiLvlLbl val="0"/>
      </c:catAx>
      <c:valAx>
        <c:axId val="713723400"/>
        <c:scaling>
          <c:orientation val="minMax"/>
        </c:scaling>
        <c:delete val="0"/>
        <c:axPos val="l"/>
        <c:majorGridlines/>
        <c:numFmt formatCode="&quot;$&quot;#,##0_);[Red]\(&quot;$&quot;#,##0\)" sourceLinked="1"/>
        <c:majorTickMark val="out"/>
        <c:minorTickMark val="none"/>
        <c:tickLblPos val="nextTo"/>
        <c:crossAx val="713723008"/>
        <c:crosses val="autoZero"/>
        <c:crossBetween val="midCat"/>
      </c:valAx>
    </c:plotArea>
    <c:plotVisOnly val="1"/>
    <c:dispBlanksAs val="zero"/>
    <c:showDLblsOverMax val="0"/>
  </c:chart>
  <c:spPr>
    <a:ln cap="sq">
      <a:round/>
    </a:ln>
  </c:spPr>
  <c:printSettings>
    <c:headerFooter/>
    <c:pageMargins b="0.75000000000000833" l="0.70000000000000062" r="0.70000000000000062" t="0.750000000000008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2002595616507362"/>
          <c:y val="9.7445457986531384E-2"/>
          <c:w val="0.85819561680399914"/>
          <c:h val="0.84448615080008749"/>
        </c:manualLayout>
      </c:layout>
      <c:areaChart>
        <c:grouping val="standard"/>
        <c:varyColors val="0"/>
        <c:ser>
          <c:idx val="0"/>
          <c:order val="0"/>
          <c:tx>
            <c:strRef>
              <c:f>'Cash Flow graphs'!$C$32</c:f>
              <c:strCache>
                <c:ptCount val="1"/>
                <c:pt idx="0">
                  <c:v>Projected Monthly Cash Balance</c:v>
                </c:pt>
              </c:strCache>
            </c:strRef>
          </c:tx>
          <c:val>
            <c:numRef>
              <c:f>'Cash Flow graphs'!$D$32:$O$32</c:f>
            </c:numRef>
          </c:val>
          <c:extLst>
            <c:ext xmlns:c15="http://schemas.microsoft.com/office/drawing/2012/chart" uri="{02D57815-91ED-43cb-92C2-25804820EDAC}">
              <c15:filteredCategoryTitle>
                <c15:cat>
                  <c:multiLvlStrRef>
                    <c:extLst>
                      <c:ext uri="{02D57815-91ED-43cb-92C2-25804820EDAC}">
                        <c15:formulaRef>
                          <c15:sqref>'Cash Flow graphs'!$D$31:$O$31</c15:sqref>
                        </c15:formulaRef>
                      </c:ext>
                    </c:extLst>
                  </c:multiLvlStrRef>
                </c15:cat>
              </c15:filteredCategoryTitle>
            </c:ext>
            <c:ext xmlns:c16="http://schemas.microsoft.com/office/drawing/2014/chart" uri="{C3380CC4-5D6E-409C-BE32-E72D297353CC}">
              <c16:uniqueId val="{00000000-5F35-494D-B603-AF755ADA93D9}"/>
            </c:ext>
          </c:extLst>
        </c:ser>
        <c:dLbls>
          <c:showLegendKey val="0"/>
          <c:showVal val="0"/>
          <c:showCatName val="0"/>
          <c:showSerName val="0"/>
          <c:showPercent val="0"/>
          <c:showBubbleSize val="0"/>
        </c:dLbls>
        <c:axId val="742431496"/>
        <c:axId val="742432280"/>
      </c:areaChart>
      <c:catAx>
        <c:axId val="742431496"/>
        <c:scaling>
          <c:orientation val="minMax"/>
        </c:scaling>
        <c:delete val="0"/>
        <c:axPos val="b"/>
        <c:majorTickMark val="out"/>
        <c:minorTickMark val="none"/>
        <c:tickLblPos val="nextTo"/>
        <c:crossAx val="742432280"/>
        <c:crosses val="autoZero"/>
        <c:auto val="1"/>
        <c:lblAlgn val="ctr"/>
        <c:lblOffset val="100"/>
        <c:noMultiLvlLbl val="0"/>
      </c:catAx>
      <c:valAx>
        <c:axId val="742432280"/>
        <c:scaling>
          <c:orientation val="minMax"/>
        </c:scaling>
        <c:delete val="0"/>
        <c:axPos val="l"/>
        <c:majorGridlines/>
        <c:numFmt formatCode="&quot;$&quot;#,##0_);[Red]\(&quot;$&quot;#,##0\)" sourceLinked="1"/>
        <c:majorTickMark val="out"/>
        <c:minorTickMark val="none"/>
        <c:tickLblPos val="nextTo"/>
        <c:crossAx val="742431496"/>
        <c:crosses val="autoZero"/>
        <c:crossBetween val="midCat"/>
      </c:valAx>
    </c:plotArea>
    <c:plotVisOnly val="1"/>
    <c:dispBlanksAs val="zero"/>
    <c:showDLblsOverMax val="0"/>
  </c:chart>
  <c:spPr>
    <a:ln cap="sq">
      <a:round/>
    </a:ln>
  </c:spPr>
  <c:printSettings>
    <c:headerFooter/>
    <c:pageMargins b="0.75000000000000833" l="0.70000000000000062" r="0.70000000000000062" t="0.750000000000008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2002595616507362"/>
          <c:y val="0.11431296206457595"/>
          <c:w val="0.85819561680399914"/>
          <c:h val="0.82780211715241769"/>
        </c:manualLayout>
      </c:layout>
      <c:areaChart>
        <c:grouping val="standard"/>
        <c:varyColors val="0"/>
        <c:ser>
          <c:idx val="0"/>
          <c:order val="0"/>
          <c:tx>
            <c:strRef>
              <c:f>'Cash Flow graphs'!$C$39</c:f>
              <c:strCache>
                <c:ptCount val="1"/>
                <c:pt idx="0">
                  <c:v>Projected Monthly Cash Balance</c:v>
                </c:pt>
              </c:strCache>
            </c:strRef>
          </c:tx>
          <c:val>
            <c:numRef>
              <c:f>'Cash Flow graphs'!$D$39:$O$39</c:f>
            </c:numRef>
          </c:val>
          <c:extLst>
            <c:ext xmlns:c15="http://schemas.microsoft.com/office/drawing/2012/chart" uri="{02D57815-91ED-43cb-92C2-25804820EDAC}">
              <c15:filteredCategoryTitle>
                <c15:cat>
                  <c:multiLvlStrRef>
                    <c:extLst>
                      <c:ext uri="{02D57815-91ED-43cb-92C2-25804820EDAC}">
                        <c15:formulaRef>
                          <c15:sqref>'Cash Flow graphs'!$D$38:$O$38</c15:sqref>
                        </c15:formulaRef>
                      </c:ext>
                    </c:extLst>
                  </c:multiLvlStrRef>
                </c15:cat>
              </c15:filteredCategoryTitle>
            </c:ext>
            <c:ext xmlns:c16="http://schemas.microsoft.com/office/drawing/2014/chart" uri="{C3380CC4-5D6E-409C-BE32-E72D297353CC}">
              <c16:uniqueId val="{00000000-FA1E-4B21-B496-AF0558B3B2BF}"/>
            </c:ext>
          </c:extLst>
        </c:ser>
        <c:dLbls>
          <c:showLegendKey val="0"/>
          <c:showVal val="0"/>
          <c:showCatName val="0"/>
          <c:showSerName val="0"/>
          <c:showPercent val="0"/>
          <c:showBubbleSize val="0"/>
        </c:dLbls>
        <c:axId val="742431888"/>
        <c:axId val="742433064"/>
      </c:areaChart>
      <c:catAx>
        <c:axId val="742431888"/>
        <c:scaling>
          <c:orientation val="minMax"/>
        </c:scaling>
        <c:delete val="0"/>
        <c:axPos val="b"/>
        <c:majorTickMark val="out"/>
        <c:minorTickMark val="none"/>
        <c:tickLblPos val="nextTo"/>
        <c:crossAx val="742433064"/>
        <c:crosses val="autoZero"/>
        <c:auto val="1"/>
        <c:lblAlgn val="ctr"/>
        <c:lblOffset val="100"/>
        <c:noMultiLvlLbl val="0"/>
      </c:catAx>
      <c:valAx>
        <c:axId val="742433064"/>
        <c:scaling>
          <c:orientation val="minMax"/>
        </c:scaling>
        <c:delete val="0"/>
        <c:axPos val="l"/>
        <c:majorGridlines/>
        <c:numFmt formatCode="&quot;$&quot;#,##0_);[Red]\(&quot;$&quot;#,##0\)" sourceLinked="1"/>
        <c:majorTickMark val="out"/>
        <c:minorTickMark val="none"/>
        <c:tickLblPos val="nextTo"/>
        <c:crossAx val="742431888"/>
        <c:crosses val="autoZero"/>
        <c:crossBetween val="midCat"/>
      </c:valAx>
    </c:plotArea>
    <c:plotVisOnly val="1"/>
    <c:dispBlanksAs val="zero"/>
    <c:showDLblsOverMax val="0"/>
  </c:chart>
  <c:spPr>
    <a:ln cap="sq">
      <a:round/>
    </a:ln>
  </c:spPr>
  <c:printSettings>
    <c:headerFooter/>
    <c:pageMargins b="0.75000000000000833" l="0.70000000000000062" r="0.70000000000000062" t="0.750000000000008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1884709371540735"/>
          <c:y val="9.7461987867630259E-2"/>
          <c:w val="0.85937448800332361"/>
          <c:h val="0.84465309134936362"/>
        </c:manualLayout>
      </c:layout>
      <c:areaChart>
        <c:grouping val="standard"/>
        <c:varyColors val="0"/>
        <c:ser>
          <c:idx val="0"/>
          <c:order val="0"/>
          <c:tx>
            <c:strRef>
              <c:f>'Cash Flow graphs'!$C$46</c:f>
              <c:strCache>
                <c:ptCount val="1"/>
                <c:pt idx="0">
                  <c:v>Projected Monthly Cash Balance</c:v>
                </c:pt>
              </c:strCache>
            </c:strRef>
          </c:tx>
          <c:val>
            <c:numRef>
              <c:f>'Cash Flow graphs'!$D$46:$O$46</c:f>
            </c:numRef>
          </c:val>
          <c:extLst>
            <c:ext xmlns:c15="http://schemas.microsoft.com/office/drawing/2012/chart" uri="{02D57815-91ED-43cb-92C2-25804820EDAC}">
              <c15:filteredCategoryTitle>
                <c15:cat>
                  <c:multiLvlStrRef>
                    <c:extLst>
                      <c:ext uri="{02D57815-91ED-43cb-92C2-25804820EDAC}">
                        <c15:formulaRef>
                          <c15:sqref>'Cash Flow graphs'!$D$45:$O$45</c15:sqref>
                        </c15:formulaRef>
                      </c:ext>
                    </c:extLst>
                  </c:multiLvlStrRef>
                </c15:cat>
              </c15:filteredCategoryTitle>
            </c:ext>
            <c:ext xmlns:c16="http://schemas.microsoft.com/office/drawing/2014/chart" uri="{C3380CC4-5D6E-409C-BE32-E72D297353CC}">
              <c16:uniqueId val="{00000000-155E-4541-8685-A02545F16572}"/>
            </c:ext>
          </c:extLst>
        </c:ser>
        <c:dLbls>
          <c:showLegendKey val="0"/>
          <c:showVal val="0"/>
          <c:showCatName val="0"/>
          <c:showSerName val="0"/>
          <c:showPercent val="0"/>
          <c:showBubbleSize val="0"/>
        </c:dLbls>
        <c:axId val="742432672"/>
        <c:axId val="742434632"/>
      </c:areaChart>
      <c:catAx>
        <c:axId val="742432672"/>
        <c:scaling>
          <c:orientation val="minMax"/>
        </c:scaling>
        <c:delete val="0"/>
        <c:axPos val="b"/>
        <c:majorTickMark val="out"/>
        <c:minorTickMark val="none"/>
        <c:tickLblPos val="nextTo"/>
        <c:crossAx val="742434632"/>
        <c:crosses val="autoZero"/>
        <c:auto val="1"/>
        <c:lblAlgn val="ctr"/>
        <c:lblOffset val="100"/>
        <c:noMultiLvlLbl val="0"/>
      </c:catAx>
      <c:valAx>
        <c:axId val="742434632"/>
        <c:scaling>
          <c:orientation val="minMax"/>
        </c:scaling>
        <c:delete val="0"/>
        <c:axPos val="l"/>
        <c:majorGridlines/>
        <c:numFmt formatCode="&quot;$&quot;#,##0_);[Red]\(&quot;$&quot;#,##0\)" sourceLinked="1"/>
        <c:majorTickMark val="out"/>
        <c:minorTickMark val="none"/>
        <c:tickLblPos val="nextTo"/>
        <c:crossAx val="742432672"/>
        <c:crosses val="autoZero"/>
        <c:crossBetween val="midCat"/>
      </c:valAx>
    </c:plotArea>
    <c:plotVisOnly val="1"/>
    <c:dispBlanksAs val="zero"/>
    <c:showDLblsOverMax val="0"/>
  </c:chart>
  <c:spPr>
    <a:ln cap="sq">
      <a:round/>
    </a:ln>
  </c:spPr>
  <c:printSettings>
    <c:headerFooter/>
    <c:pageMargins b="0.7500000000000081" l="0.70000000000000062" r="0.70000000000000062" t="0.750000000000008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6.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tif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9.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0.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9.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12</xdr:col>
      <xdr:colOff>429746</xdr:colOff>
      <xdr:row>0</xdr:row>
      <xdr:rowOff>119343</xdr:rowOff>
    </xdr:from>
    <xdr:to>
      <xdr:col>13</xdr:col>
      <xdr:colOff>947569</xdr:colOff>
      <xdr:row>3</xdr:row>
      <xdr:rowOff>123788</xdr:rowOff>
    </xdr:to>
    <xdr:pic>
      <xdr:nvPicPr>
        <xdr:cNvPr id="2" name="Picture 9" descr="C:\Users\Ryan\Desktop\CSMC\Marketing\Logos\174471_logo_final.t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17481" y="119343"/>
          <a:ext cx="1003300" cy="734097"/>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18</xdr:col>
      <xdr:colOff>479425</xdr:colOff>
      <xdr:row>4</xdr:row>
      <xdr:rowOff>57150</xdr:rowOff>
    </xdr:to>
    <xdr:pic>
      <xdr:nvPicPr>
        <xdr:cNvPr id="2" name="Picture 9" descr="C:\Users\Ryan\Desktop\CSMC\Marketing\Logos\174471_logo_final.tif">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96600" y="257175"/>
          <a:ext cx="1003300" cy="733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25</xdr:col>
      <xdr:colOff>321468</xdr:colOff>
      <xdr:row>0</xdr:row>
      <xdr:rowOff>1</xdr:rowOff>
    </xdr:from>
    <xdr:to>
      <xdr:col>25</xdr:col>
      <xdr:colOff>931862</xdr:colOff>
      <xdr:row>1</xdr:row>
      <xdr:rowOff>188006</xdr:rowOff>
    </xdr:to>
    <xdr:pic>
      <xdr:nvPicPr>
        <xdr:cNvPr id="5" name="Picture 9" descr="C:\Users\Ryan\Desktop\CSMC\Marketing\Logos\174471_logo_final.tif">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95593" y="1"/>
          <a:ext cx="607219" cy="446768"/>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18</xdr:col>
      <xdr:colOff>479425</xdr:colOff>
      <xdr:row>4</xdr:row>
      <xdr:rowOff>57150</xdr:rowOff>
    </xdr:to>
    <xdr:pic>
      <xdr:nvPicPr>
        <xdr:cNvPr id="2" name="Picture 9" descr="C:\Users\Ryan\Desktop\CSMC\Marketing\Logos\174471_logo_final.tif">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96600" y="257175"/>
          <a:ext cx="1003300" cy="733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297656</xdr:colOff>
      <xdr:row>0</xdr:row>
      <xdr:rowOff>0</xdr:rowOff>
    </xdr:from>
    <xdr:to>
      <xdr:col>25</xdr:col>
      <xdr:colOff>1006475</xdr:colOff>
      <xdr:row>2</xdr:row>
      <xdr:rowOff>19122</xdr:rowOff>
    </xdr:to>
    <xdr:pic>
      <xdr:nvPicPr>
        <xdr:cNvPr id="5" name="Picture 9" descr="C:\Users\Ryan\Desktop\CSMC\Marketing\Logos\174471_logo_final.tif">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110031" y="0"/>
          <a:ext cx="705644" cy="51918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18</xdr:col>
      <xdr:colOff>479425</xdr:colOff>
      <xdr:row>4</xdr:row>
      <xdr:rowOff>57150</xdr:rowOff>
    </xdr:to>
    <xdr:pic>
      <xdr:nvPicPr>
        <xdr:cNvPr id="2" name="Picture 9" descr="C:\Users\Ryan\Desktop\CSMC\Marketing\Logos\174471_logo_final.tif">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96600" y="257175"/>
          <a:ext cx="1003300" cy="733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174625</xdr:colOff>
      <xdr:row>3</xdr:row>
      <xdr:rowOff>0</xdr:rowOff>
    </xdr:to>
    <xdr:pic>
      <xdr:nvPicPr>
        <xdr:cNvPr id="2" name="Picture 9" descr="C:\Users\Ryan\Desktop\CSMC\Marketing\Logos\174471_logo_final.tif">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163800" y="0"/>
          <a:ext cx="1003300" cy="733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457199</xdr:colOff>
      <xdr:row>6</xdr:row>
      <xdr:rowOff>9525</xdr:rowOff>
    </xdr:from>
    <xdr:to>
      <xdr:col>14</xdr:col>
      <xdr:colOff>781049</xdr:colOff>
      <xdr:row>8</xdr:row>
      <xdr:rowOff>1981200</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457199</xdr:colOff>
      <xdr:row>13</xdr:row>
      <xdr:rowOff>9525</xdr:rowOff>
    </xdr:from>
    <xdr:to>
      <xdr:col>14</xdr:col>
      <xdr:colOff>781049</xdr:colOff>
      <xdr:row>15</xdr:row>
      <xdr:rowOff>1981200</xdr:rowOff>
    </xdr:to>
    <xdr:graphicFrame macro="">
      <xdr:nvGraphicFramePr>
        <xdr:cNvPr id="3" name="Chart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457199</xdr:colOff>
      <xdr:row>20</xdr:row>
      <xdr:rowOff>9525</xdr:rowOff>
    </xdr:from>
    <xdr:to>
      <xdr:col>14</xdr:col>
      <xdr:colOff>781049</xdr:colOff>
      <xdr:row>22</xdr:row>
      <xdr:rowOff>1981200</xdr:rowOff>
    </xdr:to>
    <xdr:graphicFrame macro="">
      <xdr:nvGraphicFramePr>
        <xdr:cNvPr id="4" name="Chart 3">
          <a:extLst>
            <a:ext uri="{FF2B5EF4-FFF2-40B4-BE49-F238E27FC236}">
              <a16:creationId xmlns:a16="http://schemas.microsoft.com/office/drawing/2014/main" id="{00000000-0008-0000-1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457199</xdr:colOff>
      <xdr:row>27</xdr:row>
      <xdr:rowOff>9525</xdr:rowOff>
    </xdr:from>
    <xdr:to>
      <xdr:col>14</xdr:col>
      <xdr:colOff>781049</xdr:colOff>
      <xdr:row>29</xdr:row>
      <xdr:rowOff>1981200</xdr:rowOff>
    </xdr:to>
    <xdr:graphicFrame macro="">
      <xdr:nvGraphicFramePr>
        <xdr:cNvPr id="5" name="Chart 4">
          <a:extLst>
            <a:ext uri="{FF2B5EF4-FFF2-40B4-BE49-F238E27FC236}">
              <a16:creationId xmlns:a16="http://schemas.microsoft.com/office/drawing/2014/main" id="{00000000-0008-0000-1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457199</xdr:colOff>
      <xdr:row>34</xdr:row>
      <xdr:rowOff>9525</xdr:rowOff>
    </xdr:from>
    <xdr:to>
      <xdr:col>14</xdr:col>
      <xdr:colOff>781049</xdr:colOff>
      <xdr:row>36</xdr:row>
      <xdr:rowOff>1981200</xdr:rowOff>
    </xdr:to>
    <xdr:graphicFrame macro="">
      <xdr:nvGraphicFramePr>
        <xdr:cNvPr id="6" name="Chart 5">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457199</xdr:colOff>
      <xdr:row>41</xdr:row>
      <xdr:rowOff>9525</xdr:rowOff>
    </xdr:from>
    <xdr:to>
      <xdr:col>14</xdr:col>
      <xdr:colOff>781049</xdr:colOff>
      <xdr:row>43</xdr:row>
      <xdr:rowOff>1981200</xdr:rowOff>
    </xdr:to>
    <xdr:graphicFrame macro="">
      <xdr:nvGraphicFramePr>
        <xdr:cNvPr id="7" name="Chart 6">
          <a:extLst>
            <a:ext uri="{FF2B5EF4-FFF2-40B4-BE49-F238E27FC236}">
              <a16:creationId xmlns:a16="http://schemas.microsoft.com/office/drawing/2014/main" id="{00000000-0008-0000-1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0</xdr:colOff>
      <xdr:row>0</xdr:row>
      <xdr:rowOff>0</xdr:rowOff>
    </xdr:from>
    <xdr:to>
      <xdr:col>14</xdr:col>
      <xdr:colOff>174625</xdr:colOff>
      <xdr:row>3</xdr:row>
      <xdr:rowOff>0</xdr:rowOff>
    </xdr:to>
    <xdr:pic>
      <xdr:nvPicPr>
        <xdr:cNvPr id="8" name="Picture 9" descr="C:\Users\Ryan\Desktop\CSMC\Marketing\Logos\174471_logo_final.tif">
          <a:extLst>
            <a:ext uri="{FF2B5EF4-FFF2-40B4-BE49-F238E27FC236}">
              <a16:creationId xmlns:a16="http://schemas.microsoft.com/office/drawing/2014/main" id="{00000000-0008-0000-16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0344150" y="0"/>
          <a:ext cx="1003300" cy="733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479425</xdr:colOff>
      <xdr:row>3</xdr:row>
      <xdr:rowOff>0</xdr:rowOff>
    </xdr:to>
    <xdr:pic>
      <xdr:nvPicPr>
        <xdr:cNvPr id="2" name="Picture 9" descr="C:\Users\Ryan\Desktop\CSMC\Marketing\Logos\174471_logo_final.t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96600" y="0"/>
          <a:ext cx="1003300" cy="733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9525</xdr:colOff>
      <xdr:row>0</xdr:row>
      <xdr:rowOff>247651</xdr:rowOff>
    </xdr:from>
    <xdr:to>
      <xdr:col>15</xdr:col>
      <xdr:colOff>858677</xdr:colOff>
      <xdr:row>3</xdr:row>
      <xdr:rowOff>129541</xdr:rowOff>
    </xdr:to>
    <xdr:pic>
      <xdr:nvPicPr>
        <xdr:cNvPr id="2" name="Picture 9" descr="C:\Users\Ryan\Desktop\CSMC\Marketing\Logos\174471_logo_final.t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25525" y="247651"/>
          <a:ext cx="833912" cy="6096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47625</xdr:colOff>
      <xdr:row>0</xdr:row>
      <xdr:rowOff>200025</xdr:rowOff>
    </xdr:from>
    <xdr:to>
      <xdr:col>16</xdr:col>
      <xdr:colOff>117475</xdr:colOff>
      <xdr:row>4</xdr:row>
      <xdr:rowOff>0</xdr:rowOff>
    </xdr:to>
    <xdr:pic>
      <xdr:nvPicPr>
        <xdr:cNvPr id="2" name="Picture 9" descr="C:\Users\Ryan\Desktop\CSMC\Marketing\Logos\174471_logo_final.tif">
          <a:extLst>
            <a:ext uri="{FF2B5EF4-FFF2-40B4-BE49-F238E27FC236}">
              <a16:creationId xmlns:a16="http://schemas.microsoft.com/office/drawing/2014/main" id="{E3BF086A-E45C-42C0-948D-121F29F488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58850" y="200025"/>
          <a:ext cx="1003300" cy="733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116419</xdr:colOff>
      <xdr:row>0</xdr:row>
      <xdr:rowOff>127002</xdr:rowOff>
    </xdr:from>
    <xdr:to>
      <xdr:col>7</xdr:col>
      <xdr:colOff>986822</xdr:colOff>
      <xdr:row>3</xdr:row>
      <xdr:rowOff>72603</xdr:rowOff>
    </xdr:to>
    <xdr:pic>
      <xdr:nvPicPr>
        <xdr:cNvPr id="3" name="Picture 9" descr="C:\Users\Ryan\Desktop\CSMC\Marketing\Logos\174471_logo_final.t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01002" y="127002"/>
          <a:ext cx="845638" cy="624416"/>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15</xdr:col>
      <xdr:colOff>66138</xdr:colOff>
      <xdr:row>0</xdr:row>
      <xdr:rowOff>238125</xdr:rowOff>
    </xdr:from>
    <xdr:to>
      <xdr:col>16</xdr:col>
      <xdr:colOff>31749</xdr:colOff>
      <xdr:row>3</xdr:row>
      <xdr:rowOff>161925</xdr:rowOff>
    </xdr:to>
    <xdr:pic>
      <xdr:nvPicPr>
        <xdr:cNvPr id="2" name="Picture 9" descr="C:\Users\Ryan\Desktop\CSMC\Marketing\Logos\174471_logo_final.tif">
          <a:extLst>
            <a:ext uri="{FF2B5EF4-FFF2-40B4-BE49-F238E27FC236}">
              <a16:creationId xmlns:a16="http://schemas.microsoft.com/office/drawing/2014/main" id="{25E33384-F209-4BEA-8F1C-75C8E05EC7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77363" y="238125"/>
          <a:ext cx="899061" cy="6572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17</xdr:col>
      <xdr:colOff>0</xdr:colOff>
      <xdr:row>0</xdr:row>
      <xdr:rowOff>19050</xdr:rowOff>
    </xdr:from>
    <xdr:to>
      <xdr:col>18</xdr:col>
      <xdr:colOff>174625</xdr:colOff>
      <xdr:row>3</xdr:row>
      <xdr:rowOff>19050</xdr:rowOff>
    </xdr:to>
    <xdr:pic>
      <xdr:nvPicPr>
        <xdr:cNvPr id="2" name="Picture 9" descr="C:\Users\Ryan\Desktop\CSMC\Marketing\Logos\174471_logo_final.tif">
          <a:extLst>
            <a:ext uri="{FF2B5EF4-FFF2-40B4-BE49-F238E27FC236}">
              <a16:creationId xmlns:a16="http://schemas.microsoft.com/office/drawing/2014/main" id="{6687A4E8-92EC-43F0-BD06-5AD6D8C6C5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78125" y="19050"/>
          <a:ext cx="1003300" cy="733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174625</xdr:colOff>
      <xdr:row>3</xdr:row>
      <xdr:rowOff>0</xdr:rowOff>
    </xdr:to>
    <xdr:pic>
      <xdr:nvPicPr>
        <xdr:cNvPr id="2" name="Picture 9" descr="C:\Users\Ryan\Desktop\CSMC\Marketing\Logos\174471_logo_final.tif">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163800" y="0"/>
          <a:ext cx="1003300"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203080</xdr:colOff>
      <xdr:row>0</xdr:row>
      <xdr:rowOff>74084</xdr:rowOff>
    </xdr:from>
    <xdr:to>
      <xdr:col>8</xdr:col>
      <xdr:colOff>1070399</xdr:colOff>
      <xdr:row>2</xdr:row>
      <xdr:rowOff>224155</xdr:rowOff>
    </xdr:to>
    <xdr:pic>
      <xdr:nvPicPr>
        <xdr:cNvPr id="2" name="Picture 9" descr="C:\Users\Ryan\Desktop\CSMC\Marketing\Logos\174471_logo_final.t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55080" y="74084"/>
          <a:ext cx="874304" cy="64558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200025</xdr:colOff>
      <xdr:row>0</xdr:row>
      <xdr:rowOff>133350</xdr:rowOff>
    </xdr:from>
    <xdr:to>
      <xdr:col>8</xdr:col>
      <xdr:colOff>1087069</xdr:colOff>
      <xdr:row>3</xdr:row>
      <xdr:rowOff>57587</xdr:rowOff>
    </xdr:to>
    <xdr:pic>
      <xdr:nvPicPr>
        <xdr:cNvPr id="3" name="Picture 2">
          <a:extLst>
            <a:ext uri="{FF2B5EF4-FFF2-40B4-BE49-F238E27FC236}">
              <a16:creationId xmlns:a16="http://schemas.microsoft.com/office/drawing/2014/main" id="{13EB4DE1-3C87-4CC9-B209-471DE06B1F9C}"/>
            </a:ext>
          </a:extLst>
        </xdr:cNvPr>
        <xdr:cNvPicPr>
          <a:picLocks noChangeAspect="1"/>
        </xdr:cNvPicPr>
      </xdr:nvPicPr>
      <xdr:blipFill>
        <a:blip xmlns:r="http://schemas.openxmlformats.org/officeDocument/2006/relationships" r:embed="rId1"/>
        <a:stretch>
          <a:fillRect/>
        </a:stretch>
      </xdr:blipFill>
      <xdr:spPr>
        <a:xfrm>
          <a:off x="9201150" y="133350"/>
          <a:ext cx="871804" cy="6462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137584</xdr:colOff>
      <xdr:row>0</xdr:row>
      <xdr:rowOff>158750</xdr:rowOff>
    </xdr:from>
    <xdr:to>
      <xdr:col>21</xdr:col>
      <xdr:colOff>1140884</xdr:colOff>
      <xdr:row>3</xdr:row>
      <xdr:rowOff>155575</xdr:rowOff>
    </xdr:to>
    <xdr:pic>
      <xdr:nvPicPr>
        <xdr:cNvPr id="2" name="Picture 9" descr="C:\Users\Ryan\Desktop\CSMC\Marketing\Logos\174471_logo_final.t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71001" y="158750"/>
          <a:ext cx="1003300" cy="74083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25</xdr:col>
      <xdr:colOff>1007110</xdr:colOff>
      <xdr:row>3</xdr:row>
      <xdr:rowOff>0</xdr:rowOff>
    </xdr:to>
    <xdr:pic>
      <xdr:nvPicPr>
        <xdr:cNvPr id="4" name="Picture 9" descr="C:\Users\Ryan\Desktop\CSMC\Marketing\Logos\174471_logo_final.ti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17375" y="0"/>
          <a:ext cx="1003300" cy="733425"/>
        </a:xfrm>
        <a:prstGeom prst="rect">
          <a:avLst/>
        </a:prstGeom>
        <a:noFill/>
        <a:ln w="9525">
          <a:noFill/>
          <a:miter lim="800000"/>
          <a:headEnd/>
          <a:tailEnd/>
        </a:ln>
      </xdr:spPr>
    </xdr:pic>
    <xdr:clientData/>
  </xdr:twoCellAnchor>
  <xdr:twoCellAnchor editAs="oneCell">
    <xdr:from>
      <xdr:col>25</xdr:col>
      <xdr:colOff>0</xdr:colOff>
      <xdr:row>0</xdr:row>
      <xdr:rowOff>0</xdr:rowOff>
    </xdr:from>
    <xdr:to>
      <xdr:col>25</xdr:col>
      <xdr:colOff>1007110</xdr:colOff>
      <xdr:row>3</xdr:row>
      <xdr:rowOff>0</xdr:rowOff>
    </xdr:to>
    <xdr:pic>
      <xdr:nvPicPr>
        <xdr:cNvPr id="6" name="Picture 9" descr="C:\Users\Ryan\Desktop\CSMC\Marketing\Logos\174471_logo_final.tif">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850225" y="0"/>
          <a:ext cx="1003300" cy="733425"/>
        </a:xfrm>
        <a:prstGeom prst="rect">
          <a:avLst/>
        </a:prstGeom>
        <a:noFill/>
        <a:ln w="9525">
          <a:noFill/>
          <a:miter lim="800000"/>
          <a:headEnd/>
          <a:tailEnd/>
        </a:ln>
      </xdr:spPr>
    </xdr:pic>
    <xdr:clientData/>
  </xdr:twoCellAnchor>
  <xdr:twoCellAnchor editAs="oneCell">
    <xdr:from>
      <xdr:col>25</xdr:col>
      <xdr:colOff>0</xdr:colOff>
      <xdr:row>0</xdr:row>
      <xdr:rowOff>0</xdr:rowOff>
    </xdr:from>
    <xdr:to>
      <xdr:col>25</xdr:col>
      <xdr:colOff>1007110</xdr:colOff>
      <xdr:row>3</xdr:row>
      <xdr:rowOff>0</xdr:rowOff>
    </xdr:to>
    <xdr:pic>
      <xdr:nvPicPr>
        <xdr:cNvPr id="8" name="Picture 9" descr="C:\Users\Ryan\Desktop\CSMC\Marketing\Logos\174471_logo_final.tif">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640675" y="0"/>
          <a:ext cx="1003300" cy="733425"/>
        </a:xfrm>
        <a:prstGeom prst="rect">
          <a:avLst/>
        </a:prstGeom>
        <a:noFill/>
        <a:ln w="9525">
          <a:noFill/>
          <a:miter lim="800000"/>
          <a:headEnd/>
          <a:tailEnd/>
        </a:ln>
      </xdr:spPr>
    </xdr:pic>
    <xdr:clientData/>
  </xdr:twoCellAnchor>
  <xdr:twoCellAnchor editAs="oneCell">
    <xdr:from>
      <xdr:col>25</xdr:col>
      <xdr:colOff>0</xdr:colOff>
      <xdr:row>0</xdr:row>
      <xdr:rowOff>0</xdr:rowOff>
    </xdr:from>
    <xdr:to>
      <xdr:col>25</xdr:col>
      <xdr:colOff>1007110</xdr:colOff>
      <xdr:row>3</xdr:row>
      <xdr:rowOff>0</xdr:rowOff>
    </xdr:to>
    <xdr:pic>
      <xdr:nvPicPr>
        <xdr:cNvPr id="10" name="Picture 9" descr="C:\Users\Ryan\Desktop\CSMC\Marketing\Logos\174471_logo_final.tif">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212050" y="0"/>
          <a:ext cx="1003300" cy="733425"/>
        </a:xfrm>
        <a:prstGeom prst="rect">
          <a:avLst/>
        </a:prstGeom>
        <a:noFill/>
        <a:ln w="9525">
          <a:noFill/>
          <a:miter lim="800000"/>
          <a:headEnd/>
          <a:tailEnd/>
        </a:ln>
      </xdr:spPr>
    </xdr:pic>
    <xdr:clientData/>
  </xdr:twoCellAnchor>
  <xdr:twoCellAnchor editAs="oneCell">
    <xdr:from>
      <xdr:col>25</xdr:col>
      <xdr:colOff>0</xdr:colOff>
      <xdr:row>0</xdr:row>
      <xdr:rowOff>0</xdr:rowOff>
    </xdr:from>
    <xdr:to>
      <xdr:col>25</xdr:col>
      <xdr:colOff>1007110</xdr:colOff>
      <xdr:row>3</xdr:row>
      <xdr:rowOff>0</xdr:rowOff>
    </xdr:to>
    <xdr:pic>
      <xdr:nvPicPr>
        <xdr:cNvPr id="12" name="Picture 9" descr="C:\Users\Ryan\Desktop\CSMC\Marketing\Logos\174471_logo_final.tif">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412075" y="0"/>
          <a:ext cx="1003300" cy="733425"/>
        </a:xfrm>
        <a:prstGeom prst="rect">
          <a:avLst/>
        </a:prstGeom>
        <a:noFill/>
        <a:ln w="9525">
          <a:noFill/>
          <a:miter lim="800000"/>
          <a:headEnd/>
          <a:tailEnd/>
        </a:ln>
      </xdr:spPr>
    </xdr:pic>
    <xdr:clientData/>
  </xdr:twoCellAnchor>
  <xdr:twoCellAnchor>
    <xdr:from>
      <xdr:col>1</xdr:col>
      <xdr:colOff>28575</xdr:colOff>
      <xdr:row>37</xdr:row>
      <xdr:rowOff>38100</xdr:rowOff>
    </xdr:from>
    <xdr:to>
      <xdr:col>10</xdr:col>
      <xdr:colOff>6350</xdr:colOff>
      <xdr:row>41</xdr:row>
      <xdr:rowOff>133350</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447675" y="6248400"/>
          <a:ext cx="6099175" cy="908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u="sng">
              <a:latin typeface="Times New Roman" pitchFamily="18" charset="0"/>
              <a:cs typeface="Times New Roman" pitchFamily="18" charset="0"/>
            </a:rPr>
            <a:t>Instructions</a:t>
          </a:r>
          <a:r>
            <a:rPr lang="en-US" sz="900">
              <a:latin typeface="Times New Roman" pitchFamily="18" charset="0"/>
              <a:cs typeface="Times New Roman" pitchFamily="18" charset="0"/>
            </a:rPr>
            <a:t>:  These</a:t>
          </a:r>
          <a:r>
            <a:rPr lang="en-US" sz="900" baseline="0">
              <a:latin typeface="Times New Roman" pitchFamily="18" charset="0"/>
              <a:cs typeface="Times New Roman" pitchFamily="18" charset="0"/>
            </a:rPr>
            <a:t> employee input </a:t>
          </a:r>
          <a:r>
            <a:rPr lang="en-US" sz="900">
              <a:latin typeface="Times New Roman" pitchFamily="18" charset="0"/>
              <a:cs typeface="Times New Roman" pitchFamily="18" charset="0"/>
            </a:rPr>
            <a:t> tabs are designed to model out 'typical'</a:t>
          </a:r>
          <a:r>
            <a:rPr lang="en-US" sz="900" baseline="0">
              <a:latin typeface="Times New Roman" pitchFamily="18" charset="0"/>
              <a:cs typeface="Times New Roman" pitchFamily="18" charset="0"/>
            </a:rPr>
            <a:t> employee compensation.  Unusual compensation programs may require modification to the structure or formulas.  Usually, you should  only have to modify the red input items and copy down the black formulas from row 7 to match how many employees you  </a:t>
          </a:r>
          <a:r>
            <a:rPr lang="en-US" sz="900" baseline="0">
              <a:solidFill>
                <a:schemeClr val="dk1"/>
              </a:solidFill>
              <a:latin typeface="Times New Roman" pitchFamily="18" charset="0"/>
              <a:ea typeface="+mn-ea"/>
              <a:cs typeface="Times New Roman" pitchFamily="18" charset="0"/>
            </a:rPr>
            <a:t>have.  The SACS code per employee in column B is essential.  </a:t>
          </a:r>
          <a:r>
            <a:rPr lang="en-US" sz="900" baseline="0">
              <a:latin typeface="Times New Roman" pitchFamily="18" charset="0"/>
              <a:cs typeface="Times New Roman" pitchFamily="18" charset="0"/>
            </a:rPr>
            <a:t>Please do not add or erase whole rows - the below can handle 50 employees.  Summary information is shown in rows 58 through 60.  Feel free to erase this text box for cleaner printing / presentation.</a:t>
          </a:r>
          <a:endParaRPr lang="en-US" sz="900">
            <a:latin typeface="Times New Roman" pitchFamily="18" charset="0"/>
            <a:cs typeface="Times New Roman" pitchFamily="18" charset="0"/>
          </a:endParaRPr>
        </a:p>
      </xdr:txBody>
    </xdr:sp>
    <xdr:clientData/>
  </xdr:twoCellAnchor>
  <xdr:twoCellAnchor editAs="oneCell">
    <xdr:from>
      <xdr:col>25</xdr:col>
      <xdr:colOff>0</xdr:colOff>
      <xdr:row>0</xdr:row>
      <xdr:rowOff>0</xdr:rowOff>
    </xdr:from>
    <xdr:to>
      <xdr:col>25</xdr:col>
      <xdr:colOff>1007110</xdr:colOff>
      <xdr:row>3</xdr:row>
      <xdr:rowOff>0</xdr:rowOff>
    </xdr:to>
    <xdr:pic>
      <xdr:nvPicPr>
        <xdr:cNvPr id="14" name="Picture 9" descr="C:\Users\Ryan\Desktop\CSMC\Marketing\Logos\174471_logo_final.tif">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459700" y="0"/>
          <a:ext cx="1003300" cy="733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25</xdr:col>
      <xdr:colOff>339828</xdr:colOff>
      <xdr:row>0</xdr:row>
      <xdr:rowOff>0</xdr:rowOff>
    </xdr:from>
    <xdr:to>
      <xdr:col>25</xdr:col>
      <xdr:colOff>993775</xdr:colOff>
      <xdr:row>2</xdr:row>
      <xdr:rowOff>158</xdr:rowOff>
    </xdr:to>
    <xdr:pic>
      <xdr:nvPicPr>
        <xdr:cNvPr id="4" name="Picture 9" descr="C:\Users\Ryan\Desktop\CSMC\Marketing\Logos\174471_logo_final.t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759297" y="0"/>
          <a:ext cx="663472" cy="48815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18</xdr:col>
      <xdr:colOff>479425</xdr:colOff>
      <xdr:row>4</xdr:row>
      <xdr:rowOff>57150</xdr:rowOff>
    </xdr:to>
    <xdr:pic>
      <xdr:nvPicPr>
        <xdr:cNvPr id="2" name="Picture 9" descr="C:\Users\Ryan\Desktop\CSMC\Marketing\Logos\174471_logo_final.t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96600" y="257175"/>
          <a:ext cx="1003300" cy="733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25</xdr:col>
      <xdr:colOff>333374</xdr:colOff>
      <xdr:row>0</xdr:row>
      <xdr:rowOff>0</xdr:rowOff>
    </xdr:from>
    <xdr:to>
      <xdr:col>25</xdr:col>
      <xdr:colOff>1006474</xdr:colOff>
      <xdr:row>2</xdr:row>
      <xdr:rowOff>4271</xdr:rowOff>
    </xdr:to>
    <xdr:pic>
      <xdr:nvPicPr>
        <xdr:cNvPr id="5" name="Picture 9" descr="C:\Users\Ryan\Desktop\CSMC\Marketing\Logos\174471_logo_final.t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133593" y="0"/>
          <a:ext cx="669925" cy="492904"/>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Karen Peters" id="{1B0F2115-86F1-4CDF-BD09-778FE34C0901}" userId="S::kpeters@csmci.com::703c9adf-edbf-4085-a720-ee0f93e8be5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50" dT="2021-05-26T23:01:37.97" personId="{1B0F2115-86F1-4CDF-BD09-778FE34C0901}" id="{2BD7EFE5-8BF6-414A-BEB4-040A8BA5BA5F}">
    <text>NCTIP/Admin Mentor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V45"/>
  <sheetViews>
    <sheetView tabSelected="1" zoomScale="85" zoomScaleNormal="85" workbookViewId="0">
      <pane xSplit="3" ySplit="6" topLeftCell="D7" activePane="bottomRight" state="frozen"/>
      <selection activeCell="A3" sqref="A3"/>
      <selection pane="topRight" activeCell="A3" sqref="A3"/>
      <selection pane="bottomLeft" activeCell="A3" sqref="A3"/>
      <selection pane="bottomRight" activeCell="H32" sqref="H32"/>
    </sheetView>
  </sheetViews>
  <sheetFormatPr defaultRowHeight="15.6" x14ac:dyDescent="0.3"/>
  <cols>
    <col min="1" max="1" width="5.6640625" style="34" customWidth="1"/>
    <col min="2" max="2" width="7.6640625" style="39" customWidth="1"/>
    <col min="3" max="3" width="42.5546875" style="1" customWidth="1"/>
    <col min="4" max="4" width="17" style="30" customWidth="1"/>
    <col min="5" max="5" width="10.5546875" style="235" customWidth="1"/>
    <col min="6" max="6" width="17" style="30" hidden="1" customWidth="1"/>
    <col min="7" max="7" width="10.5546875" style="235" hidden="1" customWidth="1"/>
    <col min="8" max="8" width="15.88671875" style="30" customWidth="1"/>
    <col min="9" max="9" width="7.44140625" style="235" customWidth="1"/>
    <col min="10" max="10" width="17" style="30" customWidth="1"/>
    <col min="11" max="11" width="7.44140625" style="235" customWidth="1"/>
    <col min="12" max="12" width="16.6640625" style="30" customWidth="1"/>
    <col min="13" max="13" width="7.44140625" style="235" customWidth="1"/>
    <col min="14" max="14" width="17.44140625" style="30" customWidth="1"/>
    <col min="15" max="15" width="8.5546875" style="235" customWidth="1"/>
    <col min="16" max="17" width="9.109375" style="30" customWidth="1"/>
    <col min="18" max="18" width="9.109375" customWidth="1"/>
    <col min="23" max="263" width="9.109375" style="1"/>
    <col min="264" max="264" width="22.88671875" style="1" customWidth="1"/>
    <col min="265" max="519" width="9.109375" style="1"/>
    <col min="520" max="520" width="22.88671875" style="1" customWidth="1"/>
    <col min="521" max="775" width="9.109375" style="1"/>
    <col min="776" max="776" width="22.88671875" style="1" customWidth="1"/>
    <col min="777" max="1031" width="9.109375" style="1"/>
    <col min="1032" max="1032" width="22.88671875" style="1" customWidth="1"/>
    <col min="1033" max="1287" width="9.109375" style="1"/>
    <col min="1288" max="1288" width="22.88671875" style="1" customWidth="1"/>
    <col min="1289" max="1543" width="9.109375" style="1"/>
    <col min="1544" max="1544" width="22.88671875" style="1" customWidth="1"/>
    <col min="1545" max="1799" width="9.109375" style="1"/>
    <col min="1800" max="1800" width="22.88671875" style="1" customWidth="1"/>
    <col min="1801" max="2055" width="9.109375" style="1"/>
    <col min="2056" max="2056" width="22.88671875" style="1" customWidth="1"/>
    <col min="2057" max="2311" width="9.109375" style="1"/>
    <col min="2312" max="2312" width="22.88671875" style="1" customWidth="1"/>
    <col min="2313" max="2567" width="9.109375" style="1"/>
    <col min="2568" max="2568" width="22.88671875" style="1" customWidth="1"/>
    <col min="2569" max="2823" width="9.109375" style="1"/>
    <col min="2824" max="2824" width="22.88671875" style="1" customWidth="1"/>
    <col min="2825" max="3079" width="9.109375" style="1"/>
    <col min="3080" max="3080" width="22.88671875" style="1" customWidth="1"/>
    <col min="3081" max="3335" width="9.109375" style="1"/>
    <col min="3336" max="3336" width="22.88671875" style="1" customWidth="1"/>
    <col min="3337" max="3591" width="9.109375" style="1"/>
    <col min="3592" max="3592" width="22.88671875" style="1" customWidth="1"/>
    <col min="3593" max="3847" width="9.109375" style="1"/>
    <col min="3848" max="3848" width="22.88671875" style="1" customWidth="1"/>
    <col min="3849" max="4103" width="9.109375" style="1"/>
    <col min="4104" max="4104" width="22.88671875" style="1" customWidth="1"/>
    <col min="4105" max="4359" width="9.109375" style="1"/>
    <col min="4360" max="4360" width="22.88671875" style="1" customWidth="1"/>
    <col min="4361" max="4615" width="9.109375" style="1"/>
    <col min="4616" max="4616" width="22.88671875" style="1" customWidth="1"/>
    <col min="4617" max="4871" width="9.109375" style="1"/>
    <col min="4872" max="4872" width="22.88671875" style="1" customWidth="1"/>
    <col min="4873" max="5127" width="9.109375" style="1"/>
    <col min="5128" max="5128" width="22.88671875" style="1" customWidth="1"/>
    <col min="5129" max="5383" width="9.109375" style="1"/>
    <col min="5384" max="5384" width="22.88671875" style="1" customWidth="1"/>
    <col min="5385" max="5639" width="9.109375" style="1"/>
    <col min="5640" max="5640" width="22.88671875" style="1" customWidth="1"/>
    <col min="5641" max="5895" width="9.109375" style="1"/>
    <col min="5896" max="5896" width="22.88671875" style="1" customWidth="1"/>
    <col min="5897" max="6151" width="9.109375" style="1"/>
    <col min="6152" max="6152" width="22.88671875" style="1" customWidth="1"/>
    <col min="6153" max="6407" width="9.109375" style="1"/>
    <col min="6408" max="6408" width="22.88671875" style="1" customWidth="1"/>
    <col min="6409" max="6663" width="9.109375" style="1"/>
    <col min="6664" max="6664" width="22.88671875" style="1" customWidth="1"/>
    <col min="6665" max="6919" width="9.109375" style="1"/>
    <col min="6920" max="6920" width="22.88671875" style="1" customWidth="1"/>
    <col min="6921" max="7175" width="9.109375" style="1"/>
    <col min="7176" max="7176" width="22.88671875" style="1" customWidth="1"/>
    <col min="7177" max="7431" width="9.109375" style="1"/>
    <col min="7432" max="7432" width="22.88671875" style="1" customWidth="1"/>
    <col min="7433" max="7687" width="9.109375" style="1"/>
    <col min="7688" max="7688" width="22.88671875" style="1" customWidth="1"/>
    <col min="7689" max="7943" width="9.109375" style="1"/>
    <col min="7944" max="7944" width="22.88671875" style="1" customWidth="1"/>
    <col min="7945" max="8199" width="9.109375" style="1"/>
    <col min="8200" max="8200" width="22.88671875" style="1" customWidth="1"/>
    <col min="8201" max="8455" width="9.109375" style="1"/>
    <col min="8456" max="8456" width="22.88671875" style="1" customWidth="1"/>
    <col min="8457" max="8711" width="9.109375" style="1"/>
    <col min="8712" max="8712" width="22.88671875" style="1" customWidth="1"/>
    <col min="8713" max="8967" width="9.109375" style="1"/>
    <col min="8968" max="8968" width="22.88671875" style="1" customWidth="1"/>
    <col min="8969" max="9223" width="9.109375" style="1"/>
    <col min="9224" max="9224" width="22.88671875" style="1" customWidth="1"/>
    <col min="9225" max="9479" width="9.109375" style="1"/>
    <col min="9480" max="9480" width="22.88671875" style="1" customWidth="1"/>
    <col min="9481" max="9735" width="9.109375" style="1"/>
    <col min="9736" max="9736" width="22.88671875" style="1" customWidth="1"/>
    <col min="9737" max="9991" width="9.109375" style="1"/>
    <col min="9992" max="9992" width="22.88671875" style="1" customWidth="1"/>
    <col min="9993" max="10247" width="9.109375" style="1"/>
    <col min="10248" max="10248" width="22.88671875" style="1" customWidth="1"/>
    <col min="10249" max="10503" width="9.109375" style="1"/>
    <col min="10504" max="10504" width="22.88671875" style="1" customWidth="1"/>
    <col min="10505" max="10759" width="9.109375" style="1"/>
    <col min="10760" max="10760" width="22.88671875" style="1" customWidth="1"/>
    <col min="10761" max="11015" width="9.109375" style="1"/>
    <col min="11016" max="11016" width="22.88671875" style="1" customWidth="1"/>
    <col min="11017" max="11271" width="9.109375" style="1"/>
    <col min="11272" max="11272" width="22.88671875" style="1" customWidth="1"/>
    <col min="11273" max="11527" width="9.109375" style="1"/>
    <col min="11528" max="11528" width="22.88671875" style="1" customWidth="1"/>
    <col min="11529" max="11783" width="9.109375" style="1"/>
    <col min="11784" max="11784" width="22.88671875" style="1" customWidth="1"/>
    <col min="11785" max="12039" width="9.109375" style="1"/>
    <col min="12040" max="12040" width="22.88671875" style="1" customWidth="1"/>
    <col min="12041" max="12295" width="9.109375" style="1"/>
    <col min="12296" max="12296" width="22.88671875" style="1" customWidth="1"/>
    <col min="12297" max="12551" width="9.109375" style="1"/>
    <col min="12552" max="12552" width="22.88671875" style="1" customWidth="1"/>
    <col min="12553" max="12807" width="9.109375" style="1"/>
    <col min="12808" max="12808" width="22.88671875" style="1" customWidth="1"/>
    <col min="12809" max="13063" width="9.109375" style="1"/>
    <col min="13064" max="13064" width="22.88671875" style="1" customWidth="1"/>
    <col min="13065" max="13319" width="9.109375" style="1"/>
    <col min="13320" max="13320" width="22.88671875" style="1" customWidth="1"/>
    <col min="13321" max="13575" width="9.109375" style="1"/>
    <col min="13576" max="13576" width="22.88671875" style="1" customWidth="1"/>
    <col min="13577" max="13831" width="9.109375" style="1"/>
    <col min="13832" max="13832" width="22.88671875" style="1" customWidth="1"/>
    <col min="13833" max="14087" width="9.109375" style="1"/>
    <col min="14088" max="14088" width="22.88671875" style="1" customWidth="1"/>
    <col min="14089" max="14343" width="9.109375" style="1"/>
    <col min="14344" max="14344" width="22.88671875" style="1" customWidth="1"/>
    <col min="14345" max="14599" width="9.109375" style="1"/>
    <col min="14600" max="14600" width="22.88671875" style="1" customWidth="1"/>
    <col min="14601" max="14855" width="9.109375" style="1"/>
    <col min="14856" max="14856" width="22.88671875" style="1" customWidth="1"/>
    <col min="14857" max="15111" width="9.109375" style="1"/>
    <col min="15112" max="15112" width="22.88671875" style="1" customWidth="1"/>
    <col min="15113" max="15367" width="9.109375" style="1"/>
    <col min="15368" max="15368" width="22.88671875" style="1" customWidth="1"/>
    <col min="15369" max="15623" width="9.109375" style="1"/>
    <col min="15624" max="15624" width="22.88671875" style="1" customWidth="1"/>
    <col min="15625" max="15879" width="9.109375" style="1"/>
    <col min="15880" max="15880" width="22.88671875" style="1" customWidth="1"/>
    <col min="15881" max="16135" width="9.109375" style="1"/>
    <col min="16136" max="16136" width="22.88671875" style="1" customWidth="1"/>
    <col min="16137" max="16384" width="9.109375" style="1"/>
  </cols>
  <sheetData>
    <row r="1" spans="1:20" ht="20.399999999999999" x14ac:dyDescent="0.35">
      <c r="A1" s="21" t="str">
        <f>'Student Info'!$A$1</f>
        <v>Three Rivers - 23-65565-0123737</v>
      </c>
    </row>
    <row r="2" spans="1:20" ht="17.399999999999999" x14ac:dyDescent="0.3">
      <c r="A2" s="20" t="s">
        <v>795</v>
      </c>
    </row>
    <row r="3" spans="1:20" ht="17.399999999999999" x14ac:dyDescent="0.3">
      <c r="A3" s="20" t="str">
        <f>'Student Info'!$A$3</f>
        <v>Five Year Budget, 2020-21 through 2024-25</v>
      </c>
    </row>
    <row r="4" spans="1:20" ht="29.25" customHeight="1" x14ac:dyDescent="0.3"/>
    <row r="5" spans="1:20" ht="17.399999999999999" x14ac:dyDescent="0.3">
      <c r="A5" s="28"/>
      <c r="B5" s="40"/>
      <c r="C5" s="28"/>
    </row>
    <row r="6" spans="1:20" ht="18" thickBot="1" x14ac:dyDescent="0.35">
      <c r="A6" s="29"/>
      <c r="B6" s="41" t="s">
        <v>727</v>
      </c>
      <c r="C6" s="29" t="s">
        <v>728</v>
      </c>
      <c r="D6" s="31"/>
      <c r="E6" s="236"/>
      <c r="F6" s="31" t="str">
        <f>'Student Info'!D$6</f>
        <v>2020-21</v>
      </c>
      <c r="G6" s="236"/>
      <c r="H6" s="31" t="str">
        <f>'Student Info'!E$6</f>
        <v>2021-22</v>
      </c>
      <c r="I6" s="236"/>
      <c r="J6" s="31" t="str">
        <f>'Student Info'!F$6</f>
        <v>2022-23</v>
      </c>
      <c r="K6" s="236"/>
      <c r="L6" s="31" t="str">
        <f>'Student Info'!G$6</f>
        <v>2023-24</v>
      </c>
      <c r="M6" s="236"/>
      <c r="N6" s="31" t="str">
        <f>'Student Info'!H$6</f>
        <v>2024-25</v>
      </c>
      <c r="O6" s="236"/>
    </row>
    <row r="7" spans="1:20" ht="17.399999999999999" x14ac:dyDescent="0.3">
      <c r="A7" s="45" t="s">
        <v>789</v>
      </c>
      <c r="B7" s="81"/>
      <c r="C7" s="45"/>
      <c r="D7" s="46"/>
      <c r="E7" s="237"/>
      <c r="F7" s="46"/>
      <c r="G7" s="237"/>
      <c r="H7" s="46"/>
      <c r="I7" s="237"/>
      <c r="J7" s="46"/>
      <c r="K7" s="237"/>
      <c r="L7" s="46"/>
      <c r="M7" s="237"/>
      <c r="N7" s="46"/>
      <c r="O7" s="237"/>
    </row>
    <row r="8" spans="1:20" ht="17.399999999999999" x14ac:dyDescent="0.3">
      <c r="A8" s="45"/>
      <c r="B8" s="136"/>
      <c r="C8" s="137" t="s">
        <v>1252</v>
      </c>
      <c r="D8" s="60"/>
      <c r="E8" s="238"/>
      <c r="F8" s="60">
        <f>IF('Revenue Input'!D12=0,"",'Revenue Input'!D12)</f>
        <v>899642</v>
      </c>
      <c r="G8" s="238"/>
      <c r="H8" s="60">
        <f>IF('Revenue Input'!E12=0,"",'Revenue Input'!E12)</f>
        <v>828142</v>
      </c>
      <c r="I8" s="238"/>
      <c r="J8" s="60">
        <f>IF('Revenue Input'!G12=0,"",'Revenue Input'!G12)</f>
        <v>940148</v>
      </c>
      <c r="K8" s="238"/>
      <c r="L8" s="60">
        <f>IF('Revenue Input'!H12=0,"",'Revenue Input'!H12)</f>
        <v>989896</v>
      </c>
      <c r="M8" s="238"/>
      <c r="N8" s="60">
        <f>IF('Revenue Input'!I12=0,"",'Revenue Input'!I12)</f>
        <v>1049220</v>
      </c>
      <c r="O8" s="238"/>
    </row>
    <row r="9" spans="1:20" ht="17.399999999999999" x14ac:dyDescent="0.3">
      <c r="A9" s="45"/>
      <c r="B9" s="136"/>
      <c r="C9" s="137" t="s">
        <v>791</v>
      </c>
      <c r="D9" s="60"/>
      <c r="E9" s="238"/>
      <c r="F9" s="60">
        <f>IF('Revenue Input'!D27=0,"",'Revenue Input'!D27)</f>
        <v>151087</v>
      </c>
      <c r="G9" s="238"/>
      <c r="H9" s="60">
        <f>IF('Revenue Input'!E27=0,"",'Revenue Input'!E27)</f>
        <v>86381</v>
      </c>
      <c r="I9" s="238"/>
      <c r="J9" s="60">
        <f>IF('Revenue Input'!G27=0,"",'Revenue Input'!G27)</f>
        <v>216196.5</v>
      </c>
      <c r="K9" s="238"/>
      <c r="L9" s="60">
        <f>IF('Revenue Input'!H27=0,"",'Revenue Input'!H27)</f>
        <v>163797.5</v>
      </c>
      <c r="M9" s="238"/>
      <c r="N9" s="60">
        <f>IF('Revenue Input'!I27=0,"",'Revenue Input'!I27)</f>
        <v>46447</v>
      </c>
      <c r="O9" s="238"/>
    </row>
    <row r="10" spans="1:20" ht="17.399999999999999" x14ac:dyDescent="0.3">
      <c r="A10" s="45"/>
      <c r="B10" s="136"/>
      <c r="C10" s="137" t="s">
        <v>1253</v>
      </c>
      <c r="D10" s="60"/>
      <c r="E10" s="238"/>
      <c r="F10" s="60">
        <f>+'Revenue Input'!D40</f>
        <v>61505.575299999997</v>
      </c>
      <c r="G10" s="238"/>
      <c r="H10" s="60">
        <f>+'Revenue Input'!E40</f>
        <v>150844.24349999998</v>
      </c>
      <c r="I10" s="238"/>
      <c r="J10" s="60">
        <f>+'Revenue Input'!G40</f>
        <v>57047.174400000004</v>
      </c>
      <c r="K10" s="238"/>
      <c r="L10" s="60">
        <f>+'Revenue Input'!H40</f>
        <v>57527.556599999996</v>
      </c>
      <c r="M10" s="238"/>
      <c r="N10" s="60">
        <f>+'Revenue Input'!I40</f>
        <v>58498.6518</v>
      </c>
      <c r="O10" s="238"/>
    </row>
    <row r="11" spans="1:20" ht="17.399999999999999" x14ac:dyDescent="0.3">
      <c r="A11" s="45"/>
      <c r="B11" s="136"/>
      <c r="C11" s="137" t="s">
        <v>792</v>
      </c>
      <c r="D11" s="60"/>
      <c r="E11" s="238"/>
      <c r="F11" s="60">
        <f>IF('Revenue Input'!D56=0,"",'Revenue Input'!D56)</f>
        <v>9838</v>
      </c>
      <c r="G11" s="238"/>
      <c r="H11" s="60">
        <f>IF('Revenue Input'!E56=0,"",'Revenue Input'!E56)</f>
        <v>11000</v>
      </c>
      <c r="I11" s="238"/>
      <c r="J11" s="60">
        <f>IF('Revenue Input'!G56=0,"",'Revenue Input'!G56)</f>
        <v>33098</v>
      </c>
      <c r="K11" s="238"/>
      <c r="L11" s="60">
        <f>IF('Revenue Input'!H56=0,"",'Revenue Input'!H56)</f>
        <v>33098</v>
      </c>
      <c r="M11" s="238"/>
      <c r="N11" s="60">
        <f>IF('Revenue Input'!I56=0,"",'Revenue Input'!I56)</f>
        <v>33098</v>
      </c>
      <c r="O11" s="238"/>
      <c r="T11" t="s">
        <v>1260</v>
      </c>
    </row>
    <row r="12" spans="1:20" ht="17.399999999999999" x14ac:dyDescent="0.3">
      <c r="A12" s="45"/>
      <c r="B12" s="33" t="s">
        <v>794</v>
      </c>
      <c r="C12" s="33"/>
      <c r="D12" s="165"/>
      <c r="E12" s="239"/>
      <c r="F12" s="165">
        <f>IF(SUM(F8:F11)&gt;0,SUM(F8:F11),"")</f>
        <v>1122072.5752999999</v>
      </c>
      <c r="G12" s="239"/>
      <c r="H12" s="165">
        <f>IF(SUM(H8:H11)&gt;0,SUM(H8:H11),"")</f>
        <v>1076367.2434999999</v>
      </c>
      <c r="I12" s="239"/>
      <c r="J12" s="165">
        <f>IF(SUM(J8:J11)&gt;0,SUM(J8:J11),"")</f>
        <v>1246489.6743999999</v>
      </c>
      <c r="K12" s="239"/>
      <c r="L12" s="165">
        <f>IF(SUM(L8:L11)&gt;0,SUM(L8:L11),"")</f>
        <v>1244319.0566</v>
      </c>
      <c r="M12" s="239"/>
      <c r="N12" s="165">
        <f>IF(SUM(N8:N11)&gt;0,SUM(N8:N11),"")</f>
        <v>1187263.6518000001</v>
      </c>
      <c r="O12" s="239"/>
    </row>
    <row r="13" spans="1:20" ht="17.399999999999999" x14ac:dyDescent="0.3">
      <c r="A13" s="45"/>
      <c r="B13" s="33"/>
      <c r="C13" s="33"/>
      <c r="D13" s="175"/>
      <c r="E13" s="240"/>
      <c r="F13" s="175"/>
      <c r="G13" s="240"/>
      <c r="H13" s="175"/>
      <c r="I13" s="240"/>
      <c r="J13" s="175"/>
      <c r="K13" s="240"/>
      <c r="L13" s="175"/>
      <c r="M13" s="240"/>
      <c r="N13" s="175"/>
      <c r="O13" s="240"/>
    </row>
    <row r="14" spans="1:20" ht="17.399999999999999" x14ac:dyDescent="0.3">
      <c r="A14" s="45" t="s">
        <v>796</v>
      </c>
      <c r="B14" s="81"/>
      <c r="C14" s="45"/>
      <c r="D14" s="176"/>
      <c r="E14" s="241"/>
      <c r="F14" s="176"/>
      <c r="G14" s="241"/>
      <c r="H14" s="176"/>
      <c r="I14" s="241"/>
      <c r="J14" s="176"/>
      <c r="K14" s="241"/>
      <c r="L14" s="176"/>
      <c r="M14" s="241"/>
      <c r="N14" s="176"/>
      <c r="O14" s="241"/>
      <c r="S14" t="s">
        <v>1282</v>
      </c>
    </row>
    <row r="15" spans="1:20" ht="17.399999999999999" x14ac:dyDescent="0.3">
      <c r="A15" s="45"/>
      <c r="B15" s="63" t="s">
        <v>555</v>
      </c>
      <c r="C15" s="134" t="s">
        <v>732</v>
      </c>
      <c r="D15" s="60"/>
      <c r="E15" s="242"/>
      <c r="F15" s="60">
        <f>IF(SUMIF('Expenses Summary'!$B:$B,'Budget Summary'!$B15,'Expenses Summary'!D:D)=0,"",SUMIF('Expenses Summary'!$B:$B,'Budget Summary'!$B15,'Expenses Summary'!D:D))</f>
        <v>246520</v>
      </c>
      <c r="G15" s="242">
        <f>+F15/$F$23</f>
        <v>0.27173954968855252</v>
      </c>
      <c r="H15" s="60">
        <f>IF(SUMIF('Expenses Summary'!$B:$B,'Budget Summary'!$B15,'Expenses Summary'!R:R)=0,"",SUMIF('Expenses Summary'!$B:$B,'Budget Summary'!$B15,'Expenses Summary'!R:R))</f>
        <v>277256</v>
      </c>
      <c r="I15" s="242">
        <f>+H15/$H$23</f>
        <v>0.27519207550493024</v>
      </c>
      <c r="J15" s="60">
        <f>IF(SUMIF('Expenses Summary'!$B:$B,'Budget Summary'!$B15,'Expenses Summary'!T:T)=0,"",SUMIF('Expenses Summary'!$B:$B,'Budget Summary'!$B15,'Expenses Summary'!T:T))</f>
        <v>293963.68</v>
      </c>
      <c r="K15" s="242">
        <f>+J15/$J$23</f>
        <v>0.28308570615558776</v>
      </c>
      <c r="L15" s="60">
        <f>IF(SUMIF('Expenses Summary'!$B:$B,'Budget Summary'!$B15,'Expenses Summary'!U:U)=0,"",SUMIF('Expenses Summary'!$B:$B,'Budget Summary'!$B15,'Expenses Summary'!U:U))</f>
        <v>294019.09039999999</v>
      </c>
      <c r="M15" s="242">
        <f>+L15/$L$23</f>
        <v>0.27839643956150795</v>
      </c>
      <c r="N15" s="60">
        <f>IF(SUMIF('Expenses Summary'!$B:$B,'Budget Summary'!$B15,'Expenses Summary'!V:V)=0,"",SUMIF('Expenses Summary'!$B:$B,'Budget Summary'!$B15,'Expenses Summary'!V:V))</f>
        <v>302779.66311199998</v>
      </c>
      <c r="O15" s="242">
        <f>+N15/$N$23</f>
        <v>0.2839588334362188</v>
      </c>
    </row>
    <row r="16" spans="1:20" ht="17.399999999999999" x14ac:dyDescent="0.3">
      <c r="A16" s="45"/>
      <c r="B16" s="135" t="s">
        <v>737</v>
      </c>
      <c r="C16" s="134" t="s">
        <v>733</v>
      </c>
      <c r="D16" s="60"/>
      <c r="E16" s="242"/>
      <c r="F16" s="60">
        <f>IF(SUMIF('Expenses Summary'!$B:$B,'Budget Summary'!$B16,'Expenses Summary'!D:D)=0,"",SUMIF('Expenses Summary'!$B:$B,'Budget Summary'!$B16,'Expenses Summary'!D:D))</f>
        <v>166319</v>
      </c>
      <c r="G16" s="242">
        <f>+F16/$F$23</f>
        <v>0.18333380725559939</v>
      </c>
      <c r="H16" s="60">
        <f>IF(SUMIF('Expenses Summary'!$B:$B,'Budget Summary'!$B16,'Expenses Summary'!R:R)=0,"",SUMIF('Expenses Summary'!$B:$B,'Budget Summary'!$B16,'Expenses Summary'!R:R))</f>
        <v>176692.2</v>
      </c>
      <c r="I16" s="242">
        <f>+H16/$H$23</f>
        <v>0.17537688361489828</v>
      </c>
      <c r="J16" s="60">
        <f>IF(SUMIF('Expenses Summary'!$B:$B,'Budget Summary'!$B16,'Expenses Summary'!T:T)=0,"",SUMIF('Expenses Summary'!$B:$B,'Budget Summary'!$B16,'Expenses Summary'!T:T))</f>
        <v>182685.96599999999</v>
      </c>
      <c r="K16" s="242">
        <f>+J16/$J$23</f>
        <v>0.17592576637299442</v>
      </c>
      <c r="L16" s="60">
        <f>IF(SUMIF('Expenses Summary'!$B:$B,'Budget Summary'!$B16,'Expenses Summary'!U:U)=0,"",SUMIF('Expenses Summary'!$B:$B,'Budget Summary'!$B16,'Expenses Summary'!U:U))</f>
        <v>188145.75498000003</v>
      </c>
      <c r="M16" s="242">
        <f>+L16/$L$23</f>
        <v>0.17814866454346348</v>
      </c>
      <c r="N16" s="60">
        <f>IF(SUMIF('Expenses Summary'!$B:$B,'Budget Summary'!$B16,'Expenses Summary'!V:V)=0,"",SUMIF('Expenses Summary'!$B:$B,'Budget Summary'!$B16,'Expenses Summary'!V:V))</f>
        <v>193769.33762940002</v>
      </c>
      <c r="O16" s="242">
        <f>+N16/$N$23</f>
        <v>0.18172460628110315</v>
      </c>
    </row>
    <row r="17" spans="1:22" ht="18" thickBot="1" x14ac:dyDescent="0.35">
      <c r="A17" s="45"/>
      <c r="B17" s="135" t="s">
        <v>738</v>
      </c>
      <c r="C17" s="134" t="s">
        <v>673</v>
      </c>
      <c r="D17" s="257"/>
      <c r="E17" s="258"/>
      <c r="F17" s="60">
        <f>IF(SUMIF('Expenses Summary'!$B:$B,'Budget Summary'!$B17,'Expenses Summary'!D:D)=0,"",SUMIF('Expenses Summary'!$B:$B,'Budget Summary'!$B17,'Expenses Summary'!D:D))</f>
        <v>127396.090335</v>
      </c>
      <c r="G17" s="258">
        <f>+F17/$F$23</f>
        <v>0.14042899651028337</v>
      </c>
      <c r="H17" s="257">
        <f>IF(SUMIF('Expenses Summary'!$B:$B,'Budget Summary'!$B17,'Expenses Summary'!R:R)=0,"",SUMIF('Expenses Summary'!$B:$B,'Budget Summary'!$B17,'Expenses Summary'!R:R))</f>
        <v>132188.72159999999</v>
      </c>
      <c r="I17" s="258">
        <f>+H17/$H$23</f>
        <v>0.13120469405692717</v>
      </c>
      <c r="J17" s="257">
        <f>IF(SUMIF('Expenses Summary'!$B:$B,'Budget Summary'!$B17,'Expenses Summary'!T:T)=0,"",SUMIF('Expenses Summary'!$B:$B,'Budget Summary'!$B17,'Expenses Summary'!T:T))</f>
        <v>139825.42772199999</v>
      </c>
      <c r="K17" s="258">
        <f>+J17/$J$23</f>
        <v>0.13465126013250842</v>
      </c>
      <c r="L17" s="257">
        <f>IF(SUMIF('Expenses Summary'!$B:$B,'Budget Summary'!$B17,'Expenses Summary'!U:U)=0,"",SUMIF('Expenses Summary'!$B:$B,'Budget Summary'!$B17,'Expenses Summary'!U:U))</f>
        <v>141914.35972365999</v>
      </c>
      <c r="M17" s="258">
        <f>+L17/$L$23</f>
        <v>0.13437376605705603</v>
      </c>
      <c r="N17" s="257">
        <f>IF(SUMIF('Expenses Summary'!$B:$B,'Budget Summary'!$B17,'Expenses Summary'!V:V)=0,"",SUMIF('Expenses Summary'!$B:$B,'Budget Summary'!$B17,'Expenses Summary'!V:V))</f>
        <v>141256.48990884982</v>
      </c>
      <c r="O17" s="258">
        <f>+N17/$N$23</f>
        <v>0.13247596512112739</v>
      </c>
    </row>
    <row r="18" spans="1:22" s="254" customFormat="1" ht="15" customHeight="1" x14ac:dyDescent="0.3">
      <c r="A18" s="249"/>
      <c r="B18" s="250"/>
      <c r="C18" s="251" t="s">
        <v>1211</v>
      </c>
      <c r="D18" s="255"/>
      <c r="E18" s="256"/>
      <c r="F18" s="255">
        <f>SUM(F15:F17)</f>
        <v>540235.09033499996</v>
      </c>
      <c r="G18" s="256">
        <f t="shared" ref="G18:N18" si="0">SUM(G15:G17)</f>
        <v>0.59550235345443525</v>
      </c>
      <c r="H18" s="255">
        <f t="shared" si="0"/>
        <v>586136.9216</v>
      </c>
      <c r="I18" s="256">
        <f>SUM(I15:I17)</f>
        <v>0.58177365317675567</v>
      </c>
      <c r="J18" s="255">
        <f t="shared" si="0"/>
        <v>616475.073722</v>
      </c>
      <c r="K18" s="256">
        <f>SUM(K15:K17)</f>
        <v>0.5936627326610906</v>
      </c>
      <c r="L18" s="255">
        <f t="shared" si="0"/>
        <v>624079.20510366</v>
      </c>
      <c r="M18" s="256">
        <f>SUM(M15:M17)</f>
        <v>0.59091887016202738</v>
      </c>
      <c r="N18" s="255">
        <f t="shared" si="0"/>
        <v>637805.49065024988</v>
      </c>
      <c r="O18" s="256">
        <f>SUM(O15:O17)</f>
        <v>0.59815940483844932</v>
      </c>
      <c r="P18" s="252"/>
      <c r="Q18" s="252"/>
      <c r="R18" s="253"/>
      <c r="S18" s="253"/>
      <c r="T18" s="253"/>
      <c r="U18" s="253"/>
      <c r="V18" s="253"/>
    </row>
    <row r="19" spans="1:22" ht="17.399999999999999" x14ac:dyDescent="0.3">
      <c r="A19" s="45"/>
      <c r="B19" s="135" t="s">
        <v>558</v>
      </c>
      <c r="C19" s="134" t="s">
        <v>677</v>
      </c>
      <c r="D19" s="60"/>
      <c r="E19" s="242"/>
      <c r="F19" s="60">
        <f>IF(SUMIF('Expenses Summary'!$B:$B,'Budget Summary'!$B19,'Expenses Summary'!D:D)=0,"",SUMIF('Expenses Summary'!$B:$B,'Budget Summary'!$B19,'Expenses Summary'!D:D))</f>
        <v>79637</v>
      </c>
      <c r="G19" s="242">
        <f>+F19/$F$23</f>
        <v>8.7784043966198502E-2</v>
      </c>
      <c r="H19" s="60">
        <f>IF(SUMIF('Expenses Summary'!$B:$B,'Budget Summary'!$B19,'Expenses Summary'!R:R)=0,"",SUMIF('Expenses Summary'!$B:$B,'Budget Summary'!$B19,'Expenses Summary'!R:R))</f>
        <v>81800</v>
      </c>
      <c r="I19" s="242">
        <f>+H19/$H$23</f>
        <v>8.1191071703780232E-2</v>
      </c>
      <c r="J19" s="60">
        <f>IF(SUMIF('Expenses Summary'!$B:$B,'Budget Summary'!$B19,'Expenses Summary'!T:T)=0,"",SUMIF('Expenses Summary'!$B:$B,'Budget Summary'!$B19,'Expenses Summary'!T:T))</f>
        <v>89790.464000000007</v>
      </c>
      <c r="K19" s="242">
        <f>+J19/$J$23</f>
        <v>8.6467814348622538E-2</v>
      </c>
      <c r="L19" s="60">
        <f>IF(SUMIF('Expenses Summary'!$B:$B,'Budget Summary'!$B19,'Expenses Summary'!U:U)=0,"",SUMIF('Expenses Summary'!$B:$B,'Budget Summary'!$B19,'Expenses Summary'!U:U))</f>
        <v>92663.758847999998</v>
      </c>
      <c r="M19" s="242">
        <f>+L19/$L$23</f>
        <v>8.774008689222644E-2</v>
      </c>
      <c r="N19" s="60">
        <f>IF(SUMIF('Expenses Summary'!$B:$B,'Budget Summary'!$B19,'Expenses Summary'!V:V)=0,"",SUMIF('Expenses Summary'!$B:$B,'Budget Summary'!$B19,'Expenses Summary'!V:V))</f>
        <v>95591.933627596809</v>
      </c>
      <c r="O19" s="242">
        <f>+N19/$N$23</f>
        <v>8.9649924568295916E-2</v>
      </c>
    </row>
    <row r="20" spans="1:22" ht="17.399999999999999" x14ac:dyDescent="0.3">
      <c r="A20" s="45"/>
      <c r="B20" s="135" t="s">
        <v>559</v>
      </c>
      <c r="C20" s="134" t="s">
        <v>721</v>
      </c>
      <c r="D20" s="60"/>
      <c r="E20" s="242"/>
      <c r="F20" s="60">
        <f>IF(SUMIF('Expenses Summary'!$B:$B,'Budget Summary'!$B20,'Expenses Summary'!D:D)=0,"",SUMIF('Expenses Summary'!$B:$B,'Budget Summary'!$B20,'Expenses Summary'!D:D))</f>
        <v>284411.39</v>
      </c>
      <c r="G20" s="242">
        <f>+F20/$F$23</f>
        <v>0.3135073139903265</v>
      </c>
      <c r="H20" s="60">
        <f>IF(SUMIF('Expenses Summary'!$B:$B,'Budget Summary'!$B20,'Expenses Summary'!R:R)=0,"",SUMIF('Expenses Summary'!$B:$B,'Budget Summary'!$B20,'Expenses Summary'!R:R))</f>
        <v>336654.30000000005</v>
      </c>
      <c r="I20" s="242">
        <f>+H20/$H$23</f>
        <v>0.33414820795459593</v>
      </c>
      <c r="J20" s="60">
        <f>IF(SUMIF('Expenses Summary'!$B:$B,'Budget Summary'!$B20,'Expenses Summary'!T:T)=0,"",SUMIF('Expenses Summary'!$B:$B,'Budget Summary'!$B20,'Expenses Summary'!T:T))</f>
        <v>329252.17500799999</v>
      </c>
      <c r="K20" s="242">
        <f>+J20/$J$23</f>
        <v>0.31706836866854721</v>
      </c>
      <c r="L20" s="60">
        <f>IF(SUMIF('Expenses Summary'!$B:$B,'Budget Summary'!$B20,'Expenses Summary'!U:U)=0,"",SUMIF('Expenses Summary'!$B:$B,'Budget Summary'!$B20,'Expenses Summary'!U:U))</f>
        <v>336464.877248256</v>
      </c>
      <c r="M20" s="242">
        <f>+L20/$L$23</f>
        <v>0.31858687725337681</v>
      </c>
      <c r="N20" s="60">
        <f>IF(SUMIF('Expenses Summary'!$B:$B,'Budget Summary'!$B20,'Expenses Summary'!V:V)=0,"",SUMIF('Expenses Summary'!$B:$B,'Budget Summary'!$B20,'Expenses Summary'!V:V))</f>
        <v>329973.99023330089</v>
      </c>
      <c r="O20" s="242">
        <f>+N20/$N$23</f>
        <v>0.30946275706860327</v>
      </c>
    </row>
    <row r="21" spans="1:22" ht="17.399999999999999" x14ac:dyDescent="0.3">
      <c r="A21" s="45"/>
      <c r="B21" s="135" t="s">
        <v>560</v>
      </c>
      <c r="C21" s="88" t="s">
        <v>1321</v>
      </c>
      <c r="D21" s="60"/>
      <c r="E21" s="242"/>
      <c r="F21" s="60">
        <f>IF(SUMIF('Expenses Summary'!$B:$B,'Budget Summary'!$B21,'Expenses Summary'!D:D)=0,"",SUMIF('Expenses Summary'!$B:$B,'Budget Summary'!$B21,'Expenses Summary'!D:D))</f>
        <v>2908.72</v>
      </c>
      <c r="G21" s="242"/>
      <c r="H21" s="60">
        <f>IF(SUMIF('Expenses Summary'!$B:$B,'Budget Summary'!$B21,'Expenses Summary'!R:R)=0,"",SUMIF('Expenses Summary'!$B:$B,'Budget Summary'!$B21,'Expenses Summary'!R:R))</f>
        <v>2908.72</v>
      </c>
      <c r="I21" s="242"/>
      <c r="J21" s="60">
        <f>IF(SUMIF('Expenses Summary'!$B:$B,'Budget Summary'!$B21,'Expenses Summary'!T:T)=0,"",SUMIF('Expenses Summary'!$B:$B,'Budget Summary'!$B21,'Expenses Summary'!T:T))</f>
        <v>2908.72</v>
      </c>
      <c r="K21" s="242"/>
      <c r="L21" s="60">
        <f>IF(SUMIF('Expenses Summary'!$B:$B,'Budget Summary'!$B21,'Expenses Summary'!U:U)=0,"",SUMIF('Expenses Summary'!$B:$B,'Budget Summary'!$B21,'Expenses Summary'!U:U))</f>
        <v>2908.72</v>
      </c>
      <c r="M21" s="242"/>
      <c r="N21" s="60">
        <f>IF(SUMIF('Expenses Summary'!$B:$B,'Budget Summary'!$B21,'Expenses Summary'!V:V)=0,"",SUMIF('Expenses Summary'!$B:$B,'Budget Summary'!$B21,'Expenses Summary'!V:V))</f>
        <v>2908.72</v>
      </c>
      <c r="O21" s="242"/>
    </row>
    <row r="22" spans="1:22" ht="17.399999999999999" x14ac:dyDescent="0.3">
      <c r="A22" s="45"/>
      <c r="B22" s="135" t="s">
        <v>684</v>
      </c>
      <c r="C22" s="88" t="s">
        <v>723</v>
      </c>
      <c r="D22" s="60"/>
      <c r="E22" s="238"/>
      <c r="F22" s="60" t="str">
        <f>'Expenses Summary'!D113</f>
        <v/>
      </c>
      <c r="G22" s="238"/>
      <c r="H22" s="60" t="str">
        <f>IF(SUMIF('Expenses Summary'!$B:$B,'Budget Summary'!$B22,'Expenses Summary'!R:R)=0,"",SUMIF('Expenses Summary'!$B:$B,'Budget Summary'!$B22,'Expenses Summary'!R:R))</f>
        <v/>
      </c>
      <c r="I22" s="238"/>
      <c r="J22" s="60" t="str">
        <f>IF(SUMIF('Expenses Summary'!$B:$B,'Budget Summary'!$B22,'Expenses Summary'!T:T)=0,"",SUMIF('Expenses Summary'!$B:$B,'Budget Summary'!$B22,'Expenses Summary'!T:T))</f>
        <v/>
      </c>
      <c r="K22" s="238"/>
      <c r="L22" s="60" t="str">
        <f>IF(SUMIF('Expenses Summary'!$B:$B,'Budget Summary'!$B22,'Expenses Summary'!U:U)=0,"",SUMIF('Expenses Summary'!$B:$B,'Budget Summary'!$B22,'Expenses Summary'!U:U))</f>
        <v/>
      </c>
      <c r="M22" s="238"/>
      <c r="N22" s="60" t="str">
        <f>IF(SUMIF('Expenses Summary'!$B:$B,'Budget Summary'!$B22,'Expenses Summary'!V:V)=0,"",SUMIF('Expenses Summary'!$B:$B,'Budget Summary'!$B22,'Expenses Summary'!V:V))</f>
        <v/>
      </c>
      <c r="O22" s="238"/>
    </row>
    <row r="23" spans="1:22" ht="17.399999999999999" x14ac:dyDescent="0.3">
      <c r="A23" s="45"/>
      <c r="B23" s="33" t="s">
        <v>731</v>
      </c>
      <c r="C23" s="33"/>
      <c r="D23" s="165"/>
      <c r="E23" s="274"/>
      <c r="F23" s="165">
        <f>IF(SUM(F18:F22)&gt;0,SUM(F18:F22),"")</f>
        <v>907192.20033499994</v>
      </c>
      <c r="G23" s="274"/>
      <c r="H23" s="165">
        <f>IF(SUM(H18:H22)&gt;0,SUM(H18:H22),"")</f>
        <v>1007499.9416</v>
      </c>
      <c r="I23" s="243"/>
      <c r="J23" s="165">
        <f>IF(SUM(J18:J22)&gt;0,SUM(J18:J22),"")</f>
        <v>1038426.43273</v>
      </c>
      <c r="K23" s="243"/>
      <c r="L23" s="165">
        <f>IF(SUM(L18:L22)&gt;0,SUM(L18:L22),"")</f>
        <v>1056116.5611999158</v>
      </c>
      <c r="M23" s="243"/>
      <c r="N23" s="165">
        <f>IF(SUM(N18:N22)&gt;0,SUM(N18:N22),"")</f>
        <v>1066280.1345111476</v>
      </c>
      <c r="O23" s="243"/>
    </row>
    <row r="24" spans="1:22" s="30" customFormat="1" ht="16.2" thickBot="1" x14ac:dyDescent="0.35">
      <c r="A24" s="86"/>
      <c r="B24" s="84"/>
      <c r="C24" s="85"/>
      <c r="D24" s="177"/>
      <c r="E24" s="244"/>
      <c r="F24" s="177"/>
      <c r="G24" s="244"/>
      <c r="H24" s="177"/>
      <c r="I24" s="244"/>
      <c r="J24" s="177"/>
      <c r="K24" s="244"/>
      <c r="L24" s="177"/>
      <c r="M24" s="244"/>
      <c r="N24" s="177"/>
      <c r="O24" s="244"/>
      <c r="R24"/>
      <c r="S24"/>
      <c r="T24"/>
      <c r="U24"/>
      <c r="V24"/>
    </row>
    <row r="25" spans="1:22" s="30" customFormat="1" x14ac:dyDescent="0.3">
      <c r="A25" s="33" t="s">
        <v>797</v>
      </c>
      <c r="B25" s="4"/>
      <c r="C25" s="3"/>
      <c r="D25" s="165"/>
      <c r="E25" s="239"/>
      <c r="F25" s="317">
        <f>IF(F23="","",F12-F23)</f>
        <v>214880.37496499997</v>
      </c>
      <c r="G25" s="239"/>
      <c r="H25" s="165">
        <f>IF(H23="","",H12-H23)</f>
        <v>68867.301899999846</v>
      </c>
      <c r="I25" s="239"/>
      <c r="J25" s="165">
        <f>IF(J23="","",J12-J23)</f>
        <v>208063.2416699999</v>
      </c>
      <c r="K25" s="239"/>
      <c r="L25" s="165">
        <f>IF(L23="","",L12-L23)</f>
        <v>188202.49540008418</v>
      </c>
      <c r="M25" s="239"/>
      <c r="N25" s="165">
        <f>IF(N23="","",N12-N23)</f>
        <v>120983.51728885248</v>
      </c>
      <c r="O25" s="239"/>
      <c r="R25"/>
      <c r="S25"/>
      <c r="T25"/>
      <c r="U25" t="s">
        <v>1270</v>
      </c>
      <c r="V25"/>
    </row>
    <row r="26" spans="1:22" s="30" customFormat="1" x14ac:dyDescent="0.3">
      <c r="A26" s="33"/>
      <c r="B26" s="39" t="s">
        <v>1210</v>
      </c>
      <c r="C26" s="3"/>
      <c r="D26" s="179"/>
      <c r="E26" s="245"/>
      <c r="F26" s="179">
        <f>F25/SUM('Revenue Input'!D8:D10)</f>
        <v>0.23885098179609218</v>
      </c>
      <c r="G26" s="245"/>
      <c r="H26" s="179">
        <f>H25/SUM('Revenue Input'!E8:E10)</f>
        <v>8.3158808392763378E-2</v>
      </c>
      <c r="I26" s="245"/>
      <c r="J26" s="179">
        <f>J25/SUM('Revenue Input'!G8:G10)</f>
        <v>0.22130902971659772</v>
      </c>
      <c r="K26" s="245"/>
      <c r="L26" s="179">
        <f>L25/SUM('Revenue Input'!H8:H10)</f>
        <v>0.19012350327719699</v>
      </c>
      <c r="M26" s="245"/>
      <c r="N26" s="179">
        <f>N25/SUM('Revenue Input'!I8:I10)</f>
        <v>0.11530805483011426</v>
      </c>
      <c r="O26" s="245"/>
      <c r="R26"/>
      <c r="S26"/>
      <c r="T26"/>
      <c r="U26"/>
      <c r="V26"/>
    </row>
    <row r="27" spans="1:22" s="30" customFormat="1" x14ac:dyDescent="0.3">
      <c r="A27" s="33"/>
      <c r="B27" s="39"/>
      <c r="C27" s="3"/>
      <c r="D27" s="179"/>
      <c r="E27" s="245"/>
      <c r="F27" s="179"/>
      <c r="G27" s="245"/>
      <c r="H27" s="179"/>
      <c r="I27" s="245"/>
      <c r="J27" s="179"/>
      <c r="K27" s="245"/>
      <c r="L27" s="179"/>
      <c r="M27" s="245"/>
      <c r="N27" s="179"/>
      <c r="O27" s="245"/>
      <c r="R27"/>
      <c r="S27"/>
      <c r="T27"/>
      <c r="U27"/>
      <c r="V27"/>
    </row>
    <row r="28" spans="1:22" s="30" customFormat="1" hidden="1" x14ac:dyDescent="0.3">
      <c r="A28" s="33"/>
      <c r="B28" s="39"/>
      <c r="C28" s="3" t="s">
        <v>1289</v>
      </c>
      <c r="D28" s="179"/>
      <c r="E28" s="245"/>
      <c r="F28" s="307"/>
      <c r="G28" s="307"/>
      <c r="H28" s="307">
        <v>0</v>
      </c>
      <c r="I28" s="307"/>
      <c r="J28" s="307"/>
      <c r="K28" s="307"/>
      <c r="L28" s="307"/>
      <c r="M28" s="307"/>
      <c r="N28" s="307"/>
      <c r="O28" s="245"/>
      <c r="R28"/>
      <c r="S28"/>
      <c r="T28"/>
      <c r="U28"/>
      <c r="V28"/>
    </row>
    <row r="29" spans="1:22" s="30" customFormat="1" hidden="1" x14ac:dyDescent="0.3">
      <c r="A29" s="33"/>
      <c r="B29" s="39"/>
      <c r="C29" s="3" t="s">
        <v>1290</v>
      </c>
      <c r="D29" s="179"/>
      <c r="E29" s="245"/>
      <c r="F29" s="307">
        <v>0</v>
      </c>
      <c r="G29" s="307"/>
      <c r="H29" s="307"/>
      <c r="I29" s="307"/>
      <c r="J29" s="307"/>
      <c r="K29" s="307"/>
      <c r="L29" s="307"/>
      <c r="M29" s="307"/>
      <c r="N29" s="307"/>
      <c r="O29" s="245"/>
      <c r="R29"/>
      <c r="S29"/>
      <c r="T29"/>
      <c r="U29"/>
      <c r="V29"/>
    </row>
    <row r="30" spans="1:22" s="30" customFormat="1" x14ac:dyDescent="0.3">
      <c r="A30" s="35"/>
      <c r="B30" s="39"/>
      <c r="C30" s="1"/>
      <c r="D30" s="178"/>
      <c r="E30" s="246"/>
      <c r="F30" s="178"/>
      <c r="G30" s="246"/>
      <c r="H30" s="178"/>
      <c r="I30" s="246"/>
      <c r="J30" s="178"/>
      <c r="K30" s="246"/>
      <c r="L30" s="178"/>
      <c r="M30" s="246"/>
      <c r="N30" s="178"/>
      <c r="O30" s="246"/>
      <c r="R30"/>
      <c r="S30"/>
      <c r="T30"/>
      <c r="U30"/>
      <c r="V30"/>
    </row>
    <row r="31" spans="1:22" s="30" customFormat="1" x14ac:dyDescent="0.3">
      <c r="A31" s="33" t="s">
        <v>1189</v>
      </c>
      <c r="B31" s="39"/>
      <c r="C31" s="1"/>
      <c r="D31" s="296"/>
      <c r="E31" s="247"/>
      <c r="F31" s="296">
        <v>1033700</v>
      </c>
      <c r="G31" s="247"/>
      <c r="H31" s="296">
        <v>1252509</v>
      </c>
      <c r="I31" s="247"/>
      <c r="J31" s="226">
        <f>H36</f>
        <v>1321376.3018999998</v>
      </c>
      <c r="K31" s="247"/>
      <c r="L31" s="226">
        <f>J36</f>
        <v>1529439.5435699997</v>
      </c>
      <c r="M31" s="247"/>
      <c r="N31" s="226">
        <f>L36</f>
        <v>1717642.0389700839</v>
      </c>
      <c r="O31" s="247"/>
      <c r="R31"/>
      <c r="S31"/>
      <c r="T31"/>
      <c r="U31"/>
      <c r="V31"/>
    </row>
    <row r="32" spans="1:22" s="30" customFormat="1" x14ac:dyDescent="0.3">
      <c r="A32" s="35"/>
      <c r="B32" s="39"/>
      <c r="C32" s="1"/>
      <c r="D32" s="178"/>
      <c r="E32" s="246"/>
      <c r="F32" s="178"/>
      <c r="G32" s="246"/>
      <c r="H32" s="178"/>
      <c r="I32" s="246"/>
      <c r="J32" s="178"/>
      <c r="K32" s="246"/>
      <c r="L32" s="178"/>
      <c r="M32" s="246"/>
      <c r="N32" s="178"/>
      <c r="O32" s="246"/>
      <c r="R32"/>
      <c r="S32"/>
      <c r="T32"/>
      <c r="U32"/>
      <c r="V32"/>
    </row>
    <row r="33" spans="1:22" s="30" customFormat="1" hidden="1" x14ac:dyDescent="0.3">
      <c r="A33" s="35"/>
      <c r="B33" s="39"/>
      <c r="C33" s="1"/>
      <c r="D33" s="178"/>
      <c r="E33" s="246"/>
      <c r="F33" s="178"/>
      <c r="G33" s="246"/>
      <c r="H33" s="178"/>
      <c r="I33" s="246"/>
      <c r="J33" s="178"/>
      <c r="K33" s="246"/>
      <c r="L33" s="178"/>
      <c r="M33" s="246"/>
      <c r="N33" s="178"/>
      <c r="O33" s="246"/>
      <c r="R33"/>
      <c r="S33"/>
      <c r="T33"/>
      <c r="U33"/>
      <c r="V33"/>
    </row>
    <row r="34" spans="1:22" s="30" customFormat="1" hidden="1" x14ac:dyDescent="0.3">
      <c r="A34" s="207"/>
      <c r="B34" s="39"/>
      <c r="C34" s="1"/>
      <c r="D34" s="178"/>
      <c r="E34" s="246"/>
      <c r="F34" s="178"/>
      <c r="G34" s="246"/>
      <c r="H34" s="178"/>
      <c r="I34" s="246"/>
      <c r="J34" s="178"/>
      <c r="K34" s="246"/>
      <c r="L34" s="178"/>
      <c r="M34" s="246"/>
      <c r="N34" s="178"/>
      <c r="O34" s="246"/>
      <c r="R34"/>
      <c r="S34"/>
      <c r="T34"/>
      <c r="U34"/>
      <c r="V34"/>
    </row>
    <row r="35" spans="1:22" s="30" customFormat="1" hidden="1" x14ac:dyDescent="0.3">
      <c r="B35" s="39"/>
      <c r="C35" s="1"/>
      <c r="D35" s="178"/>
      <c r="E35" s="246"/>
      <c r="F35" s="178"/>
      <c r="G35" s="246"/>
      <c r="H35" s="178"/>
      <c r="I35" s="246"/>
      <c r="J35" s="178"/>
      <c r="K35" s="246"/>
      <c r="L35" s="178"/>
      <c r="M35" s="246"/>
      <c r="N35" s="178"/>
      <c r="O35" s="246"/>
      <c r="R35"/>
      <c r="S35"/>
      <c r="T35"/>
      <c r="U35"/>
      <c r="V35"/>
    </row>
    <row r="36" spans="1:22" s="30" customFormat="1" x14ac:dyDescent="0.3">
      <c r="A36" s="33" t="s">
        <v>1012</v>
      </c>
      <c r="C36" s="1"/>
      <c r="D36" s="165"/>
      <c r="E36" s="239"/>
      <c r="F36" s="165">
        <f>F31+F25-F34+F28</f>
        <v>1248580.374965</v>
      </c>
      <c r="G36" s="239"/>
      <c r="H36" s="165">
        <f>H31+H25-H34+H28+H29</f>
        <v>1321376.3018999998</v>
      </c>
      <c r="I36" s="239"/>
      <c r="J36" s="165">
        <f>J31+J25-J34+J29</f>
        <v>1529439.5435699997</v>
      </c>
      <c r="K36" s="239"/>
      <c r="L36" s="165">
        <f>L31+L25-L34+L29</f>
        <v>1717642.0389700839</v>
      </c>
      <c r="M36" s="165"/>
      <c r="N36" s="165">
        <f>N31+N25-N34+N29</f>
        <v>1838625.5562589364</v>
      </c>
      <c r="O36" s="239"/>
      <c r="R36"/>
      <c r="S36"/>
      <c r="T36"/>
      <c r="U36"/>
      <c r="V36"/>
    </row>
    <row r="37" spans="1:22" s="39" customFormat="1" x14ac:dyDescent="0.3">
      <c r="A37" s="35"/>
      <c r="B37" s="39" t="s">
        <v>1210</v>
      </c>
      <c r="C37" s="1"/>
      <c r="D37" s="179"/>
      <c r="E37" s="245"/>
      <c r="F37" s="179">
        <f>F36/SUM('Revenue Input'!D8:D10)</f>
        <v>1.3878635890331932</v>
      </c>
      <c r="G37" s="245"/>
      <c r="H37" s="179">
        <f>H36/SUM('Revenue Input'!E8:E10)</f>
        <v>1.5955914588319393</v>
      </c>
      <c r="I37" s="245"/>
      <c r="J37" s="179">
        <f>J36/SUM('Revenue Input'!G8:G10)</f>
        <v>1.6268072086203447</v>
      </c>
      <c r="K37" s="245"/>
      <c r="L37" s="179">
        <f>L36/SUM('Revenue Input'!H8:H10)</f>
        <v>1.7351742394858489</v>
      </c>
      <c r="M37" s="245"/>
      <c r="N37" s="179">
        <f>N36/SUM('Revenue Input'!I8:I10)</f>
        <v>1.7523737216779478</v>
      </c>
      <c r="O37" s="245"/>
      <c r="P37" s="30"/>
      <c r="Q37" s="30"/>
      <c r="R37"/>
      <c r="S37"/>
      <c r="T37"/>
      <c r="U37"/>
      <c r="V37"/>
    </row>
    <row r="38" spans="1:22" s="39" customFormat="1" x14ac:dyDescent="0.3">
      <c r="A38" s="35"/>
      <c r="E38" s="248"/>
      <c r="G38" s="248"/>
      <c r="I38" s="248"/>
      <c r="K38" s="248"/>
      <c r="M38" s="248"/>
      <c r="O38" s="248"/>
      <c r="P38" s="30"/>
      <c r="Q38" s="30"/>
      <c r="R38"/>
      <c r="S38"/>
      <c r="T38"/>
      <c r="U38"/>
      <c r="V38"/>
    </row>
    <row r="39" spans="1:22" s="39" customFormat="1" x14ac:dyDescent="0.3">
      <c r="A39" s="35"/>
      <c r="B39" s="174"/>
      <c r="C39" s="1"/>
      <c r="D39" s="178"/>
      <c r="E39" s="246"/>
      <c r="F39" s="178"/>
      <c r="G39" s="246"/>
      <c r="H39" s="178"/>
      <c r="I39" s="246"/>
      <c r="J39" s="178"/>
      <c r="K39" s="246"/>
      <c r="L39" s="178"/>
      <c r="M39" s="246"/>
      <c r="N39" s="178"/>
      <c r="O39" s="246"/>
      <c r="P39" s="30"/>
      <c r="Q39" s="30"/>
      <c r="R39"/>
      <c r="S39"/>
      <c r="T39"/>
      <c r="U39"/>
      <c r="V39"/>
    </row>
    <row r="40" spans="1:22" s="39" customFormat="1" x14ac:dyDescent="0.3">
      <c r="A40" s="35"/>
      <c r="C40" s="1"/>
      <c r="D40" s="30"/>
      <c r="E40" s="235"/>
      <c r="F40" s="30"/>
      <c r="G40" s="235"/>
      <c r="H40" s="30"/>
      <c r="I40" s="235"/>
      <c r="J40" s="30"/>
      <c r="K40" s="235"/>
      <c r="L40" s="30"/>
      <c r="M40" s="235"/>
      <c r="N40" s="30"/>
      <c r="O40" s="235"/>
      <c r="P40" s="30"/>
      <c r="Q40" s="30"/>
      <c r="R40"/>
      <c r="S40"/>
      <c r="T40"/>
      <c r="U40"/>
      <c r="V40"/>
    </row>
    <row r="41" spans="1:22" s="39" customFormat="1" x14ac:dyDescent="0.3">
      <c r="A41" s="35"/>
      <c r="C41" s="1"/>
      <c r="D41" s="30"/>
      <c r="E41" s="235"/>
      <c r="F41" s="30"/>
      <c r="G41" s="235"/>
      <c r="H41" s="30"/>
      <c r="I41" s="235"/>
      <c r="J41" s="30"/>
      <c r="K41" s="235"/>
      <c r="L41" s="30"/>
      <c r="M41" s="235"/>
      <c r="N41" s="30"/>
      <c r="O41" s="235"/>
      <c r="P41" s="30"/>
      <c r="Q41" s="30"/>
      <c r="R41"/>
      <c r="S41"/>
      <c r="T41"/>
      <c r="U41"/>
      <c r="V41"/>
    </row>
    <row r="42" spans="1:22" s="39" customFormat="1" x14ac:dyDescent="0.3">
      <c r="A42" s="35"/>
      <c r="C42" s="1"/>
      <c r="D42" s="30"/>
      <c r="E42" s="235"/>
      <c r="F42" s="30"/>
      <c r="G42" s="235"/>
      <c r="H42" s="30"/>
      <c r="I42" s="235"/>
      <c r="J42" s="30"/>
      <c r="K42" s="235"/>
      <c r="L42" s="30"/>
      <c r="M42" s="235"/>
      <c r="N42" s="30"/>
      <c r="O42" s="235"/>
      <c r="P42" s="30"/>
      <c r="Q42" s="30"/>
      <c r="R42"/>
      <c r="S42"/>
      <c r="T42"/>
      <c r="U42"/>
      <c r="V42"/>
    </row>
    <row r="43" spans="1:22" s="39" customFormat="1" x14ac:dyDescent="0.3">
      <c r="A43" s="35"/>
      <c r="C43" s="1"/>
      <c r="D43" s="30"/>
      <c r="E43" s="235"/>
      <c r="F43" s="30"/>
      <c r="G43" s="235"/>
      <c r="H43" s="30"/>
      <c r="I43" s="235"/>
      <c r="J43" s="30"/>
      <c r="K43" s="235"/>
      <c r="L43" s="30"/>
      <c r="M43" s="235"/>
      <c r="N43" s="30"/>
      <c r="O43" s="235"/>
      <c r="P43" s="30"/>
      <c r="Q43" s="30"/>
      <c r="R43"/>
      <c r="S43"/>
      <c r="T43"/>
      <c r="U43"/>
      <c r="V43"/>
    </row>
    <row r="44" spans="1:22" s="39" customFormat="1" x14ac:dyDescent="0.3">
      <c r="A44" s="35"/>
      <c r="C44" s="1"/>
      <c r="D44" s="30"/>
      <c r="E44" s="235"/>
      <c r="F44" s="30"/>
      <c r="G44" s="235"/>
      <c r="H44" s="30"/>
      <c r="I44" s="235"/>
      <c r="J44" s="30"/>
      <c r="K44" s="235"/>
      <c r="L44" s="30"/>
      <c r="M44" s="235"/>
      <c r="N44" s="30"/>
      <c r="O44" s="235"/>
      <c r="P44" s="30"/>
      <c r="Q44" s="30"/>
      <c r="R44"/>
      <c r="S44"/>
      <c r="T44"/>
      <c r="U44"/>
      <c r="V44"/>
    </row>
    <row r="45" spans="1:22" s="39" customFormat="1" x14ac:dyDescent="0.3">
      <c r="A45" s="35"/>
      <c r="C45" s="1"/>
      <c r="D45" s="30"/>
      <c r="E45" s="235"/>
      <c r="F45" s="30"/>
      <c r="G45" s="235"/>
      <c r="H45" s="30"/>
      <c r="I45" s="235"/>
      <c r="J45" s="30"/>
      <c r="K45" s="235"/>
      <c r="L45" s="30"/>
      <c r="M45" s="235"/>
      <c r="N45" s="30"/>
      <c r="O45" s="235"/>
      <c r="P45" s="30"/>
      <c r="Q45" s="30"/>
      <c r="R45"/>
      <c r="S45"/>
      <c r="T45"/>
      <c r="U45"/>
      <c r="V45"/>
    </row>
  </sheetData>
  <printOptions horizontalCentered="1"/>
  <pageMargins left="0.7" right="0.7" top="0.75" bottom="0.75" header="0.3" footer="0.3"/>
  <pageSetup scale="59" fitToHeight="0" orientation="landscape" r:id="rId1"/>
  <headerFooter alignWithMargins="0">
    <oddHeader>&amp;A</oddHeader>
    <oddFooter>Page &amp;P</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499984740745262"/>
    <pageSetUpPr fitToPage="1"/>
  </sheetPr>
  <dimension ref="A1:Z89"/>
  <sheetViews>
    <sheetView zoomScale="80" zoomScaleNormal="80" workbookViewId="0">
      <pane xSplit="3" ySplit="6" topLeftCell="I7" activePane="bottomRight" state="frozen"/>
      <selection activeCell="S20" sqref="S20"/>
      <selection pane="topRight" activeCell="S20" sqref="S20"/>
      <selection pane="bottomLeft" activeCell="S20" sqref="S20"/>
      <selection pane="bottomRight" activeCell="J2" sqref="J2"/>
    </sheetView>
  </sheetViews>
  <sheetFormatPr defaultColWidth="9.109375" defaultRowHeight="15.6" outlineLevelRow="1" x14ac:dyDescent="0.3"/>
  <cols>
    <col min="1" max="1" width="5.44140625" style="6" customWidth="1"/>
    <col min="2" max="2" width="6.6640625" style="7" bestFit="1" customWidth="1"/>
    <col min="3" max="3" width="17.33203125" style="267" customWidth="1"/>
    <col min="4" max="4" width="25.88671875" style="267" customWidth="1"/>
    <col min="5" max="5" width="18.109375" style="267" customWidth="1"/>
    <col min="6" max="7" width="9.109375" style="7" customWidth="1"/>
    <col min="8" max="8" width="9.109375" style="311" customWidth="1"/>
    <col min="9" max="10" width="14.5546875" style="7" bestFit="1" customWidth="1"/>
    <col min="11" max="11" width="13" style="7" customWidth="1"/>
    <col min="12" max="12" width="11.5546875" style="7" customWidth="1"/>
    <col min="13" max="13" width="14.6640625" style="6" bestFit="1" customWidth="1"/>
    <col min="14" max="14" width="17.44140625" style="7" bestFit="1" customWidth="1"/>
    <col min="15" max="15" width="17" style="6" bestFit="1" customWidth="1"/>
    <col min="16" max="18" width="12.109375" style="6" customWidth="1"/>
    <col min="19" max="19" width="12.109375" style="7" customWidth="1"/>
    <col min="20" max="21" width="15.5546875" style="6" customWidth="1"/>
    <col min="22" max="22" width="19.44140625" style="6" customWidth="1"/>
    <col min="23" max="23" width="18.44140625" style="6" customWidth="1"/>
    <col min="24" max="24" width="19.6640625" style="6" customWidth="1"/>
    <col min="25" max="26" width="15.5546875" style="6" customWidth="1"/>
    <col min="27" max="16384" width="9.109375" style="6"/>
  </cols>
  <sheetData>
    <row r="1" spans="1:26" ht="20.399999999999999" x14ac:dyDescent="0.35">
      <c r="A1" s="21" t="str">
        <f>'Student Info'!$A$1</f>
        <v>Three Rivers - 23-65565-0123737</v>
      </c>
    </row>
    <row r="2" spans="1:26" ht="17.399999999999999" x14ac:dyDescent="0.3">
      <c r="A2" s="20" t="s">
        <v>725</v>
      </c>
      <c r="I2" s="180">
        <v>0.03</v>
      </c>
      <c r="J2" s="181" t="s">
        <v>1013</v>
      </c>
      <c r="O2" s="8">
        <v>0.191</v>
      </c>
      <c r="P2" s="276">
        <v>0.26100000000000001</v>
      </c>
      <c r="Q2" s="8">
        <f>'Employee Input 21-22'!Q2</f>
        <v>6.25E-2</v>
      </c>
      <c r="R2" s="8">
        <f>'Employee Input 21-22'!R2</f>
        <v>1.4500000000000001E-2</v>
      </c>
      <c r="S2" s="277">
        <f>+'Employee Input 20-21'!S2</f>
        <v>500</v>
      </c>
      <c r="T2" s="234"/>
      <c r="U2" s="277">
        <v>400</v>
      </c>
      <c r="V2" s="8">
        <f>'Employee Input 21-22'!V2</f>
        <v>1.2999999999999999E-2</v>
      </c>
      <c r="X2" s="12">
        <f>(0.08*$M2/1000)+(0.025*$M2/1000)+(0.14%*$M2)+(0.05*$M2/10)</f>
        <v>0</v>
      </c>
    </row>
    <row r="3" spans="1:26" ht="17.399999999999999" x14ac:dyDescent="0.3">
      <c r="A3" s="20" t="str">
        <f>'Student Info'!F6</f>
        <v>2022-23</v>
      </c>
      <c r="O3" s="9" t="s">
        <v>562</v>
      </c>
      <c r="P3" s="9" t="s">
        <v>563</v>
      </c>
      <c r="Q3" s="9" t="s">
        <v>1018</v>
      </c>
      <c r="R3" s="9" t="s">
        <v>671</v>
      </c>
      <c r="S3" s="9" t="s">
        <v>566</v>
      </c>
      <c r="T3" s="9"/>
      <c r="U3" s="9" t="s">
        <v>669</v>
      </c>
      <c r="V3" s="9" t="s">
        <v>670</v>
      </c>
      <c r="W3" s="9"/>
      <c r="X3" s="9" t="s">
        <v>1025</v>
      </c>
    </row>
    <row r="4" spans="1:26" ht="27" customHeight="1" x14ac:dyDescent="0.3"/>
    <row r="5" spans="1:26" x14ac:dyDescent="0.3">
      <c r="B5" s="13" t="s">
        <v>0</v>
      </c>
      <c r="J5" s="17" t="s">
        <v>676</v>
      </c>
      <c r="K5" s="13" t="s">
        <v>742</v>
      </c>
      <c r="L5" s="18"/>
      <c r="M5" s="17" t="s">
        <v>674</v>
      </c>
      <c r="N5" s="13" t="s">
        <v>729</v>
      </c>
      <c r="O5" s="284" t="s">
        <v>30</v>
      </c>
      <c r="P5" s="284" t="s">
        <v>38</v>
      </c>
      <c r="Q5" s="284" t="s">
        <v>1014</v>
      </c>
      <c r="R5" s="284" t="s">
        <v>1016</v>
      </c>
      <c r="S5" s="43" t="s">
        <v>564</v>
      </c>
      <c r="T5" s="284" t="s">
        <v>717</v>
      </c>
      <c r="U5" s="284" t="s">
        <v>718</v>
      </c>
      <c r="V5" s="284" t="s">
        <v>719</v>
      </c>
      <c r="W5" s="284" t="s">
        <v>1023</v>
      </c>
      <c r="X5" s="284" t="s">
        <v>1022</v>
      </c>
      <c r="Y5" s="19" t="s">
        <v>672</v>
      </c>
      <c r="Z5" s="17" t="s">
        <v>676</v>
      </c>
    </row>
    <row r="6" spans="1:26" ht="16.2" thickBot="1" x14ac:dyDescent="0.35">
      <c r="A6" s="22"/>
      <c r="B6" s="23"/>
      <c r="C6" s="268" t="s">
        <v>1</v>
      </c>
      <c r="D6" s="268" t="s">
        <v>1291</v>
      </c>
      <c r="E6" s="268" t="s">
        <v>4</v>
      </c>
      <c r="F6" s="23" t="s">
        <v>3</v>
      </c>
      <c r="G6" s="23"/>
      <c r="H6" s="23"/>
      <c r="I6" s="23" t="s">
        <v>5</v>
      </c>
      <c r="J6" s="25" t="s">
        <v>739</v>
      </c>
      <c r="K6" s="23" t="s">
        <v>743</v>
      </c>
      <c r="L6" s="23" t="s">
        <v>741</v>
      </c>
      <c r="M6" s="25" t="s">
        <v>675</v>
      </c>
      <c r="N6" s="23" t="s">
        <v>730</v>
      </c>
      <c r="O6" s="26" t="s">
        <v>6</v>
      </c>
      <c r="P6" s="26" t="s">
        <v>7</v>
      </c>
      <c r="Q6" s="190" t="s">
        <v>1015</v>
      </c>
      <c r="R6" s="190" t="s">
        <v>1017</v>
      </c>
      <c r="S6" s="24" t="s">
        <v>565</v>
      </c>
      <c r="T6" s="26" t="s">
        <v>1019</v>
      </c>
      <c r="U6" s="190" t="s">
        <v>1020</v>
      </c>
      <c r="V6" s="190" t="s">
        <v>1021</v>
      </c>
      <c r="W6" s="26" t="s">
        <v>1024</v>
      </c>
      <c r="X6" s="190" t="s">
        <v>1027</v>
      </c>
      <c r="Y6" s="27" t="s">
        <v>673</v>
      </c>
      <c r="Z6" s="25" t="s">
        <v>675</v>
      </c>
    </row>
    <row r="7" spans="1:26" x14ac:dyDescent="0.3">
      <c r="B7" s="14">
        <v>0</v>
      </c>
      <c r="C7" s="269">
        <f>IF('Employee Input 21-22'!C7="","",'Employee Input 21-22'!C7)</f>
        <v>0</v>
      </c>
      <c r="D7" s="269">
        <f>IF('Employee Input 21-22'!D7="","",'Employee Input 21-22'!D7)</f>
        <v>0</v>
      </c>
      <c r="E7" s="269">
        <f>IF('Employee Input 21-22'!E7="","",'Employee Input 21-22'!E7)</f>
        <v>0</v>
      </c>
      <c r="F7" s="14" t="str">
        <f>IF('Employee Input 21-22'!F7="","",'Employee Input 21-22'!F7)</f>
        <v/>
      </c>
      <c r="G7" s="14"/>
      <c r="H7" s="314"/>
      <c r="I7" s="230">
        <f>IF('Employee Input 21-22'!I7="","",'Employee Input 21-22'!I7*(1+$I$2))</f>
        <v>0</v>
      </c>
      <c r="J7" s="10">
        <f>+I7</f>
        <v>0</v>
      </c>
      <c r="K7" s="11">
        <f>IF('Employee Input 21-22'!K7="","",'Employee Input 21-22'!K7)</f>
        <v>0</v>
      </c>
      <c r="L7" s="11">
        <f>IF('Employee Input 21-22'!L7="","",'Employee Input 21-22'!L7)</f>
        <v>0</v>
      </c>
      <c r="M7" s="10">
        <f>SUM(J7:L7)</f>
        <v>0</v>
      </c>
      <c r="N7" s="16">
        <f>IF('Employee Input 21-22'!N7="","",'Employee Input 21-22'!N7)</f>
        <v>0</v>
      </c>
      <c r="O7" s="10" t="str">
        <f t="shared" ref="O7:O15" si="0">IF($N7="STRS",$O$2*$M7,"")</f>
        <v/>
      </c>
      <c r="P7" s="10" t="str">
        <f t="shared" ref="P7:P15" si="1">IF($N7="PERS",$P$2*$M7,"")</f>
        <v/>
      </c>
      <c r="Q7" s="10">
        <f t="shared" ref="Q7:Q15" si="2">IF($N7="STRS","",$Q$2*$M7)</f>
        <v>0</v>
      </c>
      <c r="R7" s="10">
        <f t="shared" ref="R7:R15" si="3">$R$2*M7</f>
        <v>0</v>
      </c>
      <c r="S7" s="279"/>
      <c r="T7" s="12"/>
      <c r="U7" s="12"/>
      <c r="V7" s="12">
        <f t="shared" ref="V7:V15" si="4">+M7*$V$2</f>
        <v>0</v>
      </c>
      <c r="W7" s="12"/>
      <c r="X7" s="12"/>
      <c r="Y7" s="12">
        <f>SUM(T7:X7,O7:R7)</f>
        <v>0</v>
      </c>
      <c r="Z7" s="12">
        <f>Y7+M7</f>
        <v>0</v>
      </c>
    </row>
    <row r="8" spans="1:26" x14ac:dyDescent="0.3">
      <c r="B8" s="14" t="str">
        <f>IF('Employee Input 21-22'!B8="","",'Employee Input 21-22'!B8)</f>
        <v/>
      </c>
      <c r="C8" s="269" t="str">
        <f>IF('Employee Input 21-22'!C8="","",'Employee Input 21-22'!C8)</f>
        <v/>
      </c>
      <c r="D8" s="269" t="str">
        <f>IF('Employee Input 21-22'!D8="","",'Employee Input 21-22'!D8)</f>
        <v/>
      </c>
      <c r="E8" s="269" t="str">
        <f>IF('Employee Input 21-22'!E8="","",'Employee Input 21-22'!E8)</f>
        <v/>
      </c>
      <c r="F8" s="14" t="str">
        <f>IF('Employee Input 21-22'!F8="","",'Employee Input 21-22'!F8)</f>
        <v/>
      </c>
      <c r="G8" s="14"/>
      <c r="H8" s="314"/>
      <c r="I8" s="230" t="str">
        <f>IF('Employee Input 21-22'!I8="","",'Employee Input 21-22'!I8*(1+$I$2))</f>
        <v/>
      </c>
      <c r="J8" s="10" t="str">
        <f>+I8</f>
        <v/>
      </c>
      <c r="K8" s="11" t="str">
        <f>IF('Employee Input 21-22'!K8="","",'Employee Input 21-22'!K8)</f>
        <v/>
      </c>
      <c r="L8" s="11" t="str">
        <f>IF('Employee Input 21-22'!L8="","",'Employee Input 21-22'!L8)</f>
        <v/>
      </c>
      <c r="M8" s="10">
        <f>SUM(J8:L8)</f>
        <v>0</v>
      </c>
      <c r="N8" s="16" t="str">
        <f>IF('Employee Input 21-22'!N8="","",'Employee Input 21-22'!N8)</f>
        <v/>
      </c>
      <c r="O8" s="10" t="str">
        <f t="shared" si="0"/>
        <v/>
      </c>
      <c r="P8" s="10" t="str">
        <f t="shared" si="1"/>
        <v/>
      </c>
      <c r="Q8" s="10">
        <f t="shared" si="2"/>
        <v>0</v>
      </c>
      <c r="R8" s="10">
        <f t="shared" si="3"/>
        <v>0</v>
      </c>
      <c r="S8" s="279"/>
      <c r="T8" s="261"/>
      <c r="U8" s="12"/>
      <c r="V8" s="12">
        <f t="shared" si="4"/>
        <v>0</v>
      </c>
      <c r="W8" s="12"/>
      <c r="X8" s="12"/>
      <c r="Y8" s="12">
        <f>SUM(T8:X8,O8:R8)</f>
        <v>0</v>
      </c>
      <c r="Z8" s="12">
        <f>Y8+M8</f>
        <v>0</v>
      </c>
    </row>
    <row r="9" spans="1:26" x14ac:dyDescent="0.3">
      <c r="B9" s="14">
        <f>IF('Employee Input 21-22'!B9="","",'Employee Input 21-22'!B9)</f>
        <v>1100</v>
      </c>
      <c r="C9" s="269"/>
      <c r="D9" s="269" t="str">
        <f>IF('Employee Input 21-22'!D9="","",'Employee Input 21-22'!D9)</f>
        <v>Natalie Shoptaw</v>
      </c>
      <c r="E9" s="269" t="str">
        <f>IF('Employee Input 21-22'!E9="","",'Employee Input 21-22'!E9)</f>
        <v>Teacher</v>
      </c>
      <c r="F9" s="14">
        <f>IF('Employee Input 21-22'!F9="","",'Employee Input 21-22'!F9)</f>
        <v>1</v>
      </c>
      <c r="G9" s="14" t="str">
        <f>IF('Employee Input 21-22'!G9="","",'Employee Input 21-22'!G9)</f>
        <v/>
      </c>
      <c r="H9" s="14" t="str">
        <f>IF('Employee Input 21-22'!H9="","",'Employee Input 21-22'!H9)</f>
        <v/>
      </c>
      <c r="I9" s="230">
        <f>IF('Employee Input 21-22'!I9="","",'Employee Input 21-22'!I9*(1+$I$2))</f>
        <v>52586.65</v>
      </c>
      <c r="J9" s="10">
        <f t="shared" ref="J9:J23" si="5">+I9</f>
        <v>52586.65</v>
      </c>
      <c r="K9" s="11">
        <f>IF('Employee Input 21-22'!K9="","",'Employee Input 21-22'!K9)</f>
        <v>1250</v>
      </c>
      <c r="L9" s="11">
        <f>IF('Employee Input 21-22'!L9="","",'Employee Input 21-22'!L9)</f>
        <v>0</v>
      </c>
      <c r="M9" s="10">
        <f t="shared" ref="M9:M23" si="6">SUM(J9:L9)</f>
        <v>53836.65</v>
      </c>
      <c r="N9" s="16" t="str">
        <f>IF('Employee Input 21-22'!N9="","",'Employee Input 21-22'!N9)</f>
        <v>STRS</v>
      </c>
      <c r="O9" s="10">
        <f t="shared" si="0"/>
        <v>10282.800150000001</v>
      </c>
      <c r="P9" s="10" t="str">
        <f t="shared" si="1"/>
        <v/>
      </c>
      <c r="Q9" s="10" t="str">
        <f t="shared" si="2"/>
        <v/>
      </c>
      <c r="R9" s="10">
        <f t="shared" si="3"/>
        <v>780.63142500000004</v>
      </c>
      <c r="S9" s="279"/>
      <c r="T9" s="261">
        <v>11464</v>
      </c>
      <c r="U9" s="12">
        <f>$U$2*F9</f>
        <v>400</v>
      </c>
      <c r="V9" s="12">
        <f t="shared" si="4"/>
        <v>699.87644999999998</v>
      </c>
      <c r="W9" s="12"/>
      <c r="X9" s="12"/>
      <c r="Y9" s="12">
        <f t="shared" ref="Y9:Y23" si="7">SUM(T9:X9,O9:R9)</f>
        <v>23627.308024999998</v>
      </c>
      <c r="Z9" s="12">
        <f t="shared" ref="Z9:Z23" si="8">Y9+M9</f>
        <v>77463.958025</v>
      </c>
    </row>
    <row r="10" spans="1:26" x14ac:dyDescent="0.3">
      <c r="B10" s="14">
        <f>IF('Employee Input 21-22'!B10="","",'Employee Input 21-22'!B10)</f>
        <v>1100</v>
      </c>
      <c r="C10" s="269"/>
      <c r="D10" s="269" t="str">
        <f>IF('Employee Input 21-22'!D10="","",'Employee Input 21-22'!D10)</f>
        <v>Dani Krebs</v>
      </c>
      <c r="E10" s="269" t="str">
        <f>IF('Employee Input 21-22'!E10="","",'Employee Input 21-22'!E10)</f>
        <v>Teacher</v>
      </c>
      <c r="F10" s="14">
        <f>IF('Employee Input 21-22'!F10="","",'Employee Input 21-22'!F10)</f>
        <v>1</v>
      </c>
      <c r="G10" s="14" t="str">
        <f>IF('Employee Input 21-22'!G10="","",'Employee Input 21-22'!G10)</f>
        <v/>
      </c>
      <c r="H10" s="14" t="str">
        <f>IF('Employee Input 21-22'!H10="","",'Employee Input 21-22'!H10)</f>
        <v/>
      </c>
      <c r="I10" s="230">
        <f>IF('Employee Input 21-22'!I10="","",'Employee Input 21-22'!I10*(1+$I$2))</f>
        <v>46370.6</v>
      </c>
      <c r="J10" s="10">
        <f t="shared" si="5"/>
        <v>46370.6</v>
      </c>
      <c r="K10" s="11" t="str">
        <f>IF('Employee Input 21-22'!K10="","",'Employee Input 21-22'!K10)</f>
        <v/>
      </c>
      <c r="L10" s="11">
        <f>IF('Employee Input 21-22'!L10="","",'Employee Input 21-22'!L10)</f>
        <v>0</v>
      </c>
      <c r="M10" s="10">
        <f t="shared" si="6"/>
        <v>46370.6</v>
      </c>
      <c r="N10" s="16" t="str">
        <f>IF('Employee Input 21-22'!N10="","",'Employee Input 21-22'!N10)</f>
        <v>STRS</v>
      </c>
      <c r="O10" s="10">
        <f t="shared" si="0"/>
        <v>8856.784599999999</v>
      </c>
      <c r="P10" s="10" t="str">
        <f t="shared" si="1"/>
        <v/>
      </c>
      <c r="Q10" s="10" t="str">
        <f t="shared" si="2"/>
        <v/>
      </c>
      <c r="R10" s="10">
        <f t="shared" si="3"/>
        <v>672.37369999999999</v>
      </c>
      <c r="S10" s="279"/>
      <c r="T10" s="261">
        <v>9514</v>
      </c>
      <c r="U10" s="12">
        <f>$U$2*F10</f>
        <v>400</v>
      </c>
      <c r="V10" s="12">
        <f t="shared" si="4"/>
        <v>602.81779999999992</v>
      </c>
      <c r="W10" s="12"/>
      <c r="X10" s="12"/>
      <c r="Y10" s="12">
        <f t="shared" si="7"/>
        <v>20045.9761</v>
      </c>
      <c r="Z10" s="12">
        <f t="shared" si="8"/>
        <v>66416.576100000006</v>
      </c>
    </row>
    <row r="11" spans="1:26" x14ac:dyDescent="0.3">
      <c r="B11" s="14">
        <f>IF('Employee Input 21-22'!B11="","",'Employee Input 21-22'!B11)</f>
        <v>1100</v>
      </c>
      <c r="C11" s="269"/>
      <c r="D11" s="269" t="str">
        <f>IF('Employee Input 21-22'!D11="","",'Employee Input 21-22'!D11)</f>
        <v>Michael Lang</v>
      </c>
      <c r="E11" s="269" t="str">
        <f>IF('Employee Input 21-22'!E11="","",'Employee Input 21-22'!E11)</f>
        <v>Teacher</v>
      </c>
      <c r="F11" s="14">
        <f>IF('Employee Input 21-22'!F11="","",'Employee Input 21-22'!F11)</f>
        <v>1</v>
      </c>
      <c r="G11" s="14" t="str">
        <f>IF('Employee Input 21-22'!G11="","",'Employee Input 21-22'!G11)</f>
        <v/>
      </c>
      <c r="H11" s="14" t="str">
        <f>IF('Employee Input 21-22'!H11="","",'Employee Input 21-22'!H11)</f>
        <v/>
      </c>
      <c r="I11" s="230">
        <f>IF('Employee Input 21-22'!I11="","",'Employee Input 21-22'!I11*(1+$I$2))</f>
        <v>46820.71</v>
      </c>
      <c r="J11" s="10">
        <f t="shared" si="5"/>
        <v>46820.71</v>
      </c>
      <c r="K11" s="11" t="str">
        <f>IF('Employee Input 21-22'!K11="","",'Employee Input 21-22'!K11)</f>
        <v/>
      </c>
      <c r="L11" s="11">
        <f>IF('Employee Input 21-22'!L11="","",'Employee Input 21-22'!L11)</f>
        <v>0</v>
      </c>
      <c r="M11" s="10">
        <f t="shared" si="6"/>
        <v>46820.71</v>
      </c>
      <c r="N11" s="16" t="str">
        <f>IF('Employee Input 21-22'!N11="","",'Employee Input 21-22'!N11)</f>
        <v>STRS</v>
      </c>
      <c r="O11" s="10">
        <f t="shared" si="0"/>
        <v>8942.7556100000002</v>
      </c>
      <c r="P11" s="10" t="str">
        <f t="shared" si="1"/>
        <v/>
      </c>
      <c r="Q11" s="10" t="str">
        <f t="shared" si="2"/>
        <v/>
      </c>
      <c r="R11" s="10">
        <f t="shared" si="3"/>
        <v>678.90029500000003</v>
      </c>
      <c r="S11" s="279"/>
      <c r="T11" s="261">
        <v>0</v>
      </c>
      <c r="U11" s="12">
        <f>$U$2*F11</f>
        <v>400</v>
      </c>
      <c r="V11" s="12">
        <f t="shared" si="4"/>
        <v>608.66922999999997</v>
      </c>
      <c r="W11" s="12"/>
      <c r="X11" s="12"/>
      <c r="Y11" s="12">
        <f t="shared" si="7"/>
        <v>10630.325134999999</v>
      </c>
      <c r="Z11" s="12">
        <f t="shared" si="8"/>
        <v>57451.035134999998</v>
      </c>
    </row>
    <row r="12" spans="1:26" x14ac:dyDescent="0.3">
      <c r="B12" s="14">
        <f>IF('Employee Input 21-22'!B12="","",'Employee Input 21-22'!B12)</f>
        <v>1100</v>
      </c>
      <c r="C12" s="269"/>
      <c r="D12" s="269" t="str">
        <f>IF('Employee Input 21-22'!D12="","",'Employee Input 21-22'!D12)</f>
        <v>maria Gibson</v>
      </c>
      <c r="E12" s="269" t="str">
        <f>IF('Employee Input 21-22'!E12="","",'Employee Input 21-22'!E12)</f>
        <v>Teacher</v>
      </c>
      <c r="F12" s="14">
        <f>IF('Employee Input 21-22'!F12="","",'Employee Input 21-22'!F12)</f>
        <v>1</v>
      </c>
      <c r="G12" s="14" t="str">
        <f>IF('Employee Input 21-22'!G12="","",'Employee Input 21-22'!G12)</f>
        <v/>
      </c>
      <c r="H12" s="14" t="str">
        <f>IF('Employee Input 21-22'!H12="","",'Employee Input 21-22'!H12)</f>
        <v/>
      </c>
      <c r="I12" s="230">
        <f>IF('Employee Input 21-22'!I12="","",'Employee Input 21-22'!I12*(1+$I$2))</f>
        <v>47631.32</v>
      </c>
      <c r="J12" s="10">
        <f t="shared" si="5"/>
        <v>47631.32</v>
      </c>
      <c r="K12" s="11" t="str">
        <f>IF('Employee Input 21-22'!K12="","",'Employee Input 21-22'!K12)</f>
        <v/>
      </c>
      <c r="L12" s="11">
        <f>IF('Employee Input 21-22'!L12="","",'Employee Input 21-22'!L12)</f>
        <v>750</v>
      </c>
      <c r="M12" s="10">
        <f t="shared" si="6"/>
        <v>48381.32</v>
      </c>
      <c r="N12" s="16" t="str">
        <f>IF('Employee Input 21-22'!N12="","",'Employee Input 21-22'!N12)</f>
        <v>STRS</v>
      </c>
      <c r="O12" s="10">
        <f t="shared" si="0"/>
        <v>9240.8321200000009</v>
      </c>
      <c r="P12" s="10" t="str">
        <f t="shared" si="1"/>
        <v/>
      </c>
      <c r="Q12" s="10" t="str">
        <f t="shared" si="2"/>
        <v/>
      </c>
      <c r="R12" s="10">
        <f t="shared" si="3"/>
        <v>701.52913999999998</v>
      </c>
      <c r="S12" s="279"/>
      <c r="T12" s="261">
        <v>11464</v>
      </c>
      <c r="U12" s="12">
        <f>$U$2*F12</f>
        <v>400</v>
      </c>
      <c r="V12" s="12">
        <f t="shared" si="4"/>
        <v>628.95715999999993</v>
      </c>
      <c r="W12" s="12"/>
      <c r="X12" s="12"/>
      <c r="Y12" s="12">
        <f t="shared" si="7"/>
        <v>22435.31842</v>
      </c>
      <c r="Z12" s="12">
        <f t="shared" si="8"/>
        <v>70816.638420000003</v>
      </c>
    </row>
    <row r="13" spans="1:26" x14ac:dyDescent="0.3">
      <c r="B13" s="14">
        <f>IF('Employee Input 21-22'!B13="","",'Employee Input 21-22'!B13)</f>
        <v>1100</v>
      </c>
      <c r="C13" s="269" t="str">
        <f>IF('Employee Input 21-22'!C13="","",'Employee Input 21-22'!C13)</f>
        <v>ELO</v>
      </c>
      <c r="D13" s="269" t="str">
        <f>IF('Employee Input 21-22'!D13="","",'Employee Input 21-22'!D13)</f>
        <v>Virginia Varnum</v>
      </c>
      <c r="E13" s="269" t="str">
        <f>IF('Employee Input 21-22'!E13="","",'Employee Input 21-22'!E13)</f>
        <v>Reading Specialist</v>
      </c>
      <c r="F13" s="14">
        <f>IF('Employee Input 21-22'!F13="","",'Employee Input 21-22'!F13)</f>
        <v>37</v>
      </c>
      <c r="G13" s="14">
        <f>IF('Employee Input 21-22'!G13="","",'Employee Input 21-22'!G13)</f>
        <v>15</v>
      </c>
      <c r="H13" s="14">
        <f>IF('Employee Input 21-22'!H13="","",'Employee Input 21-22'!H13)</f>
        <v>36</v>
      </c>
      <c r="I13" s="230">
        <f>IF('Employee Input 21-22'!I13="","",'Employee Input 21-22'!I13*(1+$I$2))</f>
        <v>20579.400000000001</v>
      </c>
      <c r="J13" s="10">
        <f t="shared" si="5"/>
        <v>20579.400000000001</v>
      </c>
      <c r="K13" s="11">
        <f>IF('Employee Input 21-22'!K13="","",'Employee Input 21-22'!K13)</f>
        <v>0</v>
      </c>
      <c r="L13" s="11">
        <f>IF('Employee Input 21-22'!L13="","",'Employee Input 21-22'!L13)</f>
        <v>0</v>
      </c>
      <c r="M13" s="10">
        <f t="shared" si="6"/>
        <v>20579.400000000001</v>
      </c>
      <c r="N13" s="16">
        <f>IF('Employee Input 21-22'!N13="","",'Employee Input 21-22'!N13)</f>
        <v>0</v>
      </c>
      <c r="O13" s="10" t="str">
        <f t="shared" si="0"/>
        <v/>
      </c>
      <c r="P13" s="10" t="str">
        <f t="shared" si="1"/>
        <v/>
      </c>
      <c r="Q13" s="10">
        <f t="shared" si="2"/>
        <v>1286.2125000000001</v>
      </c>
      <c r="R13" s="10">
        <f t="shared" si="3"/>
        <v>298.40130000000005</v>
      </c>
      <c r="S13" s="279"/>
      <c r="T13" s="261">
        <v>0</v>
      </c>
      <c r="U13" s="12">
        <v>400</v>
      </c>
      <c r="V13" s="12">
        <f t="shared" si="4"/>
        <v>267.53219999999999</v>
      </c>
      <c r="W13" s="12"/>
      <c r="X13" s="12"/>
      <c r="Y13" s="12">
        <f t="shared" si="7"/>
        <v>2252.1460000000002</v>
      </c>
      <c r="Z13" s="12">
        <f t="shared" si="8"/>
        <v>22831.546000000002</v>
      </c>
    </row>
    <row r="14" spans="1:26" hidden="1" x14ac:dyDescent="0.3">
      <c r="B14" s="14">
        <f>IF('Employee Input 21-22'!B14="","",'Employee Input 21-22'!B14)</f>
        <v>0</v>
      </c>
      <c r="C14" s="269">
        <f>IF('Employee Input 21-22'!C14="","",'Employee Input 21-22'!C14)</f>
        <v>0</v>
      </c>
      <c r="D14" s="269">
        <f>IF('Employee Input 21-22'!D14="","",'Employee Input 21-22'!D14)</f>
        <v>0</v>
      </c>
      <c r="E14" s="269">
        <f>IF('Employee Input 21-22'!E14="","",'Employee Input 21-22'!E14)</f>
        <v>0</v>
      </c>
      <c r="F14" s="14">
        <f>IF('Employee Input 21-22'!F14="","",'Employee Input 21-22'!F14)</f>
        <v>0</v>
      </c>
      <c r="G14" s="14">
        <f>IF('Employee Input 21-22'!G14="","",'Employee Input 21-22'!G14)</f>
        <v>0</v>
      </c>
      <c r="H14" s="14">
        <f>IF('Employee Input 21-22'!H14="","",'Employee Input 21-22'!H14)</f>
        <v>0</v>
      </c>
      <c r="I14" s="230">
        <f>IF('Employee Input 21-22'!I14="","",'Employee Input 21-22'!I14*(1+$I$2))</f>
        <v>0</v>
      </c>
      <c r="J14" s="10">
        <f t="shared" si="5"/>
        <v>0</v>
      </c>
      <c r="K14" s="11">
        <f>IF('Employee Input 21-22'!K14="","",'Employee Input 21-22'!K14)</f>
        <v>0</v>
      </c>
      <c r="L14" s="11">
        <f>IF('Employee Input 21-22'!L14="","",'Employee Input 21-22'!L14)</f>
        <v>0</v>
      </c>
      <c r="M14" s="10">
        <f t="shared" si="6"/>
        <v>0</v>
      </c>
      <c r="N14" s="16">
        <f>IF('Employee Input 21-22'!N14="","",'Employee Input 21-22'!N14)</f>
        <v>0</v>
      </c>
      <c r="O14" s="10" t="str">
        <f t="shared" si="0"/>
        <v/>
      </c>
      <c r="P14" s="10" t="str">
        <f t="shared" si="1"/>
        <v/>
      </c>
      <c r="Q14" s="10">
        <f t="shared" si="2"/>
        <v>0</v>
      </c>
      <c r="R14" s="10">
        <f t="shared" si="3"/>
        <v>0</v>
      </c>
      <c r="S14" s="279"/>
      <c r="T14" s="261"/>
      <c r="U14" s="12">
        <f>$U$2*F14</f>
        <v>0</v>
      </c>
      <c r="V14" s="12">
        <f t="shared" si="4"/>
        <v>0</v>
      </c>
      <c r="W14" s="12"/>
      <c r="X14" s="12"/>
      <c r="Y14" s="12">
        <f t="shared" si="7"/>
        <v>0</v>
      </c>
      <c r="Z14" s="12">
        <f t="shared" si="8"/>
        <v>0</v>
      </c>
    </row>
    <row r="15" spans="1:26" hidden="1" x14ac:dyDescent="0.3">
      <c r="B15" s="14">
        <f>IF('Employee Input 21-22'!B15="","",'Employee Input 21-22'!B15)</f>
        <v>0</v>
      </c>
      <c r="C15" s="269">
        <f>IF('Employee Input 21-22'!C15="","",'Employee Input 21-22'!C15)</f>
        <v>0</v>
      </c>
      <c r="D15" s="269">
        <f>IF('Employee Input 21-22'!D15="","",'Employee Input 21-22'!D15)</f>
        <v>0</v>
      </c>
      <c r="E15" s="269">
        <f>IF('Employee Input 21-22'!E15="","",'Employee Input 21-22'!E15)</f>
        <v>0</v>
      </c>
      <c r="F15" s="14">
        <f>IF('Employee Input 21-22'!F15="","",'Employee Input 21-22'!F15)</f>
        <v>0</v>
      </c>
      <c r="G15" s="14">
        <f>IF('Employee Input 21-22'!G15="","",'Employee Input 21-22'!G15)</f>
        <v>0</v>
      </c>
      <c r="H15" s="14">
        <f>IF('Employee Input 21-22'!H15="","",'Employee Input 21-22'!H15)</f>
        <v>0</v>
      </c>
      <c r="I15" s="230">
        <f>IF('Employee Input 21-22'!I15="","",'Employee Input 21-22'!I15*(1+$I$2))</f>
        <v>0</v>
      </c>
      <c r="J15" s="10">
        <f t="shared" si="5"/>
        <v>0</v>
      </c>
      <c r="K15" s="11">
        <f>IF('Employee Input 21-22'!K15="","",'Employee Input 21-22'!K15)</f>
        <v>0</v>
      </c>
      <c r="L15" s="11">
        <f>IF('Employee Input 21-22'!L15="","",'Employee Input 21-22'!L15)</f>
        <v>0</v>
      </c>
      <c r="M15" s="10">
        <f t="shared" si="6"/>
        <v>0</v>
      </c>
      <c r="N15" s="16">
        <f>IF('Employee Input 21-22'!N15="","",'Employee Input 21-22'!N15)</f>
        <v>0</v>
      </c>
      <c r="O15" s="10" t="str">
        <f t="shared" si="0"/>
        <v/>
      </c>
      <c r="P15" s="10" t="str">
        <f t="shared" si="1"/>
        <v/>
      </c>
      <c r="Q15" s="10">
        <f t="shared" si="2"/>
        <v>0</v>
      </c>
      <c r="R15" s="10">
        <f t="shared" si="3"/>
        <v>0</v>
      </c>
      <c r="S15" s="279"/>
      <c r="T15" s="261"/>
      <c r="U15" s="12">
        <f>$U$2*F15</f>
        <v>0</v>
      </c>
      <c r="V15" s="12">
        <f t="shared" si="4"/>
        <v>0</v>
      </c>
      <c r="W15" s="12"/>
      <c r="X15" s="12"/>
      <c r="Y15" s="12">
        <f t="shared" si="7"/>
        <v>0</v>
      </c>
      <c r="Z15" s="12">
        <f t="shared" si="8"/>
        <v>0</v>
      </c>
    </row>
    <row r="16" spans="1:26" hidden="1" x14ac:dyDescent="0.3">
      <c r="B16" s="14"/>
      <c r="C16" s="269"/>
      <c r="D16" s="269"/>
      <c r="E16" s="269"/>
      <c r="F16" s="14"/>
      <c r="G16" s="14">
        <f>IF('Employee Input 21-22'!G16="","",'Employee Input 21-22'!G16)</f>
        <v>0</v>
      </c>
      <c r="H16" s="14">
        <f>IF('Employee Input 21-22'!H16="","",'Employee Input 21-22'!H16)</f>
        <v>0</v>
      </c>
      <c r="I16" s="230"/>
      <c r="J16" s="10"/>
      <c r="K16" s="11"/>
      <c r="L16" s="11"/>
      <c r="M16" s="10"/>
      <c r="N16" s="16"/>
      <c r="O16" s="10"/>
      <c r="P16" s="10"/>
      <c r="Q16" s="10"/>
      <c r="R16" s="10"/>
      <c r="S16" s="279"/>
      <c r="T16" s="261"/>
      <c r="U16" s="12"/>
      <c r="V16" s="12"/>
      <c r="W16" s="12"/>
      <c r="X16" s="12"/>
      <c r="Y16" s="12"/>
      <c r="Z16" s="12"/>
    </row>
    <row r="17" spans="2:26" hidden="1" x14ac:dyDescent="0.3">
      <c r="B17" s="14">
        <f>IF('Employee Input 21-22'!B17="","",'Employee Input 21-22'!B17)</f>
        <v>0</v>
      </c>
      <c r="C17" s="269">
        <f>IF('Employee Input 21-22'!C17="","",'Employee Input 21-22'!C17)</f>
        <v>0</v>
      </c>
      <c r="D17" s="269">
        <f>IF('Employee Input 21-22'!D17="","",'Employee Input 21-22'!D17)</f>
        <v>0</v>
      </c>
      <c r="E17" s="269">
        <f>IF('Employee Input 21-22'!E17="","",'Employee Input 21-22'!E17)</f>
        <v>0</v>
      </c>
      <c r="F17" s="14">
        <f>IF('Employee Input 21-22'!F17="","",'Employee Input 21-22'!F17)</f>
        <v>0</v>
      </c>
      <c r="G17" s="14">
        <f>IF('Employee Input 21-22'!G17="","",'Employee Input 21-22'!G17)</f>
        <v>0</v>
      </c>
      <c r="H17" s="14">
        <f>IF('Employee Input 21-22'!H17="","",'Employee Input 21-22'!H17)</f>
        <v>0</v>
      </c>
      <c r="I17" s="230">
        <f>IF('Employee Input 21-22'!I17="","",'Employee Input 21-22'!I17*(1+$I$2))</f>
        <v>0</v>
      </c>
      <c r="J17" s="10">
        <f t="shared" si="5"/>
        <v>0</v>
      </c>
      <c r="K17" s="11">
        <f>IF('Employee Input 21-22'!K17="","",'Employee Input 21-22'!K17)</f>
        <v>0</v>
      </c>
      <c r="L17" s="11">
        <f>IF('Employee Input 21-22'!L17="","",'Employee Input 21-22'!L17)</f>
        <v>0</v>
      </c>
      <c r="M17" s="10">
        <f t="shared" si="6"/>
        <v>0</v>
      </c>
      <c r="N17" s="16">
        <f>IF('Employee Input 21-22'!N17="","",'Employee Input 21-22'!N17)</f>
        <v>0</v>
      </c>
      <c r="O17" s="10" t="str">
        <f>IF($N17="STRS",$O$2*$M17,"")</f>
        <v/>
      </c>
      <c r="P17" s="10" t="str">
        <f>IF($N17="PERS",$P$2*$M17,"")</f>
        <v/>
      </c>
      <c r="Q17" s="10">
        <f>IF($N17="STRS","",$Q$2*$M17)</f>
        <v>0</v>
      </c>
      <c r="R17" s="10">
        <f>$R$2*M17</f>
        <v>0</v>
      </c>
      <c r="S17" s="279"/>
      <c r="T17" s="261"/>
      <c r="U17" s="12">
        <f>$U$2*F17</f>
        <v>0</v>
      </c>
      <c r="V17" s="12">
        <f>+M17*$V$2</f>
        <v>0</v>
      </c>
      <c r="W17" s="12"/>
      <c r="X17" s="12"/>
      <c r="Y17" s="12">
        <f t="shared" si="7"/>
        <v>0</v>
      </c>
      <c r="Z17" s="12">
        <f t="shared" si="8"/>
        <v>0</v>
      </c>
    </row>
    <row r="18" spans="2:26" hidden="1" x14ac:dyDescent="0.3">
      <c r="B18" s="14">
        <f>IF('Employee Input 21-22'!B18="","",'Employee Input 21-22'!B18)</f>
        <v>0</v>
      </c>
      <c r="C18" s="269">
        <f>IF('Employee Input 21-22'!C18="","",'Employee Input 21-22'!C18)</f>
        <v>0</v>
      </c>
      <c r="D18" s="269"/>
      <c r="E18" s="269">
        <f>IF('Employee Input 21-22'!E18="","",'Employee Input 21-22'!E18)</f>
        <v>0</v>
      </c>
      <c r="F18" s="14">
        <f>IF('Employee Input 21-22'!F18="","",'Employee Input 21-22'!F18)</f>
        <v>0</v>
      </c>
      <c r="G18" s="14">
        <f>IF('Employee Input 21-22'!G18="","",'Employee Input 21-22'!G18)</f>
        <v>0</v>
      </c>
      <c r="H18" s="14">
        <f>IF('Employee Input 21-22'!H18="","",'Employee Input 21-22'!H18)</f>
        <v>0</v>
      </c>
      <c r="I18" s="230">
        <f>IF('Employee Input 21-22'!I18="","",'Employee Input 21-22'!I18*(1+$I$2))</f>
        <v>0</v>
      </c>
      <c r="J18" s="10">
        <f t="shared" si="5"/>
        <v>0</v>
      </c>
      <c r="K18" s="11">
        <f>IF('Employee Input 21-22'!K18="","",'Employee Input 21-22'!K18)</f>
        <v>0</v>
      </c>
      <c r="L18" s="11">
        <f>IF('Employee Input 21-22'!L18="","",'Employee Input 21-22'!L18)</f>
        <v>0</v>
      </c>
      <c r="M18" s="10">
        <f t="shared" si="6"/>
        <v>0</v>
      </c>
      <c r="N18" s="16">
        <f>IF('Employee Input 21-22'!N18="","",'Employee Input 21-22'!N18)</f>
        <v>0</v>
      </c>
      <c r="O18" s="10" t="str">
        <f>IF($N18="STRS",$O$2*$M18,"")</f>
        <v/>
      </c>
      <c r="P18" s="10" t="str">
        <f>IF($N18="PERS",$P$2*$M18,"")</f>
        <v/>
      </c>
      <c r="Q18" s="10">
        <f>IF($N18="STRS","",$Q$2*$M18)</f>
        <v>0</v>
      </c>
      <c r="R18" s="10">
        <f>$R$2*M18</f>
        <v>0</v>
      </c>
      <c r="S18" s="279"/>
      <c r="T18" s="261"/>
      <c r="U18" s="12">
        <f>$U$2*F18</f>
        <v>0</v>
      </c>
      <c r="V18" s="12">
        <f>+M18*$V$2</f>
        <v>0</v>
      </c>
      <c r="W18" s="12"/>
      <c r="X18" s="12"/>
      <c r="Y18" s="12">
        <f t="shared" si="7"/>
        <v>0</v>
      </c>
      <c r="Z18" s="12">
        <f t="shared" si="8"/>
        <v>0</v>
      </c>
    </row>
    <row r="19" spans="2:26" hidden="1" x14ac:dyDescent="0.3">
      <c r="B19" s="14">
        <f>IF('Employee Input 21-22'!B19="","",'Employee Input 21-22'!B19)</f>
        <v>0</v>
      </c>
      <c r="C19" s="269">
        <f>IF('Employee Input 21-22'!C19="","",'Employee Input 21-22'!C19)</f>
        <v>0</v>
      </c>
      <c r="D19" s="269"/>
      <c r="E19" s="269">
        <f>IF('Employee Input 21-22'!E19="","",'Employee Input 21-22'!E19)</f>
        <v>0</v>
      </c>
      <c r="F19" s="14">
        <f>IF('Employee Input 21-22'!F19="","",'Employee Input 21-22'!F19)</f>
        <v>0</v>
      </c>
      <c r="G19" s="14">
        <f>IF('Employee Input 21-22'!G19="","",'Employee Input 21-22'!G19)</f>
        <v>0</v>
      </c>
      <c r="H19" s="14">
        <f>IF('Employee Input 21-22'!H19="","",'Employee Input 21-22'!H19)</f>
        <v>0</v>
      </c>
      <c r="I19" s="230">
        <f>IF('Employee Input 21-22'!I19="","",'Employee Input 21-22'!I19*(1+$I$2))</f>
        <v>0</v>
      </c>
      <c r="J19" s="10">
        <f t="shared" si="5"/>
        <v>0</v>
      </c>
      <c r="K19" s="11">
        <f>IF('Employee Input 21-22'!K19="","",'Employee Input 21-22'!K19)</f>
        <v>0</v>
      </c>
      <c r="L19" s="11">
        <f>IF('Employee Input 21-22'!L19="","",'Employee Input 21-22'!L19)</f>
        <v>0</v>
      </c>
      <c r="M19" s="10">
        <f t="shared" si="6"/>
        <v>0</v>
      </c>
      <c r="N19" s="16">
        <f>IF('Employee Input 21-22'!N19="","",'Employee Input 21-22'!N19)</f>
        <v>0</v>
      </c>
      <c r="O19" s="10" t="str">
        <f>IF($N19="STRS",$O$2*$M19,"")</f>
        <v/>
      </c>
      <c r="P19" s="10" t="str">
        <f>IF($N19="PERS",$P$2*$M19,"")</f>
        <v/>
      </c>
      <c r="Q19" s="10">
        <f>IF($N19="STRS","",$Q$2*$M19)</f>
        <v>0</v>
      </c>
      <c r="R19" s="10">
        <f>$R$2*M19</f>
        <v>0</v>
      </c>
      <c r="S19" s="279"/>
      <c r="T19" s="261"/>
      <c r="U19" s="12">
        <f>$U$2*F19</f>
        <v>0</v>
      </c>
      <c r="V19" s="12">
        <f>+M19*$V$2</f>
        <v>0</v>
      </c>
      <c r="W19" s="12"/>
      <c r="X19" s="12"/>
      <c r="Y19" s="12">
        <f t="shared" si="7"/>
        <v>0</v>
      </c>
      <c r="Z19" s="12">
        <f t="shared" si="8"/>
        <v>0</v>
      </c>
    </row>
    <row r="20" spans="2:26" x14ac:dyDescent="0.3">
      <c r="B20" s="14"/>
      <c r="C20" s="269"/>
      <c r="D20" s="269"/>
      <c r="E20" s="269"/>
      <c r="F20" s="14"/>
      <c r="G20" s="14" t="str">
        <f>IF('Employee Input 21-22'!G20="","",'Employee Input 21-22'!G20)</f>
        <v/>
      </c>
      <c r="H20" s="14" t="str">
        <f>IF('Employee Input 21-22'!H20="","",'Employee Input 21-22'!H20)</f>
        <v/>
      </c>
      <c r="I20" s="230"/>
      <c r="J20" s="10"/>
      <c r="K20" s="11"/>
      <c r="L20" s="11"/>
      <c r="M20" s="10"/>
      <c r="N20" s="16"/>
      <c r="O20" s="10"/>
      <c r="P20" s="10"/>
      <c r="Q20" s="10"/>
      <c r="R20" s="10"/>
      <c r="S20" s="279"/>
      <c r="T20" s="261"/>
      <c r="U20" s="12"/>
      <c r="V20" s="12"/>
      <c r="W20" s="12"/>
      <c r="X20" s="12"/>
      <c r="Y20" s="12"/>
      <c r="Z20" s="12"/>
    </row>
    <row r="21" spans="2:26" x14ac:dyDescent="0.3">
      <c r="B21" s="14">
        <f>IF('Employee Input 21-22'!B21="","",'Employee Input 21-22'!B21)</f>
        <v>1300</v>
      </c>
      <c r="C21" s="269"/>
      <c r="D21" s="269" t="str">
        <f>IF('Employee Input 21-22'!D21="","",'Employee Input 21-22'!D21)</f>
        <v>Kim Morgan</v>
      </c>
      <c r="E21" s="269" t="str">
        <f>IF('Employee Input 21-22'!E21="","",'Employee Input 21-22'!E21)</f>
        <v>Principal</v>
      </c>
      <c r="F21" s="14">
        <f>IF('Employee Input 21-22'!F21="","",'Employee Input 21-22'!F21)</f>
        <v>1</v>
      </c>
      <c r="G21" s="14" t="str">
        <f>IF('Employee Input 21-22'!G21="","",'Employee Input 21-22'!G21)</f>
        <v/>
      </c>
      <c r="H21" s="14" t="str">
        <f>IF('Employee Input 21-22'!H21="","",'Employee Input 21-22'!H21)</f>
        <v/>
      </c>
      <c r="I21" s="230">
        <f>IF('Employee Input 21-22'!I21="","",'Employee Input 21-22'!I21*(1+$I$2))</f>
        <v>69525</v>
      </c>
      <c r="J21" s="10">
        <f t="shared" si="5"/>
        <v>69525</v>
      </c>
      <c r="K21" s="11" t="str">
        <f>IF('Employee Input 21-22'!K21="","",'Employee Input 21-22'!K21)</f>
        <v/>
      </c>
      <c r="L21" s="11">
        <f>IF('Employee Input 21-22'!L21="","",'Employee Input 21-22'!L21)</f>
        <v>0</v>
      </c>
      <c r="M21" s="10">
        <f t="shared" si="6"/>
        <v>69525</v>
      </c>
      <c r="N21" s="16" t="str">
        <f>IF('Employee Input 21-22'!N21="","",'Employee Input 21-22'!N21)</f>
        <v>STRS</v>
      </c>
      <c r="O21" s="10">
        <f>IF($N21="STRS",$O$2*$M21,"")</f>
        <v>13279.275</v>
      </c>
      <c r="P21" s="10" t="str">
        <f>IF($N21="PERS",$P$2*$M21,"")</f>
        <v/>
      </c>
      <c r="Q21" s="10" t="str">
        <f>IF($N21="STRS","",$Q$2*$M21)</f>
        <v/>
      </c>
      <c r="R21" s="10">
        <f>$R$2*M21</f>
        <v>1008.1125000000001</v>
      </c>
      <c r="S21" s="279"/>
      <c r="T21" s="261">
        <v>11464</v>
      </c>
      <c r="U21" s="12">
        <f>$U$2*F21</f>
        <v>400</v>
      </c>
      <c r="V21" s="12">
        <f>+M21*$V$2</f>
        <v>903.82499999999993</v>
      </c>
      <c r="W21" s="12"/>
      <c r="X21" s="12"/>
      <c r="Y21" s="12">
        <f t="shared" si="7"/>
        <v>27055.212499999998</v>
      </c>
      <c r="Z21" s="12">
        <f t="shared" si="8"/>
        <v>96580.212499999994</v>
      </c>
    </row>
    <row r="22" spans="2:26" x14ac:dyDescent="0.3">
      <c r="B22" s="14"/>
      <c r="C22" s="269"/>
      <c r="D22" s="269"/>
      <c r="E22" s="269"/>
      <c r="F22" s="14"/>
      <c r="G22" s="14" t="str">
        <f>IF('Employee Input 21-22'!G22="","",'Employee Input 21-22'!G22)</f>
        <v/>
      </c>
      <c r="H22" s="14" t="str">
        <f>IF('Employee Input 21-22'!H22="","",'Employee Input 21-22'!H22)</f>
        <v/>
      </c>
      <c r="I22" s="230"/>
      <c r="J22" s="10"/>
      <c r="K22" s="11"/>
      <c r="L22" s="11"/>
      <c r="M22" s="10"/>
      <c r="N22" s="16"/>
      <c r="O22" s="10"/>
      <c r="P22" s="10"/>
      <c r="Q22" s="10"/>
      <c r="R22" s="10"/>
      <c r="S22" s="279"/>
      <c r="T22" s="261"/>
      <c r="U22" s="12"/>
      <c r="V22" s="12"/>
      <c r="W22" s="12"/>
      <c r="X22" s="12"/>
      <c r="Y22" s="12"/>
      <c r="Z22" s="12"/>
    </row>
    <row r="23" spans="2:26" x14ac:dyDescent="0.3">
      <c r="B23" s="14">
        <f>IF('Employee Input 21-22'!B23="","",'Employee Input 21-22'!B23)</f>
        <v>2100</v>
      </c>
      <c r="C23" s="269"/>
      <c r="D23" s="269" t="str">
        <f>IF('Employee Input 21-22'!D23="","",'Employee Input 21-22'!D23)</f>
        <v>Yesenia Huerta</v>
      </c>
      <c r="E23" s="269" t="str">
        <f>IF('Employee Input 21-22'!E23="","",'Employee Input 21-22'!E23)</f>
        <v>Instructional Aide</v>
      </c>
      <c r="F23" s="14">
        <f>IF('Employee Input 21-22'!F23="","",'Employee Input 21-22'!F23)</f>
        <v>18</v>
      </c>
      <c r="G23" s="14">
        <f>IF('Employee Input 21-22'!G23="","",'Employee Input 21-22'!G23)</f>
        <v>32</v>
      </c>
      <c r="H23" s="14">
        <f>IF('Employee Input 21-22'!H23="","",'Employee Input 21-22'!H23)</f>
        <v>36</v>
      </c>
      <c r="I23" s="230">
        <f>IF('Employee Input 21-22'!I23="","",'Employee Input 21-22'!I23*(1+$I$2))</f>
        <v>21358.080000000002</v>
      </c>
      <c r="J23" s="10">
        <f t="shared" si="5"/>
        <v>21358.080000000002</v>
      </c>
      <c r="K23" s="11">
        <f>IF('Employee Input 21-22'!K23="","",'Employee Input 21-22'!K23)</f>
        <v>0</v>
      </c>
      <c r="L23" s="11">
        <f>IF('Employee Input 21-22'!L23="","",'Employee Input 21-22'!L23)</f>
        <v>0</v>
      </c>
      <c r="M23" s="10">
        <f t="shared" si="6"/>
        <v>21358.080000000002</v>
      </c>
      <c r="N23" s="16">
        <f>IF('Employee Input 21-22'!N23="","",'Employee Input 21-22'!N23)</f>
        <v>0</v>
      </c>
      <c r="O23" s="10" t="str">
        <f t="shared" ref="O23:O33" si="9">IF($N23="STRS",$O$2*$M23,"")</f>
        <v/>
      </c>
      <c r="P23" s="10" t="str">
        <f t="shared" ref="P23:P33" si="10">IF($N23="PERS",$P$2*$M23,"")</f>
        <v/>
      </c>
      <c r="Q23" s="10">
        <f t="shared" ref="Q23:Q33" si="11">IF($N23="STRS","",$Q$2*$M23)</f>
        <v>1334.88</v>
      </c>
      <c r="R23" s="10">
        <f>$R$2*M23</f>
        <v>309.69216000000006</v>
      </c>
      <c r="S23" s="279"/>
      <c r="T23" s="261">
        <v>0</v>
      </c>
      <c r="U23" s="12">
        <v>400</v>
      </c>
      <c r="V23" s="12">
        <f>+M23*$V$2</f>
        <v>277.65503999999999</v>
      </c>
      <c r="W23" s="12"/>
      <c r="X23" s="12"/>
      <c r="Y23" s="12">
        <f t="shared" si="7"/>
        <v>2322.2272000000003</v>
      </c>
      <c r="Z23" s="12">
        <f t="shared" si="8"/>
        <v>23680.307200000003</v>
      </c>
    </row>
    <row r="24" spans="2:26" x14ac:dyDescent="0.3">
      <c r="B24" s="14">
        <f>IF('Employee Input 21-22'!B24="","",'Employee Input 21-22'!B24)</f>
        <v>2100</v>
      </c>
      <c r="C24" s="269"/>
      <c r="D24" s="269" t="str">
        <f>IF('Employee Input 21-22'!D24="","",'Employee Input 21-22'!D24)</f>
        <v>Rebecca Deerwater</v>
      </c>
      <c r="E24" s="269" t="str">
        <f>IF('Employee Input 21-22'!E24="","",'Employee Input 21-22'!E24)</f>
        <v>Instructional Aide</v>
      </c>
      <c r="F24" s="14">
        <f>IF('Employee Input 21-22'!F24="","",'Employee Input 21-22'!F24)</f>
        <v>14.9</v>
      </c>
      <c r="G24" s="14">
        <f>IF('Employee Input 21-22'!G24="","",'Employee Input 21-22'!G24)</f>
        <v>30</v>
      </c>
      <c r="H24" s="14">
        <f>IF('Employee Input 21-22'!H24="","",'Employee Input 21-22'!H24)</f>
        <v>36</v>
      </c>
      <c r="I24" s="230">
        <f>IF('Employee Input 21-22'!I24="","",'Employee Input 21-22'!I24*(1+$I$2))</f>
        <v>16574.760000000002</v>
      </c>
      <c r="J24" s="10">
        <f t="shared" ref="J24:J33" si="12">+I24</f>
        <v>16574.760000000002</v>
      </c>
      <c r="K24" s="11" t="str">
        <f>IF('Employee Input 21-22'!K24="","",'Employee Input 21-22'!K24)</f>
        <v/>
      </c>
      <c r="L24" s="11">
        <f>IF('Employee Input 21-22'!L24="","",'Employee Input 21-22'!L24)</f>
        <v>0</v>
      </c>
      <c r="M24" s="10">
        <f t="shared" ref="M24:M33" si="13">SUM(J24:L24)</f>
        <v>16574.760000000002</v>
      </c>
      <c r="N24" s="16">
        <f>IF('Employee Input 21-22'!N24="","",'Employee Input 21-22'!N24)</f>
        <v>0</v>
      </c>
      <c r="O24" s="10" t="str">
        <f t="shared" si="9"/>
        <v/>
      </c>
      <c r="P24" s="10" t="str">
        <f t="shared" si="10"/>
        <v/>
      </c>
      <c r="Q24" s="10">
        <f t="shared" si="11"/>
        <v>1035.9225000000001</v>
      </c>
      <c r="R24" s="10">
        <f t="shared" ref="R24:R33" si="14">$R$2*M24</f>
        <v>240.33402000000004</v>
      </c>
      <c r="S24" s="279"/>
      <c r="T24" s="261"/>
      <c r="U24" s="12">
        <v>400</v>
      </c>
      <c r="V24" s="12">
        <f t="shared" ref="V24:V33" si="15">+M24*$V$2</f>
        <v>215.47188000000003</v>
      </c>
      <c r="W24" s="12"/>
      <c r="X24" s="12"/>
      <c r="Y24" s="12">
        <f t="shared" ref="Y24:Y33" si="16">SUM(T24:X24,O24:R24)</f>
        <v>1891.7284000000002</v>
      </c>
      <c r="Z24" s="12">
        <f t="shared" ref="Z24:Z33" si="17">Y24+M24</f>
        <v>18466.488400000002</v>
      </c>
    </row>
    <row r="25" spans="2:26" x14ac:dyDescent="0.3">
      <c r="B25" s="14">
        <f>IF('Employee Input 21-22'!B25="","",'Employee Input 21-22'!B25)</f>
        <v>2100</v>
      </c>
      <c r="C25" s="269"/>
      <c r="D25" s="269" t="str">
        <f>IF('Employee Input 21-22'!D25="","",'Employee Input 21-22'!D25)</f>
        <v>Sofia Duran</v>
      </c>
      <c r="E25" s="269" t="str">
        <f>IF('Employee Input 21-22'!E25="","",'Employee Input 21-22'!E25)</f>
        <v>Instructional Aide</v>
      </c>
      <c r="F25" s="14">
        <f>IF('Employee Input 21-22'!F25="","",'Employee Input 21-22'!F25)</f>
        <v>14.9</v>
      </c>
      <c r="G25" s="14">
        <f>IF('Employee Input 21-22'!G25="","",'Employee Input 21-22'!G25)</f>
        <v>30</v>
      </c>
      <c r="H25" s="14">
        <f>IF('Employee Input 21-22'!H25="","",'Employee Input 21-22'!H25)</f>
        <v>36</v>
      </c>
      <c r="I25" s="230">
        <f>IF('Employee Input 21-22'!I25="","",'Employee Input 21-22'!I25*(1+$I$2))</f>
        <v>16574.760000000002</v>
      </c>
      <c r="J25" s="10">
        <f t="shared" si="12"/>
        <v>16574.760000000002</v>
      </c>
      <c r="K25" s="11">
        <f>IF('Employee Input 21-22'!K25="","",'Employee Input 21-22'!K25)</f>
        <v>0</v>
      </c>
      <c r="L25" s="11">
        <f>IF('Employee Input 21-22'!L25="","",'Employee Input 21-22'!L25)</f>
        <v>0</v>
      </c>
      <c r="M25" s="10">
        <f t="shared" si="13"/>
        <v>16574.760000000002</v>
      </c>
      <c r="N25" s="16">
        <f>IF('Employee Input 21-22'!N25="","",'Employee Input 21-22'!N25)</f>
        <v>0</v>
      </c>
      <c r="O25" s="10" t="str">
        <f t="shared" si="9"/>
        <v/>
      </c>
      <c r="P25" s="10" t="str">
        <f t="shared" si="10"/>
        <v/>
      </c>
      <c r="Q25" s="10">
        <f t="shared" si="11"/>
        <v>1035.9225000000001</v>
      </c>
      <c r="R25" s="10">
        <f t="shared" si="14"/>
        <v>240.33402000000004</v>
      </c>
      <c r="S25" s="279"/>
      <c r="T25" s="261"/>
      <c r="U25" s="12">
        <v>400</v>
      </c>
      <c r="V25" s="12">
        <f t="shared" si="15"/>
        <v>215.47188000000003</v>
      </c>
      <c r="W25" s="12"/>
      <c r="X25" s="12"/>
      <c r="Y25" s="12">
        <f t="shared" si="16"/>
        <v>1891.7284000000002</v>
      </c>
      <c r="Z25" s="12">
        <f t="shared" si="17"/>
        <v>18466.488400000002</v>
      </c>
    </row>
    <row r="26" spans="2:26" x14ac:dyDescent="0.3">
      <c r="B26" s="14">
        <f>IF('Employee Input 21-22'!B26="","",'Employee Input 21-22'!B26)</f>
        <v>2100</v>
      </c>
      <c r="C26" s="269"/>
      <c r="D26" s="269" t="str">
        <f>IF('Employee Input 21-22'!D26="","",'Employee Input 21-22'!D26)</f>
        <v>Madeline Brink</v>
      </c>
      <c r="E26" s="269" t="str">
        <f>IF('Employee Input 21-22'!E26="","",'Employee Input 21-22'!E26)</f>
        <v>Instructional Aide</v>
      </c>
      <c r="F26" s="14">
        <f>IF('Employee Input 21-22'!F26="","",'Employee Input 21-22'!F26)</f>
        <v>15.15</v>
      </c>
      <c r="G26" s="14">
        <f>IF('Employee Input 21-22'!G26="","",'Employee Input 21-22'!G26)</f>
        <v>15</v>
      </c>
      <c r="H26" s="14">
        <f>IF('Employee Input 21-22'!H26="","",'Employee Input 21-22'!H26)</f>
        <v>36</v>
      </c>
      <c r="I26" s="230">
        <f>IF('Employee Input 21-22'!I26="","",'Employee Input 21-22'!I26*(1+$I$2))</f>
        <v>8426.43</v>
      </c>
      <c r="J26" s="10">
        <f t="shared" si="12"/>
        <v>8426.43</v>
      </c>
      <c r="K26" s="11">
        <f>IF('Employee Input 21-22'!K26="","",'Employee Input 21-22'!K26)</f>
        <v>0</v>
      </c>
      <c r="L26" s="11">
        <f>IF('Employee Input 21-22'!L26="","",'Employee Input 21-22'!L26)</f>
        <v>0</v>
      </c>
      <c r="M26" s="10">
        <f t="shared" si="13"/>
        <v>8426.43</v>
      </c>
      <c r="N26" s="16">
        <f>IF('Employee Input 21-22'!N26="","",'Employee Input 21-22'!N26)</f>
        <v>0</v>
      </c>
      <c r="O26" s="10" t="str">
        <f t="shared" si="9"/>
        <v/>
      </c>
      <c r="P26" s="10" t="str">
        <f t="shared" si="10"/>
        <v/>
      </c>
      <c r="Q26" s="10">
        <f t="shared" si="11"/>
        <v>526.65187500000002</v>
      </c>
      <c r="R26" s="10">
        <f t="shared" si="14"/>
        <v>122.18323500000001</v>
      </c>
      <c r="S26" s="279"/>
      <c r="T26" s="261"/>
      <c r="U26" s="12">
        <v>400</v>
      </c>
      <c r="V26" s="12">
        <f t="shared" si="15"/>
        <v>109.54358999999999</v>
      </c>
      <c r="W26" s="12"/>
      <c r="X26" s="12"/>
      <c r="Y26" s="12">
        <f t="shared" si="16"/>
        <v>1158.3787</v>
      </c>
      <c r="Z26" s="12">
        <f t="shared" si="17"/>
        <v>9584.8086999999996</v>
      </c>
    </row>
    <row r="27" spans="2:26" x14ac:dyDescent="0.3">
      <c r="B27" s="14">
        <f>IF('Employee Input 21-22'!B27="","",'Employee Input 21-22'!B27)</f>
        <v>2100</v>
      </c>
      <c r="C27" s="269"/>
      <c r="D27" s="269" t="str">
        <f>IF('Employee Input 21-22'!D27="","",'Employee Input 21-22'!D27)</f>
        <v>Rana Adams</v>
      </c>
      <c r="E27" s="269" t="str">
        <f>IF('Employee Input 21-22'!E27="","",'Employee Input 21-22'!E27)</f>
        <v>Utility</v>
      </c>
      <c r="F27" s="14">
        <f>IF('Employee Input 21-22'!F27="","",'Employee Input 21-22'!F27)</f>
        <v>22</v>
      </c>
      <c r="G27" s="14">
        <f>IF('Employee Input 21-22'!G27="","",'Employee Input 21-22'!G27)</f>
        <v>40</v>
      </c>
      <c r="H27" s="14">
        <f>IF('Employee Input 21-22'!H27="","",'Employee Input 21-22'!H27)</f>
        <v>36</v>
      </c>
      <c r="I27" s="230">
        <f>IF('Employee Input 21-22'!I27="","",'Employee Input 21-22'!I27*(1+$I$2))</f>
        <v>32630.400000000001</v>
      </c>
      <c r="J27" s="10">
        <f t="shared" si="12"/>
        <v>32630.400000000001</v>
      </c>
      <c r="K27" s="11">
        <f>IF('Employee Input 21-22'!K27="","",'Employee Input 21-22'!K27)</f>
        <v>0</v>
      </c>
      <c r="L27" s="11">
        <f>IF('Employee Input 21-22'!L27="","",'Employee Input 21-22'!L27)</f>
        <v>693</v>
      </c>
      <c r="M27" s="10">
        <f t="shared" si="13"/>
        <v>33323.4</v>
      </c>
      <c r="N27" s="16">
        <f>IF('Employee Input 21-22'!N27="","",'Employee Input 21-22'!N27)</f>
        <v>0</v>
      </c>
      <c r="O27" s="10" t="str">
        <f t="shared" si="9"/>
        <v/>
      </c>
      <c r="P27" s="10" t="str">
        <f t="shared" si="10"/>
        <v/>
      </c>
      <c r="Q27" s="10">
        <f t="shared" si="11"/>
        <v>2082.7125000000001</v>
      </c>
      <c r="R27" s="10">
        <f t="shared" si="14"/>
        <v>483.18930000000006</v>
      </c>
      <c r="S27" s="279"/>
      <c r="T27" s="261">
        <v>9514</v>
      </c>
      <c r="U27" s="12">
        <v>400</v>
      </c>
      <c r="V27" s="12">
        <f t="shared" si="15"/>
        <v>433.20420000000001</v>
      </c>
      <c r="W27" s="12"/>
      <c r="X27" s="12"/>
      <c r="Y27" s="12">
        <f t="shared" si="16"/>
        <v>12913.106</v>
      </c>
      <c r="Z27" s="12">
        <f t="shared" si="17"/>
        <v>46236.506000000001</v>
      </c>
    </row>
    <row r="28" spans="2:26" x14ac:dyDescent="0.3">
      <c r="B28" s="14">
        <f>IF('Employee Input 21-22'!B28="","",'Employee Input 21-22'!B28)</f>
        <v>2100</v>
      </c>
      <c r="C28" s="269"/>
      <c r="D28" s="269" t="str">
        <f>IF('Employee Input 21-22'!D28="","",'Employee Input 21-22'!D28)</f>
        <v>W. Kimmelman</v>
      </c>
      <c r="E28" s="269" t="str">
        <f>IF('Employee Input 21-22'!E28="","",'Employee Input 21-22'!E28)</f>
        <v>Instructional Aide</v>
      </c>
      <c r="F28" s="14">
        <f>IF('Employee Input 21-22'!F28="","",'Employee Input 21-22'!F28)</f>
        <v>28</v>
      </c>
      <c r="G28" s="14">
        <f>IF('Employee Input 21-22'!G28="","",'Employee Input 21-22'!G28)</f>
        <v>14</v>
      </c>
      <c r="H28" s="14">
        <f>IF('Employee Input 21-22'!H28="","",'Employee Input 21-22'!H28)</f>
        <v>36</v>
      </c>
      <c r="I28" s="230">
        <f>IF('Employee Input 21-22'!I28="","",'Employee Input 21-22'!I28*(1+$I$2))</f>
        <v>14535.36</v>
      </c>
      <c r="J28" s="10">
        <f t="shared" si="12"/>
        <v>14535.36</v>
      </c>
      <c r="K28" s="11">
        <f>IF('Employee Input 21-22'!K28="","",'Employee Input 21-22'!K28)</f>
        <v>0</v>
      </c>
      <c r="L28" s="11">
        <f>IF('Employee Input 21-22'!L28="","",'Employee Input 21-22'!L28)</f>
        <v>0</v>
      </c>
      <c r="M28" s="10">
        <f t="shared" si="13"/>
        <v>14535.36</v>
      </c>
      <c r="N28" s="16">
        <f>IF('Employee Input 21-22'!N28="","",'Employee Input 21-22'!N28)</f>
        <v>0</v>
      </c>
      <c r="O28" s="10" t="str">
        <f t="shared" si="9"/>
        <v/>
      </c>
      <c r="P28" s="10" t="str">
        <f t="shared" si="10"/>
        <v/>
      </c>
      <c r="Q28" s="10">
        <f t="shared" si="11"/>
        <v>908.46</v>
      </c>
      <c r="R28" s="10">
        <f t="shared" si="14"/>
        <v>210.76272000000003</v>
      </c>
      <c r="S28" s="279"/>
      <c r="T28" s="261">
        <v>0</v>
      </c>
      <c r="U28" s="12">
        <v>400</v>
      </c>
      <c r="V28" s="12">
        <f t="shared" si="15"/>
        <v>188.95967999999999</v>
      </c>
      <c r="W28" s="12"/>
      <c r="X28" s="12"/>
      <c r="Y28" s="12">
        <f t="shared" si="16"/>
        <v>1708.1823999999999</v>
      </c>
      <c r="Z28" s="12">
        <f t="shared" si="17"/>
        <v>16243.5424</v>
      </c>
    </row>
    <row r="29" spans="2:26" x14ac:dyDescent="0.3">
      <c r="B29" s="14">
        <f>IF('Employee Input 21-22'!B29="","",'Employee Input 21-22'!B29)</f>
        <v>2100</v>
      </c>
      <c r="C29" s="269"/>
      <c r="D29" s="269" t="str">
        <f>IF('Employee Input 21-22'!D29="","",'Employee Input 21-22'!D29)</f>
        <v>Mindy Ballentine</v>
      </c>
      <c r="E29" s="269" t="str">
        <f>IF('Employee Input 21-22'!E29="","",'Employee Input 21-22'!E29)</f>
        <v>Instructional Aide</v>
      </c>
      <c r="F29" s="14">
        <f>IF('Employee Input 21-22'!F29="","",'Employee Input 21-22'!F29)</f>
        <v>14</v>
      </c>
      <c r="G29" s="14">
        <f>IF('Employee Input 21-22'!G29="","",'Employee Input 21-22'!G29)</f>
        <v>32</v>
      </c>
      <c r="H29" s="14">
        <f>IF('Employee Input 21-22'!H29="","",'Employee Input 21-22'!H29)</f>
        <v>36</v>
      </c>
      <c r="I29" s="230">
        <f>IF('Employee Input 21-22'!I29="","",'Employee Input 21-22'!I29*(1+$I$2))</f>
        <v>16611.84</v>
      </c>
      <c r="J29" s="10">
        <f t="shared" si="12"/>
        <v>16611.84</v>
      </c>
      <c r="K29" s="11" t="str">
        <f>IF('Employee Input 21-22'!K29="","",'Employee Input 21-22'!K29)</f>
        <v/>
      </c>
      <c r="L29" s="11">
        <f>IF('Employee Input 21-22'!L29="","",'Employee Input 21-22'!L29)</f>
        <v>0</v>
      </c>
      <c r="M29" s="10">
        <f t="shared" si="13"/>
        <v>16611.84</v>
      </c>
      <c r="N29" s="16">
        <f>IF('Employee Input 21-22'!N29="","",'Employee Input 21-22'!N29)</f>
        <v>0</v>
      </c>
      <c r="O29" s="10" t="str">
        <f t="shared" si="9"/>
        <v/>
      </c>
      <c r="P29" s="10" t="str">
        <f t="shared" si="10"/>
        <v/>
      </c>
      <c r="Q29" s="10">
        <f t="shared" si="11"/>
        <v>1038.24</v>
      </c>
      <c r="R29" s="10">
        <f t="shared" si="14"/>
        <v>240.87168000000003</v>
      </c>
      <c r="S29" s="279"/>
      <c r="T29" s="261"/>
      <c r="U29" s="12">
        <v>400</v>
      </c>
      <c r="V29" s="12">
        <f t="shared" si="15"/>
        <v>215.95391999999998</v>
      </c>
      <c r="W29" s="12"/>
      <c r="X29" s="12"/>
      <c r="Y29" s="12">
        <f t="shared" si="16"/>
        <v>1895.0655999999999</v>
      </c>
      <c r="Z29" s="12">
        <f t="shared" si="17"/>
        <v>18506.905599999998</v>
      </c>
    </row>
    <row r="30" spans="2:26" x14ac:dyDescent="0.3">
      <c r="B30" s="14">
        <f>IF('Employee Input 21-22'!B30="","",'Employee Input 21-22'!B30)</f>
        <v>2200</v>
      </c>
      <c r="C30" s="269"/>
      <c r="D30" s="269" t="str">
        <f>IF('Employee Input 21-22'!D30="","",'Employee Input 21-22'!D30)</f>
        <v>Marsha Bartholomay</v>
      </c>
      <c r="E30" s="269" t="str">
        <f>IF('Employee Input 21-22'!E30="","",'Employee Input 21-22'!E30)</f>
        <v>Counselor</v>
      </c>
      <c r="F30" s="14">
        <f>IF('Employee Input 21-22'!F30="","",'Employee Input 21-22'!F30)</f>
        <v>28.3</v>
      </c>
      <c r="G30" s="14">
        <f>IF('Employee Input 21-22'!G30="","",'Employee Input 21-22'!G30)</f>
        <v>25</v>
      </c>
      <c r="H30" s="14">
        <f>IF('Employee Input 21-22'!H30="","",'Employee Input 21-22'!H30)</f>
        <v>38</v>
      </c>
      <c r="I30" s="230">
        <f>IF('Employee Input 21-22'!I30="","",'Employee Input 21-22'!I30*(1+$I$2))</f>
        <v>27691.55</v>
      </c>
      <c r="J30" s="10">
        <f t="shared" si="12"/>
        <v>27691.55</v>
      </c>
      <c r="K30" s="11">
        <f>IF('Employee Input 21-22'!K30="","",'Employee Input 21-22'!K30)</f>
        <v>0</v>
      </c>
      <c r="L30" s="11">
        <f>IF('Employee Input 21-22'!L30="","",'Employee Input 21-22'!L30)</f>
        <v>0</v>
      </c>
      <c r="M30" s="10">
        <f t="shared" si="13"/>
        <v>27691.55</v>
      </c>
      <c r="N30" s="16">
        <f>IF('Employee Input 21-22'!N30="","",'Employee Input 21-22'!N30)</f>
        <v>0</v>
      </c>
      <c r="O30" s="10" t="str">
        <f t="shared" si="9"/>
        <v/>
      </c>
      <c r="P30" s="10" t="str">
        <f t="shared" si="10"/>
        <v/>
      </c>
      <c r="Q30" s="10">
        <f t="shared" si="11"/>
        <v>1730.721875</v>
      </c>
      <c r="R30" s="10">
        <f t="shared" si="14"/>
        <v>401.52747500000004</v>
      </c>
      <c r="S30" s="279"/>
      <c r="T30" s="261"/>
      <c r="U30" s="12">
        <v>400</v>
      </c>
      <c r="V30" s="12">
        <f t="shared" si="15"/>
        <v>359.99014999999997</v>
      </c>
      <c r="W30" s="12"/>
      <c r="X30" s="12"/>
      <c r="Y30" s="12">
        <f t="shared" si="16"/>
        <v>2892.2394999999997</v>
      </c>
      <c r="Z30" s="12">
        <f t="shared" si="17"/>
        <v>30583.789499999999</v>
      </c>
    </row>
    <row r="31" spans="2:26" x14ac:dyDescent="0.3">
      <c r="B31" s="14">
        <f>IF('Employee Input 21-22'!B31="","",'Employee Input 21-22'!B31)</f>
        <v>2400</v>
      </c>
      <c r="C31" s="269"/>
      <c r="D31" s="269" t="str">
        <f>IF('Employee Input 21-22'!D31="","",'Employee Input 21-22'!D31)</f>
        <v>Marcia Mollett</v>
      </c>
      <c r="E31" s="269" t="str">
        <f>IF('Employee Input 21-22'!E31="","",'Employee Input 21-22'!E31)</f>
        <v>Support</v>
      </c>
      <c r="F31" s="14">
        <f>IF('Employee Input 21-22'!F31="","",'Employee Input 21-22'!F31)</f>
        <v>18.55</v>
      </c>
      <c r="G31" s="14">
        <f>IF('Employee Input 21-22'!G31="","",'Employee Input 21-22'!G31)</f>
        <v>38</v>
      </c>
      <c r="H31" s="14">
        <f>IF('Employee Input 21-22'!H31="","",'Employee Input 21-22'!H31)</f>
        <v>38</v>
      </c>
      <c r="I31" s="230">
        <f>IF('Employee Input 21-22'!I31="","",'Employee Input 21-22'!I31*(1+$I$2))</f>
        <v>27589.786</v>
      </c>
      <c r="J31" s="10">
        <f t="shared" si="12"/>
        <v>27589.786</v>
      </c>
      <c r="K31" s="11">
        <f>IF('Employee Input 21-22'!K31="","",'Employee Input 21-22'!K31)</f>
        <v>0</v>
      </c>
      <c r="L31" s="11">
        <f>IF('Employee Input 21-22'!L31="","",'Employee Input 21-22'!L31)</f>
        <v>0</v>
      </c>
      <c r="M31" s="10">
        <f t="shared" si="13"/>
        <v>27589.786</v>
      </c>
      <c r="N31" s="16">
        <f>IF('Employee Input 21-22'!N31="","",'Employee Input 21-22'!N31)</f>
        <v>0</v>
      </c>
      <c r="O31" s="10" t="str">
        <f t="shared" si="9"/>
        <v/>
      </c>
      <c r="P31" s="10" t="str">
        <f t="shared" si="10"/>
        <v/>
      </c>
      <c r="Q31" s="10">
        <f t="shared" si="11"/>
        <v>1724.361625</v>
      </c>
      <c r="R31" s="10">
        <f t="shared" si="14"/>
        <v>400.051897</v>
      </c>
      <c r="S31" s="279"/>
      <c r="T31" s="261"/>
      <c r="U31" s="12">
        <v>400</v>
      </c>
      <c r="V31" s="12">
        <f t="shared" si="15"/>
        <v>358.66721799999999</v>
      </c>
      <c r="W31" s="12"/>
      <c r="X31" s="12"/>
      <c r="Y31" s="12">
        <f t="shared" si="16"/>
        <v>2883.0807399999999</v>
      </c>
      <c r="Z31" s="12">
        <f t="shared" si="17"/>
        <v>30472.866740000001</v>
      </c>
    </row>
    <row r="32" spans="2:26" x14ac:dyDescent="0.3">
      <c r="B32" s="14">
        <f>IF('Employee Input 21-22'!B32="","",'Employee Input 21-22'!B32)</f>
        <v>2900</v>
      </c>
      <c r="C32" s="269"/>
      <c r="D32" s="269" t="str">
        <f>IF('Employee Input 21-22'!D32="","",'Employee Input 21-22'!D32)</f>
        <v>Vacant</v>
      </c>
      <c r="E32" s="269" t="str">
        <f>IF('Employee Input 21-22'!E32="","",'Employee Input 21-22'!E32)</f>
        <v>Lunch Aide</v>
      </c>
      <c r="F32" s="14">
        <f>IF('Employee Input 21-22'!F32="","",'Employee Input 21-22'!F32)</f>
        <v>0</v>
      </c>
      <c r="G32" s="14">
        <f>IF('Employee Input 21-22'!G32="","",'Employee Input 21-22'!G32)</f>
        <v>20</v>
      </c>
      <c r="H32" s="14">
        <f>IF('Employee Input 21-22'!H32="","",'Employee Input 21-22'!H32)</f>
        <v>36</v>
      </c>
      <c r="I32" s="230">
        <f>IF('Employee Input 21-22'!I32="","",'Employee Input 21-22'!I32*(1+$I$2))</f>
        <v>0</v>
      </c>
      <c r="J32" s="10">
        <f t="shared" si="12"/>
        <v>0</v>
      </c>
      <c r="K32" s="11">
        <f>IF('Employee Input 21-22'!K32="","",'Employee Input 21-22'!K32)</f>
        <v>0</v>
      </c>
      <c r="L32" s="11">
        <f>IF('Employee Input 21-22'!L32="","",'Employee Input 21-22'!L32)</f>
        <v>0</v>
      </c>
      <c r="M32" s="10">
        <f t="shared" si="13"/>
        <v>0</v>
      </c>
      <c r="N32" s="16">
        <f>IF('Employee Input 21-22'!N32="","",'Employee Input 21-22'!N32)</f>
        <v>0</v>
      </c>
      <c r="O32" s="10" t="str">
        <f t="shared" si="9"/>
        <v/>
      </c>
      <c r="P32" s="10" t="str">
        <f t="shared" si="10"/>
        <v/>
      </c>
      <c r="Q32" s="10">
        <f t="shared" si="11"/>
        <v>0</v>
      </c>
      <c r="R32" s="10">
        <f t="shared" si="14"/>
        <v>0</v>
      </c>
      <c r="S32" s="279"/>
      <c r="T32" s="261"/>
      <c r="U32" s="12">
        <v>400</v>
      </c>
      <c r="V32" s="12">
        <f t="shared" si="15"/>
        <v>0</v>
      </c>
      <c r="W32" s="12"/>
      <c r="X32" s="12"/>
      <c r="Y32" s="12">
        <f t="shared" si="16"/>
        <v>400</v>
      </c>
      <c r="Z32" s="12">
        <f t="shared" si="17"/>
        <v>400</v>
      </c>
    </row>
    <row r="33" spans="2:26" x14ac:dyDescent="0.3">
      <c r="B33" s="14" t="str">
        <f>IF('Employee Input 21-22'!B33="","",'Employee Input 21-22'!B33)</f>
        <v/>
      </c>
      <c r="C33" s="269" t="str">
        <f>IF('Employee Input 21-22'!C33="","",'Employee Input 21-22'!C33)</f>
        <v/>
      </c>
      <c r="D33" s="269" t="str">
        <f>IF('Employee Input 21-22'!D33="","",'Employee Input 21-22'!D33)</f>
        <v/>
      </c>
      <c r="E33" s="269" t="str">
        <f>IF('Employee Input 21-22'!E33="","",'Employee Input 21-22'!E33)</f>
        <v/>
      </c>
      <c r="F33" s="14" t="str">
        <f>IF('Employee Input 21-22'!F33="","",'Employee Input 21-22'!F33)</f>
        <v/>
      </c>
      <c r="G33" s="14"/>
      <c r="H33" s="314"/>
      <c r="I33" s="230" t="str">
        <f>IF('Employee Input 21-22'!I33="","",'Employee Input 21-22'!I33*(1+$I$2))</f>
        <v/>
      </c>
      <c r="J33" s="10" t="str">
        <f t="shared" si="12"/>
        <v/>
      </c>
      <c r="K33" s="11" t="str">
        <f>IF('Employee Input 21-22'!K33="","",'Employee Input 21-22'!K33)</f>
        <v/>
      </c>
      <c r="L33" s="11" t="str">
        <f>IF('Employee Input 21-22'!L33="","",'Employee Input 21-22'!L33)</f>
        <v/>
      </c>
      <c r="M33" s="10">
        <f t="shared" si="13"/>
        <v>0</v>
      </c>
      <c r="N33" s="16" t="str">
        <f>IF('Employee Input 21-22'!N33="","",'Employee Input 21-22'!N33)</f>
        <v/>
      </c>
      <c r="O33" s="10" t="str">
        <f t="shared" si="9"/>
        <v/>
      </c>
      <c r="P33" s="10" t="str">
        <f t="shared" si="10"/>
        <v/>
      </c>
      <c r="Q33" s="10">
        <f t="shared" si="11"/>
        <v>0</v>
      </c>
      <c r="R33" s="10">
        <f t="shared" si="14"/>
        <v>0</v>
      </c>
      <c r="S33" s="279"/>
      <c r="T33" s="261"/>
      <c r="U33" s="12"/>
      <c r="V33" s="12">
        <f t="shared" si="15"/>
        <v>0</v>
      </c>
      <c r="W33" s="12"/>
      <c r="X33" s="12"/>
      <c r="Y33" s="12">
        <f t="shared" si="16"/>
        <v>0</v>
      </c>
      <c r="Z33" s="12">
        <f t="shared" si="17"/>
        <v>0</v>
      </c>
    </row>
    <row r="34" spans="2:26" outlineLevel="1" x14ac:dyDescent="0.3">
      <c r="B34" s="14"/>
      <c r="C34" s="269"/>
      <c r="D34" s="269"/>
      <c r="E34" s="269"/>
      <c r="F34" s="14"/>
      <c r="G34" s="14"/>
      <c r="H34" s="314"/>
      <c r="I34" s="230"/>
      <c r="J34" s="10"/>
      <c r="K34" s="11"/>
      <c r="L34" s="11"/>
      <c r="M34" s="10"/>
      <c r="N34" s="16"/>
      <c r="O34" s="10"/>
      <c r="P34" s="10"/>
      <c r="Q34" s="10"/>
      <c r="R34" s="10"/>
      <c r="S34" s="279"/>
      <c r="T34" s="12"/>
      <c r="U34" s="12"/>
      <c r="V34" s="12"/>
      <c r="W34" s="12"/>
      <c r="X34" s="12"/>
      <c r="Y34" s="12"/>
      <c r="Z34" s="12"/>
    </row>
    <row r="35" spans="2:26" outlineLevel="1" x14ac:dyDescent="0.3">
      <c r="B35" s="14"/>
      <c r="C35" s="269"/>
      <c r="D35" s="269"/>
      <c r="E35" s="269"/>
      <c r="F35" s="14"/>
      <c r="G35" s="14"/>
      <c r="H35" s="314"/>
      <c r="I35" s="230"/>
      <c r="J35" s="10"/>
      <c r="K35" s="11"/>
      <c r="L35" s="11"/>
      <c r="M35" s="10"/>
      <c r="N35" s="16"/>
      <c r="O35" s="10"/>
      <c r="P35" s="10"/>
      <c r="Q35" s="10"/>
      <c r="R35" s="10"/>
      <c r="S35" s="279"/>
      <c r="T35" s="12"/>
      <c r="U35" s="12"/>
      <c r="V35" s="12"/>
      <c r="W35" s="12"/>
      <c r="X35" s="12"/>
      <c r="Y35" s="12"/>
      <c r="Z35" s="12"/>
    </row>
    <row r="36" spans="2:26" outlineLevel="1" x14ac:dyDescent="0.3">
      <c r="B36" s="14"/>
      <c r="C36" s="269"/>
      <c r="D36" s="269"/>
      <c r="E36" s="269"/>
      <c r="F36" s="14"/>
      <c r="G36" s="14"/>
      <c r="H36" s="314"/>
      <c r="I36" s="230"/>
      <c r="J36" s="10"/>
      <c r="K36" s="11"/>
      <c r="L36" s="11"/>
      <c r="M36" s="10"/>
      <c r="N36" s="16"/>
      <c r="O36" s="10"/>
      <c r="P36" s="10"/>
      <c r="Q36" s="10"/>
      <c r="R36" s="10"/>
      <c r="S36" s="279"/>
      <c r="T36" s="12"/>
      <c r="U36" s="12"/>
      <c r="V36" s="12"/>
      <c r="W36" s="12"/>
      <c r="X36" s="12"/>
      <c r="Y36" s="12"/>
      <c r="Z36" s="12"/>
    </row>
    <row r="37" spans="2:26" outlineLevel="1" x14ac:dyDescent="0.3">
      <c r="B37" s="14"/>
      <c r="C37" s="269"/>
      <c r="D37" s="269"/>
      <c r="E37" s="269"/>
      <c r="F37" s="14"/>
      <c r="G37" s="14"/>
      <c r="H37" s="314"/>
      <c r="I37" s="230"/>
      <c r="J37" s="10"/>
      <c r="K37" s="11"/>
      <c r="L37" s="11"/>
      <c r="M37" s="10"/>
      <c r="N37" s="16"/>
      <c r="O37" s="10"/>
      <c r="P37" s="10"/>
      <c r="Q37" s="10"/>
      <c r="R37" s="10"/>
      <c r="S37" s="279"/>
      <c r="T37" s="12"/>
      <c r="U37" s="12"/>
      <c r="V37" s="12"/>
      <c r="W37" s="12"/>
      <c r="X37" s="12"/>
      <c r="Y37" s="12"/>
      <c r="Z37" s="12"/>
    </row>
    <row r="38" spans="2:26" outlineLevel="1" x14ac:dyDescent="0.3">
      <c r="B38" s="14"/>
      <c r="C38" s="269"/>
      <c r="D38" s="269"/>
      <c r="E38" s="269"/>
      <c r="F38" s="14"/>
      <c r="G38" s="14"/>
      <c r="H38" s="314"/>
      <c r="I38" s="230"/>
      <c r="J38" s="10"/>
      <c r="K38" s="11"/>
      <c r="L38" s="11"/>
      <c r="M38" s="10"/>
      <c r="N38" s="16"/>
      <c r="O38" s="10"/>
      <c r="P38" s="10"/>
      <c r="Q38" s="10"/>
      <c r="R38" s="10"/>
      <c r="S38" s="279"/>
      <c r="T38" s="12"/>
      <c r="U38" s="12"/>
      <c r="V38" s="12"/>
      <c r="W38" s="12"/>
      <c r="X38" s="12"/>
      <c r="Y38" s="12"/>
      <c r="Z38" s="12"/>
    </row>
    <row r="39" spans="2:26" outlineLevel="1" x14ac:dyDescent="0.3">
      <c r="B39" s="14"/>
      <c r="C39" s="269"/>
      <c r="D39" s="269"/>
      <c r="E39" s="269"/>
      <c r="F39" s="14"/>
      <c r="G39" s="14"/>
      <c r="H39" s="314"/>
      <c r="I39" s="230"/>
      <c r="J39" s="10"/>
      <c r="K39" s="11"/>
      <c r="L39" s="11"/>
      <c r="M39" s="10"/>
      <c r="N39" s="16"/>
      <c r="O39" s="10"/>
      <c r="P39" s="10"/>
      <c r="Q39" s="10"/>
      <c r="R39" s="10"/>
      <c r="S39" s="279"/>
      <c r="T39" s="12"/>
      <c r="U39" s="12"/>
      <c r="V39" s="12"/>
      <c r="W39" s="12"/>
      <c r="X39" s="12"/>
      <c r="Y39" s="12"/>
      <c r="Z39" s="12"/>
    </row>
    <row r="40" spans="2:26" outlineLevel="1" x14ac:dyDescent="0.3">
      <c r="B40" s="14"/>
      <c r="C40" s="269"/>
      <c r="D40" s="269"/>
      <c r="E40" s="269"/>
      <c r="F40" s="14"/>
      <c r="G40" s="14"/>
      <c r="H40" s="314"/>
      <c r="I40" s="230"/>
      <c r="J40" s="10"/>
      <c r="K40" s="11"/>
      <c r="L40" s="11"/>
      <c r="M40" s="10"/>
      <c r="N40" s="16"/>
      <c r="O40" s="10"/>
      <c r="P40" s="10"/>
      <c r="Q40" s="10"/>
      <c r="R40" s="10"/>
      <c r="S40" s="279"/>
      <c r="T40" s="12"/>
      <c r="U40" s="12"/>
      <c r="V40" s="12"/>
      <c r="W40" s="12"/>
      <c r="X40" s="12"/>
      <c r="Y40" s="12"/>
      <c r="Z40" s="12"/>
    </row>
    <row r="41" spans="2:26" outlineLevel="1" x14ac:dyDescent="0.3">
      <c r="B41" s="14"/>
      <c r="C41" s="269"/>
      <c r="D41" s="269"/>
      <c r="E41" s="269"/>
      <c r="F41" s="14"/>
      <c r="G41" s="14"/>
      <c r="H41" s="314"/>
      <c r="I41" s="230"/>
      <c r="J41" s="10"/>
      <c r="K41" s="11"/>
      <c r="L41" s="11"/>
      <c r="M41" s="10"/>
      <c r="N41" s="16"/>
      <c r="O41" s="10"/>
      <c r="P41" s="10"/>
      <c r="Q41" s="10"/>
      <c r="R41" s="10"/>
      <c r="S41" s="279"/>
      <c r="T41" s="12"/>
      <c r="U41" s="12"/>
      <c r="V41" s="12"/>
      <c r="W41" s="12"/>
      <c r="X41" s="12"/>
      <c r="Y41" s="12"/>
      <c r="Z41" s="12"/>
    </row>
    <row r="42" spans="2:26" outlineLevel="1" x14ac:dyDescent="0.3">
      <c r="B42" s="14"/>
      <c r="C42" s="269"/>
      <c r="D42" s="269"/>
      <c r="E42" s="269"/>
      <c r="F42" s="14"/>
      <c r="G42" s="14"/>
      <c r="H42" s="314"/>
      <c r="I42" s="230"/>
      <c r="J42" s="10"/>
      <c r="K42" s="11"/>
      <c r="L42" s="11"/>
      <c r="M42" s="10"/>
      <c r="N42" s="16"/>
      <c r="O42" s="10"/>
      <c r="P42" s="10"/>
      <c r="Q42" s="10"/>
      <c r="R42" s="10"/>
      <c r="S42" s="279"/>
      <c r="T42" s="12"/>
      <c r="U42" s="12"/>
      <c r="V42" s="12"/>
      <c r="W42" s="12"/>
      <c r="X42" s="12"/>
      <c r="Y42" s="12"/>
      <c r="Z42" s="12"/>
    </row>
    <row r="43" spans="2:26" s="265" customFormat="1" outlineLevel="1" x14ac:dyDescent="0.3">
      <c r="B43" s="14"/>
      <c r="C43" s="269"/>
      <c r="D43" s="269"/>
      <c r="E43" s="269"/>
      <c r="F43" s="14"/>
      <c r="G43" s="14"/>
      <c r="H43" s="314"/>
      <c r="I43" s="230"/>
      <c r="J43" s="10"/>
      <c r="K43" s="11"/>
      <c r="L43" s="11"/>
      <c r="M43" s="10"/>
      <c r="N43" s="16"/>
      <c r="O43" s="10"/>
      <c r="P43" s="10"/>
      <c r="Q43" s="10"/>
      <c r="R43" s="10"/>
      <c r="S43" s="279"/>
      <c r="T43" s="12"/>
      <c r="U43" s="12"/>
      <c r="V43" s="12"/>
      <c r="W43" s="12"/>
      <c r="X43" s="12"/>
      <c r="Y43" s="12"/>
      <c r="Z43" s="12"/>
    </row>
    <row r="44" spans="2:26" s="265" customFormat="1" outlineLevel="1" x14ac:dyDescent="0.3">
      <c r="B44" s="14"/>
      <c r="C44" s="269"/>
      <c r="D44" s="269"/>
      <c r="E44" s="269"/>
      <c r="F44" s="14"/>
      <c r="G44" s="14"/>
      <c r="H44" s="314"/>
      <c r="I44" s="230"/>
      <c r="J44" s="10"/>
      <c r="K44" s="11"/>
      <c r="L44" s="11"/>
      <c r="M44" s="10"/>
      <c r="N44" s="16"/>
      <c r="O44" s="10"/>
      <c r="P44" s="10"/>
      <c r="Q44" s="10"/>
      <c r="R44" s="10"/>
      <c r="S44" s="279"/>
      <c r="T44" s="12"/>
      <c r="U44" s="12"/>
      <c r="V44" s="12"/>
      <c r="W44" s="12"/>
      <c r="X44" s="12"/>
      <c r="Y44" s="12"/>
      <c r="Z44" s="12"/>
    </row>
    <row r="45" spans="2:26" s="265" customFormat="1" outlineLevel="1" x14ac:dyDescent="0.3">
      <c r="B45" s="14"/>
      <c r="C45" s="269"/>
      <c r="D45" s="269"/>
      <c r="E45" s="269"/>
      <c r="F45" s="14"/>
      <c r="G45" s="14"/>
      <c r="H45" s="314"/>
      <c r="I45" s="230"/>
      <c r="J45" s="10"/>
      <c r="K45" s="11"/>
      <c r="L45" s="11"/>
      <c r="M45" s="10"/>
      <c r="N45" s="16"/>
      <c r="O45" s="10"/>
      <c r="P45" s="10"/>
      <c r="Q45" s="10"/>
      <c r="R45" s="10"/>
      <c r="S45" s="279"/>
      <c r="T45" s="12"/>
      <c r="U45" s="12"/>
      <c r="V45" s="12"/>
      <c r="W45" s="12"/>
      <c r="X45" s="12"/>
      <c r="Y45" s="12"/>
      <c r="Z45" s="12"/>
    </row>
    <row r="46" spans="2:26" s="265" customFormat="1" outlineLevel="1" x14ac:dyDescent="0.3">
      <c r="B46" s="14"/>
      <c r="C46" s="269"/>
      <c r="D46" s="269"/>
      <c r="E46" s="269"/>
      <c r="F46" s="14"/>
      <c r="G46" s="14"/>
      <c r="H46" s="314"/>
      <c r="I46" s="230"/>
      <c r="J46" s="10"/>
      <c r="K46" s="11"/>
      <c r="L46" s="11"/>
      <c r="M46" s="10"/>
      <c r="N46" s="16"/>
      <c r="O46" s="10"/>
      <c r="P46" s="10"/>
      <c r="Q46" s="10"/>
      <c r="R46" s="10"/>
      <c r="S46" s="279"/>
      <c r="T46" s="12"/>
      <c r="U46" s="12"/>
      <c r="V46" s="12"/>
      <c r="W46" s="12"/>
      <c r="X46" s="12"/>
      <c r="Y46" s="12"/>
      <c r="Z46" s="12"/>
    </row>
    <row r="47" spans="2:26" s="265" customFormat="1" outlineLevel="1" x14ac:dyDescent="0.3">
      <c r="B47" s="14"/>
      <c r="C47" s="269"/>
      <c r="D47" s="269"/>
      <c r="E47" s="269"/>
      <c r="F47" s="14"/>
      <c r="G47" s="14"/>
      <c r="H47" s="314"/>
      <c r="I47" s="230"/>
      <c r="J47" s="10"/>
      <c r="K47" s="11"/>
      <c r="L47" s="11"/>
      <c r="M47" s="10"/>
      <c r="N47" s="16"/>
      <c r="O47" s="10"/>
      <c r="P47" s="10"/>
      <c r="Q47" s="10"/>
      <c r="R47" s="10"/>
      <c r="S47" s="279"/>
      <c r="T47" s="12"/>
      <c r="U47" s="12"/>
      <c r="V47" s="12"/>
      <c r="W47" s="12"/>
      <c r="X47" s="12"/>
      <c r="Y47" s="12"/>
      <c r="Z47" s="12"/>
    </row>
    <row r="48" spans="2:26" s="265" customFormat="1" outlineLevel="1" x14ac:dyDescent="0.3">
      <c r="B48" s="14"/>
      <c r="C48" s="269"/>
      <c r="D48" s="269"/>
      <c r="E48" s="269"/>
      <c r="F48" s="14"/>
      <c r="G48" s="14"/>
      <c r="H48" s="314"/>
      <c r="I48" s="230"/>
      <c r="J48" s="10"/>
      <c r="K48" s="11"/>
      <c r="L48" s="11"/>
      <c r="M48" s="10"/>
      <c r="N48" s="16"/>
      <c r="O48" s="10"/>
      <c r="P48" s="10"/>
      <c r="Q48" s="10"/>
      <c r="R48" s="10"/>
      <c r="S48" s="279"/>
      <c r="T48" s="12"/>
      <c r="U48" s="12"/>
      <c r="V48" s="12"/>
      <c r="W48" s="12"/>
      <c r="X48" s="12"/>
      <c r="Y48" s="12"/>
      <c r="Z48" s="12"/>
    </row>
    <row r="49" spans="2:26" s="265" customFormat="1" outlineLevel="1" x14ac:dyDescent="0.3">
      <c r="B49" s="14"/>
      <c r="C49" s="269"/>
      <c r="D49" s="269"/>
      <c r="E49" s="269"/>
      <c r="F49" s="14"/>
      <c r="G49" s="14"/>
      <c r="H49" s="314"/>
      <c r="I49" s="230"/>
      <c r="J49" s="10"/>
      <c r="K49" s="11"/>
      <c r="L49" s="11"/>
      <c r="M49" s="10"/>
      <c r="N49" s="16"/>
      <c r="O49" s="10"/>
      <c r="P49" s="10"/>
      <c r="Q49" s="10"/>
      <c r="R49" s="10"/>
      <c r="S49" s="279"/>
      <c r="T49" s="12"/>
      <c r="U49" s="12"/>
      <c r="V49" s="12"/>
      <c r="W49" s="12"/>
      <c r="X49" s="12"/>
      <c r="Y49" s="12"/>
      <c r="Z49" s="12"/>
    </row>
    <row r="50" spans="2:26" s="265" customFormat="1" outlineLevel="1" x14ac:dyDescent="0.3">
      <c r="B50" s="14"/>
      <c r="C50" s="269"/>
      <c r="D50" s="269"/>
      <c r="E50" s="269"/>
      <c r="F50" s="14"/>
      <c r="G50" s="14"/>
      <c r="H50" s="314"/>
      <c r="I50" s="230"/>
      <c r="J50" s="10"/>
      <c r="K50" s="11"/>
      <c r="L50" s="11"/>
      <c r="M50" s="10"/>
      <c r="N50" s="16"/>
      <c r="O50" s="10"/>
      <c r="P50" s="10"/>
      <c r="Q50" s="10"/>
      <c r="R50" s="10"/>
      <c r="S50" s="279"/>
      <c r="T50" s="12"/>
      <c r="U50" s="12"/>
      <c r="V50" s="12"/>
      <c r="W50" s="12"/>
      <c r="X50" s="12"/>
      <c r="Y50" s="12"/>
      <c r="Z50" s="12"/>
    </row>
    <row r="51" spans="2:26" s="265" customFormat="1" outlineLevel="1" x14ac:dyDescent="0.3">
      <c r="B51" s="14"/>
      <c r="C51" s="269"/>
      <c r="D51" s="269"/>
      <c r="E51" s="269"/>
      <c r="F51" s="14"/>
      <c r="G51" s="14"/>
      <c r="H51" s="314"/>
      <c r="I51" s="230"/>
      <c r="J51" s="10"/>
      <c r="K51" s="11"/>
      <c r="L51" s="11"/>
      <c r="M51" s="10"/>
      <c r="N51" s="16"/>
      <c r="O51" s="10"/>
      <c r="P51" s="10"/>
      <c r="Q51" s="10"/>
      <c r="R51" s="10"/>
      <c r="S51" s="279"/>
      <c r="T51" s="12"/>
      <c r="U51" s="12"/>
      <c r="V51" s="12"/>
      <c r="W51" s="12"/>
      <c r="X51" s="12"/>
      <c r="Y51" s="12"/>
      <c r="Z51" s="12"/>
    </row>
    <row r="52" spans="2:26" s="265" customFormat="1" outlineLevel="1" x14ac:dyDescent="0.3">
      <c r="B52" s="14"/>
      <c r="C52" s="269"/>
      <c r="D52" s="269"/>
      <c r="E52" s="269"/>
      <c r="F52" s="14"/>
      <c r="G52" s="14"/>
      <c r="H52" s="314"/>
      <c r="I52" s="230"/>
      <c r="J52" s="10"/>
      <c r="K52" s="11"/>
      <c r="L52" s="11"/>
      <c r="M52" s="10"/>
      <c r="N52" s="16"/>
      <c r="O52" s="10"/>
      <c r="P52" s="10"/>
      <c r="Q52" s="10"/>
      <c r="R52" s="10"/>
      <c r="S52" s="279"/>
      <c r="T52" s="12"/>
      <c r="U52" s="12"/>
      <c r="V52" s="12"/>
      <c r="W52" s="12"/>
      <c r="X52" s="12"/>
      <c r="Y52" s="12"/>
      <c r="Z52" s="12"/>
    </row>
    <row r="53" spans="2:26" s="265" customFormat="1" outlineLevel="1" x14ac:dyDescent="0.3">
      <c r="B53" s="14"/>
      <c r="C53" s="269"/>
      <c r="D53" s="269"/>
      <c r="E53" s="269"/>
      <c r="F53" s="14"/>
      <c r="G53" s="14"/>
      <c r="H53" s="314"/>
      <c r="I53" s="230"/>
      <c r="J53" s="10"/>
      <c r="K53" s="11"/>
      <c r="L53" s="11"/>
      <c r="M53" s="10"/>
      <c r="N53" s="16"/>
      <c r="O53" s="10"/>
      <c r="P53" s="10"/>
      <c r="Q53" s="10"/>
      <c r="R53" s="10"/>
      <c r="S53" s="279"/>
      <c r="T53" s="12"/>
      <c r="U53" s="12"/>
      <c r="V53" s="12"/>
      <c r="W53" s="12"/>
      <c r="X53" s="12"/>
      <c r="Y53" s="12"/>
      <c r="Z53" s="12"/>
    </row>
    <row r="54" spans="2:26" s="265" customFormat="1" outlineLevel="1" x14ac:dyDescent="0.3">
      <c r="B54" s="14"/>
      <c r="C54" s="269"/>
      <c r="D54" s="269"/>
      <c r="E54" s="269"/>
      <c r="F54" s="14"/>
      <c r="G54" s="14"/>
      <c r="H54" s="314"/>
      <c r="I54" s="230"/>
      <c r="J54" s="10"/>
      <c r="K54" s="11"/>
      <c r="L54" s="11"/>
      <c r="M54" s="10"/>
      <c r="N54" s="16"/>
      <c r="O54" s="10"/>
      <c r="P54" s="10"/>
      <c r="Q54" s="10"/>
      <c r="R54" s="10"/>
      <c r="S54" s="279"/>
      <c r="T54" s="12"/>
      <c r="U54" s="12"/>
      <c r="V54" s="12"/>
      <c r="W54" s="12"/>
      <c r="X54" s="12"/>
      <c r="Y54" s="12"/>
      <c r="Z54" s="12"/>
    </row>
    <row r="55" spans="2:26" s="265" customFormat="1" outlineLevel="1" x14ac:dyDescent="0.3">
      <c r="B55" s="14"/>
      <c r="C55" s="269"/>
      <c r="D55" s="269"/>
      <c r="E55" s="269"/>
      <c r="F55" s="14"/>
      <c r="G55" s="14"/>
      <c r="H55" s="314"/>
      <c r="I55" s="230"/>
      <c r="J55" s="10"/>
      <c r="K55" s="11"/>
      <c r="L55" s="11"/>
      <c r="M55" s="10"/>
      <c r="N55" s="16"/>
      <c r="O55" s="10"/>
      <c r="P55" s="10"/>
      <c r="Q55" s="10"/>
      <c r="R55" s="10"/>
      <c r="S55" s="279"/>
      <c r="T55" s="12"/>
      <c r="U55" s="12"/>
      <c r="V55" s="12"/>
      <c r="W55" s="12"/>
      <c r="X55" s="12"/>
      <c r="Y55" s="12"/>
      <c r="Z55" s="12"/>
    </row>
    <row r="56" spans="2:26" s="265" customFormat="1" outlineLevel="1" x14ac:dyDescent="0.3">
      <c r="B56" s="14"/>
      <c r="C56" s="269"/>
      <c r="D56" s="269"/>
      <c r="E56" s="269"/>
      <c r="F56" s="14"/>
      <c r="G56" s="14"/>
      <c r="H56" s="314"/>
      <c r="I56" s="230"/>
      <c r="J56" s="10"/>
      <c r="K56" s="11"/>
      <c r="L56" s="11"/>
      <c r="M56" s="10"/>
      <c r="N56" s="16"/>
      <c r="O56" s="10"/>
      <c r="P56" s="10"/>
      <c r="Q56" s="10"/>
      <c r="R56" s="10"/>
      <c r="S56" s="279"/>
      <c r="T56" s="12"/>
      <c r="U56" s="12"/>
      <c r="V56" s="12"/>
      <c r="W56" s="12"/>
      <c r="X56" s="12"/>
      <c r="Y56" s="12"/>
      <c r="Z56" s="12"/>
    </row>
    <row r="57" spans="2:26" s="265" customFormat="1" outlineLevel="1" x14ac:dyDescent="0.3">
      <c r="B57" s="14"/>
      <c r="C57" s="269"/>
      <c r="D57" s="269"/>
      <c r="E57" s="269"/>
      <c r="F57" s="14"/>
      <c r="G57" s="14"/>
      <c r="H57" s="314"/>
      <c r="I57" s="230"/>
      <c r="J57" s="10"/>
      <c r="K57" s="11"/>
      <c r="L57" s="11"/>
      <c r="M57" s="10"/>
      <c r="N57" s="16"/>
      <c r="O57" s="10"/>
      <c r="P57" s="10"/>
      <c r="Q57" s="10"/>
      <c r="R57" s="10"/>
      <c r="S57" s="279"/>
      <c r="T57" s="12"/>
      <c r="U57" s="12"/>
      <c r="V57" s="12"/>
      <c r="W57" s="12"/>
      <c r="X57" s="12"/>
      <c r="Y57" s="12"/>
      <c r="Z57" s="12"/>
    </row>
    <row r="58" spans="2:26" s="265" customFormat="1" outlineLevel="1" x14ac:dyDescent="0.3">
      <c r="B58" s="14"/>
      <c r="C58" s="269"/>
      <c r="D58" s="269"/>
      <c r="E58" s="269"/>
      <c r="F58" s="14"/>
      <c r="G58" s="14"/>
      <c r="H58" s="314"/>
      <c r="I58" s="230"/>
      <c r="J58" s="10"/>
      <c r="K58" s="11"/>
      <c r="L58" s="11"/>
      <c r="M58" s="10"/>
      <c r="N58" s="16"/>
      <c r="O58" s="10"/>
      <c r="P58" s="10"/>
      <c r="Q58" s="10"/>
      <c r="R58" s="10"/>
      <c r="S58" s="279"/>
      <c r="T58" s="12"/>
      <c r="U58" s="12"/>
      <c r="V58" s="12"/>
      <c r="W58" s="12"/>
      <c r="X58" s="12"/>
      <c r="Y58" s="12"/>
      <c r="Z58" s="12"/>
    </row>
    <row r="59" spans="2:26" s="265" customFormat="1" outlineLevel="1" x14ac:dyDescent="0.3">
      <c r="B59" s="14"/>
      <c r="C59" s="269"/>
      <c r="D59" s="269"/>
      <c r="E59" s="269"/>
      <c r="F59" s="14"/>
      <c r="G59" s="14"/>
      <c r="H59" s="314"/>
      <c r="I59" s="230"/>
      <c r="J59" s="10"/>
      <c r="K59" s="11"/>
      <c r="L59" s="11"/>
      <c r="M59" s="10"/>
      <c r="N59" s="16"/>
      <c r="O59" s="10"/>
      <c r="P59" s="10"/>
      <c r="Q59" s="10"/>
      <c r="R59" s="10"/>
      <c r="S59" s="279"/>
      <c r="T59" s="12"/>
      <c r="U59" s="12"/>
      <c r="V59" s="12"/>
      <c r="W59" s="12"/>
      <c r="X59" s="12"/>
      <c r="Y59" s="12"/>
      <c r="Z59" s="12"/>
    </row>
    <row r="60" spans="2:26" s="265" customFormat="1" outlineLevel="1" x14ac:dyDescent="0.3">
      <c r="B60" s="14"/>
      <c r="C60" s="269"/>
      <c r="D60" s="269"/>
      <c r="E60" s="269"/>
      <c r="F60" s="14"/>
      <c r="G60" s="14"/>
      <c r="H60" s="314"/>
      <c r="I60" s="230"/>
      <c r="J60" s="10"/>
      <c r="K60" s="11"/>
      <c r="L60" s="11"/>
      <c r="M60" s="10"/>
      <c r="N60" s="16"/>
      <c r="O60" s="10"/>
      <c r="P60" s="10"/>
      <c r="Q60" s="10"/>
      <c r="R60" s="10"/>
      <c r="S60" s="279"/>
      <c r="T60" s="12"/>
      <c r="U60" s="12"/>
      <c r="V60" s="12"/>
      <c r="W60" s="12"/>
      <c r="X60" s="12"/>
      <c r="Y60" s="12"/>
      <c r="Z60" s="12"/>
    </row>
    <row r="61" spans="2:26" s="265" customFormat="1" outlineLevel="1" x14ac:dyDescent="0.3">
      <c r="B61" s="14"/>
      <c r="C61" s="269"/>
      <c r="D61" s="269"/>
      <c r="E61" s="269"/>
      <c r="F61" s="14"/>
      <c r="G61" s="14"/>
      <c r="H61" s="314"/>
      <c r="I61" s="230"/>
      <c r="J61" s="10"/>
      <c r="K61" s="11"/>
      <c r="L61" s="11"/>
      <c r="M61" s="10"/>
      <c r="N61" s="16"/>
      <c r="O61" s="10"/>
      <c r="P61" s="10"/>
      <c r="Q61" s="10"/>
      <c r="R61" s="10"/>
      <c r="S61" s="279"/>
      <c r="T61" s="12"/>
      <c r="U61" s="12"/>
      <c r="V61" s="12"/>
      <c r="W61" s="12"/>
      <c r="X61" s="12"/>
      <c r="Y61" s="12"/>
      <c r="Z61" s="12"/>
    </row>
    <row r="62" spans="2:26" s="265" customFormat="1" outlineLevel="1" x14ac:dyDescent="0.3">
      <c r="B62" s="14"/>
      <c r="C62" s="269"/>
      <c r="D62" s="269"/>
      <c r="E62" s="269"/>
      <c r="F62" s="14"/>
      <c r="G62" s="14"/>
      <c r="H62" s="314"/>
      <c r="I62" s="230"/>
      <c r="J62" s="10"/>
      <c r="K62" s="11"/>
      <c r="L62" s="11"/>
      <c r="M62" s="10"/>
      <c r="N62" s="16"/>
      <c r="O62" s="10"/>
      <c r="P62" s="10"/>
      <c r="Q62" s="10"/>
      <c r="R62" s="10"/>
      <c r="S62" s="279"/>
      <c r="T62" s="12"/>
      <c r="U62" s="12"/>
      <c r="V62" s="12"/>
      <c r="W62" s="12"/>
      <c r="X62" s="12"/>
      <c r="Y62" s="12"/>
      <c r="Z62" s="12"/>
    </row>
    <row r="63" spans="2:26" s="265" customFormat="1" outlineLevel="1" x14ac:dyDescent="0.3">
      <c r="B63" s="14"/>
      <c r="C63" s="269"/>
      <c r="D63" s="269"/>
      <c r="E63" s="269"/>
      <c r="F63" s="14"/>
      <c r="G63" s="14"/>
      <c r="H63" s="314"/>
      <c r="I63" s="230"/>
      <c r="J63" s="10"/>
      <c r="K63" s="11"/>
      <c r="L63" s="11"/>
      <c r="M63" s="10"/>
      <c r="N63" s="16"/>
      <c r="O63" s="10"/>
      <c r="P63" s="10"/>
      <c r="Q63" s="10"/>
      <c r="R63" s="10"/>
      <c r="S63" s="279"/>
      <c r="T63" s="12"/>
      <c r="U63" s="12"/>
      <c r="V63" s="12"/>
      <c r="W63" s="12"/>
      <c r="X63" s="12"/>
      <c r="Y63" s="12"/>
      <c r="Z63" s="12"/>
    </row>
    <row r="64" spans="2:26" s="265" customFormat="1" outlineLevel="1" x14ac:dyDescent="0.3">
      <c r="B64" s="14"/>
      <c r="C64" s="269"/>
      <c r="D64" s="269"/>
      <c r="E64" s="269"/>
      <c r="F64" s="14"/>
      <c r="G64" s="14"/>
      <c r="H64" s="314"/>
      <c r="I64" s="230"/>
      <c r="J64" s="10"/>
      <c r="K64" s="11"/>
      <c r="L64" s="11"/>
      <c r="M64" s="10"/>
      <c r="N64" s="16"/>
      <c r="O64" s="10"/>
      <c r="P64" s="10"/>
      <c r="Q64" s="10"/>
      <c r="R64" s="10"/>
      <c r="S64" s="279"/>
      <c r="T64" s="12"/>
      <c r="U64" s="12"/>
      <c r="V64" s="12"/>
      <c r="W64" s="12"/>
      <c r="X64" s="12"/>
      <c r="Y64" s="12"/>
      <c r="Z64" s="12"/>
    </row>
    <row r="65" spans="2:26" s="265" customFormat="1" outlineLevel="1" x14ac:dyDescent="0.3">
      <c r="B65" s="14"/>
      <c r="C65" s="269"/>
      <c r="D65" s="269"/>
      <c r="E65" s="269"/>
      <c r="F65" s="14"/>
      <c r="G65" s="14"/>
      <c r="H65" s="314"/>
      <c r="I65" s="230"/>
      <c r="J65" s="10"/>
      <c r="K65" s="11"/>
      <c r="L65" s="11"/>
      <c r="M65" s="10"/>
      <c r="N65" s="16"/>
      <c r="O65" s="10"/>
      <c r="P65" s="10"/>
      <c r="Q65" s="10"/>
      <c r="R65" s="10"/>
      <c r="S65" s="279"/>
      <c r="T65" s="12"/>
      <c r="U65" s="12"/>
      <c r="V65" s="12"/>
      <c r="W65" s="12"/>
      <c r="X65" s="12"/>
      <c r="Y65" s="12"/>
      <c r="Z65" s="12"/>
    </row>
    <row r="66" spans="2:26" s="265" customFormat="1" outlineLevel="1" x14ac:dyDescent="0.3">
      <c r="B66" s="14"/>
      <c r="C66" s="269"/>
      <c r="D66" s="269"/>
      <c r="E66" s="269"/>
      <c r="F66" s="14"/>
      <c r="G66" s="14"/>
      <c r="H66" s="314"/>
      <c r="I66" s="230"/>
      <c r="J66" s="10"/>
      <c r="K66" s="11"/>
      <c r="L66" s="11"/>
      <c r="M66" s="10"/>
      <c r="N66" s="16"/>
      <c r="O66" s="10"/>
      <c r="P66" s="10"/>
      <c r="Q66" s="10"/>
      <c r="R66" s="10"/>
      <c r="S66" s="279"/>
      <c r="T66" s="12"/>
      <c r="U66" s="12"/>
      <c r="V66" s="12"/>
      <c r="W66" s="12"/>
      <c r="X66" s="12"/>
      <c r="Y66" s="12"/>
      <c r="Z66" s="12"/>
    </row>
    <row r="67" spans="2:26" s="265" customFormat="1" outlineLevel="1" x14ac:dyDescent="0.3">
      <c r="B67" s="14"/>
      <c r="C67" s="269"/>
      <c r="D67" s="269"/>
      <c r="E67" s="269"/>
      <c r="F67" s="14"/>
      <c r="G67" s="14"/>
      <c r="H67" s="314"/>
      <c r="I67" s="230"/>
      <c r="J67" s="10"/>
      <c r="K67" s="11"/>
      <c r="L67" s="11"/>
      <c r="M67" s="10"/>
      <c r="N67" s="16"/>
      <c r="O67" s="10"/>
      <c r="P67" s="10"/>
      <c r="Q67" s="10"/>
      <c r="R67" s="10"/>
      <c r="S67" s="279"/>
      <c r="T67" s="12"/>
      <c r="U67" s="12"/>
      <c r="V67" s="12"/>
      <c r="W67" s="12"/>
      <c r="X67" s="12"/>
      <c r="Y67" s="12"/>
      <c r="Z67" s="12"/>
    </row>
    <row r="68" spans="2:26" s="265" customFormat="1" outlineLevel="1" x14ac:dyDescent="0.3">
      <c r="B68" s="14"/>
      <c r="C68" s="269"/>
      <c r="D68" s="269"/>
      <c r="E68" s="269"/>
      <c r="F68" s="14"/>
      <c r="G68" s="14"/>
      <c r="H68" s="314"/>
      <c r="I68" s="230"/>
      <c r="J68" s="10"/>
      <c r="K68" s="11"/>
      <c r="L68" s="11"/>
      <c r="M68" s="10"/>
      <c r="N68" s="16"/>
      <c r="O68" s="10"/>
      <c r="P68" s="10"/>
      <c r="Q68" s="10"/>
      <c r="R68" s="10"/>
      <c r="S68" s="279"/>
      <c r="T68" s="12"/>
      <c r="U68" s="12"/>
      <c r="V68" s="12"/>
      <c r="W68" s="12"/>
      <c r="X68" s="12"/>
      <c r="Y68" s="12"/>
      <c r="Z68" s="12"/>
    </row>
    <row r="69" spans="2:26" s="265" customFormat="1" outlineLevel="1" x14ac:dyDescent="0.3">
      <c r="B69" s="14"/>
      <c r="C69" s="269"/>
      <c r="D69" s="269"/>
      <c r="E69" s="269"/>
      <c r="F69" s="14"/>
      <c r="G69" s="14"/>
      <c r="H69" s="314"/>
      <c r="I69" s="230"/>
      <c r="J69" s="10"/>
      <c r="K69" s="11"/>
      <c r="L69" s="11"/>
      <c r="M69" s="10"/>
      <c r="N69" s="16"/>
      <c r="O69" s="10"/>
      <c r="P69" s="10"/>
      <c r="Q69" s="10"/>
      <c r="R69" s="10"/>
      <c r="S69" s="279"/>
      <c r="T69" s="12"/>
      <c r="U69" s="12"/>
      <c r="V69" s="12"/>
      <c r="W69" s="12"/>
      <c r="X69" s="12"/>
      <c r="Y69" s="12"/>
      <c r="Z69" s="12"/>
    </row>
    <row r="70" spans="2:26" s="265" customFormat="1" outlineLevel="1" x14ac:dyDescent="0.3">
      <c r="B70" s="14"/>
      <c r="C70" s="269"/>
      <c r="D70" s="269"/>
      <c r="E70" s="269"/>
      <c r="F70" s="14"/>
      <c r="G70" s="14"/>
      <c r="H70" s="314"/>
      <c r="I70" s="230"/>
      <c r="J70" s="10"/>
      <c r="K70" s="11"/>
      <c r="L70" s="11"/>
      <c r="M70" s="10"/>
      <c r="N70" s="16"/>
      <c r="O70" s="10"/>
      <c r="P70" s="10"/>
      <c r="Q70" s="10"/>
      <c r="R70" s="10"/>
      <c r="S70" s="279"/>
      <c r="T70" s="12"/>
      <c r="U70" s="12"/>
      <c r="V70" s="12"/>
      <c r="W70" s="12"/>
      <c r="X70" s="12"/>
      <c r="Y70" s="12"/>
      <c r="Z70" s="12"/>
    </row>
    <row r="71" spans="2:26" s="265" customFormat="1" outlineLevel="1" x14ac:dyDescent="0.3">
      <c r="B71" s="14"/>
      <c r="C71" s="269"/>
      <c r="D71" s="269"/>
      <c r="E71" s="269"/>
      <c r="F71" s="14"/>
      <c r="G71" s="14"/>
      <c r="H71" s="314"/>
      <c r="I71" s="230"/>
      <c r="J71" s="10"/>
      <c r="K71" s="11"/>
      <c r="L71" s="11"/>
      <c r="M71" s="10"/>
      <c r="N71" s="16"/>
      <c r="O71" s="10"/>
      <c r="P71" s="10"/>
      <c r="Q71" s="10"/>
      <c r="R71" s="10"/>
      <c r="S71" s="279"/>
      <c r="T71" s="12"/>
      <c r="U71" s="12"/>
      <c r="V71" s="12"/>
      <c r="W71" s="12"/>
      <c r="X71" s="12"/>
      <c r="Y71" s="12"/>
      <c r="Z71" s="12"/>
    </row>
    <row r="72" spans="2:26" s="265" customFormat="1" outlineLevel="1" x14ac:dyDescent="0.3">
      <c r="B72" s="14"/>
      <c r="C72" s="269"/>
      <c r="D72" s="269"/>
      <c r="E72" s="269"/>
      <c r="F72" s="14"/>
      <c r="G72" s="14"/>
      <c r="H72" s="314"/>
      <c r="I72" s="230"/>
      <c r="J72" s="10"/>
      <c r="K72" s="11"/>
      <c r="L72" s="11"/>
      <c r="M72" s="10"/>
      <c r="N72" s="16"/>
      <c r="O72" s="10"/>
      <c r="P72" s="10"/>
      <c r="Q72" s="10"/>
      <c r="R72" s="10"/>
      <c r="S72" s="279"/>
      <c r="T72" s="12"/>
      <c r="U72" s="12"/>
      <c r="V72" s="12"/>
      <c r="W72" s="12"/>
      <c r="X72" s="12"/>
      <c r="Y72" s="12"/>
      <c r="Z72" s="12"/>
    </row>
    <row r="73" spans="2:26" s="265" customFormat="1" outlineLevel="1" x14ac:dyDescent="0.3">
      <c r="B73" s="260"/>
      <c r="C73" s="270"/>
      <c r="D73" s="270"/>
      <c r="E73" s="270"/>
      <c r="F73" s="260"/>
      <c r="G73" s="260"/>
      <c r="H73" s="315"/>
      <c r="I73" s="259"/>
      <c r="J73" s="261"/>
      <c r="K73" s="259"/>
      <c r="L73" s="259"/>
      <c r="M73" s="261"/>
      <c r="N73" s="262"/>
      <c r="O73" s="261"/>
      <c r="P73" s="261"/>
      <c r="Q73" s="261"/>
      <c r="R73" s="261"/>
      <c r="S73" s="263"/>
      <c r="T73" s="264"/>
      <c r="U73" s="264"/>
      <c r="V73" s="264"/>
      <c r="W73" s="264"/>
      <c r="X73" s="264"/>
      <c r="Y73" s="264"/>
      <c r="Z73" s="264"/>
    </row>
    <row r="74" spans="2:26" s="265" customFormat="1" outlineLevel="1" x14ac:dyDescent="0.3">
      <c r="B74" s="260"/>
      <c r="C74" s="270"/>
      <c r="D74" s="270"/>
      <c r="E74" s="270"/>
      <c r="F74" s="260"/>
      <c r="G74" s="260"/>
      <c r="H74" s="315"/>
      <c r="I74" s="259"/>
      <c r="J74" s="261"/>
      <c r="K74" s="259"/>
      <c r="L74" s="259"/>
      <c r="M74" s="261"/>
      <c r="N74" s="262"/>
      <c r="O74" s="261"/>
      <c r="P74" s="261"/>
      <c r="Q74" s="261"/>
      <c r="R74" s="261"/>
      <c r="S74" s="263"/>
      <c r="T74" s="264"/>
      <c r="U74" s="264"/>
      <c r="V74" s="264"/>
      <c r="W74" s="264"/>
      <c r="X74" s="264"/>
      <c r="Y74" s="264"/>
      <c r="Z74" s="264"/>
    </row>
    <row r="75" spans="2:26" s="265" customFormat="1" outlineLevel="1" x14ac:dyDescent="0.3">
      <c r="B75" s="260"/>
      <c r="C75" s="270"/>
      <c r="D75" s="270"/>
      <c r="E75" s="270"/>
      <c r="F75" s="260"/>
      <c r="G75" s="260"/>
      <c r="H75" s="315"/>
      <c r="I75" s="259"/>
      <c r="J75" s="261"/>
      <c r="K75" s="259"/>
      <c r="L75" s="259"/>
      <c r="M75" s="261"/>
      <c r="N75" s="262"/>
      <c r="O75" s="261"/>
      <c r="P75" s="261"/>
      <c r="Q75" s="261"/>
      <c r="R75" s="261"/>
      <c r="S75" s="263"/>
      <c r="T75" s="264"/>
      <c r="U75" s="264"/>
      <c r="V75" s="264"/>
      <c r="W75" s="264"/>
      <c r="X75" s="264"/>
      <c r="Y75" s="264"/>
      <c r="Z75" s="264"/>
    </row>
    <row r="76" spans="2:26" s="265" customFormat="1" outlineLevel="1" x14ac:dyDescent="0.3">
      <c r="B76" s="260"/>
      <c r="C76" s="270"/>
      <c r="D76" s="270"/>
      <c r="E76" s="270"/>
      <c r="F76" s="260"/>
      <c r="G76" s="260"/>
      <c r="H76" s="315"/>
      <c r="I76" s="259"/>
      <c r="J76" s="261"/>
      <c r="K76" s="259"/>
      <c r="L76" s="259"/>
      <c r="M76" s="261"/>
      <c r="N76" s="262"/>
      <c r="O76" s="261"/>
      <c r="P76" s="261"/>
      <c r="Q76" s="261"/>
      <c r="R76" s="261"/>
      <c r="S76" s="263"/>
      <c r="T76" s="264"/>
      <c r="U76" s="264"/>
      <c r="V76" s="264"/>
      <c r="W76" s="264"/>
      <c r="X76" s="264"/>
      <c r="Y76" s="264"/>
      <c r="Z76" s="264"/>
    </row>
    <row r="77" spans="2:26" s="265" customFormat="1" outlineLevel="1" x14ac:dyDescent="0.3">
      <c r="B77" s="260"/>
      <c r="C77" s="270"/>
      <c r="D77" s="270"/>
      <c r="E77" s="270"/>
      <c r="F77" s="260"/>
      <c r="G77" s="260"/>
      <c r="H77" s="315"/>
      <c r="I77" s="259"/>
      <c r="J77" s="261"/>
      <c r="K77" s="259"/>
      <c r="L77" s="259"/>
      <c r="M77" s="261"/>
      <c r="N77" s="262"/>
      <c r="O77" s="261"/>
      <c r="P77" s="261"/>
      <c r="Q77" s="261"/>
      <c r="R77" s="261"/>
      <c r="S77" s="263"/>
      <c r="T77" s="264"/>
      <c r="U77" s="264"/>
      <c r="V77" s="264"/>
      <c r="W77" s="264"/>
      <c r="X77" s="264"/>
      <c r="Y77" s="264"/>
      <c r="Z77" s="264"/>
    </row>
    <row r="78" spans="2:26" outlineLevel="1" x14ac:dyDescent="0.3">
      <c r="B78" s="14"/>
      <c r="C78" s="271"/>
      <c r="D78" s="271"/>
      <c r="E78" s="271"/>
      <c r="F78" s="14"/>
      <c r="G78" s="14"/>
      <c r="H78" s="314"/>
      <c r="I78" s="230"/>
      <c r="J78" s="10"/>
      <c r="K78" s="11"/>
      <c r="L78" s="11"/>
      <c r="M78" s="10"/>
      <c r="N78" s="16"/>
      <c r="O78" s="10"/>
      <c r="P78" s="10"/>
      <c r="Q78" s="10"/>
      <c r="R78" s="10"/>
      <c r="S78" s="233"/>
      <c r="T78" s="12"/>
      <c r="U78" s="12"/>
      <c r="V78" s="12"/>
      <c r="W78" s="12"/>
      <c r="X78" s="12"/>
      <c r="Y78" s="12"/>
      <c r="Z78" s="12"/>
    </row>
    <row r="79" spans="2:26" outlineLevel="1" x14ac:dyDescent="0.3">
      <c r="B79" s="14"/>
      <c r="C79" s="271"/>
      <c r="D79" s="271"/>
      <c r="E79" s="271"/>
      <c r="F79" s="14"/>
      <c r="G79" s="14"/>
      <c r="H79" s="314"/>
      <c r="I79" s="230"/>
      <c r="J79" s="10"/>
      <c r="K79" s="11"/>
      <c r="L79" s="11"/>
      <c r="M79" s="10"/>
      <c r="N79" s="16"/>
      <c r="O79" s="10"/>
      <c r="P79" s="10"/>
      <c r="Q79" s="10"/>
      <c r="R79" s="10"/>
      <c r="S79" s="233"/>
      <c r="T79" s="12"/>
      <c r="U79" s="12"/>
      <c r="V79" s="12"/>
      <c r="W79" s="12"/>
      <c r="X79" s="12"/>
      <c r="Y79" s="12"/>
      <c r="Z79" s="12"/>
    </row>
    <row r="80" spans="2:26" outlineLevel="1" x14ac:dyDescent="0.3">
      <c r="B80" s="14"/>
      <c r="C80" s="271"/>
      <c r="D80" s="271"/>
      <c r="E80" s="271"/>
      <c r="F80" s="14"/>
      <c r="G80" s="14"/>
      <c r="H80" s="314"/>
      <c r="I80" s="230"/>
      <c r="J80" s="10"/>
      <c r="K80" s="11"/>
      <c r="L80" s="11"/>
      <c r="M80" s="10"/>
      <c r="N80" s="16"/>
      <c r="O80" s="10"/>
      <c r="P80" s="10"/>
      <c r="Q80" s="10"/>
      <c r="R80" s="10"/>
      <c r="S80" s="233"/>
      <c r="T80" s="12"/>
      <c r="U80" s="12"/>
      <c r="V80" s="12"/>
      <c r="W80" s="12"/>
      <c r="X80" s="12"/>
      <c r="Y80" s="12"/>
      <c r="Z80" s="12"/>
    </row>
    <row r="81" spans="1:26" outlineLevel="1" x14ac:dyDescent="0.3">
      <c r="B81" s="14"/>
      <c r="C81" s="271"/>
      <c r="D81" s="271"/>
      <c r="E81" s="271"/>
      <c r="F81" s="14"/>
      <c r="G81" s="14"/>
      <c r="H81" s="314"/>
      <c r="I81" s="230"/>
      <c r="J81" s="10"/>
      <c r="K81" s="11"/>
      <c r="L81" s="11"/>
      <c r="M81" s="10"/>
      <c r="N81" s="16"/>
      <c r="O81" s="10"/>
      <c r="P81" s="10"/>
      <c r="Q81" s="10"/>
      <c r="R81" s="10"/>
      <c r="S81" s="233"/>
      <c r="T81" s="12"/>
      <c r="U81" s="12"/>
      <c r="V81" s="12"/>
      <c r="W81" s="12"/>
      <c r="X81" s="12"/>
      <c r="Y81" s="12"/>
      <c r="Z81" s="12"/>
    </row>
    <row r="82" spans="1:26" outlineLevel="1" x14ac:dyDescent="0.3">
      <c r="B82" s="14"/>
      <c r="C82" s="271"/>
      <c r="D82" s="271"/>
      <c r="E82" s="271"/>
      <c r="F82" s="14"/>
      <c r="G82" s="14"/>
      <c r="H82" s="314"/>
      <c r="I82" s="230"/>
      <c r="J82" s="10"/>
      <c r="K82" s="11"/>
      <c r="L82" s="11"/>
      <c r="M82" s="10"/>
      <c r="N82" s="16"/>
      <c r="O82" s="10"/>
      <c r="P82" s="10"/>
      <c r="Q82" s="10"/>
      <c r="R82" s="10"/>
      <c r="S82" s="233"/>
      <c r="T82" s="12"/>
      <c r="U82" s="12"/>
      <c r="V82" s="12"/>
      <c r="W82" s="12"/>
      <c r="X82" s="12"/>
      <c r="Y82" s="12"/>
      <c r="Z82" s="12"/>
    </row>
    <row r="83" spans="1:26" outlineLevel="1" x14ac:dyDescent="0.3">
      <c r="B83" s="14"/>
      <c r="C83" s="271"/>
      <c r="D83" s="271"/>
      <c r="E83" s="271"/>
      <c r="F83" s="14"/>
      <c r="G83" s="14"/>
      <c r="H83" s="314"/>
      <c r="I83" s="230"/>
      <c r="J83" s="10"/>
      <c r="K83" s="11"/>
      <c r="L83" s="11"/>
      <c r="M83" s="10"/>
      <c r="N83" s="16"/>
      <c r="O83" s="10"/>
      <c r="P83" s="10"/>
      <c r="Q83" s="10"/>
      <c r="R83" s="10"/>
      <c r="S83" s="233"/>
      <c r="T83" s="12"/>
      <c r="U83" s="12"/>
      <c r="V83" s="12"/>
      <c r="W83" s="12"/>
      <c r="X83" s="12"/>
      <c r="Y83" s="12"/>
      <c r="Z83" s="12"/>
    </row>
    <row r="84" spans="1:26" outlineLevel="1" x14ac:dyDescent="0.3">
      <c r="B84" s="14" t="str">
        <f>IF('Employee Input 21-22'!B85="","",'Employee Input 21-22'!B85)</f>
        <v/>
      </c>
      <c r="C84" s="269" t="str">
        <f>IF('Employee Input 21-22'!C85="","",'Employee Input 21-22'!C85)</f>
        <v/>
      </c>
      <c r="D84" s="269" t="str">
        <f>IF('Employee Input 21-22'!D85="","",'Employee Input 21-22'!D85)</f>
        <v/>
      </c>
      <c r="E84" s="269" t="str">
        <f>IF('Employee Input 21-22'!E85="","",'Employee Input 21-22'!E85)</f>
        <v/>
      </c>
      <c r="F84" s="14" t="str">
        <f>IF('Employee Input 21-22'!F85="","",'Employee Input 21-22'!F85)</f>
        <v/>
      </c>
      <c r="G84" s="14"/>
      <c r="H84" s="314"/>
      <c r="I84" s="167"/>
      <c r="J84" s="10"/>
      <c r="K84" s="167"/>
      <c r="L84" s="167"/>
      <c r="M84" s="10"/>
      <c r="N84" s="14"/>
      <c r="O84" s="10"/>
      <c r="P84" s="10"/>
      <c r="Q84" s="10"/>
      <c r="R84" s="10"/>
      <c r="S84" s="11"/>
      <c r="T84" s="12"/>
      <c r="U84" s="12"/>
      <c r="V84" s="12"/>
      <c r="W84" s="12"/>
      <c r="X84" s="12"/>
      <c r="Y84" s="12"/>
      <c r="Z84" s="12"/>
    </row>
    <row r="85" spans="1:26" outlineLevel="1" x14ac:dyDescent="0.3">
      <c r="B85" s="14" t="str">
        <f>IF('Employee Input 21-22'!B86="","",'Employee Input 21-22'!B86)</f>
        <v/>
      </c>
      <c r="C85" s="269" t="str">
        <f>IF('Employee Input 21-22'!C86="","",'Employee Input 21-22'!C86)</f>
        <v/>
      </c>
      <c r="D85" s="269" t="str">
        <f>IF('Employee Input 21-22'!D86="","",'Employee Input 21-22'!D86)</f>
        <v/>
      </c>
      <c r="E85" s="269" t="str">
        <f>IF('Employee Input 21-22'!E86="","",'Employee Input 21-22'!E86)</f>
        <v/>
      </c>
      <c r="F85" s="14" t="str">
        <f>IF('Employee Input 21-22'!F86="","",'Employee Input 21-22'!F86)</f>
        <v/>
      </c>
      <c r="G85" s="14"/>
      <c r="H85" s="314"/>
      <c r="I85" s="167" t="str">
        <f>IF('Employee Input 21-22'!I86="","",'Employee Input 21-22'!I86)</f>
        <v/>
      </c>
      <c r="J85" s="10" t="str">
        <f>IF(F85="","",F85*I85)</f>
        <v/>
      </c>
      <c r="K85" s="167" t="str">
        <f>IF('Employee Input 21-22'!K86="","",'Employee Input 21-22'!K86)</f>
        <v/>
      </c>
      <c r="L85" s="167" t="str">
        <f>IF('Employee Input 21-22'!L86="","",'Employee Input 21-22'!L86)</f>
        <v/>
      </c>
      <c r="M85" s="10" t="str">
        <f>IF(SUM(J85:L85)&gt;0,SUM(J85:L85),"")</f>
        <v/>
      </c>
      <c r="N85" s="14" t="str">
        <f>IF('Employee Input 21-22'!N86="","",'Employee Input 21-22'!N86)</f>
        <v/>
      </c>
    </row>
    <row r="86" spans="1:26" ht="16.2" thickBot="1" x14ac:dyDescent="0.35">
      <c r="A86" s="22"/>
      <c r="B86" s="38"/>
      <c r="C86" s="268"/>
      <c r="D86" s="268"/>
      <c r="E86" s="268"/>
      <c r="F86" s="38"/>
      <c r="G86" s="38"/>
      <c r="H86" s="38"/>
      <c r="I86" s="38"/>
      <c r="J86" s="38"/>
      <c r="K86" s="38"/>
      <c r="L86" s="38"/>
      <c r="M86" s="22"/>
      <c r="N86" s="38"/>
      <c r="O86" s="22"/>
      <c r="P86" s="22"/>
      <c r="Q86" s="22"/>
      <c r="R86" s="22"/>
      <c r="S86" s="38"/>
      <c r="T86" s="22"/>
      <c r="U86" s="22"/>
      <c r="V86" s="22"/>
      <c r="W86" s="22"/>
      <c r="X86" s="22"/>
      <c r="Y86" s="22"/>
      <c r="Z86" s="22"/>
    </row>
    <row r="87" spans="1:26" x14ac:dyDescent="0.3">
      <c r="B87" s="33" t="s">
        <v>740</v>
      </c>
      <c r="C87" s="272"/>
      <c r="D87" s="273"/>
      <c r="E87" s="272" t="str">
        <f>IF(SUM(E17,E47,E85)&gt;0,SUM(E17,E47,E85),"")</f>
        <v/>
      </c>
      <c r="F87" s="37">
        <f>SUM(F7:F86)</f>
        <v>215.80000000000004</v>
      </c>
      <c r="G87" s="37"/>
      <c r="H87" s="316"/>
      <c r="I87" s="37"/>
      <c r="J87" s="37">
        <f>SUM(J7:J86)</f>
        <v>465506.64600000007</v>
      </c>
      <c r="K87" s="37">
        <f>SUM(K7:K86)</f>
        <v>1250</v>
      </c>
      <c r="L87" s="37">
        <f>SUM(L7:L86)</f>
        <v>1443</v>
      </c>
      <c r="M87" s="37">
        <f>SUM(M7:M86)</f>
        <v>468199.64600000007</v>
      </c>
      <c r="O87" s="37">
        <f t="shared" ref="O87:Z87" si="18">SUM(O7:O86)</f>
        <v>50602.447480000003</v>
      </c>
      <c r="P87" s="37">
        <f t="shared" si="18"/>
        <v>0</v>
      </c>
      <c r="Q87" s="37">
        <f t="shared" si="18"/>
        <v>12704.085374999999</v>
      </c>
      <c r="R87" s="37">
        <f t="shared" si="18"/>
        <v>6788.8948670000018</v>
      </c>
      <c r="S87" s="37">
        <f t="shared" si="18"/>
        <v>0</v>
      </c>
      <c r="T87" s="37">
        <f t="shared" si="18"/>
        <v>53420</v>
      </c>
      <c r="U87" s="37">
        <f t="shared" si="18"/>
        <v>6400</v>
      </c>
      <c r="V87" s="37">
        <f t="shared" si="18"/>
        <v>6086.5953979999995</v>
      </c>
      <c r="W87" s="37">
        <f t="shared" si="18"/>
        <v>0</v>
      </c>
      <c r="X87" s="37">
        <f t="shared" si="18"/>
        <v>0</v>
      </c>
      <c r="Y87" s="37">
        <f t="shared" si="18"/>
        <v>136002.02312</v>
      </c>
      <c r="Z87" s="37">
        <f t="shared" si="18"/>
        <v>604201.66911999986</v>
      </c>
    </row>
    <row r="89" spans="1:26" x14ac:dyDescent="0.3">
      <c r="B89" s="33" t="s">
        <v>744</v>
      </c>
      <c r="F89" s="37">
        <f>SUMIF($B:$B,1100,F:F)</f>
        <v>41</v>
      </c>
      <c r="G89" s="37"/>
      <c r="H89" s="316"/>
      <c r="I89" s="37"/>
      <c r="J89" s="37">
        <f>SUMIF($B:$B,1100,J:J)</f>
        <v>213988.68</v>
      </c>
      <c r="K89" s="37">
        <f>SUMIF($B:$B,1100,K:K)</f>
        <v>1250</v>
      </c>
      <c r="L89" s="37">
        <f>SUMIF($B:$B,1100,L:L)</f>
        <v>750</v>
      </c>
      <c r="M89" s="37">
        <f>SUMIF($B:$B,1100,M:M)</f>
        <v>215988.68</v>
      </c>
      <c r="O89" s="37">
        <f t="shared" ref="O89:Z89" si="19">SUMIF($B:$B,1100,O:O)</f>
        <v>37323.172480000001</v>
      </c>
      <c r="P89" s="37">
        <f t="shared" si="19"/>
        <v>0</v>
      </c>
      <c r="Q89" s="37">
        <f t="shared" si="19"/>
        <v>1286.2125000000001</v>
      </c>
      <c r="R89" s="37">
        <f t="shared" si="19"/>
        <v>3131.8358600000001</v>
      </c>
      <c r="S89" s="37">
        <f t="shared" si="19"/>
        <v>0</v>
      </c>
      <c r="T89" s="37">
        <f t="shared" si="19"/>
        <v>32442</v>
      </c>
      <c r="U89" s="37">
        <f t="shared" si="19"/>
        <v>2000</v>
      </c>
      <c r="V89" s="37">
        <f t="shared" si="19"/>
        <v>2807.85284</v>
      </c>
      <c r="W89" s="37">
        <f t="shared" si="19"/>
        <v>0</v>
      </c>
      <c r="X89" s="37">
        <f t="shared" si="19"/>
        <v>0</v>
      </c>
      <c r="Y89" s="37">
        <f t="shared" si="19"/>
        <v>78991.073679999987</v>
      </c>
      <c r="Z89" s="37">
        <f t="shared" si="19"/>
        <v>294979.75367999997</v>
      </c>
    </row>
  </sheetData>
  <printOptions horizontalCentered="1" verticalCentered="1" gridLines="1"/>
  <pageMargins left="0.25" right="0.25" top="0.25" bottom="0.25" header="0.3" footer="0.3"/>
  <pageSetup paperSize="5" scale="95" fitToWidth="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249977111117893"/>
    <pageSetUpPr fitToPage="1"/>
  </sheetPr>
  <dimension ref="A1:X173"/>
  <sheetViews>
    <sheetView workbookViewId="0">
      <pane xSplit="3" ySplit="6" topLeftCell="D42" activePane="bottomRight" state="frozen"/>
      <selection activeCell="L14" sqref="L14"/>
      <selection pane="topRight" activeCell="L14" sqref="L14"/>
      <selection pane="bottomLeft" activeCell="L14" sqref="L14"/>
      <selection pane="bottomRight" activeCell="L14" sqref="L14"/>
    </sheetView>
  </sheetViews>
  <sheetFormatPr defaultRowHeight="15.6" outlineLevelRow="1" x14ac:dyDescent="0.3"/>
  <cols>
    <col min="1" max="1" width="5.6640625" style="34" customWidth="1"/>
    <col min="2" max="2" width="5.109375" style="39" customWidth="1"/>
    <col min="3" max="3" width="42.5546875" style="1" customWidth="1"/>
    <col min="4" max="18" width="7.88671875" style="89" customWidth="1"/>
    <col min="19" max="19" width="10.33203125" style="1" bestFit="1" customWidth="1"/>
    <col min="20" max="24" width="11.5546875" style="1" customWidth="1"/>
    <col min="25" max="255" width="9.109375" style="1"/>
    <col min="256" max="256" width="22.88671875" style="1" customWidth="1"/>
    <col min="257" max="511" width="9.109375" style="1"/>
    <col min="512" max="512" width="22.88671875" style="1" customWidth="1"/>
    <col min="513" max="767" width="9.109375" style="1"/>
    <col min="768" max="768" width="22.88671875" style="1" customWidth="1"/>
    <col min="769" max="1023" width="9.109375" style="1"/>
    <col min="1024" max="1024" width="22.88671875" style="1" customWidth="1"/>
    <col min="1025" max="1279" width="9.109375" style="1"/>
    <col min="1280" max="1280" width="22.88671875" style="1" customWidth="1"/>
    <col min="1281" max="1535" width="9.109375" style="1"/>
    <col min="1536" max="1536" width="22.88671875" style="1" customWidth="1"/>
    <col min="1537" max="1791" width="9.109375" style="1"/>
    <col min="1792" max="1792" width="22.88671875" style="1" customWidth="1"/>
    <col min="1793" max="2047" width="9.109375" style="1"/>
    <col min="2048" max="2048" width="22.88671875" style="1" customWidth="1"/>
    <col min="2049" max="2303" width="9.109375" style="1"/>
    <col min="2304" max="2304" width="22.88671875" style="1" customWidth="1"/>
    <col min="2305" max="2559" width="9.109375" style="1"/>
    <col min="2560" max="2560" width="22.88671875" style="1" customWidth="1"/>
    <col min="2561" max="2815" width="9.109375" style="1"/>
    <col min="2816" max="2816" width="22.88671875" style="1" customWidth="1"/>
    <col min="2817" max="3071" width="9.109375" style="1"/>
    <col min="3072" max="3072" width="22.88671875" style="1" customWidth="1"/>
    <col min="3073" max="3327" width="9.109375" style="1"/>
    <col min="3328" max="3328" width="22.88671875" style="1" customWidth="1"/>
    <col min="3329" max="3583" width="9.109375" style="1"/>
    <col min="3584" max="3584" width="22.88671875" style="1" customWidth="1"/>
    <col min="3585" max="3839" width="9.109375" style="1"/>
    <col min="3840" max="3840" width="22.88671875" style="1" customWidth="1"/>
    <col min="3841" max="4095" width="9.109375" style="1"/>
    <col min="4096" max="4096" width="22.88671875" style="1" customWidth="1"/>
    <col min="4097" max="4351" width="9.109375" style="1"/>
    <col min="4352" max="4352" width="22.88671875" style="1" customWidth="1"/>
    <col min="4353" max="4607" width="9.109375" style="1"/>
    <col min="4608" max="4608" width="22.88671875" style="1" customWidth="1"/>
    <col min="4609" max="4863" width="9.109375" style="1"/>
    <col min="4864" max="4864" width="22.88671875" style="1" customWidth="1"/>
    <col min="4865" max="5119" width="9.109375" style="1"/>
    <col min="5120" max="5120" width="22.88671875" style="1" customWidth="1"/>
    <col min="5121" max="5375" width="9.109375" style="1"/>
    <col min="5376" max="5376" width="22.88671875" style="1" customWidth="1"/>
    <col min="5377" max="5631" width="9.109375" style="1"/>
    <col min="5632" max="5632" width="22.88671875" style="1" customWidth="1"/>
    <col min="5633" max="5887" width="9.109375" style="1"/>
    <col min="5888" max="5888" width="22.88671875" style="1" customWidth="1"/>
    <col min="5889" max="6143" width="9.109375" style="1"/>
    <col min="6144" max="6144" width="22.88671875" style="1" customWidth="1"/>
    <col min="6145" max="6399" width="9.109375" style="1"/>
    <col min="6400" max="6400" width="22.88671875" style="1" customWidth="1"/>
    <col min="6401" max="6655" width="9.109375" style="1"/>
    <col min="6656" max="6656" width="22.88671875" style="1" customWidth="1"/>
    <col min="6657" max="6911" width="9.109375" style="1"/>
    <col min="6912" max="6912" width="22.88671875" style="1" customWidth="1"/>
    <col min="6913" max="7167" width="9.109375" style="1"/>
    <col min="7168" max="7168" width="22.88671875" style="1" customWidth="1"/>
    <col min="7169" max="7423" width="9.109375" style="1"/>
    <col min="7424" max="7424" width="22.88671875" style="1" customWidth="1"/>
    <col min="7425" max="7679" width="9.109375" style="1"/>
    <col min="7680" max="7680" width="22.88671875" style="1" customWidth="1"/>
    <col min="7681" max="7935" width="9.109375" style="1"/>
    <col min="7936" max="7936" width="22.88671875" style="1" customWidth="1"/>
    <col min="7937" max="8191" width="9.109375" style="1"/>
    <col min="8192" max="8192" width="22.88671875" style="1" customWidth="1"/>
    <col min="8193" max="8447" width="9.109375" style="1"/>
    <col min="8448" max="8448" width="22.88671875" style="1" customWidth="1"/>
    <col min="8449" max="8703" width="9.109375" style="1"/>
    <col min="8704" max="8704" width="22.88671875" style="1" customWidth="1"/>
    <col min="8705" max="8959" width="9.109375" style="1"/>
    <col min="8960" max="8960" width="22.88671875" style="1" customWidth="1"/>
    <col min="8961" max="9215" width="9.109375" style="1"/>
    <col min="9216" max="9216" width="22.88671875" style="1" customWidth="1"/>
    <col min="9217" max="9471" width="9.109375" style="1"/>
    <col min="9472" max="9472" width="22.88671875" style="1" customWidth="1"/>
    <col min="9473" max="9727" width="9.109375" style="1"/>
    <col min="9728" max="9728" width="22.88671875" style="1" customWidth="1"/>
    <col min="9729" max="9983" width="9.109375" style="1"/>
    <col min="9984" max="9984" width="22.88671875" style="1" customWidth="1"/>
    <col min="9985" max="10239" width="9.109375" style="1"/>
    <col min="10240" max="10240" width="22.88671875" style="1" customWidth="1"/>
    <col min="10241" max="10495" width="9.109375" style="1"/>
    <col min="10496" max="10496" width="22.88671875" style="1" customWidth="1"/>
    <col min="10497" max="10751" width="9.109375" style="1"/>
    <col min="10752" max="10752" width="22.88671875" style="1" customWidth="1"/>
    <col min="10753" max="11007" width="9.109375" style="1"/>
    <col min="11008" max="11008" width="22.88671875" style="1" customWidth="1"/>
    <col min="11009" max="11263" width="9.109375" style="1"/>
    <col min="11264" max="11264" width="22.88671875" style="1" customWidth="1"/>
    <col min="11265" max="11519" width="9.109375" style="1"/>
    <col min="11520" max="11520" width="22.88671875" style="1" customWidth="1"/>
    <col min="11521" max="11775" width="9.109375" style="1"/>
    <col min="11776" max="11776" width="22.88671875" style="1" customWidth="1"/>
    <col min="11777" max="12031" width="9.109375" style="1"/>
    <col min="12032" max="12032" width="22.88671875" style="1" customWidth="1"/>
    <col min="12033" max="12287" width="9.109375" style="1"/>
    <col min="12288" max="12288" width="22.88671875" style="1" customWidth="1"/>
    <col min="12289" max="12543" width="9.109375" style="1"/>
    <col min="12544" max="12544" width="22.88671875" style="1" customWidth="1"/>
    <col min="12545" max="12799" width="9.109375" style="1"/>
    <col min="12800" max="12800" width="22.88671875" style="1" customWidth="1"/>
    <col min="12801" max="13055" width="9.109375" style="1"/>
    <col min="13056" max="13056" width="22.88671875" style="1" customWidth="1"/>
    <col min="13057" max="13311" width="9.109375" style="1"/>
    <col min="13312" max="13312" width="22.88671875" style="1" customWidth="1"/>
    <col min="13313" max="13567" width="9.109375" style="1"/>
    <col min="13568" max="13568" width="22.88671875" style="1" customWidth="1"/>
    <col min="13569" max="13823" width="9.109375" style="1"/>
    <col min="13824" max="13824" width="22.88671875" style="1" customWidth="1"/>
    <col min="13825" max="14079" width="9.109375" style="1"/>
    <col min="14080" max="14080" width="22.88671875" style="1" customWidth="1"/>
    <col min="14081" max="14335" width="9.109375" style="1"/>
    <col min="14336" max="14336" width="22.88671875" style="1" customWidth="1"/>
    <col min="14337" max="14591" width="9.109375" style="1"/>
    <col min="14592" max="14592" width="22.88671875" style="1" customWidth="1"/>
    <col min="14593" max="14847" width="9.109375" style="1"/>
    <col min="14848" max="14848" width="22.88671875" style="1" customWidth="1"/>
    <col min="14849" max="15103" width="9.109375" style="1"/>
    <col min="15104" max="15104" width="22.88671875" style="1" customWidth="1"/>
    <col min="15105" max="15359" width="9.109375" style="1"/>
    <col min="15360" max="15360" width="22.88671875" style="1" customWidth="1"/>
    <col min="15361" max="15615" width="9.109375" style="1"/>
    <col min="15616" max="15616" width="22.88671875" style="1" customWidth="1"/>
    <col min="15617" max="15871" width="9.109375" style="1"/>
    <col min="15872" max="15872" width="22.88671875" style="1" customWidth="1"/>
    <col min="15873" max="16127" width="9.109375" style="1"/>
    <col min="16128" max="16128" width="22.88671875" style="1" customWidth="1"/>
    <col min="16129" max="16384" width="9.109375" style="1"/>
  </cols>
  <sheetData>
    <row r="1" spans="1:20" ht="20.399999999999999" x14ac:dyDescent="0.35">
      <c r="A1" s="21" t="str">
        <f>'Student Info'!$A$1</f>
        <v>Three Rivers - 23-65565-0123737</v>
      </c>
      <c r="D1" s="172" t="s">
        <v>1011</v>
      </c>
    </row>
    <row r="2" spans="1:20" ht="17.399999999999999" x14ac:dyDescent="0.3">
      <c r="A2" s="20" t="s">
        <v>798</v>
      </c>
      <c r="D2" s="172" t="s">
        <v>1010</v>
      </c>
    </row>
    <row r="3" spans="1:20" ht="17.399999999999999" x14ac:dyDescent="0.3">
      <c r="A3" s="20" t="e">
        <f>#REF!</f>
        <v>#REF!</v>
      </c>
    </row>
    <row r="5" spans="1:20" ht="17.399999999999999" x14ac:dyDescent="0.3">
      <c r="A5" s="28"/>
      <c r="B5" s="40"/>
      <c r="C5" s="28"/>
      <c r="D5" s="90"/>
      <c r="E5" s="90"/>
      <c r="F5" s="90"/>
      <c r="G5" s="90"/>
      <c r="H5" s="90"/>
      <c r="I5" s="90"/>
      <c r="J5" s="90"/>
      <c r="K5" s="90"/>
      <c r="L5" s="90"/>
      <c r="M5" s="90"/>
      <c r="N5" s="90"/>
      <c r="O5" s="90"/>
      <c r="P5" s="90"/>
      <c r="Q5" s="90"/>
      <c r="R5" s="90"/>
    </row>
    <row r="6" spans="1:20"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c r="S6" s="100" t="s">
        <v>676</v>
      </c>
    </row>
    <row r="7" spans="1:20" ht="17.399999999999999" x14ac:dyDescent="0.3">
      <c r="A7" s="45" t="s">
        <v>789</v>
      </c>
      <c r="B7" s="81"/>
      <c r="D7" s="30"/>
      <c r="F7" s="91"/>
      <c r="G7" s="91"/>
      <c r="H7" s="91"/>
      <c r="I7" s="30"/>
      <c r="J7" s="30"/>
      <c r="K7" s="91"/>
      <c r="L7" s="91"/>
      <c r="M7" s="91"/>
      <c r="N7" s="91"/>
      <c r="O7" s="91"/>
      <c r="P7" s="91"/>
      <c r="Q7" s="91"/>
      <c r="R7" s="91"/>
    </row>
    <row r="8" spans="1:20" ht="17.399999999999999" hidden="1" x14ac:dyDescent="0.3">
      <c r="A8" s="45"/>
      <c r="B8" s="81"/>
      <c r="C8" s="103" t="s">
        <v>811</v>
      </c>
      <c r="D8" s="104" t="s">
        <v>780</v>
      </c>
      <c r="F8" s="91"/>
      <c r="G8" s="91"/>
      <c r="H8" s="91"/>
      <c r="I8" s="30"/>
      <c r="J8" s="30"/>
      <c r="K8" s="91"/>
      <c r="L8" s="91"/>
      <c r="M8" s="91"/>
      <c r="N8" s="91"/>
      <c r="O8" s="91"/>
      <c r="P8" s="91"/>
      <c r="Q8" s="91"/>
      <c r="R8" s="91"/>
    </row>
    <row r="9" spans="1:20" ht="17.399999999999999" x14ac:dyDescent="0.3">
      <c r="A9" s="45"/>
      <c r="B9" s="81"/>
      <c r="C9" s="83" t="s">
        <v>812</v>
      </c>
      <c r="D9" s="109">
        <f>'Cash Flow %s Yr2'!D9</f>
        <v>0.05</v>
      </c>
      <c r="E9" s="109">
        <f>'Cash Flow %s Yr2'!E9</f>
        <v>0.05</v>
      </c>
      <c r="F9" s="109">
        <f>'Cash Flow %s Yr2'!F9</f>
        <v>0.09</v>
      </c>
      <c r="G9" s="109">
        <f>'Cash Flow %s Yr2'!G9</f>
        <v>0.09</v>
      </c>
      <c r="H9" s="109">
        <f>'Cash Flow %s Yr2'!H9</f>
        <v>0.09</v>
      </c>
      <c r="I9" s="109">
        <f>'Cash Flow %s Yr2'!I9</f>
        <v>0.09</v>
      </c>
      <c r="J9" s="109">
        <f>'Cash Flow %s Yr2'!J9</f>
        <v>0.09</v>
      </c>
      <c r="K9" s="109">
        <f>'Cash Flow %s Yr2'!K9</f>
        <v>0.09</v>
      </c>
      <c r="L9" s="109">
        <f>'Cash Flow %s Yr2'!L9</f>
        <v>0.09</v>
      </c>
      <c r="M9" s="211">
        <v>0.09</v>
      </c>
      <c r="N9" s="211">
        <v>0.09</v>
      </c>
      <c r="O9" s="109">
        <f>'Cash Flow %s Yr2'!O9</f>
        <v>0.09</v>
      </c>
      <c r="P9" s="109">
        <f>'Cash Flow %s Yr2'!P9</f>
        <v>0</v>
      </c>
      <c r="Q9" s="211">
        <v>0</v>
      </c>
      <c r="R9" s="109">
        <f>'Cash Flow %s Yr2'!R9</f>
        <v>0</v>
      </c>
      <c r="S9" s="105">
        <f>SUM(D9:R9)</f>
        <v>0.99999999999999978</v>
      </c>
      <c r="T9" s="1" t="str">
        <f>'Cash Flow %s Yr2'!T9</f>
        <v>estimate based on January 2013 Governor's budget</v>
      </c>
    </row>
    <row r="10" spans="1:20" ht="17.399999999999999" hidden="1" x14ac:dyDescent="0.3">
      <c r="A10" s="45"/>
      <c r="B10" s="81"/>
      <c r="C10" s="83" t="s">
        <v>813</v>
      </c>
      <c r="D10" s="109">
        <f>'Cash Flow %s Yr2'!D10</f>
        <v>0</v>
      </c>
      <c r="E10" s="109">
        <f>'Cash Flow %s Yr2'!E10</f>
        <v>0</v>
      </c>
      <c r="F10" s="109">
        <f>'Cash Flow %s Yr2'!F10</f>
        <v>0</v>
      </c>
      <c r="G10" s="109">
        <f>'Cash Flow %s Yr2'!G10</f>
        <v>0.37</v>
      </c>
      <c r="H10" s="109">
        <f>'Cash Flow %s Yr2'!H10</f>
        <v>0</v>
      </c>
      <c r="I10" s="109">
        <f>'Cash Flow %s Yr2'!I10</f>
        <v>0</v>
      </c>
      <c r="J10" s="109">
        <f>'Cash Flow %s Yr2'!J10</f>
        <v>0.18</v>
      </c>
      <c r="K10" s="109">
        <f>'Cash Flow %s Yr2'!K10</f>
        <v>0</v>
      </c>
      <c r="L10" s="109">
        <f>'Cash Flow %s Yr2'!L10</f>
        <v>0.09</v>
      </c>
      <c r="M10" s="109">
        <f>'Cash Flow %s Yr2'!M10</f>
        <v>0.09</v>
      </c>
      <c r="N10" s="109">
        <f>'Cash Flow %s Yr2'!N10</f>
        <v>0.09</v>
      </c>
      <c r="O10" s="109">
        <f>'Cash Flow %s Yr2'!O10</f>
        <v>0.09</v>
      </c>
      <c r="P10" s="109">
        <f>'Cash Flow %s Yr2'!P10</f>
        <v>0</v>
      </c>
      <c r="Q10" s="109">
        <f>'Cash Flow %s Yr2'!Q10</f>
        <v>0</v>
      </c>
      <c r="R10" s="109">
        <f>'Cash Flow %s Yr2'!R10</f>
        <v>0</v>
      </c>
      <c r="S10" s="105">
        <f>SUM(D10:R10)</f>
        <v>0.90999999999999992</v>
      </c>
      <c r="T10" s="1">
        <f>'Cash Flow %s Yr2'!T10</f>
        <v>0</v>
      </c>
    </row>
    <row r="11" spans="1:20" s="30" customFormat="1" ht="17.399999999999999" x14ac:dyDescent="0.3">
      <c r="B11" s="66" t="s">
        <v>777</v>
      </c>
      <c r="C11" s="47"/>
      <c r="D11" s="212"/>
      <c r="E11" s="212"/>
      <c r="F11" s="212"/>
      <c r="G11" s="212"/>
      <c r="H11" s="212"/>
      <c r="I11" s="212"/>
      <c r="J11" s="212"/>
      <c r="K11" s="212"/>
      <c r="L11" s="212"/>
      <c r="M11" s="212"/>
      <c r="N11" s="212"/>
      <c r="O11" s="212"/>
      <c r="P11" s="212"/>
      <c r="Q11" s="212"/>
      <c r="R11" s="212"/>
      <c r="S11" s="105"/>
    </row>
    <row r="12" spans="1:20" s="30" customFormat="1" x14ac:dyDescent="0.3">
      <c r="A12" s="48"/>
      <c r="B12" s="61">
        <f>'Revenue Input'!B8</f>
        <v>8011</v>
      </c>
      <c r="C12" s="61" t="str">
        <f>'Revenue Input'!C8</f>
        <v>LCFF for all grades; state aid portion</v>
      </c>
      <c r="D12" s="109">
        <f>D$9</f>
        <v>0.05</v>
      </c>
      <c r="E12" s="109">
        <f t="shared" ref="E12:R12" si="0">E$9</f>
        <v>0.05</v>
      </c>
      <c r="F12" s="109">
        <f t="shared" si="0"/>
        <v>0.09</v>
      </c>
      <c r="G12" s="109">
        <f t="shared" si="0"/>
        <v>0.09</v>
      </c>
      <c r="H12" s="109">
        <f t="shared" si="0"/>
        <v>0.09</v>
      </c>
      <c r="I12" s="109">
        <f t="shared" si="0"/>
        <v>0.09</v>
      </c>
      <c r="J12" s="109">
        <f t="shared" si="0"/>
        <v>0.09</v>
      </c>
      <c r="K12" s="109">
        <f t="shared" si="0"/>
        <v>0.09</v>
      </c>
      <c r="L12" s="109">
        <f t="shared" si="0"/>
        <v>0.09</v>
      </c>
      <c r="M12" s="109">
        <f t="shared" si="0"/>
        <v>0.09</v>
      </c>
      <c r="N12" s="109">
        <f t="shared" si="0"/>
        <v>0.09</v>
      </c>
      <c r="O12" s="109">
        <f t="shared" si="0"/>
        <v>0.09</v>
      </c>
      <c r="P12" s="109">
        <f t="shared" si="0"/>
        <v>0</v>
      </c>
      <c r="Q12" s="109">
        <f t="shared" si="0"/>
        <v>0</v>
      </c>
      <c r="R12" s="109">
        <f t="shared" si="0"/>
        <v>0</v>
      </c>
      <c r="S12" s="105">
        <f t="shared" ref="S12:S22" si="1">SUM(D12:R12)</f>
        <v>0.99999999999999978</v>
      </c>
    </row>
    <row r="13" spans="1:20" s="30" customFormat="1" x14ac:dyDescent="0.3">
      <c r="A13" s="48"/>
      <c r="B13" s="61">
        <f>'Revenue Input'!B9</f>
        <v>8012</v>
      </c>
      <c r="C13" s="61" t="str">
        <f>'Revenue Input'!C9</f>
        <v>LCFF for all grades; EPA portion</v>
      </c>
      <c r="D13" s="210">
        <f>+'Cash Flow %s Yr2'!D13</f>
        <v>0</v>
      </c>
      <c r="E13" s="210">
        <f>+'Cash Flow %s Yr2'!E13</f>
        <v>0</v>
      </c>
      <c r="F13" s="210">
        <f>+'Cash Flow %s Yr2'!F13</f>
        <v>0.25</v>
      </c>
      <c r="G13" s="210">
        <f>+'Cash Flow %s Yr2'!G13</f>
        <v>0</v>
      </c>
      <c r="H13" s="210">
        <f>+'Cash Flow %s Yr2'!H13</f>
        <v>0</v>
      </c>
      <c r="I13" s="210">
        <f>+'Cash Flow %s Yr2'!I13</f>
        <v>0.25</v>
      </c>
      <c r="J13" s="210">
        <f>+'Cash Flow %s Yr2'!J13</f>
        <v>0</v>
      </c>
      <c r="K13" s="210">
        <f>+'Cash Flow %s Yr2'!K13</f>
        <v>0</v>
      </c>
      <c r="L13" s="210">
        <f>+'Cash Flow %s Yr2'!L13</f>
        <v>0.25</v>
      </c>
      <c r="M13" s="210">
        <f>+'Cash Flow %s Yr2'!M13</f>
        <v>0</v>
      </c>
      <c r="N13" s="210">
        <f>+'Cash Flow %s Yr2'!N13</f>
        <v>0</v>
      </c>
      <c r="O13" s="210">
        <f>+'Cash Flow %s Yr2'!O13</f>
        <v>0.25</v>
      </c>
      <c r="P13" s="210">
        <f>+'Cash Flow %s Yr2'!P13</f>
        <v>0</v>
      </c>
      <c r="Q13" s="210">
        <f>+'Cash Flow %s Yr2'!Q13</f>
        <v>0</v>
      </c>
      <c r="R13" s="210">
        <f>+'Cash Flow %s Yr2'!R13</f>
        <v>0</v>
      </c>
      <c r="S13" s="105">
        <f t="shared" si="1"/>
        <v>1</v>
      </c>
    </row>
    <row r="14" spans="1:20" s="30" customFormat="1" x14ac:dyDescent="0.3">
      <c r="A14" s="48"/>
      <c r="B14" s="61">
        <f>'Revenue Input'!B10</f>
        <v>8096</v>
      </c>
      <c r="C14" s="61" t="str">
        <f>'Revenue Input'!C10</f>
        <v>In-Lieu of Property Taxes, all grades</v>
      </c>
      <c r="D14" s="210">
        <v>0</v>
      </c>
      <c r="E14" s="210">
        <f>'Cash Flow %s Yr2'!E14</f>
        <v>0.06</v>
      </c>
      <c r="F14" s="210">
        <f>'Cash Flow %s Yr2'!F14</f>
        <v>0.12</v>
      </c>
      <c r="G14" s="210">
        <f>'Cash Flow %s Yr2'!G14</f>
        <v>0.08</v>
      </c>
      <c r="H14" s="210">
        <f>'Cash Flow %s Yr2'!H14</f>
        <v>0.08</v>
      </c>
      <c r="I14" s="210">
        <f>'Cash Flow %s Yr2'!I14</f>
        <v>0.08</v>
      </c>
      <c r="J14" s="210">
        <f>'Cash Flow %s Yr2'!J14</f>
        <v>0.08</v>
      </c>
      <c r="K14" s="210">
        <f>'Cash Flow %s Yr2'!K14</f>
        <v>0.08</v>
      </c>
      <c r="L14" s="210">
        <f>'Cash Flow %s Yr2'!L14</f>
        <v>0.14000000000000001</v>
      </c>
      <c r="M14" s="210">
        <f>'Cash Flow %s Yr2'!M14</f>
        <v>7.0000000000000007E-2</v>
      </c>
      <c r="N14" s="210">
        <f>'Cash Flow %s Yr2'!N14</f>
        <v>7.0000000000000007E-2</v>
      </c>
      <c r="O14" s="210">
        <f>'Cash Flow %s Yr2'!O14</f>
        <v>0.14000000000000001</v>
      </c>
      <c r="P14" s="210">
        <f>'Cash Flow %s Yr2'!P14</f>
        <v>0</v>
      </c>
      <c r="Q14" s="210">
        <v>0</v>
      </c>
      <c r="R14" s="210">
        <v>0</v>
      </c>
      <c r="S14" s="105">
        <f t="shared" si="1"/>
        <v>1</v>
      </c>
    </row>
    <row r="15" spans="1:20" s="30" customFormat="1" x14ac:dyDescent="0.3">
      <c r="A15" s="48"/>
      <c r="B15" s="61">
        <f>'Revenue Input'!B11</f>
        <v>8019</v>
      </c>
      <c r="C15" s="61" t="str">
        <f>'Revenue Input'!C11</f>
        <v>Prior Year Income / Adjustments</v>
      </c>
      <c r="D15" s="109">
        <f>'Cash Flow %s Yr2'!D15</f>
        <v>0.05</v>
      </c>
      <c r="E15" s="109">
        <f>'Cash Flow %s Yr2'!E15</f>
        <v>0.05</v>
      </c>
      <c r="F15" s="109">
        <f>'Cash Flow %s Yr2'!F15</f>
        <v>0.09</v>
      </c>
      <c r="G15" s="109">
        <f>'Cash Flow %s Yr2'!G15</f>
        <v>0.09</v>
      </c>
      <c r="H15" s="109">
        <f>'Cash Flow %s Yr2'!H15</f>
        <v>0.09</v>
      </c>
      <c r="I15" s="109">
        <f>'Cash Flow %s Yr2'!I15</f>
        <v>0.09</v>
      </c>
      <c r="J15" s="109">
        <f>'Cash Flow %s Yr2'!J15</f>
        <v>0.09</v>
      </c>
      <c r="K15" s="109">
        <f>'Cash Flow %s Yr2'!K15</f>
        <v>0.09</v>
      </c>
      <c r="L15" s="109">
        <f>'Cash Flow %s Yr2'!L15</f>
        <v>0.09</v>
      </c>
      <c r="M15" s="109">
        <f>'Cash Flow %s Yr2'!M15</f>
        <v>0.09</v>
      </c>
      <c r="N15" s="109">
        <f>'Cash Flow %s Yr2'!N15</f>
        <v>0.09</v>
      </c>
      <c r="O15" s="109">
        <f>'Cash Flow %s Yr2'!O15</f>
        <v>0.09</v>
      </c>
      <c r="P15" s="109">
        <f>'Cash Flow %s Yr2'!P15</f>
        <v>0</v>
      </c>
      <c r="Q15" s="109">
        <f>'Cash Flow %s Yr2'!Q15</f>
        <v>0</v>
      </c>
      <c r="R15" s="109">
        <f>'Cash Flow %s Yr2'!R15</f>
        <v>0</v>
      </c>
      <c r="S15" s="105">
        <f t="shared" si="1"/>
        <v>0.99999999999999978</v>
      </c>
    </row>
    <row r="16" spans="1:20" s="30" customFormat="1" x14ac:dyDescent="0.3">
      <c r="A16" s="48"/>
      <c r="B16" s="61">
        <f>'Revenue Input'!B30</f>
        <v>8520</v>
      </c>
      <c r="C16" s="61" t="str">
        <f>'Revenue Input'!C30</f>
        <v>State Child Nutrition Program</v>
      </c>
      <c r="D16" s="109">
        <f>'Cash Flow %s Yr2'!D16</f>
        <v>0.05</v>
      </c>
      <c r="E16" s="109">
        <f>'Cash Flow %s Yr2'!E16</f>
        <v>0.05</v>
      </c>
      <c r="F16" s="109">
        <f>'Cash Flow %s Yr2'!F16</f>
        <v>0.09</v>
      </c>
      <c r="G16" s="109">
        <f>'Cash Flow %s Yr2'!G16</f>
        <v>0.09</v>
      </c>
      <c r="H16" s="109">
        <f>'Cash Flow %s Yr2'!H16</f>
        <v>0.09</v>
      </c>
      <c r="I16" s="109">
        <f>'Cash Flow %s Yr2'!I16</f>
        <v>0.09</v>
      </c>
      <c r="J16" s="109">
        <f>'Cash Flow %s Yr2'!J16</f>
        <v>0.09</v>
      </c>
      <c r="K16" s="109">
        <f>'Cash Flow %s Yr2'!K16</f>
        <v>0.09</v>
      </c>
      <c r="L16" s="109">
        <f>'Cash Flow %s Yr2'!L16</f>
        <v>0.09</v>
      </c>
      <c r="M16" s="109">
        <f>'Cash Flow %s Yr2'!M16</f>
        <v>0.09</v>
      </c>
      <c r="N16" s="109">
        <f>'Cash Flow %s Yr2'!N16</f>
        <v>0.09</v>
      </c>
      <c r="O16" s="109">
        <f>'Cash Flow %s Yr2'!O16</f>
        <v>0.09</v>
      </c>
      <c r="P16" s="109">
        <f>'Cash Flow %s Yr2'!P16</f>
        <v>0</v>
      </c>
      <c r="Q16" s="109">
        <f>'Cash Flow %s Yr2'!Q16</f>
        <v>0</v>
      </c>
      <c r="R16" s="109">
        <f>'Cash Flow %s Yr2'!R16</f>
        <v>0</v>
      </c>
      <c r="S16" s="105">
        <f t="shared" si="1"/>
        <v>0.99999999999999978</v>
      </c>
    </row>
    <row r="17" spans="1:20" s="30" customFormat="1" x14ac:dyDescent="0.3">
      <c r="A17" s="48"/>
      <c r="B17" s="61">
        <f>'Revenue Input'!B31</f>
        <v>8550</v>
      </c>
      <c r="C17" s="61" t="str">
        <f>'Revenue Input'!C31</f>
        <v>Mandate Block Grant</v>
      </c>
      <c r="D17" s="109">
        <f>'Cash Flow %s Yr2'!D17</f>
        <v>0</v>
      </c>
      <c r="E17" s="109">
        <f>'Cash Flow %s Yr2'!E17</f>
        <v>0</v>
      </c>
      <c r="F17" s="109">
        <f>'Cash Flow %s Yr2'!F17</f>
        <v>0</v>
      </c>
      <c r="G17" s="109">
        <f>'Cash Flow %s Yr2'!G17</f>
        <v>0</v>
      </c>
      <c r="H17" s="109">
        <f>'Cash Flow %s Yr2'!H17</f>
        <v>0</v>
      </c>
      <c r="I17" s="109">
        <f>'Cash Flow %s Yr2'!I17</f>
        <v>0.25</v>
      </c>
      <c r="J17" s="109">
        <f>'Cash Flow %s Yr2'!J17</f>
        <v>0</v>
      </c>
      <c r="K17" s="109">
        <f>'Cash Flow %s Yr2'!K17</f>
        <v>0.25</v>
      </c>
      <c r="L17" s="109">
        <f>'Cash Flow %s Yr2'!L17</f>
        <v>0</v>
      </c>
      <c r="M17" s="109">
        <f>'Cash Flow %s Yr2'!M17</f>
        <v>0.25</v>
      </c>
      <c r="N17" s="109">
        <f>'Cash Flow %s Yr2'!N17</f>
        <v>0</v>
      </c>
      <c r="O17" s="109">
        <f>'Cash Flow %s Yr2'!O17</f>
        <v>0.25</v>
      </c>
      <c r="P17" s="109">
        <f>'Cash Flow %s Yr2'!P17</f>
        <v>0</v>
      </c>
      <c r="Q17" s="109">
        <f>'Cash Flow %s Yr2'!Q17</f>
        <v>0</v>
      </c>
      <c r="R17" s="109">
        <f>'Cash Flow %s Yr2'!R17</f>
        <v>0</v>
      </c>
      <c r="S17" s="105">
        <f t="shared" si="1"/>
        <v>1</v>
      </c>
      <c r="T17" s="1">
        <f>'Cash Flow %s Yr2'!T17</f>
        <v>0</v>
      </c>
    </row>
    <row r="18" spans="1:20" s="30" customFormat="1" x14ac:dyDescent="0.3">
      <c r="A18" s="47"/>
      <c r="B18" s="61">
        <f>'Revenue Input'!B32</f>
        <v>8560</v>
      </c>
      <c r="C18" s="61" t="str">
        <f>'Revenue Input'!C32</f>
        <v>Lottery</v>
      </c>
      <c r="D18" s="109">
        <f>'Cash Flow %s Yr2'!D18</f>
        <v>0</v>
      </c>
      <c r="E18" s="109">
        <f>'Cash Flow %s Yr2'!E18</f>
        <v>0</v>
      </c>
      <c r="F18" s="109">
        <f>'Cash Flow %s Yr2'!F18</f>
        <v>0</v>
      </c>
      <c r="G18" s="109">
        <f>'Cash Flow %s Yr2'!G18</f>
        <v>0</v>
      </c>
      <c r="H18" s="109">
        <f>'Cash Flow %s Yr2'!H18</f>
        <v>0.1</v>
      </c>
      <c r="I18" s="109">
        <f>'Cash Flow %s Yr2'!I18</f>
        <v>0.1</v>
      </c>
      <c r="J18" s="109">
        <f>'Cash Flow %s Yr2'!J18</f>
        <v>0.1</v>
      </c>
      <c r="K18" s="109">
        <f>'Cash Flow %s Yr2'!K18</f>
        <v>0.1</v>
      </c>
      <c r="L18" s="109">
        <f>'Cash Flow %s Yr2'!L18</f>
        <v>0.1</v>
      </c>
      <c r="M18" s="109">
        <f>'Cash Flow %s Yr2'!M18</f>
        <v>0.1</v>
      </c>
      <c r="N18" s="109">
        <f>'Cash Flow %s Yr2'!N18</f>
        <v>0.1</v>
      </c>
      <c r="O18" s="109">
        <f>'Cash Flow %s Yr2'!O18</f>
        <v>0.3</v>
      </c>
      <c r="P18" s="109">
        <f>'Cash Flow %s Yr2'!P18</f>
        <v>0</v>
      </c>
      <c r="Q18" s="109">
        <f>'Cash Flow %s Yr2'!Q18</f>
        <v>0</v>
      </c>
      <c r="R18" s="109">
        <f>'Cash Flow %s Yr2'!R18</f>
        <v>0</v>
      </c>
      <c r="S18" s="105">
        <f t="shared" si="1"/>
        <v>1</v>
      </c>
    </row>
    <row r="19" spans="1:20" s="30" customFormat="1" x14ac:dyDescent="0.3">
      <c r="A19" s="48"/>
      <c r="B19" s="61">
        <f>'Revenue Input'!B34</f>
        <v>8590</v>
      </c>
      <c r="C19" s="61" t="str">
        <f>'Revenue Input'!C34</f>
        <v xml:space="preserve">Other State Revenues </v>
      </c>
      <c r="D19" s="109">
        <f>'Cash Flow %s Yr2'!D19</f>
        <v>0</v>
      </c>
      <c r="E19" s="109">
        <f>'Cash Flow %s Yr2'!E19</f>
        <v>0</v>
      </c>
      <c r="F19" s="109">
        <f>'Cash Flow %s Yr2'!F19</f>
        <v>0</v>
      </c>
      <c r="G19" s="109">
        <f>'Cash Flow %s Yr2'!G19</f>
        <v>0</v>
      </c>
      <c r="H19" s="109">
        <f>'Cash Flow %s Yr2'!H19</f>
        <v>0.25</v>
      </c>
      <c r="I19" s="109">
        <f>'Cash Flow %s Yr2'!I19</f>
        <v>0</v>
      </c>
      <c r="J19" s="109">
        <f>'Cash Flow %s Yr2'!J19</f>
        <v>0</v>
      </c>
      <c r="K19" s="109">
        <f>'Cash Flow %s Yr2'!K19</f>
        <v>0.25</v>
      </c>
      <c r="L19" s="109">
        <f>'Cash Flow %s Yr2'!L19</f>
        <v>0</v>
      </c>
      <c r="M19" s="109">
        <f>'Cash Flow %s Yr2'!M19</f>
        <v>0</v>
      </c>
      <c r="N19" s="109">
        <f>'Cash Flow %s Yr2'!N19</f>
        <v>0.25</v>
      </c>
      <c r="O19" s="109">
        <f>'Cash Flow %s Yr2'!O19</f>
        <v>0.25</v>
      </c>
      <c r="P19" s="109">
        <f>'Cash Flow %s Yr2'!P19</f>
        <v>0</v>
      </c>
      <c r="Q19" s="109">
        <f>'Cash Flow %s Yr2'!Q19</f>
        <v>0</v>
      </c>
      <c r="R19" s="109">
        <f>'Cash Flow %s Yr2'!R19</f>
        <v>0</v>
      </c>
      <c r="S19" s="105">
        <f t="shared" si="1"/>
        <v>1</v>
      </c>
    </row>
    <row r="20" spans="1:20" s="30" customFormat="1" ht="17.399999999999999" x14ac:dyDescent="0.3">
      <c r="A20" s="45"/>
      <c r="B20" s="61">
        <f>'Revenue Input'!B37</f>
        <v>8591</v>
      </c>
      <c r="C20" s="61" t="str">
        <f>'Revenue Input'!C37</f>
        <v>SB740</v>
      </c>
      <c r="D20" s="109">
        <f>'Cash Flow %s Yr2'!D20</f>
        <v>0</v>
      </c>
      <c r="E20" s="109">
        <f>'Cash Flow %s Yr2'!E20</f>
        <v>0</v>
      </c>
      <c r="F20" s="109">
        <f>'Cash Flow %s Yr2'!F20</f>
        <v>0</v>
      </c>
      <c r="G20" s="109">
        <f>'Cash Flow %s Yr2'!G20</f>
        <v>0</v>
      </c>
      <c r="H20" s="109">
        <f>'Cash Flow %s Yr2'!H20</f>
        <v>0.65</v>
      </c>
      <c r="I20" s="109">
        <f>'Cash Flow %s Yr2'!I20</f>
        <v>0</v>
      </c>
      <c r="J20" s="109">
        <f>'Cash Flow %s Yr2'!J20</f>
        <v>0</v>
      </c>
      <c r="K20" s="109">
        <f>'Cash Flow %s Yr2'!K20</f>
        <v>0</v>
      </c>
      <c r="L20" s="109">
        <f>'Cash Flow %s Yr2'!L20</f>
        <v>0</v>
      </c>
      <c r="M20" s="109">
        <f>'Cash Flow %s Yr2'!M20</f>
        <v>0</v>
      </c>
      <c r="N20" s="109">
        <f>'Cash Flow %s Yr2'!N20</f>
        <v>0</v>
      </c>
      <c r="O20" s="109">
        <f>'Cash Flow %s Yr2'!O20</f>
        <v>0.35</v>
      </c>
      <c r="P20" s="109">
        <f>'Cash Flow %s Yr2'!P20</f>
        <v>0</v>
      </c>
      <c r="Q20" s="109">
        <f>'Cash Flow %s Yr2'!Q20</f>
        <v>0</v>
      </c>
      <c r="R20" s="109">
        <f>'Cash Flow %s Yr2'!R20</f>
        <v>0</v>
      </c>
      <c r="S20" s="105">
        <f t="shared" si="1"/>
        <v>1</v>
      </c>
    </row>
    <row r="21" spans="1:20" s="30" customFormat="1" ht="17.399999999999999" x14ac:dyDescent="0.3">
      <c r="A21" s="45"/>
      <c r="B21" s="61">
        <f>'Revenue Input'!B38</f>
        <v>8599</v>
      </c>
      <c r="C21" s="61" t="str">
        <f>'Revenue Input'!C38</f>
        <v>Prior Year State Income</v>
      </c>
      <c r="D21" s="109">
        <f>'Cash Flow %s Yr2'!D21</f>
        <v>0</v>
      </c>
      <c r="E21" s="109">
        <f>'Cash Flow %s Yr2'!E21</f>
        <v>0</v>
      </c>
      <c r="F21" s="109">
        <f>'Cash Flow %s Yr2'!F21</f>
        <v>0.5</v>
      </c>
      <c r="G21" s="109">
        <f>'Cash Flow %s Yr2'!G21</f>
        <v>0</v>
      </c>
      <c r="H21" s="109">
        <f>'Cash Flow %s Yr2'!H21</f>
        <v>0</v>
      </c>
      <c r="I21" s="109">
        <f>'Cash Flow %s Yr2'!I21</f>
        <v>0</v>
      </c>
      <c r="J21" s="109">
        <f>'Cash Flow %s Yr2'!J21</f>
        <v>0.5</v>
      </c>
      <c r="K21" s="109">
        <f>'Cash Flow %s Yr2'!K21</f>
        <v>0</v>
      </c>
      <c r="L21" s="109">
        <f>'Cash Flow %s Yr2'!L21</f>
        <v>0</v>
      </c>
      <c r="M21" s="109">
        <f>'Cash Flow %s Yr2'!M21</f>
        <v>0</v>
      </c>
      <c r="N21" s="109">
        <f>'Cash Flow %s Yr2'!N21</f>
        <v>0</v>
      </c>
      <c r="O21" s="109">
        <f>'Cash Flow %s Yr2'!O21</f>
        <v>0</v>
      </c>
      <c r="P21" s="109">
        <f>'Cash Flow %s Yr2'!P21</f>
        <v>0</v>
      </c>
      <c r="Q21" s="109">
        <f>'Cash Flow %s Yr2'!Q21</f>
        <v>0</v>
      </c>
      <c r="R21" s="109">
        <f>'Cash Flow %s Yr2'!R21</f>
        <v>0</v>
      </c>
      <c r="S21" s="105">
        <f>SUM(D21:R21)</f>
        <v>1</v>
      </c>
    </row>
    <row r="22" spans="1:20" s="30" customFormat="1" ht="17.399999999999999" x14ac:dyDescent="0.3">
      <c r="A22" s="45"/>
      <c r="B22" s="61">
        <f>'Revenue Input'!B39</f>
        <v>8792</v>
      </c>
      <c r="C22" s="61" t="str">
        <f>'Revenue Input'!C39</f>
        <v>Special Education - AB 602</v>
      </c>
      <c r="D22" s="109">
        <f>'Cash Flow %s Yr2'!D22</f>
        <v>0</v>
      </c>
      <c r="E22" s="109">
        <f>'Cash Flow %s Yr2'!E22</f>
        <v>0</v>
      </c>
      <c r="F22" s="109">
        <f>'Cash Flow %s Yr2'!F22</f>
        <v>0</v>
      </c>
      <c r="G22" s="109">
        <f>'Cash Flow %s Yr2'!G22</f>
        <v>0</v>
      </c>
      <c r="H22" s="109">
        <f>'Cash Flow %s Yr2'!H22</f>
        <v>0</v>
      </c>
      <c r="I22" s="109">
        <f>'Cash Flow %s Yr2'!I22</f>
        <v>0</v>
      </c>
      <c r="J22" s="109">
        <f>'Cash Flow %s Yr2'!J22</f>
        <v>0.4</v>
      </c>
      <c r="K22" s="109">
        <f>'Cash Flow %s Yr2'!K22</f>
        <v>0</v>
      </c>
      <c r="L22" s="109">
        <f>'Cash Flow %s Yr2'!L22</f>
        <v>0</v>
      </c>
      <c r="M22" s="109">
        <f>'Cash Flow %s Yr2'!M22</f>
        <v>0.4</v>
      </c>
      <c r="N22" s="109">
        <f>'Cash Flow %s Yr2'!N22</f>
        <v>0</v>
      </c>
      <c r="O22" s="109">
        <f>'Cash Flow %s Yr2'!O22</f>
        <v>0.2</v>
      </c>
      <c r="P22" s="109">
        <f>'Cash Flow %s Yr2'!P22</f>
        <v>0</v>
      </c>
      <c r="Q22" s="109">
        <f>'Cash Flow %s Yr2'!Q22</f>
        <v>0</v>
      </c>
      <c r="R22" s="109">
        <f>'Cash Flow %s Yr2'!R22</f>
        <v>0</v>
      </c>
      <c r="S22" s="105">
        <f t="shared" si="1"/>
        <v>1</v>
      </c>
    </row>
    <row r="23" spans="1:20" s="30" customFormat="1" ht="17.399999999999999" x14ac:dyDescent="0.3">
      <c r="A23" s="45"/>
      <c r="B23" s="68"/>
      <c r="C23" s="48"/>
      <c r="D23" s="114"/>
      <c r="E23" s="114"/>
      <c r="F23" s="114"/>
      <c r="G23" s="114"/>
      <c r="H23" s="114"/>
      <c r="I23" s="114"/>
      <c r="J23" s="114"/>
      <c r="K23" s="114"/>
      <c r="L23" s="114"/>
      <c r="M23" s="114"/>
      <c r="N23" s="114"/>
      <c r="O23" s="114"/>
      <c r="P23" s="114"/>
      <c r="Q23" s="114"/>
      <c r="R23" s="115"/>
      <c r="S23" s="105"/>
    </row>
    <row r="24" spans="1:20" s="30" customFormat="1" ht="17.399999999999999" x14ac:dyDescent="0.3">
      <c r="A24" s="45"/>
      <c r="B24" s="68"/>
      <c r="C24" s="48"/>
      <c r="D24" s="113"/>
      <c r="E24" s="113"/>
      <c r="F24" s="113"/>
      <c r="G24" s="113"/>
      <c r="H24" s="113"/>
      <c r="I24" s="113"/>
      <c r="J24" s="113"/>
      <c r="K24" s="113"/>
      <c r="L24" s="113"/>
      <c r="M24" s="113"/>
      <c r="N24" s="113"/>
      <c r="O24" s="113"/>
      <c r="P24" s="113"/>
      <c r="Q24" s="113"/>
      <c r="R24" s="113"/>
      <c r="S24" s="105"/>
    </row>
    <row r="25" spans="1:20" s="30" customFormat="1" ht="17.399999999999999" x14ac:dyDescent="0.3">
      <c r="B25" s="45" t="s">
        <v>781</v>
      </c>
      <c r="C25" s="48"/>
      <c r="D25" s="113"/>
      <c r="E25" s="113"/>
      <c r="F25" s="113"/>
      <c r="G25" s="113"/>
      <c r="H25" s="113"/>
      <c r="I25" s="113"/>
      <c r="J25" s="113"/>
      <c r="K25" s="113"/>
      <c r="L25" s="113"/>
      <c r="M25" s="113"/>
      <c r="N25" s="113"/>
      <c r="O25" s="113"/>
      <c r="P25" s="113"/>
      <c r="Q25" s="113"/>
      <c r="R25" s="113"/>
      <c r="S25" s="105"/>
    </row>
    <row r="26" spans="1:20" s="30" customFormat="1" ht="17.399999999999999" x14ac:dyDescent="0.3">
      <c r="A26" s="45"/>
      <c r="B26" s="61">
        <f>'Revenue Input'!B15</f>
        <v>8181</v>
      </c>
      <c r="C26" s="61" t="str">
        <f>'Revenue Input'!C15</f>
        <v>Special Education - Federal IDEA</v>
      </c>
      <c r="D26" s="109">
        <f>'Cash Flow %s Yr2'!D26</f>
        <v>0</v>
      </c>
      <c r="E26" s="109">
        <f>'Cash Flow %s Yr2'!E26</f>
        <v>0</v>
      </c>
      <c r="F26" s="109">
        <f>'Cash Flow %s Yr2'!F26</f>
        <v>0</v>
      </c>
      <c r="G26" s="109">
        <f>'Cash Flow %s Yr2'!G26</f>
        <v>0</v>
      </c>
      <c r="H26" s="109">
        <f>'Cash Flow %s Yr2'!H26</f>
        <v>0.1</v>
      </c>
      <c r="I26" s="109">
        <f>'Cash Flow %s Yr2'!I26</f>
        <v>0.1</v>
      </c>
      <c r="J26" s="109">
        <f>'Cash Flow %s Yr2'!J26</f>
        <v>0.1</v>
      </c>
      <c r="K26" s="109">
        <f>'Cash Flow %s Yr2'!K26</f>
        <v>0.1</v>
      </c>
      <c r="L26" s="109">
        <f>'Cash Flow %s Yr2'!L26</f>
        <v>0.1</v>
      </c>
      <c r="M26" s="109">
        <f>'Cash Flow %s Yr2'!M26</f>
        <v>0.1</v>
      </c>
      <c r="N26" s="109">
        <f>'Cash Flow %s Yr2'!N26</f>
        <v>0.1</v>
      </c>
      <c r="O26" s="109">
        <f>'Cash Flow %s Yr2'!O26</f>
        <v>0.3</v>
      </c>
      <c r="P26" s="109">
        <f>'Cash Flow %s Yr2'!P26</f>
        <v>0</v>
      </c>
      <c r="Q26" s="109">
        <f>'Cash Flow %s Yr2'!Q26</f>
        <v>0</v>
      </c>
      <c r="R26" s="109">
        <f>'Cash Flow %s Yr2'!R26</f>
        <v>0</v>
      </c>
      <c r="S26" s="105">
        <f t="shared" ref="S26:S33" si="2">SUM(D26:R26)</f>
        <v>1</v>
      </c>
    </row>
    <row r="27" spans="1:20" s="30" customFormat="1" ht="17.399999999999999" x14ac:dyDescent="0.3">
      <c r="A27" s="45"/>
      <c r="B27" s="61">
        <f>'Revenue Input'!B17</f>
        <v>8290</v>
      </c>
      <c r="C27" s="61" t="str">
        <f>'Revenue Input'!C17</f>
        <v>All Other Federal Revenue, GEER/CRF</v>
      </c>
      <c r="D27" s="109">
        <f>'Cash Flow %s Yr2'!D27</f>
        <v>0</v>
      </c>
      <c r="E27" s="109">
        <f>'Cash Flow %s Yr2'!E27</f>
        <v>0</v>
      </c>
      <c r="F27" s="109">
        <f>'Cash Flow %s Yr2'!F27</f>
        <v>0</v>
      </c>
      <c r="G27" s="109">
        <f>'Cash Flow %s Yr2'!G27</f>
        <v>0</v>
      </c>
      <c r="H27" s="109">
        <f>'Cash Flow %s Yr2'!H27</f>
        <v>0</v>
      </c>
      <c r="I27" s="109">
        <f>'Cash Flow %s Yr2'!I27</f>
        <v>0</v>
      </c>
      <c r="J27" s="109">
        <f>'Cash Flow %s Yr2'!J27</f>
        <v>0.25</v>
      </c>
      <c r="K27" s="109">
        <f>'Cash Flow %s Yr2'!K27</f>
        <v>0</v>
      </c>
      <c r="L27" s="109">
        <f>'Cash Flow %s Yr2'!L27</f>
        <v>0</v>
      </c>
      <c r="M27" s="109">
        <f>'Cash Flow %s Yr2'!M27</f>
        <v>0.5</v>
      </c>
      <c r="N27" s="109">
        <f>'Cash Flow %s Yr2'!N27</f>
        <v>0</v>
      </c>
      <c r="O27" s="109">
        <f>'Cash Flow %s Yr2'!O27</f>
        <v>0.25</v>
      </c>
      <c r="P27" s="109">
        <f>'Cash Flow %s Yr2'!P27</f>
        <v>0</v>
      </c>
      <c r="Q27" s="109">
        <f>'Cash Flow %s Yr2'!Q27</f>
        <v>0</v>
      </c>
      <c r="R27" s="109">
        <f>'Cash Flow %s Yr2'!R27</f>
        <v>0</v>
      </c>
      <c r="S27" s="105">
        <f t="shared" si="2"/>
        <v>1</v>
      </c>
    </row>
    <row r="28" spans="1:20" s="30" customFormat="1" ht="17.399999999999999" x14ac:dyDescent="0.3">
      <c r="A28" s="45"/>
      <c r="B28" s="61">
        <f>'Revenue Input'!B21</f>
        <v>8291</v>
      </c>
      <c r="C28" s="61" t="str">
        <f>'Revenue Input'!C21</f>
        <v>Title I</v>
      </c>
      <c r="D28" s="109">
        <f>'Cash Flow %s Yr2'!D28</f>
        <v>0</v>
      </c>
      <c r="E28" s="109">
        <f>'Cash Flow %s Yr2'!E28</f>
        <v>0</v>
      </c>
      <c r="F28" s="109">
        <f>'Cash Flow %s Yr2'!F28</f>
        <v>0</v>
      </c>
      <c r="G28" s="109">
        <f>'Cash Flow %s Yr2'!G28</f>
        <v>0</v>
      </c>
      <c r="H28" s="109">
        <f>'Cash Flow %s Yr2'!H28</f>
        <v>0</v>
      </c>
      <c r="I28" s="109">
        <f>'Cash Flow %s Yr2'!I28</f>
        <v>0</v>
      </c>
      <c r="J28" s="109">
        <f>'Cash Flow %s Yr2'!J28</f>
        <v>0.25</v>
      </c>
      <c r="K28" s="109">
        <f>'Cash Flow %s Yr2'!K28</f>
        <v>0</v>
      </c>
      <c r="L28" s="109">
        <f>'Cash Flow %s Yr2'!L28</f>
        <v>0</v>
      </c>
      <c r="M28" s="109">
        <f>'Cash Flow %s Yr2'!M28</f>
        <v>0.5</v>
      </c>
      <c r="N28" s="109">
        <f>'Cash Flow %s Yr2'!N28</f>
        <v>0</v>
      </c>
      <c r="O28" s="109">
        <f>'Cash Flow %s Yr2'!O28</f>
        <v>0.25</v>
      </c>
      <c r="P28" s="109">
        <f>'Cash Flow %s Yr2'!P28</f>
        <v>0</v>
      </c>
      <c r="Q28" s="109">
        <f>'Cash Flow %s Yr2'!Q28</f>
        <v>0</v>
      </c>
      <c r="R28" s="109">
        <f>'Cash Flow %s Yr2'!R28</f>
        <v>0</v>
      </c>
      <c r="S28" s="105">
        <f t="shared" si="2"/>
        <v>1</v>
      </c>
    </row>
    <row r="29" spans="1:20" s="30" customFormat="1" ht="17.399999999999999" x14ac:dyDescent="0.3">
      <c r="A29" s="45"/>
      <c r="B29" s="61">
        <f>'Revenue Input'!B22</f>
        <v>8292</v>
      </c>
      <c r="C29" s="61" t="str">
        <f>'Revenue Input'!C22</f>
        <v>Title II</v>
      </c>
      <c r="D29" s="109">
        <f>'Cash Flow %s Yr2'!D29</f>
        <v>0</v>
      </c>
      <c r="E29" s="109">
        <f>'Cash Flow %s Yr2'!E29</f>
        <v>0</v>
      </c>
      <c r="F29" s="109">
        <f>'Cash Flow %s Yr2'!F29</f>
        <v>0</v>
      </c>
      <c r="G29" s="109">
        <f>'Cash Flow %s Yr2'!G29</f>
        <v>0</v>
      </c>
      <c r="H29" s="109">
        <f>'Cash Flow %s Yr2'!H29</f>
        <v>0</v>
      </c>
      <c r="I29" s="109">
        <f>'Cash Flow %s Yr2'!I29</f>
        <v>0</v>
      </c>
      <c r="J29" s="109">
        <f>'Cash Flow %s Yr2'!J29</f>
        <v>0.25</v>
      </c>
      <c r="K29" s="109">
        <f>'Cash Flow %s Yr2'!K29</f>
        <v>0</v>
      </c>
      <c r="L29" s="109">
        <f>'Cash Flow %s Yr2'!L29</f>
        <v>0</v>
      </c>
      <c r="M29" s="109">
        <f>'Cash Flow %s Yr2'!M29</f>
        <v>0.5</v>
      </c>
      <c r="N29" s="109">
        <f>'Cash Flow %s Yr2'!N29</f>
        <v>0</v>
      </c>
      <c r="O29" s="109">
        <f>'Cash Flow %s Yr2'!O29</f>
        <v>0.25</v>
      </c>
      <c r="P29" s="109">
        <f>'Cash Flow %s Yr2'!P29</f>
        <v>0</v>
      </c>
      <c r="Q29" s="109">
        <f>'Cash Flow %s Yr2'!Q29</f>
        <v>0</v>
      </c>
      <c r="R29" s="109">
        <f>'Cash Flow %s Yr2'!R29</f>
        <v>0</v>
      </c>
      <c r="S29" s="105">
        <f t="shared" si="2"/>
        <v>1</v>
      </c>
    </row>
    <row r="30" spans="1:20" s="30" customFormat="1" ht="17.399999999999999" x14ac:dyDescent="0.3">
      <c r="A30" s="45"/>
      <c r="B30" s="61">
        <f>'Revenue Input'!B23</f>
        <v>8293</v>
      </c>
      <c r="C30" s="61" t="str">
        <f>'Revenue Input'!C23</f>
        <v>Title III</v>
      </c>
      <c r="D30" s="109">
        <f>'Cash Flow %s Yr2'!D30</f>
        <v>0</v>
      </c>
      <c r="E30" s="109">
        <f>'Cash Flow %s Yr2'!E30</f>
        <v>0</v>
      </c>
      <c r="F30" s="109">
        <f>'Cash Flow %s Yr2'!F30</f>
        <v>0</v>
      </c>
      <c r="G30" s="109">
        <f>'Cash Flow %s Yr2'!G30</f>
        <v>0</v>
      </c>
      <c r="H30" s="109">
        <f>'Cash Flow %s Yr2'!H30</f>
        <v>0</v>
      </c>
      <c r="I30" s="109">
        <f>'Cash Flow %s Yr2'!I30</f>
        <v>0</v>
      </c>
      <c r="J30" s="109">
        <f>'Cash Flow %s Yr2'!J30</f>
        <v>0.25</v>
      </c>
      <c r="K30" s="109">
        <f>'Cash Flow %s Yr2'!K30</f>
        <v>0</v>
      </c>
      <c r="L30" s="109">
        <f>'Cash Flow %s Yr2'!L30</f>
        <v>0</v>
      </c>
      <c r="M30" s="109">
        <f>'Cash Flow %s Yr2'!M30</f>
        <v>0.5</v>
      </c>
      <c r="N30" s="109">
        <f>'Cash Flow %s Yr2'!N30</f>
        <v>0</v>
      </c>
      <c r="O30" s="109">
        <f>'Cash Flow %s Yr2'!O30</f>
        <v>0.25</v>
      </c>
      <c r="P30" s="109">
        <f>'Cash Flow %s Yr2'!P30</f>
        <v>0</v>
      </c>
      <c r="Q30" s="109">
        <f>'Cash Flow %s Yr2'!Q30</f>
        <v>0</v>
      </c>
      <c r="R30" s="109">
        <f>'Cash Flow %s Yr2'!R30</f>
        <v>0</v>
      </c>
      <c r="S30" s="105">
        <f t="shared" si="2"/>
        <v>1</v>
      </c>
    </row>
    <row r="31" spans="1:20" s="30" customFormat="1" ht="17.399999999999999" x14ac:dyDescent="0.3">
      <c r="A31" s="45"/>
      <c r="B31" s="61">
        <f>'Revenue Input'!B24</f>
        <v>8294</v>
      </c>
      <c r="C31" s="61" t="str">
        <f>'Revenue Input'!C24</f>
        <v>Title IV</v>
      </c>
      <c r="D31" s="109">
        <f>'Cash Flow %s Yr2'!D31</f>
        <v>0</v>
      </c>
      <c r="E31" s="109">
        <f>'Cash Flow %s Yr2'!E31</f>
        <v>0</v>
      </c>
      <c r="F31" s="109">
        <f>'Cash Flow %s Yr2'!F31</f>
        <v>0</v>
      </c>
      <c r="G31" s="109">
        <f>'Cash Flow %s Yr2'!G31</f>
        <v>0</v>
      </c>
      <c r="H31" s="109">
        <f>'Cash Flow %s Yr2'!H31</f>
        <v>0</v>
      </c>
      <c r="I31" s="109">
        <f>'Cash Flow %s Yr2'!I31</f>
        <v>0</v>
      </c>
      <c r="J31" s="109">
        <f>'Cash Flow %s Yr2'!J31</f>
        <v>0.25</v>
      </c>
      <c r="K31" s="109">
        <f>'Cash Flow %s Yr2'!K31</f>
        <v>0</v>
      </c>
      <c r="L31" s="109">
        <f>'Cash Flow %s Yr2'!L31</f>
        <v>0</v>
      </c>
      <c r="M31" s="109">
        <f>'Cash Flow %s Yr2'!M31</f>
        <v>0.5</v>
      </c>
      <c r="N31" s="109">
        <f>'Cash Flow %s Yr2'!N31</f>
        <v>0</v>
      </c>
      <c r="O31" s="109">
        <f>'Cash Flow %s Yr2'!O31</f>
        <v>0.25</v>
      </c>
      <c r="P31" s="109">
        <f>'Cash Flow %s Yr2'!P31</f>
        <v>0</v>
      </c>
      <c r="Q31" s="109">
        <f>'Cash Flow %s Yr2'!Q31</f>
        <v>0</v>
      </c>
      <c r="R31" s="109">
        <f>'Cash Flow %s Yr2'!R31</f>
        <v>0</v>
      </c>
      <c r="S31" s="105">
        <f t="shared" si="2"/>
        <v>1</v>
      </c>
    </row>
    <row r="32" spans="1:20" s="30" customFormat="1" ht="17.399999999999999" x14ac:dyDescent="0.3">
      <c r="A32" s="45"/>
      <c r="B32" s="61">
        <f>'Revenue Input'!B25</f>
        <v>8295</v>
      </c>
      <c r="C32" s="61" t="str">
        <f>'Revenue Input'!C25</f>
        <v>Title V</v>
      </c>
      <c r="D32" s="109">
        <f>'Cash Flow %s Yr2'!D32</f>
        <v>0</v>
      </c>
      <c r="E32" s="109">
        <f>'Cash Flow %s Yr2'!E32</f>
        <v>0</v>
      </c>
      <c r="F32" s="109">
        <f>'Cash Flow %s Yr2'!F32</f>
        <v>1</v>
      </c>
      <c r="G32" s="109">
        <f>'Cash Flow %s Yr2'!G32</f>
        <v>0</v>
      </c>
      <c r="H32" s="109">
        <f>'Cash Flow %s Yr2'!H32</f>
        <v>0</v>
      </c>
      <c r="I32" s="109">
        <f>'Cash Flow %s Yr2'!I32</f>
        <v>0</v>
      </c>
      <c r="J32" s="109">
        <f>'Cash Flow %s Yr2'!J32</f>
        <v>0</v>
      </c>
      <c r="K32" s="109">
        <f>'Cash Flow %s Yr2'!K32</f>
        <v>0</v>
      </c>
      <c r="L32" s="109">
        <f>'Cash Flow %s Yr2'!L32</f>
        <v>0</v>
      </c>
      <c r="M32" s="109">
        <f>'Cash Flow %s Yr2'!M32</f>
        <v>0</v>
      </c>
      <c r="N32" s="109">
        <f>'Cash Flow %s Yr2'!N32</f>
        <v>0</v>
      </c>
      <c r="O32" s="109">
        <f>'Cash Flow %s Yr2'!O32</f>
        <v>0</v>
      </c>
      <c r="P32" s="109">
        <f>'Cash Flow %s Yr2'!P32</f>
        <v>0</v>
      </c>
      <c r="Q32" s="109">
        <f>'Cash Flow %s Yr2'!Q32</f>
        <v>0</v>
      </c>
      <c r="R32" s="109">
        <f>'Cash Flow %s Yr2'!R32</f>
        <v>0</v>
      </c>
      <c r="S32" s="105">
        <f t="shared" si="2"/>
        <v>1</v>
      </c>
    </row>
    <row r="33" spans="1:19" s="30" customFormat="1" ht="17.399999999999999" x14ac:dyDescent="0.3">
      <c r="A33" s="45"/>
      <c r="B33" s="61">
        <f>'Revenue Input'!B26</f>
        <v>8299</v>
      </c>
      <c r="C33" s="61" t="str">
        <f>'Revenue Input'!C26</f>
        <v>Prior Year Federal Revenue</v>
      </c>
      <c r="D33" s="109">
        <f>'Cash Flow %s Yr2'!D33</f>
        <v>0</v>
      </c>
      <c r="E33" s="109">
        <f>'Cash Flow %s Yr2'!E33</f>
        <v>0</v>
      </c>
      <c r="F33" s="109">
        <f>'Cash Flow %s Yr2'!F33</f>
        <v>0.5</v>
      </c>
      <c r="G33" s="109">
        <f>'Cash Flow %s Yr2'!G33</f>
        <v>0</v>
      </c>
      <c r="H33" s="109">
        <f>'Cash Flow %s Yr2'!H33</f>
        <v>0</v>
      </c>
      <c r="I33" s="109" t="e">
        <f>'Cash Flow %s Yr2'!I33</f>
        <v>#REF!</v>
      </c>
      <c r="J33" s="109">
        <f>'Cash Flow %s Yr2'!J33</f>
        <v>0</v>
      </c>
      <c r="K33" s="109">
        <f>'Cash Flow %s Yr2'!K33</f>
        <v>0.4</v>
      </c>
      <c r="L33" s="109">
        <f>'Cash Flow %s Yr2'!L33</f>
        <v>0</v>
      </c>
      <c r="M33" s="109">
        <f>'Cash Flow %s Yr2'!M33</f>
        <v>0</v>
      </c>
      <c r="N33" s="109">
        <f>'Cash Flow %s Yr2'!N33</f>
        <v>0.1</v>
      </c>
      <c r="O33" s="109">
        <f>'Cash Flow %s Yr2'!O33</f>
        <v>0</v>
      </c>
      <c r="P33" s="109">
        <f>'Cash Flow %s Yr2'!P33</f>
        <v>0</v>
      </c>
      <c r="Q33" s="109">
        <f>'Cash Flow %s Yr2'!Q33</f>
        <v>0</v>
      </c>
      <c r="R33" s="109">
        <f>'Cash Flow %s Yr2'!R33</f>
        <v>0</v>
      </c>
      <c r="S33" s="105" t="e">
        <f t="shared" si="2"/>
        <v>#REF!</v>
      </c>
    </row>
    <row r="34" spans="1:19" s="30" customFormat="1" ht="17.399999999999999" x14ac:dyDescent="0.3">
      <c r="A34" s="45"/>
      <c r="B34" s="68"/>
      <c r="C34" s="48"/>
      <c r="D34" s="114"/>
      <c r="E34" s="114"/>
      <c r="F34" s="114"/>
      <c r="G34" s="114"/>
      <c r="H34" s="114"/>
      <c r="I34" s="114"/>
      <c r="J34" s="114"/>
      <c r="K34" s="114"/>
      <c r="L34" s="114"/>
      <c r="M34" s="114"/>
      <c r="N34" s="114"/>
      <c r="O34" s="114"/>
      <c r="P34" s="114"/>
      <c r="Q34" s="114"/>
      <c r="R34" s="114"/>
      <c r="S34" s="105"/>
    </row>
    <row r="35" spans="1:19" s="30" customFormat="1" ht="17.399999999999999" x14ac:dyDescent="0.3">
      <c r="A35" s="45"/>
      <c r="B35" s="68"/>
      <c r="C35" s="48"/>
      <c r="D35" s="117"/>
      <c r="E35" s="117"/>
      <c r="F35" s="117"/>
      <c r="G35" s="117"/>
      <c r="H35" s="117"/>
      <c r="I35" s="117"/>
      <c r="J35" s="117"/>
      <c r="K35" s="117"/>
      <c r="L35" s="117"/>
      <c r="M35" s="117"/>
      <c r="N35" s="117"/>
      <c r="O35" s="117"/>
      <c r="P35" s="117"/>
      <c r="Q35" s="117"/>
      <c r="R35" s="117"/>
      <c r="S35" s="105"/>
    </row>
    <row r="36" spans="1:19" s="30" customFormat="1" ht="17.399999999999999" x14ac:dyDescent="0.3">
      <c r="B36" s="45" t="s">
        <v>790</v>
      </c>
      <c r="C36" s="48"/>
      <c r="D36" s="117"/>
      <c r="E36" s="117"/>
      <c r="F36" s="117"/>
      <c r="G36" s="117"/>
      <c r="H36" s="117"/>
      <c r="I36" s="117"/>
      <c r="J36" s="117"/>
      <c r="K36" s="117"/>
      <c r="L36" s="117"/>
      <c r="M36" s="117"/>
      <c r="N36" s="117"/>
      <c r="O36" s="117"/>
      <c r="P36" s="117"/>
      <c r="Q36" s="117"/>
      <c r="R36" s="117"/>
      <c r="S36" s="105"/>
    </row>
    <row r="37" spans="1:19" s="30" customFormat="1" ht="17.399999999999999" x14ac:dyDescent="0.3">
      <c r="A37" s="45"/>
      <c r="B37" s="61">
        <f>'Revenue Input'!B44</f>
        <v>8660</v>
      </c>
      <c r="C37" s="61" t="str">
        <f>'Revenue Input'!C44</f>
        <v>Interest</v>
      </c>
      <c r="D37" s="109">
        <f>'Cash Flow %s Yr2'!D37</f>
        <v>8.3000000000000004E-2</v>
      </c>
      <c r="E37" s="109">
        <f>'Cash Flow %s Yr2'!E37</f>
        <v>8.3000000000000004E-2</v>
      </c>
      <c r="F37" s="109">
        <f>'Cash Flow %s Yr2'!F37</f>
        <v>8.3000000000000004E-2</v>
      </c>
      <c r="G37" s="109">
        <f>'Cash Flow %s Yr2'!G37</f>
        <v>8.3000000000000004E-2</v>
      </c>
      <c r="H37" s="109">
        <f>'Cash Flow %s Yr2'!H37</f>
        <v>8.3000000000000004E-2</v>
      </c>
      <c r="I37" s="109">
        <f>'Cash Flow %s Yr2'!I37</f>
        <v>8.3000000000000004E-2</v>
      </c>
      <c r="J37" s="109">
        <f>'Cash Flow %s Yr2'!J37</f>
        <v>8.3000000000000004E-2</v>
      </c>
      <c r="K37" s="109">
        <f>'Cash Flow %s Yr2'!K37</f>
        <v>8.3000000000000004E-2</v>
      </c>
      <c r="L37" s="109">
        <f>'Cash Flow %s Yr2'!L37</f>
        <v>8.4000000000000005E-2</v>
      </c>
      <c r="M37" s="109">
        <f>'Cash Flow %s Yr2'!M37</f>
        <v>8.4000000000000005E-2</v>
      </c>
      <c r="N37" s="109">
        <f>'Cash Flow %s Yr2'!N37</f>
        <v>8.4000000000000005E-2</v>
      </c>
      <c r="O37" s="109">
        <f>'Cash Flow %s Yr2'!O37</f>
        <v>8.4000000000000005E-2</v>
      </c>
      <c r="P37" s="109">
        <f>'Cash Flow %s Yr2'!P37</f>
        <v>0</v>
      </c>
      <c r="Q37" s="109">
        <f>'Cash Flow %s Yr2'!Q37</f>
        <v>0</v>
      </c>
      <c r="R37" s="109">
        <f>'Cash Flow %s Yr2'!R37</f>
        <v>0</v>
      </c>
      <c r="S37" s="105">
        <f t="shared" ref="S37:S49" si="3">SUM(D37:R37)</f>
        <v>0.99999999999999989</v>
      </c>
    </row>
    <row r="38" spans="1:19" s="30" customFormat="1" ht="17.399999999999999" x14ac:dyDescent="0.3">
      <c r="A38" s="45"/>
      <c r="B38" s="61">
        <f>'Revenue Input'!B45</f>
        <v>8682</v>
      </c>
      <c r="C38" s="61" t="str">
        <f>'Revenue Input'!C45</f>
        <v>Foundation Grants / Donations</v>
      </c>
      <c r="D38" s="109">
        <f>'Cash Flow %s Yr2'!D38</f>
        <v>0</v>
      </c>
      <c r="E38" s="109">
        <f>'Cash Flow %s Yr2'!E38</f>
        <v>0</v>
      </c>
      <c r="F38" s="109">
        <f>'Cash Flow %s Yr2'!F38</f>
        <v>0.1</v>
      </c>
      <c r="G38" s="109">
        <f>'Cash Flow %s Yr2'!G38</f>
        <v>0.1</v>
      </c>
      <c r="H38" s="109">
        <f>'Cash Flow %s Yr2'!H38</f>
        <v>0.1</v>
      </c>
      <c r="I38" s="109">
        <f>'Cash Flow %s Yr2'!I38</f>
        <v>0.1</v>
      </c>
      <c r="J38" s="109">
        <f>'Cash Flow %s Yr2'!J38</f>
        <v>0.1</v>
      </c>
      <c r="K38" s="109">
        <f>'Cash Flow %s Yr2'!K38</f>
        <v>0.1</v>
      </c>
      <c r="L38" s="109">
        <f>'Cash Flow %s Yr2'!L38</f>
        <v>0.1</v>
      </c>
      <c r="M38" s="109">
        <f>'Cash Flow %s Yr2'!M38</f>
        <v>0.1</v>
      </c>
      <c r="N38" s="109">
        <f>'Cash Flow %s Yr2'!N38</f>
        <v>0.1</v>
      </c>
      <c r="O38" s="109">
        <f>'Cash Flow %s Yr2'!O38</f>
        <v>0.1</v>
      </c>
      <c r="P38" s="109">
        <f>'Cash Flow %s Yr2'!P38</f>
        <v>0</v>
      </c>
      <c r="Q38" s="109">
        <f>'Cash Flow %s Yr2'!Q38</f>
        <v>0</v>
      </c>
      <c r="R38" s="109">
        <f>'Cash Flow %s Yr2'!R38</f>
        <v>0</v>
      </c>
      <c r="S38" s="105">
        <f t="shared" si="3"/>
        <v>0.99999999999999989</v>
      </c>
    </row>
    <row r="39" spans="1:19" s="30" customFormat="1" ht="17.399999999999999" x14ac:dyDescent="0.3">
      <c r="A39" s="45"/>
      <c r="B39" s="61">
        <f>'Revenue Input'!B46</f>
        <v>8684</v>
      </c>
      <c r="C39" s="61" t="str">
        <f>'Revenue Input'!C46</f>
        <v>Student  Body (ASB) Fundraising Revenue</v>
      </c>
      <c r="D39" s="109">
        <f>'Cash Flow %s Yr2'!D39</f>
        <v>0</v>
      </c>
      <c r="E39" s="109">
        <f>'Cash Flow %s Yr2'!E39</f>
        <v>0</v>
      </c>
      <c r="F39" s="109">
        <f>'Cash Flow %s Yr2'!F39</f>
        <v>0.1</v>
      </c>
      <c r="G39" s="109">
        <f>'Cash Flow %s Yr2'!G39</f>
        <v>0.1</v>
      </c>
      <c r="H39" s="109">
        <f>'Cash Flow %s Yr2'!H39</f>
        <v>0.1</v>
      </c>
      <c r="I39" s="109">
        <f>'Cash Flow %s Yr2'!I39</f>
        <v>0.1</v>
      </c>
      <c r="J39" s="109">
        <f>'Cash Flow %s Yr2'!J39</f>
        <v>0.1</v>
      </c>
      <c r="K39" s="109">
        <f>'Cash Flow %s Yr2'!K39</f>
        <v>0.1</v>
      </c>
      <c r="L39" s="109">
        <f>'Cash Flow %s Yr2'!L39</f>
        <v>0.1</v>
      </c>
      <c r="M39" s="109">
        <f>'Cash Flow %s Yr2'!M39</f>
        <v>0.1</v>
      </c>
      <c r="N39" s="109">
        <f>'Cash Flow %s Yr2'!N39</f>
        <v>0.1</v>
      </c>
      <c r="O39" s="109">
        <f>'Cash Flow %s Yr2'!O39</f>
        <v>0.1</v>
      </c>
      <c r="P39" s="109">
        <f>'Cash Flow %s Yr2'!P39</f>
        <v>0</v>
      </c>
      <c r="Q39" s="109">
        <f>'Cash Flow %s Yr2'!Q39</f>
        <v>0</v>
      </c>
      <c r="R39" s="109">
        <f>'Cash Flow %s Yr2'!R39</f>
        <v>0</v>
      </c>
      <c r="S39" s="105">
        <f t="shared" si="3"/>
        <v>0.99999999999999989</v>
      </c>
    </row>
    <row r="40" spans="1:19" s="30" customFormat="1" x14ac:dyDescent="0.3">
      <c r="A40" s="47"/>
      <c r="B40" s="61">
        <f>'Revenue Input'!B47</f>
        <v>8685</v>
      </c>
      <c r="C40" s="61" t="str">
        <f>'Revenue Input'!C47</f>
        <v>School Site Fundraising</v>
      </c>
      <c r="D40" s="109">
        <f>'Cash Flow %s Yr2'!D40</f>
        <v>0</v>
      </c>
      <c r="E40" s="109">
        <f>'Cash Flow %s Yr2'!E40</f>
        <v>0</v>
      </c>
      <c r="F40" s="109">
        <f>'Cash Flow %s Yr2'!F40</f>
        <v>0.1</v>
      </c>
      <c r="G40" s="109">
        <f>'Cash Flow %s Yr2'!G40</f>
        <v>0.1</v>
      </c>
      <c r="H40" s="109">
        <f>'Cash Flow %s Yr2'!H40</f>
        <v>0.1</v>
      </c>
      <c r="I40" s="109">
        <f>'Cash Flow %s Yr2'!I40</f>
        <v>0.1</v>
      </c>
      <c r="J40" s="109">
        <f>'Cash Flow %s Yr2'!J40</f>
        <v>0.1</v>
      </c>
      <c r="K40" s="109">
        <f>'Cash Flow %s Yr2'!K40</f>
        <v>0.1</v>
      </c>
      <c r="L40" s="109">
        <f>'Cash Flow %s Yr2'!L40</f>
        <v>0.1</v>
      </c>
      <c r="M40" s="109">
        <f>'Cash Flow %s Yr2'!M40</f>
        <v>0.1</v>
      </c>
      <c r="N40" s="109">
        <f>'Cash Flow %s Yr2'!N40</f>
        <v>0.1</v>
      </c>
      <c r="O40" s="109">
        <f>'Cash Flow %s Yr2'!O40</f>
        <v>0.1</v>
      </c>
      <c r="P40" s="109">
        <f>'Cash Flow %s Yr2'!P40</f>
        <v>0</v>
      </c>
      <c r="Q40" s="109">
        <f>'Cash Flow %s Yr2'!Q40</f>
        <v>0</v>
      </c>
      <c r="R40" s="109">
        <f>'Cash Flow %s Yr2'!R40</f>
        <v>0</v>
      </c>
      <c r="S40" s="105">
        <f t="shared" si="3"/>
        <v>0.99999999999999989</v>
      </c>
    </row>
    <row r="41" spans="1:19" s="30" customFormat="1" x14ac:dyDescent="0.3">
      <c r="A41" s="48"/>
      <c r="B41" s="61">
        <f>'Revenue Input'!B48</f>
        <v>8686</v>
      </c>
      <c r="C41" s="61" t="str">
        <f>'Revenue Input'!C48</f>
        <v>Donations</v>
      </c>
      <c r="D41" s="109">
        <f>'Cash Flow %s Yr2'!D41</f>
        <v>0</v>
      </c>
      <c r="E41" s="109">
        <f>'Cash Flow %s Yr2'!E41</f>
        <v>0</v>
      </c>
      <c r="F41" s="109">
        <f>'Cash Flow %s Yr2'!F41</f>
        <v>0.1</v>
      </c>
      <c r="G41" s="109">
        <f>'Cash Flow %s Yr2'!G41</f>
        <v>0.1</v>
      </c>
      <c r="H41" s="109">
        <f>'Cash Flow %s Yr2'!H41</f>
        <v>0.1</v>
      </c>
      <c r="I41" s="109">
        <f>'Cash Flow %s Yr2'!I41</f>
        <v>0.1</v>
      </c>
      <c r="J41" s="109">
        <f>'Cash Flow %s Yr2'!J41</f>
        <v>0.1</v>
      </c>
      <c r="K41" s="109">
        <f>'Cash Flow %s Yr2'!K41</f>
        <v>0.1</v>
      </c>
      <c r="L41" s="109">
        <f>'Cash Flow %s Yr2'!L41</f>
        <v>0.1</v>
      </c>
      <c r="M41" s="109">
        <f>'Cash Flow %s Yr2'!M41</f>
        <v>0.1</v>
      </c>
      <c r="N41" s="109">
        <f>'Cash Flow %s Yr2'!N41</f>
        <v>0.1</v>
      </c>
      <c r="O41" s="109">
        <f>'Cash Flow %s Yr2'!O41</f>
        <v>0.1</v>
      </c>
      <c r="P41" s="109">
        <f>'Cash Flow %s Yr2'!P41</f>
        <v>0</v>
      </c>
      <c r="Q41" s="109">
        <f>'Cash Flow %s Yr2'!Q41</f>
        <v>0</v>
      </c>
      <c r="R41" s="109">
        <f>'Cash Flow %s Yr2'!R41</f>
        <v>0</v>
      </c>
      <c r="S41" s="105">
        <f t="shared" si="3"/>
        <v>0.99999999999999989</v>
      </c>
    </row>
    <row r="42" spans="1:19" s="30" customFormat="1" ht="17.399999999999999" x14ac:dyDescent="0.3">
      <c r="A42" s="45"/>
      <c r="B42" s="61">
        <f>'Revenue Input'!B49</f>
        <v>8687</v>
      </c>
      <c r="C42" s="61" t="str">
        <f>'Revenue Input'!C49</f>
        <v>Fund Development</v>
      </c>
      <c r="D42" s="109">
        <f>'Cash Flow %s Yr2'!D42</f>
        <v>0</v>
      </c>
      <c r="E42" s="109">
        <f>'Cash Flow %s Yr2'!E42</f>
        <v>0</v>
      </c>
      <c r="F42" s="109">
        <f>'Cash Flow %s Yr2'!F42</f>
        <v>0.1</v>
      </c>
      <c r="G42" s="109">
        <f>'Cash Flow %s Yr2'!G42</f>
        <v>0.1</v>
      </c>
      <c r="H42" s="109">
        <f>'Cash Flow %s Yr2'!H42</f>
        <v>0.1</v>
      </c>
      <c r="I42" s="109">
        <f>'Cash Flow %s Yr2'!I42</f>
        <v>0.1</v>
      </c>
      <c r="J42" s="109">
        <f>'Cash Flow %s Yr2'!J42</f>
        <v>0.1</v>
      </c>
      <c r="K42" s="109">
        <f>'Cash Flow %s Yr2'!K42</f>
        <v>0.1</v>
      </c>
      <c r="L42" s="109">
        <f>'Cash Flow %s Yr2'!L42</f>
        <v>0.1</v>
      </c>
      <c r="M42" s="109">
        <f>'Cash Flow %s Yr2'!M42</f>
        <v>0.1</v>
      </c>
      <c r="N42" s="109">
        <f>'Cash Flow %s Yr2'!N42</f>
        <v>0.1</v>
      </c>
      <c r="O42" s="109">
        <f>'Cash Flow %s Yr2'!O42</f>
        <v>0.1</v>
      </c>
      <c r="P42" s="109">
        <f>'Cash Flow %s Yr2'!P42</f>
        <v>0</v>
      </c>
      <c r="Q42" s="109">
        <f>'Cash Flow %s Yr2'!Q42</f>
        <v>0</v>
      </c>
      <c r="R42" s="109">
        <f>'Cash Flow %s Yr2'!R42</f>
        <v>0</v>
      </c>
      <c r="S42" s="105">
        <f t="shared" si="3"/>
        <v>0.99999999999999989</v>
      </c>
    </row>
    <row r="43" spans="1:19" s="30" customFormat="1" ht="17.399999999999999" x14ac:dyDescent="0.3">
      <c r="A43" s="45"/>
      <c r="B43" s="61">
        <f>'Revenue Input'!B50</f>
        <v>8688</v>
      </c>
      <c r="C43" s="61" t="str">
        <f>'Revenue Input'!C50</f>
        <v>In Kind Contributions</v>
      </c>
      <c r="D43" s="109">
        <f>'Cash Flow %s Yr2'!D43</f>
        <v>0</v>
      </c>
      <c r="E43" s="109">
        <f>'Cash Flow %s Yr2'!E43</f>
        <v>0</v>
      </c>
      <c r="F43" s="109">
        <f>'Cash Flow %s Yr2'!F43</f>
        <v>0.1</v>
      </c>
      <c r="G43" s="109">
        <f>'Cash Flow %s Yr2'!G43</f>
        <v>0.1</v>
      </c>
      <c r="H43" s="109">
        <f>'Cash Flow %s Yr2'!H43</f>
        <v>0.1</v>
      </c>
      <c r="I43" s="109">
        <f>'Cash Flow %s Yr2'!I43</f>
        <v>0.1</v>
      </c>
      <c r="J43" s="109">
        <f>'Cash Flow %s Yr2'!J43</f>
        <v>0.1</v>
      </c>
      <c r="K43" s="109">
        <f>'Cash Flow %s Yr2'!K43</f>
        <v>0.1</v>
      </c>
      <c r="L43" s="109">
        <f>'Cash Flow %s Yr2'!L43</f>
        <v>0.1</v>
      </c>
      <c r="M43" s="109">
        <f>'Cash Flow %s Yr2'!M43</f>
        <v>0.1</v>
      </c>
      <c r="N43" s="109">
        <f>'Cash Flow %s Yr2'!N43</f>
        <v>0.1</v>
      </c>
      <c r="O43" s="109">
        <f>'Cash Flow %s Yr2'!O43</f>
        <v>0.1</v>
      </c>
      <c r="P43" s="109">
        <f>'Cash Flow %s Yr2'!P43</f>
        <v>0</v>
      </c>
      <c r="Q43" s="109">
        <f>'Cash Flow %s Yr2'!Q43</f>
        <v>0</v>
      </c>
      <c r="R43" s="109">
        <f>'Cash Flow %s Yr2'!R43</f>
        <v>0</v>
      </c>
      <c r="S43" s="105">
        <f t="shared" si="3"/>
        <v>0.99999999999999989</v>
      </c>
    </row>
    <row r="44" spans="1:19" s="30" customFormat="1" ht="17.399999999999999" x14ac:dyDescent="0.3">
      <c r="A44" s="45"/>
      <c r="B44" s="61" t="e">
        <f>'Revenue Input'!#REF!</f>
        <v>#REF!</v>
      </c>
      <c r="C44" s="61" t="e">
        <f>'Revenue Input'!#REF!</f>
        <v>#REF!</v>
      </c>
      <c r="D44" s="109">
        <f>'Cash Flow %s Yr2'!D44</f>
        <v>0</v>
      </c>
      <c r="E44" s="109">
        <f>'Cash Flow %s Yr2'!E44</f>
        <v>0</v>
      </c>
      <c r="F44" s="109">
        <f>'Cash Flow %s Yr2'!F44</f>
        <v>0.1</v>
      </c>
      <c r="G44" s="109">
        <f>'Cash Flow %s Yr2'!G44</f>
        <v>0.1</v>
      </c>
      <c r="H44" s="109">
        <f>'Cash Flow %s Yr2'!H44</f>
        <v>0.1</v>
      </c>
      <c r="I44" s="109">
        <f>'Cash Flow %s Yr2'!I44</f>
        <v>0.1</v>
      </c>
      <c r="J44" s="109">
        <f>'Cash Flow %s Yr2'!J44</f>
        <v>0.1</v>
      </c>
      <c r="K44" s="109">
        <f>'Cash Flow %s Yr2'!K44</f>
        <v>0.1</v>
      </c>
      <c r="L44" s="109">
        <f>'Cash Flow %s Yr2'!L44</f>
        <v>0.1</v>
      </c>
      <c r="M44" s="109">
        <f>'Cash Flow %s Yr2'!M44</f>
        <v>0.1</v>
      </c>
      <c r="N44" s="109">
        <f>'Cash Flow %s Yr2'!N44</f>
        <v>0.1</v>
      </c>
      <c r="O44" s="109">
        <f>'Cash Flow %s Yr2'!O44</f>
        <v>0.1</v>
      </c>
      <c r="P44" s="109">
        <f>'Cash Flow %s Yr2'!P44</f>
        <v>0</v>
      </c>
      <c r="Q44" s="109">
        <f>'Cash Flow %s Yr2'!Q44</f>
        <v>0</v>
      </c>
      <c r="R44" s="109">
        <f>'Cash Flow %s Yr2'!R44</f>
        <v>0</v>
      </c>
      <c r="S44" s="105">
        <f t="shared" si="3"/>
        <v>0.99999999999999989</v>
      </c>
    </row>
    <row r="45" spans="1:19" s="30" customFormat="1" ht="17.399999999999999" x14ac:dyDescent="0.3">
      <c r="A45" s="45"/>
      <c r="B45" s="61" t="e">
        <f>'Revenue Input'!#REF!</f>
        <v>#REF!</v>
      </c>
      <c r="C45" s="61" t="e">
        <f>'Revenue Input'!#REF!</f>
        <v>#REF!</v>
      </c>
      <c r="D45" s="109">
        <f>'Cash Flow %s Yr2'!D45</f>
        <v>0</v>
      </c>
      <c r="E45" s="109">
        <f>'Cash Flow %s Yr2'!E45</f>
        <v>0</v>
      </c>
      <c r="F45" s="109">
        <f>'Cash Flow %s Yr2'!F45</f>
        <v>0.1</v>
      </c>
      <c r="G45" s="109">
        <f>'Cash Flow %s Yr2'!G45</f>
        <v>0.1</v>
      </c>
      <c r="H45" s="109">
        <f>'Cash Flow %s Yr2'!H45</f>
        <v>0.1</v>
      </c>
      <c r="I45" s="109">
        <f>'Cash Flow %s Yr2'!I45</f>
        <v>0.1</v>
      </c>
      <c r="J45" s="109">
        <f>'Cash Flow %s Yr2'!J45</f>
        <v>0.1</v>
      </c>
      <c r="K45" s="109">
        <f>'Cash Flow %s Yr2'!K45</f>
        <v>0.1</v>
      </c>
      <c r="L45" s="109">
        <f>'Cash Flow %s Yr2'!L45</f>
        <v>0.1</v>
      </c>
      <c r="M45" s="109">
        <f>'Cash Flow %s Yr2'!M45</f>
        <v>0.1</v>
      </c>
      <c r="N45" s="109">
        <f>'Cash Flow %s Yr2'!N45</f>
        <v>0.1</v>
      </c>
      <c r="O45" s="109">
        <f>'Cash Flow %s Yr2'!O45</f>
        <v>0.1</v>
      </c>
      <c r="P45" s="109">
        <f>'Cash Flow %s Yr2'!P45</f>
        <v>0</v>
      </c>
      <c r="Q45" s="109">
        <f>'Cash Flow %s Yr2'!Q45</f>
        <v>0</v>
      </c>
      <c r="R45" s="109">
        <f>'Cash Flow %s Yr2'!R45</f>
        <v>0</v>
      </c>
      <c r="S45" s="105">
        <f t="shared" si="3"/>
        <v>0.99999999999999989</v>
      </c>
    </row>
    <row r="46" spans="1:19" s="30" customFormat="1" ht="17.399999999999999" x14ac:dyDescent="0.3">
      <c r="A46" s="45"/>
      <c r="B46" s="61">
        <f>'Revenue Input'!B51</f>
        <v>8689</v>
      </c>
      <c r="C46" s="61" t="str">
        <f>'Revenue Input'!C51</f>
        <v xml:space="preserve">All Other Local Revenue </v>
      </c>
      <c r="D46" s="109">
        <f>'Cash Flow %s Yr2'!D46</f>
        <v>0</v>
      </c>
      <c r="E46" s="109">
        <f>'Cash Flow %s Yr2'!E46</f>
        <v>0</v>
      </c>
      <c r="F46" s="109">
        <f>'Cash Flow %s Yr2'!F46</f>
        <v>0.1</v>
      </c>
      <c r="G46" s="109">
        <f>'Cash Flow %s Yr2'!G46</f>
        <v>0.1</v>
      </c>
      <c r="H46" s="109">
        <f>'Cash Flow %s Yr2'!H46</f>
        <v>0.1</v>
      </c>
      <c r="I46" s="109">
        <f>'Cash Flow %s Yr2'!I46</f>
        <v>0.1</v>
      </c>
      <c r="J46" s="109">
        <f>'Cash Flow %s Yr2'!J46</f>
        <v>0.1</v>
      </c>
      <c r="K46" s="109">
        <f>'Cash Flow %s Yr2'!K46</f>
        <v>0.1</v>
      </c>
      <c r="L46" s="109">
        <f>'Cash Flow %s Yr2'!L46</f>
        <v>0.1</v>
      </c>
      <c r="M46" s="109">
        <f>'Cash Flow %s Yr2'!M46</f>
        <v>0.1</v>
      </c>
      <c r="N46" s="109">
        <f>'Cash Flow %s Yr2'!N46</f>
        <v>0.1</v>
      </c>
      <c r="O46" s="109">
        <f>'Cash Flow %s Yr2'!O46</f>
        <v>0.1</v>
      </c>
      <c r="P46" s="109">
        <f>'Cash Flow %s Yr2'!P46</f>
        <v>0</v>
      </c>
      <c r="Q46" s="109">
        <f>'Cash Flow %s Yr2'!Q46</f>
        <v>0</v>
      </c>
      <c r="R46" s="109">
        <f>'Cash Flow %s Yr2'!R46</f>
        <v>0</v>
      </c>
      <c r="S46" s="105">
        <f>SUM(D46:R46)</f>
        <v>0.99999999999999989</v>
      </c>
    </row>
    <row r="47" spans="1:19" s="30" customFormat="1" ht="17.399999999999999" x14ac:dyDescent="0.3">
      <c r="A47" s="45"/>
      <c r="B47" s="61">
        <f>'Revenue Input'!B52</f>
        <v>8699</v>
      </c>
      <c r="C47" s="61" t="str">
        <f>'Revenue Input'!C52</f>
        <v xml:space="preserve">All Other Local Revenue </v>
      </c>
      <c r="D47" s="109">
        <f>'Cash Flow %s Yr2'!D47</f>
        <v>0</v>
      </c>
      <c r="E47" s="109">
        <f>'Cash Flow %s Yr2'!E47</f>
        <v>0</v>
      </c>
      <c r="F47" s="109">
        <f>'Cash Flow %s Yr2'!F47</f>
        <v>0.1</v>
      </c>
      <c r="G47" s="109">
        <f>'Cash Flow %s Yr2'!G47</f>
        <v>0.1</v>
      </c>
      <c r="H47" s="109">
        <f>'Cash Flow %s Yr2'!H47</f>
        <v>0.1</v>
      </c>
      <c r="I47" s="109">
        <f>'Cash Flow %s Yr2'!I47</f>
        <v>0.1</v>
      </c>
      <c r="J47" s="109">
        <f>'Cash Flow %s Yr2'!J47</f>
        <v>0.1</v>
      </c>
      <c r="K47" s="109">
        <f>'Cash Flow %s Yr2'!K47</f>
        <v>0.1</v>
      </c>
      <c r="L47" s="109">
        <f>'Cash Flow %s Yr2'!L47</f>
        <v>0.1</v>
      </c>
      <c r="M47" s="109">
        <f>'Cash Flow %s Yr2'!M47</f>
        <v>0.1</v>
      </c>
      <c r="N47" s="109">
        <f>'Cash Flow %s Yr2'!N47</f>
        <v>0.1</v>
      </c>
      <c r="O47" s="109">
        <f>'Cash Flow %s Yr2'!O47</f>
        <v>0.1</v>
      </c>
      <c r="P47" s="109">
        <f>'Cash Flow %s Yr2'!P47</f>
        <v>0</v>
      </c>
      <c r="Q47" s="109">
        <f>'Cash Flow %s Yr2'!Q47</f>
        <v>0</v>
      </c>
      <c r="R47" s="109">
        <f>'Cash Flow %s Yr2'!R47</f>
        <v>0</v>
      </c>
      <c r="S47" s="105">
        <f>SUM(D47:R47)</f>
        <v>0.99999999999999989</v>
      </c>
    </row>
    <row r="48" spans="1:19" s="30" customFormat="1" ht="17.399999999999999" x14ac:dyDescent="0.3">
      <c r="A48" s="45"/>
      <c r="B48" s="61">
        <f>'Revenue Input'!B53</f>
        <v>8792</v>
      </c>
      <c r="C48" s="61" t="str">
        <f>'Revenue Input'!C53</f>
        <v>SPED State/Other Transfers of Apportionments from County</v>
      </c>
      <c r="D48" s="109">
        <f>'Cash Flow %s Yr2'!D48</f>
        <v>0</v>
      </c>
      <c r="E48" s="109">
        <f>'Cash Flow %s Yr2'!E48</f>
        <v>0</v>
      </c>
      <c r="F48" s="109">
        <f>'Cash Flow %s Yr2'!F48</f>
        <v>0.1</v>
      </c>
      <c r="G48" s="109">
        <f>'Cash Flow %s Yr2'!G48</f>
        <v>0.1</v>
      </c>
      <c r="H48" s="109">
        <f>'Cash Flow %s Yr2'!H48</f>
        <v>0.1</v>
      </c>
      <c r="I48" s="109">
        <f>'Cash Flow %s Yr2'!I48</f>
        <v>0.1</v>
      </c>
      <c r="J48" s="109">
        <f>'Cash Flow %s Yr2'!J48</f>
        <v>0.1</v>
      </c>
      <c r="K48" s="109">
        <f>'Cash Flow %s Yr2'!K48</f>
        <v>0.1</v>
      </c>
      <c r="L48" s="109">
        <f>'Cash Flow %s Yr2'!L48</f>
        <v>0.1</v>
      </c>
      <c r="M48" s="109">
        <f>'Cash Flow %s Yr2'!M48</f>
        <v>0.1</v>
      </c>
      <c r="N48" s="109">
        <f>'Cash Flow %s Yr2'!N48</f>
        <v>0.1</v>
      </c>
      <c r="O48" s="109">
        <f>'Cash Flow %s Yr2'!O48</f>
        <v>0.1</v>
      </c>
      <c r="P48" s="109">
        <f>'Cash Flow %s Yr2'!P48</f>
        <v>0</v>
      </c>
      <c r="Q48" s="109">
        <f>'Cash Flow %s Yr2'!Q48</f>
        <v>0</v>
      </c>
      <c r="R48" s="109">
        <f>'Cash Flow %s Yr2'!R48</f>
        <v>0</v>
      </c>
      <c r="S48" s="105">
        <f>SUM(D48:R48)</f>
        <v>0.99999999999999989</v>
      </c>
    </row>
    <row r="49" spans="1:19" s="30" customFormat="1" ht="17.399999999999999" x14ac:dyDescent="0.3">
      <c r="A49" s="45"/>
      <c r="B49" s="61">
        <f>'Revenue Input'!B55</f>
        <v>8984</v>
      </c>
      <c r="C49" s="61" t="str">
        <f>'Revenue Input'!C55</f>
        <v>Student Body (ASB Fundraising)</v>
      </c>
      <c r="D49" s="109">
        <f>'Cash Flow %s Yr2'!D49</f>
        <v>0</v>
      </c>
      <c r="E49" s="109">
        <f>'Cash Flow %s Yr2'!E49</f>
        <v>0</v>
      </c>
      <c r="F49" s="109">
        <f>'Cash Flow %s Yr2'!F49</f>
        <v>0.1</v>
      </c>
      <c r="G49" s="109">
        <f>'Cash Flow %s Yr2'!G49</f>
        <v>0.1</v>
      </c>
      <c r="H49" s="109">
        <f>'Cash Flow %s Yr2'!H49</f>
        <v>0.1</v>
      </c>
      <c r="I49" s="109">
        <f>'Cash Flow %s Yr2'!I49</f>
        <v>0.1</v>
      </c>
      <c r="J49" s="109">
        <f>'Cash Flow %s Yr2'!J49</f>
        <v>0.1</v>
      </c>
      <c r="K49" s="109">
        <f>'Cash Flow %s Yr2'!K49</f>
        <v>0.1</v>
      </c>
      <c r="L49" s="109">
        <f>'Cash Flow %s Yr2'!L49</f>
        <v>0.1</v>
      </c>
      <c r="M49" s="109">
        <f>'Cash Flow %s Yr2'!M49</f>
        <v>0.1</v>
      </c>
      <c r="N49" s="109">
        <f>'Cash Flow %s Yr2'!N49</f>
        <v>0.1</v>
      </c>
      <c r="O49" s="109">
        <f>'Cash Flow %s Yr2'!O49</f>
        <v>0.1</v>
      </c>
      <c r="P49" s="109">
        <f>'Cash Flow %s Yr2'!P49</f>
        <v>0</v>
      </c>
      <c r="Q49" s="109">
        <f>'Cash Flow %s Yr2'!Q49</f>
        <v>0</v>
      </c>
      <c r="R49" s="109">
        <f>'Cash Flow %s Yr2'!R49</f>
        <v>0</v>
      </c>
      <c r="S49" s="105">
        <f t="shared" si="3"/>
        <v>0.99999999999999989</v>
      </c>
    </row>
    <row r="50" spans="1:19" s="30" customFormat="1" ht="17.399999999999999" x14ac:dyDescent="0.3">
      <c r="A50" s="45"/>
      <c r="B50" s="68"/>
      <c r="C50" s="48"/>
      <c r="D50" s="113"/>
      <c r="E50" s="113"/>
      <c r="F50" s="113"/>
      <c r="G50" s="113"/>
      <c r="H50" s="113"/>
      <c r="I50" s="113"/>
      <c r="J50" s="113"/>
      <c r="K50" s="113"/>
      <c r="L50" s="113"/>
      <c r="M50" s="113"/>
      <c r="N50" s="113"/>
      <c r="O50" s="113"/>
      <c r="P50" s="94"/>
      <c r="Q50" s="94"/>
      <c r="R50" s="94"/>
      <c r="S50" s="105"/>
    </row>
    <row r="51" spans="1:19" s="30" customFormat="1" ht="17.399999999999999" x14ac:dyDescent="0.3">
      <c r="A51" s="45"/>
      <c r="B51" s="68"/>
      <c r="C51" s="48"/>
      <c r="D51" s="113"/>
      <c r="E51" s="113"/>
      <c r="F51" s="113"/>
      <c r="G51" s="113"/>
      <c r="H51" s="113"/>
      <c r="I51" s="113"/>
      <c r="J51" s="113"/>
      <c r="K51" s="113"/>
      <c r="L51" s="113"/>
      <c r="M51" s="113"/>
      <c r="N51" s="113"/>
      <c r="O51" s="113"/>
      <c r="P51" s="94"/>
      <c r="Q51" s="94"/>
      <c r="R51" s="94"/>
      <c r="S51" s="105"/>
    </row>
    <row r="52" spans="1:19" s="30" customFormat="1" ht="17.399999999999999" x14ac:dyDescent="0.3">
      <c r="A52" s="45"/>
      <c r="B52" s="68"/>
      <c r="C52" s="48"/>
      <c r="D52" s="94"/>
      <c r="E52" s="94"/>
      <c r="F52" s="94"/>
      <c r="G52" s="94"/>
      <c r="H52" s="94"/>
      <c r="I52" s="94"/>
      <c r="J52" s="94"/>
      <c r="K52" s="94"/>
      <c r="L52" s="94"/>
      <c r="M52" s="94"/>
      <c r="N52" s="94"/>
      <c r="O52" s="94"/>
      <c r="P52" s="94"/>
      <c r="Q52" s="94"/>
      <c r="R52" s="94"/>
      <c r="S52" s="105"/>
    </row>
    <row r="53" spans="1:19" s="30" customFormat="1" ht="17.399999999999999" x14ac:dyDescent="0.3">
      <c r="A53" s="45" t="s">
        <v>796</v>
      </c>
      <c r="B53" s="69"/>
      <c r="C53" s="33"/>
      <c r="D53" s="95"/>
      <c r="E53" s="95"/>
      <c r="F53" s="95"/>
      <c r="G53" s="95"/>
      <c r="H53" s="95"/>
      <c r="I53" s="95"/>
      <c r="J53" s="95"/>
      <c r="K53" s="95"/>
      <c r="L53" s="95"/>
      <c r="M53" s="95"/>
      <c r="N53" s="95"/>
      <c r="O53" s="95"/>
      <c r="P53" s="95"/>
      <c r="Q53" s="95"/>
      <c r="R53" s="95"/>
      <c r="S53" s="105"/>
    </row>
    <row r="54" spans="1:19" x14ac:dyDescent="0.3">
      <c r="A54" s="1"/>
      <c r="B54" s="33" t="s">
        <v>732</v>
      </c>
      <c r="C54" s="3"/>
      <c r="S54" s="173"/>
    </row>
    <row r="55" spans="1:19" x14ac:dyDescent="0.3">
      <c r="A55" s="35"/>
      <c r="B55" s="63" t="str">
        <f>'Expenses Summary'!B8</f>
        <v>1100</v>
      </c>
      <c r="C55" s="63" t="str">
        <f>'Expenses Summary'!C8</f>
        <v>Teachers'  Salaries</v>
      </c>
      <c r="D55" s="106">
        <f>'Cash Flow %s Yr2'!D55</f>
        <v>0.02</v>
      </c>
      <c r="E55" s="106">
        <f>'Cash Flow %s Yr2'!E55</f>
        <v>0.05</v>
      </c>
      <c r="F55" s="106">
        <f>'Cash Flow %s Yr2'!F55</f>
        <v>0.1</v>
      </c>
      <c r="G55" s="106">
        <f>'Cash Flow %s Yr2'!G55</f>
        <v>0.1</v>
      </c>
      <c r="H55" s="106">
        <f>'Cash Flow %s Yr2'!H55</f>
        <v>0.1</v>
      </c>
      <c r="I55" s="106">
        <f>'Cash Flow %s Yr2'!I55</f>
        <v>0.1</v>
      </c>
      <c r="J55" s="106">
        <f>'Cash Flow %s Yr2'!J55</f>
        <v>0.1</v>
      </c>
      <c r="K55" s="106">
        <f>'Cash Flow %s Yr2'!K55</f>
        <v>0.1</v>
      </c>
      <c r="L55" s="106">
        <f>'Cash Flow %s Yr2'!L55</f>
        <v>0.1</v>
      </c>
      <c r="M55" s="106">
        <f>'Cash Flow %s Yr2'!M55</f>
        <v>0.1</v>
      </c>
      <c r="N55" s="106">
        <f>'Cash Flow %s Yr2'!N55</f>
        <v>0.1</v>
      </c>
      <c r="O55" s="106">
        <f>'Cash Flow %s Yr2'!O55</f>
        <v>0.03</v>
      </c>
      <c r="P55" s="106">
        <f>'Cash Flow %s Yr2'!P55</f>
        <v>0</v>
      </c>
      <c r="Q55" s="106">
        <f>'Cash Flow %s Yr2'!Q55</f>
        <v>0</v>
      </c>
      <c r="R55" s="106">
        <f>'Cash Flow %s Yr2'!R55</f>
        <v>0</v>
      </c>
      <c r="S55" s="105">
        <f t="shared" ref="S55:S62" si="4">SUM(D55:R55)</f>
        <v>0.99999999999999989</v>
      </c>
    </row>
    <row r="56" spans="1:19" x14ac:dyDescent="0.3">
      <c r="A56" s="35"/>
      <c r="B56" s="63" t="str">
        <f>'Expenses Summary'!B9</f>
        <v>1105</v>
      </c>
      <c r="C56" s="63" t="str">
        <f>'Expenses Summary'!C9</f>
        <v>Teachers'  Stipend</v>
      </c>
      <c r="D56" s="106">
        <f>'Cash Flow %s Yr2'!D56</f>
        <v>0</v>
      </c>
      <c r="E56" s="106">
        <f>'Cash Flow %s Yr2'!E56</f>
        <v>0</v>
      </c>
      <c r="F56" s="106">
        <f>'Cash Flow %s Yr2'!F56</f>
        <v>0</v>
      </c>
      <c r="G56" s="106">
        <f>'Cash Flow %s Yr2'!G56</f>
        <v>0</v>
      </c>
      <c r="H56" s="106">
        <f>'Cash Flow %s Yr2'!H56</f>
        <v>0</v>
      </c>
      <c r="I56" s="106">
        <f>'Cash Flow %s Yr2'!I56</f>
        <v>0.5</v>
      </c>
      <c r="J56" s="106">
        <f>'Cash Flow %s Yr2'!J56</f>
        <v>0</v>
      </c>
      <c r="K56" s="106">
        <f>'Cash Flow %s Yr2'!K56</f>
        <v>0</v>
      </c>
      <c r="L56" s="106">
        <f>'Cash Flow %s Yr2'!L56</f>
        <v>0</v>
      </c>
      <c r="M56" s="106">
        <f>'Cash Flow %s Yr2'!M56</f>
        <v>0</v>
      </c>
      <c r="N56" s="106">
        <f>'Cash Flow %s Yr2'!N56</f>
        <v>0</v>
      </c>
      <c r="O56" s="106">
        <f>'Cash Flow %s Yr2'!O56</f>
        <v>0.5</v>
      </c>
      <c r="P56" s="106">
        <f>'Cash Flow %s Yr2'!P56</f>
        <v>0</v>
      </c>
      <c r="Q56" s="106">
        <f>'Cash Flow %s Yr2'!Q56</f>
        <v>0</v>
      </c>
      <c r="R56" s="106">
        <f>'Cash Flow %s Yr2'!R56</f>
        <v>0</v>
      </c>
      <c r="S56" s="105">
        <f t="shared" si="4"/>
        <v>1</v>
      </c>
    </row>
    <row r="57" spans="1:19" x14ac:dyDescent="0.3">
      <c r="A57" s="35"/>
      <c r="B57" s="63" t="str">
        <f>'Expenses Summary'!B10</f>
        <v>1120</v>
      </c>
      <c r="C57" s="63" t="str">
        <f>'Expenses Summary'!C10</f>
        <v>Substitute Expense</v>
      </c>
      <c r="D57" s="106">
        <f>'Cash Flow %s Yr2'!D57</f>
        <v>0</v>
      </c>
      <c r="E57" s="106">
        <f>'Cash Flow %s Yr2'!E57</f>
        <v>0</v>
      </c>
      <c r="F57" s="106">
        <f>'Cash Flow %s Yr2'!F57</f>
        <v>0.1</v>
      </c>
      <c r="G57" s="106">
        <f>'Cash Flow %s Yr2'!G57</f>
        <v>0.1</v>
      </c>
      <c r="H57" s="106">
        <f>'Cash Flow %s Yr2'!H57</f>
        <v>0.1</v>
      </c>
      <c r="I57" s="106">
        <f>'Cash Flow %s Yr2'!I57</f>
        <v>0.1</v>
      </c>
      <c r="J57" s="106">
        <f>'Cash Flow %s Yr2'!J57</f>
        <v>0.1</v>
      </c>
      <c r="K57" s="106">
        <f>'Cash Flow %s Yr2'!K57</f>
        <v>0.1</v>
      </c>
      <c r="L57" s="106">
        <f>'Cash Flow %s Yr2'!L57</f>
        <v>0.1</v>
      </c>
      <c r="M57" s="106">
        <f>'Cash Flow %s Yr2'!M57</f>
        <v>0.1</v>
      </c>
      <c r="N57" s="106">
        <f>'Cash Flow %s Yr2'!N57</f>
        <v>0.1</v>
      </c>
      <c r="O57" s="106">
        <f>'Cash Flow %s Yr2'!O57</f>
        <v>0.1</v>
      </c>
      <c r="P57" s="106">
        <f>'Cash Flow %s Yr2'!P57</f>
        <v>0</v>
      </c>
      <c r="Q57" s="106">
        <f>'Cash Flow %s Yr2'!Q57</f>
        <v>0</v>
      </c>
      <c r="R57" s="106">
        <f>'Cash Flow %s Yr2'!R57</f>
        <v>0</v>
      </c>
      <c r="S57" s="105">
        <f t="shared" si="4"/>
        <v>0.99999999999999989</v>
      </c>
    </row>
    <row r="58" spans="1:19" x14ac:dyDescent="0.3">
      <c r="A58" s="35"/>
      <c r="B58" s="63" t="str">
        <f>'Expenses Summary'!B11</f>
        <v>1200</v>
      </c>
      <c r="C58" s="63" t="str">
        <f>'Expenses Summary'!C11</f>
        <v>Certificated Pupil Support Salaries</v>
      </c>
      <c r="D58" s="106">
        <f>'Cash Flow %s Yr2'!D58</f>
        <v>0</v>
      </c>
      <c r="E58" s="106">
        <f>'Cash Flow %s Yr2'!E58</f>
        <v>0</v>
      </c>
      <c r="F58" s="106">
        <f>'Cash Flow %s Yr2'!F58</f>
        <v>0.1</v>
      </c>
      <c r="G58" s="106">
        <f>'Cash Flow %s Yr2'!G58</f>
        <v>0.1</v>
      </c>
      <c r="H58" s="106">
        <f>'Cash Flow %s Yr2'!H58</f>
        <v>0.1</v>
      </c>
      <c r="I58" s="106">
        <f>'Cash Flow %s Yr2'!I58</f>
        <v>0.1</v>
      </c>
      <c r="J58" s="106">
        <f>'Cash Flow %s Yr2'!J58</f>
        <v>0.1</v>
      </c>
      <c r="K58" s="106">
        <f>'Cash Flow %s Yr2'!K58</f>
        <v>0.1</v>
      </c>
      <c r="L58" s="106">
        <f>'Cash Flow %s Yr2'!L58</f>
        <v>0.1</v>
      </c>
      <c r="M58" s="106">
        <f>'Cash Flow %s Yr2'!M58</f>
        <v>0.1</v>
      </c>
      <c r="N58" s="106">
        <f>'Cash Flow %s Yr2'!N58</f>
        <v>0.1</v>
      </c>
      <c r="O58" s="106">
        <f>'Cash Flow %s Yr2'!O58</f>
        <v>0.1</v>
      </c>
      <c r="P58" s="106">
        <f>'Cash Flow %s Yr2'!P58</f>
        <v>0</v>
      </c>
      <c r="Q58" s="106">
        <f>'Cash Flow %s Yr2'!Q58</f>
        <v>0</v>
      </c>
      <c r="R58" s="106">
        <f>'Cash Flow %s Yr2'!R58</f>
        <v>0</v>
      </c>
      <c r="S58" s="105">
        <f t="shared" si="4"/>
        <v>0.99999999999999989</v>
      </c>
    </row>
    <row r="59" spans="1:19" x14ac:dyDescent="0.3">
      <c r="A59" s="35"/>
      <c r="B59" s="63" t="str">
        <f>'Expenses Summary'!B13</f>
        <v>1300</v>
      </c>
      <c r="C59" s="63" t="str">
        <f>'Expenses Summary'!C13</f>
        <v>Certificated Supervisor and Administrator Salaries</v>
      </c>
      <c r="D59" s="106">
        <f>'Cash Flow %s Yr2'!D59</f>
        <v>8.3000000000000004E-2</v>
      </c>
      <c r="E59" s="106">
        <f>'Cash Flow %s Yr2'!E59</f>
        <v>8.3000000000000004E-2</v>
      </c>
      <c r="F59" s="106">
        <f>'Cash Flow %s Yr2'!F59</f>
        <v>8.3000000000000004E-2</v>
      </c>
      <c r="G59" s="106">
        <f>'Cash Flow %s Yr2'!G59</f>
        <v>8.3000000000000004E-2</v>
      </c>
      <c r="H59" s="106">
        <f>'Cash Flow %s Yr2'!H59</f>
        <v>8.3000000000000004E-2</v>
      </c>
      <c r="I59" s="106">
        <f>'Cash Flow %s Yr2'!I59</f>
        <v>8.3000000000000004E-2</v>
      </c>
      <c r="J59" s="106">
        <f>'Cash Flow %s Yr2'!J59</f>
        <v>8.3000000000000004E-2</v>
      </c>
      <c r="K59" s="106">
        <f>'Cash Flow %s Yr2'!K59</f>
        <v>8.3000000000000004E-2</v>
      </c>
      <c r="L59" s="106">
        <f>'Cash Flow %s Yr2'!L59</f>
        <v>8.4000000000000005E-2</v>
      </c>
      <c r="M59" s="106">
        <f>'Cash Flow %s Yr2'!M59</f>
        <v>8.4000000000000005E-2</v>
      </c>
      <c r="N59" s="106">
        <f>'Cash Flow %s Yr2'!N59</f>
        <v>8.4000000000000005E-2</v>
      </c>
      <c r="O59" s="106">
        <f>'Cash Flow %s Yr2'!O59</f>
        <v>8.4000000000000005E-2</v>
      </c>
      <c r="P59" s="106">
        <f>'Cash Flow %s Yr2'!P59</f>
        <v>0</v>
      </c>
      <c r="Q59" s="106">
        <f>'Cash Flow %s Yr2'!Q59</f>
        <v>0</v>
      </c>
      <c r="R59" s="106">
        <f>'Cash Flow %s Yr2'!R59</f>
        <v>0</v>
      </c>
      <c r="S59" s="105">
        <f t="shared" si="4"/>
        <v>0.99999999999999989</v>
      </c>
    </row>
    <row r="60" spans="1:19" x14ac:dyDescent="0.3">
      <c r="A60" s="35"/>
      <c r="B60" s="63" t="str">
        <f>'Expenses Summary'!B14</f>
        <v>1305</v>
      </c>
      <c r="C60" s="63" t="str">
        <f>'Expenses Summary'!C14</f>
        <v>Certificated Supervisor and Administrator Bonuses</v>
      </c>
      <c r="D60" s="106">
        <f>'Cash Flow %s Yr2'!D60</f>
        <v>0</v>
      </c>
      <c r="E60" s="106">
        <f>'Cash Flow %s Yr2'!E60</f>
        <v>0</v>
      </c>
      <c r="F60" s="106">
        <f>'Cash Flow %s Yr2'!F60</f>
        <v>0</v>
      </c>
      <c r="G60" s="106">
        <f>'Cash Flow %s Yr2'!G60</f>
        <v>0</v>
      </c>
      <c r="H60" s="106">
        <f>'Cash Flow %s Yr2'!H60</f>
        <v>0</v>
      </c>
      <c r="I60" s="106">
        <f>'Cash Flow %s Yr2'!I60</f>
        <v>0.5</v>
      </c>
      <c r="J60" s="106">
        <f>'Cash Flow %s Yr2'!J60</f>
        <v>0</v>
      </c>
      <c r="K60" s="106">
        <f>'Cash Flow %s Yr2'!K60</f>
        <v>0</v>
      </c>
      <c r="L60" s="106">
        <f>'Cash Flow %s Yr2'!L60</f>
        <v>0</v>
      </c>
      <c r="M60" s="106">
        <f>'Cash Flow %s Yr2'!M60</f>
        <v>0</v>
      </c>
      <c r="N60" s="106">
        <f>'Cash Flow %s Yr2'!N60</f>
        <v>0</v>
      </c>
      <c r="O60" s="106">
        <f>'Cash Flow %s Yr2'!O60</f>
        <v>0.5</v>
      </c>
      <c r="P60" s="106">
        <f>'Cash Flow %s Yr2'!P60</f>
        <v>0</v>
      </c>
      <c r="Q60" s="106">
        <f>'Cash Flow %s Yr2'!Q60</f>
        <v>0</v>
      </c>
      <c r="R60" s="106">
        <f>'Cash Flow %s Yr2'!R60</f>
        <v>0</v>
      </c>
      <c r="S60" s="105">
        <f t="shared" si="4"/>
        <v>1</v>
      </c>
    </row>
    <row r="61" spans="1:19" x14ac:dyDescent="0.3">
      <c r="A61" s="35"/>
      <c r="B61" s="63" t="str">
        <f>'Expenses Summary'!B15</f>
        <v>1900</v>
      </c>
      <c r="C61" s="63" t="str">
        <f>'Expenses Summary'!C15</f>
        <v>Other Certificated Salaries</v>
      </c>
      <c r="D61" s="106">
        <f>'Cash Flow %s Yr2'!D61</f>
        <v>0</v>
      </c>
      <c r="E61" s="106">
        <f>'Cash Flow %s Yr2'!E61</f>
        <v>9.1666666666666702E-2</v>
      </c>
      <c r="F61" s="106">
        <f>'Cash Flow %s Yr2'!F61</f>
        <v>9.1666666666666702E-2</v>
      </c>
      <c r="G61" s="106">
        <f>'Cash Flow %s Yr2'!G61</f>
        <v>9.1666666666666702E-2</v>
      </c>
      <c r="H61" s="106">
        <f>'Cash Flow %s Yr2'!H61</f>
        <v>9.1666666666666702E-2</v>
      </c>
      <c r="I61" s="106">
        <f>'Cash Flow %s Yr2'!I61</f>
        <v>9.1666666666666702E-2</v>
      </c>
      <c r="J61" s="106">
        <f>'Cash Flow %s Yr2'!J61</f>
        <v>9.1666666666666702E-2</v>
      </c>
      <c r="K61" s="106">
        <f>'Cash Flow %s Yr2'!K61</f>
        <v>9.1666666666666702E-2</v>
      </c>
      <c r="L61" s="106">
        <f>'Cash Flow %s Yr2'!L61</f>
        <v>9.1666666666666702E-2</v>
      </c>
      <c r="M61" s="106">
        <f>'Cash Flow %s Yr2'!M61</f>
        <v>9.1666666666666702E-2</v>
      </c>
      <c r="N61" s="106">
        <f>'Cash Flow %s Yr2'!N61</f>
        <v>9.1666666666666702E-2</v>
      </c>
      <c r="O61" s="106">
        <f>'Cash Flow %s Yr2'!O61</f>
        <v>8.3333333332999998E-2</v>
      </c>
      <c r="P61" s="106">
        <f>'Cash Flow %s Yr2'!P61</f>
        <v>0</v>
      </c>
      <c r="Q61" s="106">
        <f>'Cash Flow %s Yr2'!Q61</f>
        <v>0</v>
      </c>
      <c r="R61" s="106">
        <f>'Cash Flow %s Yr2'!R61</f>
        <v>0</v>
      </c>
      <c r="S61" s="105">
        <f t="shared" si="4"/>
        <v>0.99999999999966682</v>
      </c>
    </row>
    <row r="62" spans="1:19" x14ac:dyDescent="0.3">
      <c r="A62" s="35"/>
      <c r="B62" s="63" t="str">
        <f>'Expenses Summary'!B16</f>
        <v>1910</v>
      </c>
      <c r="C62" s="63" t="str">
        <f>'Expenses Summary'!C16</f>
        <v>Other Certificated Overtime</v>
      </c>
      <c r="D62" s="106">
        <f>'Cash Flow %s Yr2'!D62</f>
        <v>0</v>
      </c>
      <c r="E62" s="106">
        <f>'Cash Flow %s Yr2'!E62</f>
        <v>9.1666666666666702E-2</v>
      </c>
      <c r="F62" s="106">
        <f>'Cash Flow %s Yr2'!F62</f>
        <v>9.1666666666666702E-2</v>
      </c>
      <c r="G62" s="106">
        <f>'Cash Flow %s Yr2'!G62</f>
        <v>9.1666666666666702E-2</v>
      </c>
      <c r="H62" s="106">
        <f>'Cash Flow %s Yr2'!H62</f>
        <v>9.1666666666666702E-2</v>
      </c>
      <c r="I62" s="106">
        <f>'Cash Flow %s Yr2'!I62</f>
        <v>9.1666666666666702E-2</v>
      </c>
      <c r="J62" s="106">
        <f>'Cash Flow %s Yr2'!J62</f>
        <v>9.1666666666666702E-2</v>
      </c>
      <c r="K62" s="106">
        <f>'Cash Flow %s Yr2'!K62</f>
        <v>9.1666666666666702E-2</v>
      </c>
      <c r="L62" s="106">
        <f>'Cash Flow %s Yr2'!L62</f>
        <v>9.1666666666666702E-2</v>
      </c>
      <c r="M62" s="106">
        <f>'Cash Flow %s Yr2'!M62</f>
        <v>9.1666666666666702E-2</v>
      </c>
      <c r="N62" s="106">
        <f>'Cash Flow %s Yr2'!N62</f>
        <v>9.1666666666666702E-2</v>
      </c>
      <c r="O62" s="106">
        <f>'Cash Flow %s Yr2'!O62</f>
        <v>8.3333333332999998E-2</v>
      </c>
      <c r="P62" s="106">
        <f>'Cash Flow %s Yr2'!P62</f>
        <v>0</v>
      </c>
      <c r="Q62" s="106">
        <f>'Cash Flow %s Yr2'!Q62</f>
        <v>0</v>
      </c>
      <c r="R62" s="106">
        <f>'Cash Flow %s Yr2'!R62</f>
        <v>0</v>
      </c>
      <c r="S62" s="105">
        <f t="shared" si="4"/>
        <v>0.99999999999966682</v>
      </c>
    </row>
    <row r="63" spans="1:19" x14ac:dyDescent="0.3">
      <c r="A63" s="35"/>
      <c r="B63" s="82"/>
      <c r="C63" s="87"/>
      <c r="D63" s="94"/>
      <c r="E63" s="94"/>
      <c r="F63" s="113"/>
      <c r="G63" s="113"/>
      <c r="H63" s="113"/>
      <c r="I63" s="113"/>
      <c r="J63" s="113"/>
      <c r="K63" s="113"/>
      <c r="L63" s="113"/>
      <c r="M63" s="113"/>
      <c r="N63" s="113"/>
      <c r="O63" s="113"/>
      <c r="P63" s="94"/>
      <c r="Q63" s="94"/>
      <c r="R63" s="94"/>
      <c r="S63" s="105"/>
    </row>
    <row r="64" spans="1:19" s="30" customFormat="1" x14ac:dyDescent="0.3">
      <c r="A64" s="35"/>
      <c r="B64" s="39"/>
      <c r="C64" s="3"/>
      <c r="D64" s="96"/>
      <c r="E64" s="96"/>
      <c r="F64" s="96"/>
      <c r="G64" s="96"/>
      <c r="H64" s="96"/>
      <c r="I64" s="96"/>
      <c r="J64" s="96"/>
      <c r="K64" s="96"/>
      <c r="L64" s="96"/>
      <c r="M64" s="96"/>
      <c r="N64" s="96"/>
      <c r="O64" s="96"/>
      <c r="P64" s="96"/>
      <c r="Q64" s="96"/>
      <c r="R64" s="96"/>
      <c r="S64" s="105"/>
    </row>
    <row r="65" spans="1:19" s="30" customFormat="1" x14ac:dyDescent="0.3">
      <c r="B65" s="5" t="s">
        <v>733</v>
      </c>
      <c r="C65" s="3"/>
      <c r="D65" s="96"/>
      <c r="E65" s="96"/>
      <c r="F65" s="96"/>
      <c r="G65" s="96"/>
      <c r="H65" s="96"/>
      <c r="I65" s="96"/>
      <c r="J65" s="96"/>
      <c r="K65" s="96"/>
      <c r="L65" s="96"/>
      <c r="M65" s="96"/>
      <c r="N65" s="96"/>
      <c r="O65" s="96"/>
      <c r="P65" s="96"/>
      <c r="Q65" s="96"/>
      <c r="R65" s="96"/>
      <c r="S65" s="105"/>
    </row>
    <row r="66" spans="1:19" s="30" customFormat="1" x14ac:dyDescent="0.3">
      <c r="A66" s="35"/>
      <c r="B66" s="63" t="str">
        <f>'Expenses Summary'!B20</f>
        <v>2100</v>
      </c>
      <c r="C66" s="63" t="str">
        <f>'Expenses Summary'!C20</f>
        <v>Instructional Aide Salaries</v>
      </c>
      <c r="D66" s="106">
        <f>'Cash Flow %s Yr2'!D66</f>
        <v>0</v>
      </c>
      <c r="E66" s="106">
        <f>'Cash Flow %s Yr2'!E66</f>
        <v>0.05</v>
      </c>
      <c r="F66" s="106">
        <f>'Cash Flow %s Yr2'!F66</f>
        <v>0.1</v>
      </c>
      <c r="G66" s="106">
        <f>'Cash Flow %s Yr2'!G66</f>
        <v>0.1</v>
      </c>
      <c r="H66" s="106">
        <f>'Cash Flow %s Yr2'!H66</f>
        <v>0.1</v>
      </c>
      <c r="I66" s="106">
        <f>'Cash Flow %s Yr2'!I66</f>
        <v>0.1</v>
      </c>
      <c r="J66" s="106">
        <f>'Cash Flow %s Yr2'!J66</f>
        <v>0.1</v>
      </c>
      <c r="K66" s="106">
        <f>'Cash Flow %s Yr2'!K66</f>
        <v>0.1</v>
      </c>
      <c r="L66" s="106">
        <f>'Cash Flow %s Yr2'!L66</f>
        <v>0.1</v>
      </c>
      <c r="M66" s="106">
        <f>'Cash Flow %s Yr2'!M66</f>
        <v>0.1</v>
      </c>
      <c r="N66" s="106">
        <f>'Cash Flow %s Yr2'!N66</f>
        <v>0.1</v>
      </c>
      <c r="O66" s="106">
        <f>'Cash Flow %s Yr2'!O66</f>
        <v>0.05</v>
      </c>
      <c r="P66" s="106">
        <f>'Cash Flow %s Yr2'!P66</f>
        <v>0</v>
      </c>
      <c r="Q66" s="106">
        <f>'Cash Flow %s Yr2'!Q66</f>
        <v>0</v>
      </c>
      <c r="R66" s="106">
        <f>'Cash Flow %s Yr2'!R66</f>
        <v>0</v>
      </c>
      <c r="S66" s="105">
        <f t="shared" ref="S66:S75" si="5">SUM(D66:R66)</f>
        <v>0.99999999999999989</v>
      </c>
    </row>
    <row r="67" spans="1:19" s="30" customFormat="1" x14ac:dyDescent="0.3">
      <c r="A67" s="35"/>
      <c r="B67" s="63" t="str">
        <f>'Expenses Summary'!B21</f>
        <v>2110</v>
      </c>
      <c r="C67" s="63" t="str">
        <f>'Expenses Summary'!C21</f>
        <v>Instructional Aide Overtime</v>
      </c>
      <c r="D67" s="106">
        <f>'Cash Flow %s Yr2'!D67</f>
        <v>0</v>
      </c>
      <c r="E67" s="106">
        <f>'Cash Flow %s Yr2'!E67</f>
        <v>0</v>
      </c>
      <c r="F67" s="106">
        <f>'Cash Flow %s Yr2'!F67</f>
        <v>0.1</v>
      </c>
      <c r="G67" s="106">
        <f>'Cash Flow %s Yr2'!G67</f>
        <v>0.1</v>
      </c>
      <c r="H67" s="106">
        <f>'Cash Flow %s Yr2'!H67</f>
        <v>0.1</v>
      </c>
      <c r="I67" s="106">
        <f>'Cash Flow %s Yr2'!I67</f>
        <v>0.1</v>
      </c>
      <c r="J67" s="106">
        <f>'Cash Flow %s Yr2'!J67</f>
        <v>0.1</v>
      </c>
      <c r="K67" s="106">
        <f>'Cash Flow %s Yr2'!K67</f>
        <v>0.1</v>
      </c>
      <c r="L67" s="106">
        <f>'Cash Flow %s Yr2'!L67</f>
        <v>0.1</v>
      </c>
      <c r="M67" s="106">
        <f>'Cash Flow %s Yr2'!M67</f>
        <v>0.1</v>
      </c>
      <c r="N67" s="106">
        <f>'Cash Flow %s Yr2'!N67</f>
        <v>0.1</v>
      </c>
      <c r="O67" s="106">
        <f>'Cash Flow %s Yr2'!O67</f>
        <v>0.1</v>
      </c>
      <c r="P67" s="106">
        <f>'Cash Flow %s Yr2'!P67</f>
        <v>0</v>
      </c>
      <c r="Q67" s="106">
        <f>'Cash Flow %s Yr2'!Q67</f>
        <v>0</v>
      </c>
      <c r="R67" s="106">
        <f>'Cash Flow %s Yr2'!R67</f>
        <v>0</v>
      </c>
      <c r="S67" s="105">
        <f t="shared" si="5"/>
        <v>0.99999999999999989</v>
      </c>
    </row>
    <row r="68" spans="1:19" s="30" customFormat="1" x14ac:dyDescent="0.3">
      <c r="A68" s="35"/>
      <c r="B68" s="63" t="str">
        <f>'Expenses Summary'!B22</f>
        <v>2200</v>
      </c>
      <c r="C68" s="63" t="str">
        <f>'Expenses Summary'!C22</f>
        <v>Classified Support Salaries</v>
      </c>
      <c r="D68" s="106">
        <f>'Cash Flow %s Yr2'!D68</f>
        <v>0</v>
      </c>
      <c r="E68" s="106">
        <f>'Cash Flow %s Yr2'!E68</f>
        <v>0.05</v>
      </c>
      <c r="F68" s="106">
        <f>'Cash Flow %s Yr2'!F68</f>
        <v>0.1</v>
      </c>
      <c r="G68" s="106">
        <f>'Cash Flow %s Yr2'!G68</f>
        <v>0.1</v>
      </c>
      <c r="H68" s="106">
        <f>'Cash Flow %s Yr2'!H68</f>
        <v>0.1</v>
      </c>
      <c r="I68" s="106">
        <f>'Cash Flow %s Yr2'!I68</f>
        <v>0.1</v>
      </c>
      <c r="J68" s="106">
        <f>'Cash Flow %s Yr2'!J68</f>
        <v>0.1</v>
      </c>
      <c r="K68" s="106">
        <f>'Cash Flow %s Yr2'!K68</f>
        <v>0.1</v>
      </c>
      <c r="L68" s="106">
        <f>'Cash Flow %s Yr2'!L68</f>
        <v>0.1</v>
      </c>
      <c r="M68" s="106">
        <f>'Cash Flow %s Yr2'!M68</f>
        <v>0.1</v>
      </c>
      <c r="N68" s="106">
        <f>'Cash Flow %s Yr2'!N68</f>
        <v>0.1</v>
      </c>
      <c r="O68" s="106">
        <f>'Cash Flow %s Yr2'!O68</f>
        <v>0.05</v>
      </c>
      <c r="P68" s="106">
        <f>'Cash Flow %s Yr2'!P68</f>
        <v>0</v>
      </c>
      <c r="Q68" s="106">
        <f>'Cash Flow %s Yr2'!Q68</f>
        <v>0</v>
      </c>
      <c r="R68" s="106">
        <f>'Cash Flow %s Yr2'!R68</f>
        <v>0</v>
      </c>
      <c r="S68" s="105">
        <f t="shared" si="5"/>
        <v>0.99999999999999989</v>
      </c>
    </row>
    <row r="69" spans="1:19" s="30" customFormat="1" x14ac:dyDescent="0.3">
      <c r="A69" s="35"/>
      <c r="B69" s="63" t="str">
        <f>'Expenses Summary'!B23</f>
        <v>2210</v>
      </c>
      <c r="C69" s="63" t="str">
        <f>'Expenses Summary'!C23</f>
        <v>Classified Support Overtime</v>
      </c>
      <c r="D69" s="106">
        <f>'Cash Flow %s Yr2'!D69</f>
        <v>0</v>
      </c>
      <c r="E69" s="106">
        <f>'Cash Flow %s Yr2'!E69</f>
        <v>0</v>
      </c>
      <c r="F69" s="106">
        <f>'Cash Flow %s Yr2'!F69</f>
        <v>0.1</v>
      </c>
      <c r="G69" s="106">
        <f>'Cash Flow %s Yr2'!G69</f>
        <v>0.1</v>
      </c>
      <c r="H69" s="106">
        <f>'Cash Flow %s Yr2'!H69</f>
        <v>0.1</v>
      </c>
      <c r="I69" s="106">
        <f>'Cash Flow %s Yr2'!I69</f>
        <v>0.1</v>
      </c>
      <c r="J69" s="106">
        <f>'Cash Flow %s Yr2'!J69</f>
        <v>0.1</v>
      </c>
      <c r="K69" s="106">
        <f>'Cash Flow %s Yr2'!K69</f>
        <v>0.1</v>
      </c>
      <c r="L69" s="106">
        <f>'Cash Flow %s Yr2'!L69</f>
        <v>0.1</v>
      </c>
      <c r="M69" s="106">
        <f>'Cash Flow %s Yr2'!M69</f>
        <v>0.1</v>
      </c>
      <c r="N69" s="106">
        <f>'Cash Flow %s Yr2'!N69</f>
        <v>0.1</v>
      </c>
      <c r="O69" s="106">
        <f>'Cash Flow %s Yr2'!O69</f>
        <v>0.1</v>
      </c>
      <c r="P69" s="106">
        <f>'Cash Flow %s Yr2'!P69</f>
        <v>0</v>
      </c>
      <c r="Q69" s="106">
        <f>'Cash Flow %s Yr2'!Q69</f>
        <v>0</v>
      </c>
      <c r="R69" s="106">
        <f>'Cash Flow %s Yr2'!R69</f>
        <v>0</v>
      </c>
      <c r="S69" s="105">
        <f t="shared" si="5"/>
        <v>0.99999999999999989</v>
      </c>
    </row>
    <row r="70" spans="1:19" s="30" customFormat="1" x14ac:dyDescent="0.3">
      <c r="A70" s="35"/>
      <c r="B70" s="63" t="str">
        <f>'Expenses Summary'!B24</f>
        <v>2300</v>
      </c>
      <c r="C70" s="63" t="str">
        <f>'Expenses Summary'!C24</f>
        <v>Classified Supervisor and Administrator Salaries</v>
      </c>
      <c r="D70" s="106">
        <f>'Cash Flow %s Yr2'!D70</f>
        <v>8.3000000000000004E-2</v>
      </c>
      <c r="E70" s="106">
        <f>'Cash Flow %s Yr2'!E70</f>
        <v>8.3000000000000004E-2</v>
      </c>
      <c r="F70" s="106">
        <f>'Cash Flow %s Yr2'!F70</f>
        <v>8.3000000000000004E-2</v>
      </c>
      <c r="G70" s="106">
        <f>'Cash Flow %s Yr2'!G70</f>
        <v>8.3000000000000004E-2</v>
      </c>
      <c r="H70" s="106">
        <f>'Cash Flow %s Yr2'!H70</f>
        <v>8.3000000000000004E-2</v>
      </c>
      <c r="I70" s="106">
        <f>'Cash Flow %s Yr2'!I70</f>
        <v>8.3000000000000004E-2</v>
      </c>
      <c r="J70" s="106">
        <f>'Cash Flow %s Yr2'!J70</f>
        <v>8.3000000000000004E-2</v>
      </c>
      <c r="K70" s="106">
        <f>'Cash Flow %s Yr2'!K70</f>
        <v>8.3000000000000004E-2</v>
      </c>
      <c r="L70" s="106">
        <f>'Cash Flow %s Yr2'!L70</f>
        <v>8.4000000000000005E-2</v>
      </c>
      <c r="M70" s="106">
        <f>'Cash Flow %s Yr2'!M70</f>
        <v>8.4000000000000005E-2</v>
      </c>
      <c r="N70" s="106">
        <f>'Cash Flow %s Yr2'!N70</f>
        <v>8.4000000000000005E-2</v>
      </c>
      <c r="O70" s="106">
        <f>'Cash Flow %s Yr2'!O70</f>
        <v>8.4000000000000005E-2</v>
      </c>
      <c r="P70" s="106">
        <f>'Cash Flow %s Yr2'!P70</f>
        <v>0</v>
      </c>
      <c r="Q70" s="106">
        <f>'Cash Flow %s Yr2'!Q70</f>
        <v>0</v>
      </c>
      <c r="R70" s="106">
        <f>'Cash Flow %s Yr2'!R70</f>
        <v>0</v>
      </c>
      <c r="S70" s="105">
        <f t="shared" si="5"/>
        <v>0.99999999999999989</v>
      </c>
    </row>
    <row r="71" spans="1:19" s="30" customFormat="1" x14ac:dyDescent="0.3">
      <c r="A71" s="35"/>
      <c r="B71" s="63" t="str">
        <f>'Expenses Summary'!B25</f>
        <v>2400</v>
      </c>
      <c r="C71" s="63" t="str">
        <f>'Expenses Summary'!C25</f>
        <v>Clerical, Technical, and Office Staff Salaries</v>
      </c>
      <c r="D71" s="106">
        <f>'Cash Flow %s Yr2'!D71</f>
        <v>8.3000000000000004E-2</v>
      </c>
      <c r="E71" s="106">
        <f>'Cash Flow %s Yr2'!E71</f>
        <v>8.3000000000000004E-2</v>
      </c>
      <c r="F71" s="106">
        <f>'Cash Flow %s Yr2'!F71</f>
        <v>8.3000000000000004E-2</v>
      </c>
      <c r="G71" s="106">
        <f>'Cash Flow %s Yr2'!G71</f>
        <v>8.3000000000000004E-2</v>
      </c>
      <c r="H71" s="106">
        <f>'Cash Flow %s Yr2'!H71</f>
        <v>8.3000000000000004E-2</v>
      </c>
      <c r="I71" s="106">
        <f>'Cash Flow %s Yr2'!I71</f>
        <v>8.3000000000000004E-2</v>
      </c>
      <c r="J71" s="106">
        <f>'Cash Flow %s Yr2'!J71</f>
        <v>8.3000000000000004E-2</v>
      </c>
      <c r="K71" s="106">
        <f>'Cash Flow %s Yr2'!K71</f>
        <v>8.3000000000000004E-2</v>
      </c>
      <c r="L71" s="106">
        <f>'Cash Flow %s Yr2'!L71</f>
        <v>8.4000000000000005E-2</v>
      </c>
      <c r="M71" s="106">
        <f>'Cash Flow %s Yr2'!M71</f>
        <v>8.4000000000000005E-2</v>
      </c>
      <c r="N71" s="106">
        <f>'Cash Flow %s Yr2'!N71</f>
        <v>8.4000000000000005E-2</v>
      </c>
      <c r="O71" s="106">
        <f>'Cash Flow %s Yr2'!O71</f>
        <v>8.4000000000000005E-2</v>
      </c>
      <c r="P71" s="106">
        <f>'Cash Flow %s Yr2'!P71</f>
        <v>0</v>
      </c>
      <c r="Q71" s="106">
        <f>'Cash Flow %s Yr2'!Q71</f>
        <v>0</v>
      </c>
      <c r="R71" s="106">
        <f>'Cash Flow %s Yr2'!R71</f>
        <v>0</v>
      </c>
      <c r="S71" s="105">
        <f t="shared" si="5"/>
        <v>0.99999999999999989</v>
      </c>
    </row>
    <row r="72" spans="1:19" s="30" customFormat="1" x14ac:dyDescent="0.3">
      <c r="A72" s="35"/>
      <c r="B72" s="63" t="str">
        <f>'Expenses Summary'!B26</f>
        <v>2410</v>
      </c>
      <c r="C72" s="63" t="str">
        <f>'Expenses Summary'!C26</f>
        <v>Clerical, Technical, and Office Staff Overtime</v>
      </c>
      <c r="D72" s="106">
        <f>'Cash Flow %s Yr2'!D72</f>
        <v>8.3000000000000004E-2</v>
      </c>
      <c r="E72" s="106">
        <f>'Cash Flow %s Yr2'!E72</f>
        <v>8.3000000000000004E-2</v>
      </c>
      <c r="F72" s="106">
        <f>'Cash Flow %s Yr2'!F72</f>
        <v>8.3000000000000004E-2</v>
      </c>
      <c r="G72" s="106">
        <f>'Cash Flow %s Yr2'!G72</f>
        <v>8.3000000000000004E-2</v>
      </c>
      <c r="H72" s="106">
        <f>'Cash Flow %s Yr2'!H72</f>
        <v>8.3000000000000004E-2</v>
      </c>
      <c r="I72" s="106">
        <f>'Cash Flow %s Yr2'!I72</f>
        <v>8.3000000000000004E-2</v>
      </c>
      <c r="J72" s="106">
        <f>'Cash Flow %s Yr2'!J72</f>
        <v>8.3000000000000004E-2</v>
      </c>
      <c r="K72" s="106">
        <f>'Cash Flow %s Yr2'!K72</f>
        <v>8.3000000000000004E-2</v>
      </c>
      <c r="L72" s="106">
        <f>'Cash Flow %s Yr2'!L72</f>
        <v>8.4000000000000005E-2</v>
      </c>
      <c r="M72" s="106">
        <f>'Cash Flow %s Yr2'!M72</f>
        <v>8.4000000000000005E-2</v>
      </c>
      <c r="N72" s="106">
        <f>'Cash Flow %s Yr2'!N72</f>
        <v>8.4000000000000005E-2</v>
      </c>
      <c r="O72" s="106">
        <f>'Cash Flow %s Yr2'!O72</f>
        <v>8.4000000000000005E-2</v>
      </c>
      <c r="P72" s="106">
        <f>'Cash Flow %s Yr2'!P72</f>
        <v>0</v>
      </c>
      <c r="Q72" s="106">
        <f>'Cash Flow %s Yr2'!Q72</f>
        <v>0</v>
      </c>
      <c r="R72" s="106">
        <f>'Cash Flow %s Yr2'!R72</f>
        <v>0</v>
      </c>
      <c r="S72" s="105">
        <f t="shared" si="5"/>
        <v>0.99999999999999989</v>
      </c>
    </row>
    <row r="73" spans="1:19" s="30" customFormat="1" x14ac:dyDescent="0.3">
      <c r="A73" s="35"/>
      <c r="B73" s="63" t="str">
        <f>'Expenses Summary'!B27</f>
        <v>2900</v>
      </c>
      <c r="C73" s="63" t="str">
        <f>'Expenses Summary'!C27</f>
        <v>Other Classified Salaries</v>
      </c>
      <c r="D73" s="106">
        <f>'Cash Flow %s Yr2'!D73</f>
        <v>0</v>
      </c>
      <c r="E73" s="106">
        <f>'Cash Flow %s Yr2'!E73</f>
        <v>0.05</v>
      </c>
      <c r="F73" s="106">
        <f>'Cash Flow %s Yr2'!F73</f>
        <v>0.1</v>
      </c>
      <c r="G73" s="106">
        <f>'Cash Flow %s Yr2'!G73</f>
        <v>0.1</v>
      </c>
      <c r="H73" s="106">
        <f>'Cash Flow %s Yr2'!H73</f>
        <v>0.1</v>
      </c>
      <c r="I73" s="106">
        <f>'Cash Flow %s Yr2'!I73</f>
        <v>0.1</v>
      </c>
      <c r="J73" s="106">
        <f>'Cash Flow %s Yr2'!J73</f>
        <v>0.1</v>
      </c>
      <c r="K73" s="106">
        <f>'Cash Flow %s Yr2'!K73</f>
        <v>0.1</v>
      </c>
      <c r="L73" s="106">
        <f>'Cash Flow %s Yr2'!L73</f>
        <v>0.1</v>
      </c>
      <c r="M73" s="106">
        <f>'Cash Flow %s Yr2'!M73</f>
        <v>0.1</v>
      </c>
      <c r="N73" s="106">
        <f>'Cash Flow %s Yr2'!N73</f>
        <v>0.1</v>
      </c>
      <c r="O73" s="106">
        <f>'Cash Flow %s Yr2'!O73</f>
        <v>0.05</v>
      </c>
      <c r="P73" s="106">
        <f>'Cash Flow %s Yr2'!P73</f>
        <v>0</v>
      </c>
      <c r="Q73" s="106">
        <f>'Cash Flow %s Yr2'!Q73</f>
        <v>0</v>
      </c>
      <c r="R73" s="106">
        <f>'Cash Flow %s Yr2'!R73</f>
        <v>0</v>
      </c>
      <c r="S73" s="105">
        <f t="shared" si="5"/>
        <v>0.99999999999999989</v>
      </c>
    </row>
    <row r="74" spans="1:19" s="30" customFormat="1" x14ac:dyDescent="0.3">
      <c r="A74" s="35"/>
      <c r="B74" s="63" t="str">
        <f>'Expenses Summary'!B28</f>
        <v>2905</v>
      </c>
      <c r="C74" s="63" t="str">
        <f>'Expenses Summary'!C28</f>
        <v>Other Stipends</v>
      </c>
      <c r="D74" s="106">
        <f>'Cash Flow %s Yr2'!D74</f>
        <v>0</v>
      </c>
      <c r="E74" s="106">
        <f>'Cash Flow %s Yr2'!E74</f>
        <v>0</v>
      </c>
      <c r="F74" s="106">
        <f>'Cash Flow %s Yr2'!F74</f>
        <v>0.1</v>
      </c>
      <c r="G74" s="106">
        <f>'Cash Flow %s Yr2'!G74</f>
        <v>0.1</v>
      </c>
      <c r="H74" s="106">
        <f>'Cash Flow %s Yr2'!H74</f>
        <v>0.1</v>
      </c>
      <c r="I74" s="106">
        <f>'Cash Flow %s Yr2'!I74</f>
        <v>0.1</v>
      </c>
      <c r="J74" s="106">
        <f>'Cash Flow %s Yr2'!J74</f>
        <v>0.1</v>
      </c>
      <c r="K74" s="106">
        <f>'Cash Flow %s Yr2'!K74</f>
        <v>0.1</v>
      </c>
      <c r="L74" s="106">
        <f>'Cash Flow %s Yr2'!L74</f>
        <v>0.1</v>
      </c>
      <c r="M74" s="106">
        <f>'Cash Flow %s Yr2'!M74</f>
        <v>0.1</v>
      </c>
      <c r="N74" s="106">
        <f>'Cash Flow %s Yr2'!N74</f>
        <v>0.1</v>
      </c>
      <c r="O74" s="106">
        <f>'Cash Flow %s Yr2'!O74</f>
        <v>0.1</v>
      </c>
      <c r="P74" s="106">
        <f>'Cash Flow %s Yr2'!P74</f>
        <v>0</v>
      </c>
      <c r="Q74" s="106">
        <f>'Cash Flow %s Yr2'!Q74</f>
        <v>0</v>
      </c>
      <c r="R74" s="106">
        <f>'Cash Flow %s Yr2'!R74</f>
        <v>0</v>
      </c>
      <c r="S74" s="105">
        <f t="shared" si="5"/>
        <v>0.99999999999999989</v>
      </c>
    </row>
    <row r="75" spans="1:19" s="30" customFormat="1" x14ac:dyDescent="0.3">
      <c r="A75" s="35"/>
      <c r="B75" s="63" t="str">
        <f>'Expenses Summary'!B29</f>
        <v>2910</v>
      </c>
      <c r="C75" s="63" t="str">
        <f>'Expenses Summary'!C29</f>
        <v>Other Classified Overtime</v>
      </c>
      <c r="D75" s="106">
        <f>'Cash Flow %s Yr2'!D75</f>
        <v>0</v>
      </c>
      <c r="E75" s="106">
        <f>'Cash Flow %s Yr2'!E75</f>
        <v>0</v>
      </c>
      <c r="F75" s="106">
        <f>'Cash Flow %s Yr2'!F75</f>
        <v>0.1</v>
      </c>
      <c r="G75" s="106">
        <f>'Cash Flow %s Yr2'!G75</f>
        <v>0.1</v>
      </c>
      <c r="H75" s="106">
        <f>'Cash Flow %s Yr2'!H75</f>
        <v>0.1</v>
      </c>
      <c r="I75" s="106">
        <f>'Cash Flow %s Yr2'!I75</f>
        <v>0.1</v>
      </c>
      <c r="J75" s="106">
        <f>'Cash Flow %s Yr2'!J75</f>
        <v>0.1</v>
      </c>
      <c r="K75" s="106">
        <f>'Cash Flow %s Yr2'!K75</f>
        <v>0.1</v>
      </c>
      <c r="L75" s="106">
        <f>'Cash Flow %s Yr2'!L75</f>
        <v>0.1</v>
      </c>
      <c r="M75" s="106">
        <f>'Cash Flow %s Yr2'!M75</f>
        <v>0.1</v>
      </c>
      <c r="N75" s="106">
        <f>'Cash Flow %s Yr2'!N75</f>
        <v>0.1</v>
      </c>
      <c r="O75" s="106">
        <f>'Cash Flow %s Yr2'!O75</f>
        <v>0.1</v>
      </c>
      <c r="P75" s="106">
        <f>'Cash Flow %s Yr2'!P75</f>
        <v>0</v>
      </c>
      <c r="Q75" s="106">
        <f>'Cash Flow %s Yr2'!Q75</f>
        <v>0</v>
      </c>
      <c r="R75" s="106">
        <f>'Cash Flow %s Yr2'!R75</f>
        <v>0</v>
      </c>
      <c r="S75" s="105">
        <f t="shared" si="5"/>
        <v>0.99999999999999989</v>
      </c>
    </row>
    <row r="76" spans="1:19" s="30" customFormat="1" x14ac:dyDescent="0.3">
      <c r="A76" s="35"/>
      <c r="B76" s="82"/>
      <c r="C76" s="87"/>
      <c r="D76" s="94"/>
      <c r="E76" s="94"/>
      <c r="F76" s="113"/>
      <c r="G76" s="113"/>
      <c r="H76" s="113"/>
      <c r="I76" s="113"/>
      <c r="J76" s="113"/>
      <c r="K76" s="113"/>
      <c r="L76" s="113"/>
      <c r="M76" s="113"/>
      <c r="N76" s="113"/>
      <c r="O76" s="113"/>
      <c r="P76" s="94"/>
      <c r="Q76" s="94"/>
      <c r="R76" s="94"/>
      <c r="S76" s="105"/>
    </row>
    <row r="77" spans="1:19" s="30" customFormat="1" x14ac:dyDescent="0.3">
      <c r="A77" s="35"/>
      <c r="B77" s="39"/>
      <c r="C77" s="3"/>
      <c r="D77" s="96"/>
      <c r="E77" s="96"/>
      <c r="F77" s="96"/>
      <c r="G77" s="96"/>
      <c r="H77" s="96"/>
      <c r="I77" s="96"/>
      <c r="J77" s="96"/>
      <c r="K77" s="96"/>
      <c r="L77" s="96"/>
      <c r="M77" s="96"/>
      <c r="N77" s="96"/>
      <c r="O77" s="96"/>
      <c r="P77" s="96"/>
      <c r="Q77" s="96"/>
      <c r="R77" s="96"/>
      <c r="S77" s="105"/>
    </row>
    <row r="78" spans="1:19" s="30" customFormat="1" x14ac:dyDescent="0.3">
      <c r="B78" s="33" t="s">
        <v>734</v>
      </c>
      <c r="C78" s="3"/>
      <c r="D78" s="96"/>
      <c r="E78" s="96"/>
      <c r="F78" s="96"/>
      <c r="G78" s="96"/>
      <c r="H78" s="96"/>
      <c r="I78" s="96"/>
      <c r="J78" s="96"/>
      <c r="K78" s="96"/>
      <c r="L78" s="96"/>
      <c r="M78" s="96"/>
      <c r="N78" s="96"/>
      <c r="O78" s="96"/>
      <c r="P78" s="96"/>
      <c r="Q78" s="96"/>
      <c r="R78" s="96"/>
      <c r="S78" s="105"/>
    </row>
    <row r="79" spans="1:19" s="30" customFormat="1" x14ac:dyDescent="0.3">
      <c r="A79" s="35"/>
      <c r="B79" s="63" t="str">
        <f>'Expenses Summary'!B33</f>
        <v>3101</v>
      </c>
      <c r="C79" s="63" t="str">
        <f>'Expenses Summary'!C33</f>
        <v>State Teachers' Retirement System, certificated positions</v>
      </c>
      <c r="D79" s="106">
        <f>'Cash Flow %s Yr2'!D79</f>
        <v>0.02</v>
      </c>
      <c r="E79" s="106">
        <f>'Cash Flow %s Yr2'!E79</f>
        <v>0.05</v>
      </c>
      <c r="F79" s="106">
        <f>'Cash Flow %s Yr2'!F79</f>
        <v>0.1</v>
      </c>
      <c r="G79" s="106">
        <f>'Cash Flow %s Yr2'!G79</f>
        <v>0.1</v>
      </c>
      <c r="H79" s="106">
        <f>'Cash Flow %s Yr2'!H79</f>
        <v>0.1</v>
      </c>
      <c r="I79" s="106">
        <f>'Cash Flow %s Yr2'!I79</f>
        <v>0.1</v>
      </c>
      <c r="J79" s="106">
        <f>'Cash Flow %s Yr2'!J79</f>
        <v>0.1</v>
      </c>
      <c r="K79" s="106">
        <f>'Cash Flow %s Yr2'!K79</f>
        <v>0.1</v>
      </c>
      <c r="L79" s="106">
        <f>'Cash Flow %s Yr2'!L79</f>
        <v>0.1</v>
      </c>
      <c r="M79" s="106">
        <f>'Cash Flow %s Yr2'!M79</f>
        <v>0.1</v>
      </c>
      <c r="N79" s="106">
        <f>'Cash Flow %s Yr2'!N79</f>
        <v>0.1</v>
      </c>
      <c r="O79" s="106">
        <f>'Cash Flow %s Yr2'!O79</f>
        <v>0.03</v>
      </c>
      <c r="P79" s="106">
        <f>'Cash Flow %s Yr2'!P79</f>
        <v>0</v>
      </c>
      <c r="Q79" s="106">
        <f>'Cash Flow %s Yr2'!Q79</f>
        <v>0</v>
      </c>
      <c r="R79" s="106">
        <f>'Cash Flow %s Yr2'!R79</f>
        <v>0</v>
      </c>
      <c r="S79" s="105">
        <f t="shared" ref="S79:S87" si="6">SUM(D79:R79)</f>
        <v>0.99999999999999989</v>
      </c>
    </row>
    <row r="80" spans="1:19" s="30" customFormat="1" x14ac:dyDescent="0.3">
      <c r="A80" s="35"/>
      <c r="B80" s="63" t="str">
        <f>'Expenses Summary'!B34</f>
        <v>3202</v>
      </c>
      <c r="C80" s="63" t="str">
        <f>'Expenses Summary'!C34</f>
        <v>Public Employees' Retirement System, classified positions</v>
      </c>
      <c r="D80" s="106">
        <f>'Cash Flow %s Yr2'!D80</f>
        <v>0.02</v>
      </c>
      <c r="E80" s="106">
        <f>'Cash Flow %s Yr2'!E80</f>
        <v>0.05</v>
      </c>
      <c r="F80" s="106">
        <f>'Cash Flow %s Yr2'!F80</f>
        <v>0.1</v>
      </c>
      <c r="G80" s="106">
        <f>'Cash Flow %s Yr2'!G80</f>
        <v>0.1</v>
      </c>
      <c r="H80" s="106">
        <f>'Cash Flow %s Yr2'!H80</f>
        <v>0.1</v>
      </c>
      <c r="I80" s="106">
        <f>'Cash Flow %s Yr2'!I80</f>
        <v>0.1</v>
      </c>
      <c r="J80" s="106">
        <f>'Cash Flow %s Yr2'!J80</f>
        <v>0.1</v>
      </c>
      <c r="K80" s="106">
        <f>'Cash Flow %s Yr2'!K80</f>
        <v>0.1</v>
      </c>
      <c r="L80" s="106">
        <f>'Cash Flow %s Yr2'!L80</f>
        <v>0.1</v>
      </c>
      <c r="M80" s="106">
        <f>'Cash Flow %s Yr2'!M80</f>
        <v>0.1</v>
      </c>
      <c r="N80" s="106">
        <f>'Cash Flow %s Yr2'!N80</f>
        <v>0.1</v>
      </c>
      <c r="O80" s="106">
        <f>'Cash Flow %s Yr2'!O80</f>
        <v>0.03</v>
      </c>
      <c r="P80" s="106">
        <f>'Cash Flow %s Yr2'!P80</f>
        <v>0</v>
      </c>
      <c r="Q80" s="106">
        <f>'Cash Flow %s Yr2'!Q80</f>
        <v>0</v>
      </c>
      <c r="R80" s="106">
        <f>'Cash Flow %s Yr2'!R80</f>
        <v>0</v>
      </c>
      <c r="S80" s="105">
        <f t="shared" si="6"/>
        <v>0.99999999999999989</v>
      </c>
    </row>
    <row r="81" spans="1:19" s="30" customFormat="1" x14ac:dyDescent="0.3">
      <c r="A81" s="35"/>
      <c r="B81" s="63" t="str">
        <f>'Expenses Summary'!B35</f>
        <v>3313</v>
      </c>
      <c r="C81" s="63" t="str">
        <f>'Expenses Summary'!C35</f>
        <v>OASDI</v>
      </c>
      <c r="D81" s="106">
        <f>'Cash Flow %s Yr2'!D81</f>
        <v>8.3000000000000004E-2</v>
      </c>
      <c r="E81" s="106">
        <f>'Cash Flow %s Yr2'!E81</f>
        <v>8.3000000000000004E-2</v>
      </c>
      <c r="F81" s="106">
        <f>'Cash Flow %s Yr2'!F81</f>
        <v>8.3000000000000004E-2</v>
      </c>
      <c r="G81" s="106">
        <f>'Cash Flow %s Yr2'!G81</f>
        <v>8.3000000000000004E-2</v>
      </c>
      <c r="H81" s="106">
        <f>'Cash Flow %s Yr2'!H81</f>
        <v>8.3000000000000004E-2</v>
      </c>
      <c r="I81" s="106">
        <f>'Cash Flow %s Yr2'!I81</f>
        <v>8.3000000000000004E-2</v>
      </c>
      <c r="J81" s="106">
        <f>'Cash Flow %s Yr2'!J81</f>
        <v>8.3000000000000004E-2</v>
      </c>
      <c r="K81" s="106">
        <f>'Cash Flow %s Yr2'!K81</f>
        <v>8.3000000000000004E-2</v>
      </c>
      <c r="L81" s="106">
        <f>'Cash Flow %s Yr2'!L81</f>
        <v>8.4000000000000005E-2</v>
      </c>
      <c r="M81" s="106">
        <f>'Cash Flow %s Yr2'!M81</f>
        <v>8.4000000000000005E-2</v>
      </c>
      <c r="N81" s="106">
        <f>'Cash Flow %s Yr2'!N81</f>
        <v>8.4000000000000005E-2</v>
      </c>
      <c r="O81" s="106">
        <f>'Cash Flow %s Yr2'!O81</f>
        <v>8.4000000000000005E-2</v>
      </c>
      <c r="P81" s="106">
        <f>'Cash Flow %s Yr2'!P81</f>
        <v>0</v>
      </c>
      <c r="Q81" s="106">
        <f>'Cash Flow %s Yr2'!Q81</f>
        <v>0</v>
      </c>
      <c r="R81" s="106">
        <f>'Cash Flow %s Yr2'!R81</f>
        <v>0</v>
      </c>
      <c r="S81" s="105">
        <f t="shared" si="6"/>
        <v>0.99999999999999989</v>
      </c>
    </row>
    <row r="82" spans="1:19" s="30" customFormat="1" x14ac:dyDescent="0.3">
      <c r="A82" s="35"/>
      <c r="B82" s="63" t="str">
        <f>'Expenses Summary'!B36</f>
        <v>3323</v>
      </c>
      <c r="C82" s="63" t="str">
        <f>'Expenses Summary'!C36</f>
        <v>Medicare</v>
      </c>
      <c r="D82" s="106">
        <f>'Cash Flow %s Yr2'!D82</f>
        <v>8.3000000000000004E-2</v>
      </c>
      <c r="E82" s="106">
        <f>'Cash Flow %s Yr2'!E82</f>
        <v>8.3000000000000004E-2</v>
      </c>
      <c r="F82" s="106">
        <f>'Cash Flow %s Yr2'!F82</f>
        <v>8.3000000000000004E-2</v>
      </c>
      <c r="G82" s="106">
        <f>'Cash Flow %s Yr2'!G82</f>
        <v>8.3000000000000004E-2</v>
      </c>
      <c r="H82" s="106">
        <f>'Cash Flow %s Yr2'!H82</f>
        <v>8.3000000000000004E-2</v>
      </c>
      <c r="I82" s="106">
        <f>'Cash Flow %s Yr2'!I82</f>
        <v>8.3000000000000004E-2</v>
      </c>
      <c r="J82" s="106">
        <f>'Cash Flow %s Yr2'!J82</f>
        <v>8.3000000000000004E-2</v>
      </c>
      <c r="K82" s="106">
        <f>'Cash Flow %s Yr2'!K82</f>
        <v>8.3000000000000004E-2</v>
      </c>
      <c r="L82" s="106">
        <f>'Cash Flow %s Yr2'!L82</f>
        <v>8.4000000000000005E-2</v>
      </c>
      <c r="M82" s="106">
        <f>'Cash Flow %s Yr2'!M82</f>
        <v>8.4000000000000005E-2</v>
      </c>
      <c r="N82" s="106">
        <f>'Cash Flow %s Yr2'!N82</f>
        <v>8.4000000000000005E-2</v>
      </c>
      <c r="O82" s="106">
        <f>'Cash Flow %s Yr2'!O82</f>
        <v>8.4000000000000005E-2</v>
      </c>
      <c r="P82" s="106">
        <f>'Cash Flow %s Yr2'!P82</f>
        <v>0</v>
      </c>
      <c r="Q82" s="106">
        <f>'Cash Flow %s Yr2'!Q82</f>
        <v>0</v>
      </c>
      <c r="R82" s="106">
        <f>'Cash Flow %s Yr2'!R82</f>
        <v>0</v>
      </c>
      <c r="S82" s="105">
        <f t="shared" si="6"/>
        <v>0.99999999999999989</v>
      </c>
    </row>
    <row r="83" spans="1:19" s="30" customFormat="1" x14ac:dyDescent="0.3">
      <c r="A83" s="35"/>
      <c r="B83" s="63" t="str">
        <f>'Expenses Summary'!B37</f>
        <v>3403</v>
      </c>
      <c r="C83" s="63" t="str">
        <f>'Expenses Summary'!C37</f>
        <v>Health &amp; Welfare Benefits</v>
      </c>
      <c r="D83" s="106">
        <f>'Cash Flow %s Yr2'!D83</f>
        <v>8.3000000000000004E-2</v>
      </c>
      <c r="E83" s="106">
        <f>'Cash Flow %s Yr2'!E83</f>
        <v>8.3000000000000004E-2</v>
      </c>
      <c r="F83" s="106">
        <f>'Cash Flow %s Yr2'!F83</f>
        <v>8.3000000000000004E-2</v>
      </c>
      <c r="G83" s="106">
        <f>'Cash Flow %s Yr2'!G83</f>
        <v>8.3000000000000004E-2</v>
      </c>
      <c r="H83" s="106">
        <f>'Cash Flow %s Yr2'!H83</f>
        <v>8.3000000000000004E-2</v>
      </c>
      <c r="I83" s="106">
        <f>'Cash Flow %s Yr2'!I83</f>
        <v>8.3000000000000004E-2</v>
      </c>
      <c r="J83" s="106">
        <f>'Cash Flow %s Yr2'!J83</f>
        <v>8.3000000000000004E-2</v>
      </c>
      <c r="K83" s="106">
        <f>'Cash Flow %s Yr2'!K83</f>
        <v>8.3000000000000004E-2</v>
      </c>
      <c r="L83" s="106">
        <f>'Cash Flow %s Yr2'!L83</f>
        <v>8.4000000000000005E-2</v>
      </c>
      <c r="M83" s="106">
        <f>'Cash Flow %s Yr2'!M83</f>
        <v>8.4000000000000005E-2</v>
      </c>
      <c r="N83" s="106">
        <f>'Cash Flow %s Yr2'!N83</f>
        <v>8.4000000000000005E-2</v>
      </c>
      <c r="O83" s="106">
        <f>'Cash Flow %s Yr2'!O83</f>
        <v>8.4000000000000005E-2</v>
      </c>
      <c r="P83" s="106">
        <f>'Cash Flow %s Yr2'!P83</f>
        <v>0</v>
      </c>
      <c r="Q83" s="106">
        <f>'Cash Flow %s Yr2'!Q83</f>
        <v>0</v>
      </c>
      <c r="R83" s="106">
        <f>'Cash Flow %s Yr2'!R83</f>
        <v>0</v>
      </c>
      <c r="S83" s="105">
        <f t="shared" si="6"/>
        <v>0.99999999999999989</v>
      </c>
    </row>
    <row r="84" spans="1:19" s="30" customFormat="1" x14ac:dyDescent="0.3">
      <c r="A84" s="35"/>
      <c r="B84" s="63" t="str">
        <f>'Expenses Summary'!B38</f>
        <v>3503</v>
      </c>
      <c r="C84" s="63" t="str">
        <f>'Expenses Summary'!C38</f>
        <v>State Unemployment Insurance</v>
      </c>
      <c r="D84" s="106">
        <f>'Cash Flow %s Yr2'!D84</f>
        <v>8.3000000000000004E-2</v>
      </c>
      <c r="E84" s="106">
        <f>'Cash Flow %s Yr2'!E84</f>
        <v>8.3000000000000004E-2</v>
      </c>
      <c r="F84" s="106">
        <f>'Cash Flow %s Yr2'!F84</f>
        <v>8.3000000000000004E-2</v>
      </c>
      <c r="G84" s="106">
        <f>'Cash Flow %s Yr2'!G84</f>
        <v>8.3000000000000004E-2</v>
      </c>
      <c r="H84" s="106">
        <f>'Cash Flow %s Yr2'!H84</f>
        <v>8.3000000000000004E-2</v>
      </c>
      <c r="I84" s="106">
        <f>'Cash Flow %s Yr2'!I84</f>
        <v>8.3000000000000004E-2</v>
      </c>
      <c r="J84" s="106">
        <f>'Cash Flow %s Yr2'!J84</f>
        <v>8.3000000000000004E-2</v>
      </c>
      <c r="K84" s="106">
        <f>'Cash Flow %s Yr2'!K84</f>
        <v>8.3000000000000004E-2</v>
      </c>
      <c r="L84" s="106">
        <f>'Cash Flow %s Yr2'!L84</f>
        <v>8.4000000000000005E-2</v>
      </c>
      <c r="M84" s="106">
        <f>'Cash Flow %s Yr2'!M84</f>
        <v>8.4000000000000005E-2</v>
      </c>
      <c r="N84" s="106">
        <f>'Cash Flow %s Yr2'!N84</f>
        <v>8.4000000000000005E-2</v>
      </c>
      <c r="O84" s="106">
        <f>'Cash Flow %s Yr2'!O84</f>
        <v>8.4000000000000005E-2</v>
      </c>
      <c r="P84" s="106">
        <f>'Cash Flow %s Yr2'!P84</f>
        <v>0</v>
      </c>
      <c r="Q84" s="106">
        <f>'Cash Flow %s Yr2'!Q84</f>
        <v>0</v>
      </c>
      <c r="R84" s="106">
        <f>'Cash Flow %s Yr2'!R84</f>
        <v>0</v>
      </c>
      <c r="S84" s="105">
        <f t="shared" si="6"/>
        <v>0.99999999999999989</v>
      </c>
    </row>
    <row r="85" spans="1:19" s="30" customFormat="1" x14ac:dyDescent="0.3">
      <c r="A85" s="35"/>
      <c r="B85" s="63" t="str">
        <f>'Expenses Summary'!B39</f>
        <v>3603</v>
      </c>
      <c r="C85" s="63" t="str">
        <f>'Expenses Summary'!C39</f>
        <v>Worker Compensation Insurance</v>
      </c>
      <c r="D85" s="106">
        <f>'Cash Flow %s Yr2'!D85</f>
        <v>8.3000000000000004E-2</v>
      </c>
      <c r="E85" s="106">
        <f>'Cash Flow %s Yr2'!E85</f>
        <v>8.3000000000000004E-2</v>
      </c>
      <c r="F85" s="106">
        <f>'Cash Flow %s Yr2'!F85</f>
        <v>8.3000000000000004E-2</v>
      </c>
      <c r="G85" s="106">
        <f>'Cash Flow %s Yr2'!G85</f>
        <v>8.3000000000000004E-2</v>
      </c>
      <c r="H85" s="106">
        <f>'Cash Flow %s Yr2'!H85</f>
        <v>8.3000000000000004E-2</v>
      </c>
      <c r="I85" s="106">
        <f>'Cash Flow %s Yr2'!I85</f>
        <v>8.3000000000000004E-2</v>
      </c>
      <c r="J85" s="106">
        <f>'Cash Flow %s Yr2'!J85</f>
        <v>8.3000000000000004E-2</v>
      </c>
      <c r="K85" s="106">
        <f>'Cash Flow %s Yr2'!K85</f>
        <v>8.3000000000000004E-2</v>
      </c>
      <c r="L85" s="106">
        <f>'Cash Flow %s Yr2'!L85</f>
        <v>8.4000000000000005E-2</v>
      </c>
      <c r="M85" s="106">
        <f>'Cash Flow %s Yr2'!M85</f>
        <v>8.4000000000000005E-2</v>
      </c>
      <c r="N85" s="106">
        <f>'Cash Flow %s Yr2'!N85</f>
        <v>8.4000000000000005E-2</v>
      </c>
      <c r="O85" s="106">
        <f>'Cash Flow %s Yr2'!O85</f>
        <v>8.4000000000000005E-2</v>
      </c>
      <c r="P85" s="106">
        <f>'Cash Flow %s Yr2'!P85</f>
        <v>0</v>
      </c>
      <c r="Q85" s="106">
        <f>'Cash Flow %s Yr2'!Q85</f>
        <v>0</v>
      </c>
      <c r="R85" s="106">
        <f>'Cash Flow %s Yr2'!R85</f>
        <v>0</v>
      </c>
      <c r="S85" s="105">
        <f t="shared" si="6"/>
        <v>0.99999999999999989</v>
      </c>
    </row>
    <row r="86" spans="1:19" s="30" customFormat="1" x14ac:dyDescent="0.3">
      <c r="A86" s="35"/>
      <c r="B86" s="63" t="str">
        <f>'Expenses Summary'!B40</f>
        <v>3703</v>
      </c>
      <c r="C86" s="63" t="str">
        <f>'Expenses Summary'!C40</f>
        <v>Other Post Employement Benefits</v>
      </c>
      <c r="D86" s="106">
        <f>'Cash Flow %s Yr2'!D86</f>
        <v>8.3000000000000004E-2</v>
      </c>
      <c r="E86" s="106">
        <f>'Cash Flow %s Yr2'!E86</f>
        <v>8.3000000000000004E-2</v>
      </c>
      <c r="F86" s="106">
        <f>'Cash Flow %s Yr2'!F86</f>
        <v>8.3000000000000004E-2</v>
      </c>
      <c r="G86" s="106">
        <f>'Cash Flow %s Yr2'!G86</f>
        <v>8.3000000000000004E-2</v>
      </c>
      <c r="H86" s="106">
        <f>'Cash Flow %s Yr2'!H86</f>
        <v>8.3000000000000004E-2</v>
      </c>
      <c r="I86" s="106">
        <f>'Cash Flow %s Yr2'!I86</f>
        <v>8.3000000000000004E-2</v>
      </c>
      <c r="J86" s="106">
        <f>'Cash Flow %s Yr2'!J86</f>
        <v>8.3000000000000004E-2</v>
      </c>
      <c r="K86" s="106">
        <f>'Cash Flow %s Yr2'!K86</f>
        <v>8.3000000000000004E-2</v>
      </c>
      <c r="L86" s="106">
        <f>'Cash Flow %s Yr2'!L86</f>
        <v>8.4000000000000005E-2</v>
      </c>
      <c r="M86" s="106">
        <f>'Cash Flow %s Yr2'!M86</f>
        <v>8.4000000000000005E-2</v>
      </c>
      <c r="N86" s="106">
        <f>'Cash Flow %s Yr2'!N86</f>
        <v>8.4000000000000005E-2</v>
      </c>
      <c r="O86" s="106">
        <f>'Cash Flow %s Yr2'!O86</f>
        <v>8.4000000000000005E-2</v>
      </c>
      <c r="P86" s="106">
        <f>'Cash Flow %s Yr2'!P86</f>
        <v>0</v>
      </c>
      <c r="Q86" s="106">
        <f>'Cash Flow %s Yr2'!Q86</f>
        <v>0</v>
      </c>
      <c r="R86" s="106">
        <f>'Cash Flow %s Yr2'!R86</f>
        <v>0</v>
      </c>
      <c r="S86" s="105">
        <f t="shared" si="6"/>
        <v>0.99999999999999989</v>
      </c>
    </row>
    <row r="87" spans="1:19" s="30" customFormat="1" x14ac:dyDescent="0.3">
      <c r="A87" s="35"/>
      <c r="B87" s="63" t="str">
        <f>'Expenses Summary'!B41</f>
        <v>3903</v>
      </c>
      <c r="C87" s="63" t="str">
        <f>'Expenses Summary'!C41</f>
        <v>Other Benefits</v>
      </c>
      <c r="D87" s="106">
        <f>'Cash Flow %s Yr2'!D87</f>
        <v>8.3000000000000004E-2</v>
      </c>
      <c r="E87" s="106">
        <f>'Cash Flow %s Yr2'!E87</f>
        <v>8.3000000000000004E-2</v>
      </c>
      <c r="F87" s="106">
        <f>'Cash Flow %s Yr2'!F87</f>
        <v>8.3000000000000004E-2</v>
      </c>
      <c r="G87" s="106">
        <f>'Cash Flow %s Yr2'!G87</f>
        <v>8.3000000000000004E-2</v>
      </c>
      <c r="H87" s="106">
        <f>'Cash Flow %s Yr2'!H87</f>
        <v>8.3000000000000004E-2</v>
      </c>
      <c r="I87" s="106">
        <f>'Cash Flow %s Yr2'!I87</f>
        <v>8.3000000000000004E-2</v>
      </c>
      <c r="J87" s="106">
        <f>'Cash Flow %s Yr2'!J87</f>
        <v>8.3000000000000004E-2</v>
      </c>
      <c r="K87" s="106">
        <f>'Cash Flow %s Yr2'!K87</f>
        <v>8.3000000000000004E-2</v>
      </c>
      <c r="L87" s="106">
        <f>'Cash Flow %s Yr2'!L87</f>
        <v>8.4000000000000005E-2</v>
      </c>
      <c r="M87" s="106">
        <f>'Cash Flow %s Yr2'!M87</f>
        <v>8.4000000000000005E-2</v>
      </c>
      <c r="N87" s="106">
        <f>'Cash Flow %s Yr2'!N87</f>
        <v>8.4000000000000005E-2</v>
      </c>
      <c r="O87" s="106">
        <f>'Cash Flow %s Yr2'!O87</f>
        <v>8.4000000000000005E-2</v>
      </c>
      <c r="P87" s="106">
        <f>'Cash Flow %s Yr2'!P87</f>
        <v>0</v>
      </c>
      <c r="Q87" s="106">
        <f>'Cash Flow %s Yr2'!Q87</f>
        <v>0</v>
      </c>
      <c r="R87" s="106">
        <f>'Cash Flow %s Yr2'!R87</f>
        <v>0</v>
      </c>
      <c r="S87" s="105">
        <f t="shared" si="6"/>
        <v>0.99999999999999989</v>
      </c>
    </row>
    <row r="88" spans="1:19" s="30" customFormat="1" x14ac:dyDescent="0.3">
      <c r="A88" s="35"/>
      <c r="B88" s="116"/>
      <c r="C88" s="116"/>
      <c r="D88" s="117"/>
      <c r="E88" s="117"/>
      <c r="F88" s="117"/>
      <c r="G88" s="117"/>
      <c r="H88" s="117"/>
      <c r="I88" s="117"/>
      <c r="J88" s="117"/>
      <c r="K88" s="117"/>
      <c r="L88" s="117"/>
      <c r="M88" s="117"/>
      <c r="N88" s="117"/>
      <c r="O88" s="117"/>
      <c r="P88" s="94"/>
      <c r="Q88" s="94"/>
      <c r="R88" s="94"/>
      <c r="S88" s="105"/>
    </row>
    <row r="89" spans="1:19" s="30" customFormat="1" x14ac:dyDescent="0.3">
      <c r="A89" s="35"/>
      <c r="B89" s="39"/>
      <c r="C89" s="1"/>
      <c r="D89" s="89"/>
      <c r="E89" s="89"/>
      <c r="F89" s="89"/>
      <c r="G89" s="89"/>
      <c r="H89" s="89"/>
      <c r="I89" s="89"/>
      <c r="J89" s="89"/>
      <c r="K89" s="89"/>
      <c r="L89" s="89"/>
      <c r="M89" s="89"/>
      <c r="N89" s="89"/>
      <c r="O89" s="89"/>
      <c r="P89" s="89"/>
      <c r="Q89" s="89"/>
      <c r="R89" s="89"/>
      <c r="S89" s="105"/>
    </row>
    <row r="90" spans="1:19" s="30" customFormat="1" x14ac:dyDescent="0.3">
      <c r="B90" s="33" t="s">
        <v>677</v>
      </c>
      <c r="C90" s="3"/>
      <c r="D90" s="89"/>
      <c r="E90" s="89"/>
      <c r="F90" s="89"/>
      <c r="G90" s="89"/>
      <c r="H90" s="89"/>
      <c r="I90" s="89"/>
      <c r="J90" s="89"/>
      <c r="K90" s="89"/>
      <c r="L90" s="89"/>
      <c r="M90" s="89"/>
      <c r="N90" s="89"/>
      <c r="O90" s="89"/>
      <c r="P90" s="89"/>
      <c r="Q90" s="89"/>
      <c r="R90" s="89"/>
      <c r="S90" s="105"/>
    </row>
    <row r="91" spans="1:19" s="30" customFormat="1" x14ac:dyDescent="0.3">
      <c r="A91" s="35"/>
      <c r="B91" s="62" t="str">
        <f>'Expenses Summary'!B47</f>
        <v>4100</v>
      </c>
      <c r="C91" s="62" t="str">
        <f>'Expenses Summary'!C47</f>
        <v>Approved Textbooks and Core Curricula Materials</v>
      </c>
      <c r="D91" s="106">
        <f>'Cash Flow %s Yr2'!D91</f>
        <v>0.1</v>
      </c>
      <c r="E91" s="106">
        <f>'Cash Flow %s Yr2'!E91</f>
        <v>0.1</v>
      </c>
      <c r="F91" s="106">
        <f>'Cash Flow %s Yr2'!F91</f>
        <v>0.1</v>
      </c>
      <c r="G91" s="106">
        <f>'Cash Flow %s Yr2'!G91</f>
        <v>0.1</v>
      </c>
      <c r="H91" s="106">
        <f>'Cash Flow %s Yr2'!H91</f>
        <v>0.1</v>
      </c>
      <c r="I91" s="106">
        <f>'Cash Flow %s Yr2'!I91</f>
        <v>0.1</v>
      </c>
      <c r="J91" s="106">
        <f>'Cash Flow %s Yr2'!J91</f>
        <v>0.1</v>
      </c>
      <c r="K91" s="106">
        <f>'Cash Flow %s Yr2'!K91</f>
        <v>0.1</v>
      </c>
      <c r="L91" s="106">
        <f>'Cash Flow %s Yr2'!L91</f>
        <v>0.1</v>
      </c>
      <c r="M91" s="106">
        <f>'Cash Flow %s Yr2'!M91</f>
        <v>0.1</v>
      </c>
      <c r="N91" s="106">
        <f>'Cash Flow %s Yr2'!N91</f>
        <v>0</v>
      </c>
      <c r="O91" s="106">
        <f>'Cash Flow %s Yr2'!O91</f>
        <v>0</v>
      </c>
      <c r="P91" s="106">
        <f>'Cash Flow %s Yr2'!P91</f>
        <v>0</v>
      </c>
      <c r="Q91" s="106">
        <f>'Cash Flow %s Yr2'!Q91</f>
        <v>0</v>
      </c>
      <c r="R91" s="106">
        <f>'Cash Flow %s Yr2'!R91</f>
        <v>0</v>
      </c>
      <c r="S91" s="105">
        <f t="shared" ref="S91:S96" si="7">SUM(D91:R91)</f>
        <v>0.99999999999999989</v>
      </c>
    </row>
    <row r="92" spans="1:19" x14ac:dyDescent="0.3">
      <c r="A92" s="35"/>
      <c r="B92" s="62" t="str">
        <f>'Expenses Summary'!B48</f>
        <v>4200</v>
      </c>
      <c r="C92" s="62" t="str">
        <f>'Expenses Summary'!C48</f>
        <v>Books and Other Reference Materials</v>
      </c>
      <c r="D92" s="106">
        <f>'Cash Flow %s Yr2'!D92</f>
        <v>0.05</v>
      </c>
      <c r="E92" s="106">
        <f>'Cash Flow %s Yr2'!E92</f>
        <v>0.1</v>
      </c>
      <c r="F92" s="106">
        <f>'Cash Flow %s Yr2'!F92</f>
        <v>0.1</v>
      </c>
      <c r="G92" s="106">
        <f>'Cash Flow %s Yr2'!G92</f>
        <v>0.1</v>
      </c>
      <c r="H92" s="106">
        <f>'Cash Flow %s Yr2'!H92</f>
        <v>0.1</v>
      </c>
      <c r="I92" s="106">
        <f>'Cash Flow %s Yr2'!I92</f>
        <v>0.1</v>
      </c>
      <c r="J92" s="106">
        <f>'Cash Flow %s Yr2'!J92</f>
        <v>0.1</v>
      </c>
      <c r="K92" s="106">
        <f>'Cash Flow %s Yr2'!K92</f>
        <v>0.1</v>
      </c>
      <c r="L92" s="106">
        <f>'Cash Flow %s Yr2'!L92</f>
        <v>0.1</v>
      </c>
      <c r="M92" s="106">
        <f>'Cash Flow %s Yr2'!M92</f>
        <v>0.1</v>
      </c>
      <c r="N92" s="106">
        <f>'Cash Flow %s Yr2'!N92</f>
        <v>0.05</v>
      </c>
      <c r="O92" s="106">
        <f>'Cash Flow %s Yr2'!O92</f>
        <v>0</v>
      </c>
      <c r="P92" s="106">
        <f>'Cash Flow %s Yr2'!P92</f>
        <v>0</v>
      </c>
      <c r="Q92" s="106">
        <f>'Cash Flow %s Yr2'!Q92</f>
        <v>0</v>
      </c>
      <c r="R92" s="106">
        <f>'Cash Flow %s Yr2'!R92</f>
        <v>0</v>
      </c>
      <c r="S92" s="105">
        <f t="shared" si="7"/>
        <v>0.99999999999999989</v>
      </c>
    </row>
    <row r="93" spans="1:19" x14ac:dyDescent="0.3">
      <c r="A93" s="35"/>
      <c r="B93" s="62" t="str">
        <f>'Expenses Summary'!B49</f>
        <v>4300</v>
      </c>
      <c r="C93" s="62" t="str">
        <f>'Expenses Summary'!C49</f>
        <v>Materials and Supplies</v>
      </c>
      <c r="D93" s="106">
        <f>'Cash Flow %s Yr2'!D93</f>
        <v>8.3000000000000004E-2</v>
      </c>
      <c r="E93" s="106">
        <f>'Cash Flow %s Yr2'!E93</f>
        <v>8.3000000000000004E-2</v>
      </c>
      <c r="F93" s="106">
        <f>'Cash Flow %s Yr2'!F93</f>
        <v>8.3000000000000004E-2</v>
      </c>
      <c r="G93" s="106">
        <f>'Cash Flow %s Yr2'!G93</f>
        <v>8.3000000000000004E-2</v>
      </c>
      <c r="H93" s="106">
        <f>'Cash Flow %s Yr2'!H93</f>
        <v>8.3000000000000004E-2</v>
      </c>
      <c r="I93" s="106">
        <f>'Cash Flow %s Yr2'!I93</f>
        <v>8.3000000000000004E-2</v>
      </c>
      <c r="J93" s="106">
        <f>'Cash Flow %s Yr2'!J93</f>
        <v>8.3000000000000004E-2</v>
      </c>
      <c r="K93" s="106">
        <f>'Cash Flow %s Yr2'!K93</f>
        <v>8.3000000000000004E-2</v>
      </c>
      <c r="L93" s="106">
        <f>'Cash Flow %s Yr2'!L93</f>
        <v>8.4000000000000005E-2</v>
      </c>
      <c r="M93" s="106">
        <f>'Cash Flow %s Yr2'!M93</f>
        <v>8.4000000000000005E-2</v>
      </c>
      <c r="N93" s="106">
        <f>'Cash Flow %s Yr2'!N93</f>
        <v>8.4000000000000005E-2</v>
      </c>
      <c r="O93" s="106">
        <f>'Cash Flow %s Yr2'!O93</f>
        <v>8.4000000000000005E-2</v>
      </c>
      <c r="P93" s="106">
        <f>'Cash Flow %s Yr2'!P93</f>
        <v>0</v>
      </c>
      <c r="Q93" s="106">
        <f>'Cash Flow %s Yr2'!Q93</f>
        <v>0</v>
      </c>
      <c r="R93" s="106">
        <f>'Cash Flow %s Yr2'!R93</f>
        <v>0</v>
      </c>
      <c r="S93" s="105">
        <f t="shared" si="7"/>
        <v>0.99999999999999989</v>
      </c>
    </row>
    <row r="94" spans="1:19" x14ac:dyDescent="0.3">
      <c r="A94" s="35"/>
      <c r="B94" s="62" t="str">
        <f>'Expenses Summary'!B50</f>
        <v>4315</v>
      </c>
      <c r="C94" s="62" t="str">
        <f>'Expenses Summary'!C50</f>
        <v>Classroom Materials and Supplies</v>
      </c>
      <c r="D94" s="106">
        <f>'Cash Flow %s Yr2'!D94</f>
        <v>8.3000000000000004E-2</v>
      </c>
      <c r="E94" s="106">
        <f>'Cash Flow %s Yr2'!E94</f>
        <v>8.3000000000000004E-2</v>
      </c>
      <c r="F94" s="106">
        <f>'Cash Flow %s Yr2'!F94</f>
        <v>8.3000000000000004E-2</v>
      </c>
      <c r="G94" s="106">
        <f>'Cash Flow %s Yr2'!G94</f>
        <v>8.3000000000000004E-2</v>
      </c>
      <c r="H94" s="106">
        <f>'Cash Flow %s Yr2'!H94</f>
        <v>8.3000000000000004E-2</v>
      </c>
      <c r="I94" s="106">
        <f>'Cash Flow %s Yr2'!I94</f>
        <v>8.3000000000000004E-2</v>
      </c>
      <c r="J94" s="106">
        <f>'Cash Flow %s Yr2'!J94</f>
        <v>8.3000000000000004E-2</v>
      </c>
      <c r="K94" s="106">
        <f>'Cash Flow %s Yr2'!K94</f>
        <v>8.3000000000000004E-2</v>
      </c>
      <c r="L94" s="106">
        <f>'Cash Flow %s Yr2'!L94</f>
        <v>8.3000000000000004E-2</v>
      </c>
      <c r="M94" s="106">
        <f>'Cash Flow %s Yr2'!M94</f>
        <v>8.3000000000000004E-2</v>
      </c>
      <c r="N94" s="106">
        <f>'Cash Flow %s Yr2'!N94</f>
        <v>8.3000000000000004E-2</v>
      </c>
      <c r="O94" s="106">
        <f>'Cash Flow %s Yr2'!O94</f>
        <v>8.3000000000000004E-2</v>
      </c>
      <c r="P94" s="106">
        <f>'Cash Flow %s Yr2'!P94</f>
        <v>0</v>
      </c>
      <c r="Q94" s="106">
        <f>'Cash Flow %s Yr2'!Q94</f>
        <v>0</v>
      </c>
      <c r="R94" s="106">
        <f>'Cash Flow %s Yr2'!R94</f>
        <v>0</v>
      </c>
      <c r="S94" s="105">
        <f t="shared" si="7"/>
        <v>0.99599999999999989</v>
      </c>
    </row>
    <row r="95" spans="1:19" x14ac:dyDescent="0.3">
      <c r="A95" s="35"/>
      <c r="B95" s="62" t="str">
        <f>'Expenses Summary'!B51</f>
        <v>4342</v>
      </c>
      <c r="C95" s="62" t="str">
        <f>'Expenses Summary'!C51</f>
        <v>Materials for Athletics</v>
      </c>
      <c r="D95" s="106">
        <f>'Cash Flow %s Yr2'!D95</f>
        <v>8.3000000000000004E-2</v>
      </c>
      <c r="E95" s="106">
        <f>'Cash Flow %s Yr2'!E95</f>
        <v>8.3000000000000004E-2</v>
      </c>
      <c r="F95" s="106">
        <f>'Cash Flow %s Yr2'!F95</f>
        <v>8.3000000000000004E-2</v>
      </c>
      <c r="G95" s="106">
        <f>'Cash Flow %s Yr2'!G95</f>
        <v>8.3000000000000004E-2</v>
      </c>
      <c r="H95" s="106">
        <f>'Cash Flow %s Yr2'!H95</f>
        <v>8.3000000000000004E-2</v>
      </c>
      <c r="I95" s="106">
        <f>'Cash Flow %s Yr2'!I95</f>
        <v>8.3000000000000004E-2</v>
      </c>
      <c r="J95" s="106">
        <f>'Cash Flow %s Yr2'!J95</f>
        <v>8.3000000000000004E-2</v>
      </c>
      <c r="K95" s="106">
        <f>'Cash Flow %s Yr2'!K95</f>
        <v>8.3000000000000004E-2</v>
      </c>
      <c r="L95" s="106">
        <f>'Cash Flow %s Yr2'!L95</f>
        <v>8.4000000000000005E-2</v>
      </c>
      <c r="M95" s="106">
        <f>'Cash Flow %s Yr2'!M95</f>
        <v>8.4000000000000005E-2</v>
      </c>
      <c r="N95" s="106">
        <f>'Cash Flow %s Yr2'!N95</f>
        <v>8.4000000000000005E-2</v>
      </c>
      <c r="O95" s="106">
        <f>'Cash Flow %s Yr2'!O95</f>
        <v>8.4000000000000005E-2</v>
      </c>
      <c r="P95" s="106">
        <f>'Cash Flow %s Yr2'!P95</f>
        <v>0</v>
      </c>
      <c r="Q95" s="106">
        <f>'Cash Flow %s Yr2'!Q95</f>
        <v>0</v>
      </c>
      <c r="R95" s="106">
        <f>'Cash Flow %s Yr2'!R95</f>
        <v>0</v>
      </c>
      <c r="S95" s="105">
        <f t="shared" si="7"/>
        <v>0.99999999999999989</v>
      </c>
    </row>
    <row r="96" spans="1:19" x14ac:dyDescent="0.3">
      <c r="A96" s="35"/>
      <c r="B96" s="62" t="str">
        <f>'Expenses Summary'!B52</f>
        <v>4381</v>
      </c>
      <c r="C96" s="62" t="str">
        <f>'Expenses Summary'!C52</f>
        <v>Materials for Plant Maintenance</v>
      </c>
      <c r="D96" s="106">
        <f>'Cash Flow %s Yr2'!D96</f>
        <v>8.3000000000000004E-2</v>
      </c>
      <c r="E96" s="106">
        <f>'Cash Flow %s Yr2'!E96</f>
        <v>8.3000000000000004E-2</v>
      </c>
      <c r="F96" s="106">
        <f>'Cash Flow %s Yr2'!F96</f>
        <v>8.3000000000000004E-2</v>
      </c>
      <c r="G96" s="106">
        <f>'Cash Flow %s Yr2'!G96</f>
        <v>8.3000000000000004E-2</v>
      </c>
      <c r="H96" s="106">
        <f>'Cash Flow %s Yr2'!H96</f>
        <v>8.3000000000000004E-2</v>
      </c>
      <c r="I96" s="106">
        <f>'Cash Flow %s Yr2'!I96</f>
        <v>8.3000000000000004E-2</v>
      </c>
      <c r="J96" s="106">
        <f>'Cash Flow %s Yr2'!J96</f>
        <v>8.3000000000000004E-2</v>
      </c>
      <c r="K96" s="106">
        <f>'Cash Flow %s Yr2'!K96</f>
        <v>8.3000000000000004E-2</v>
      </c>
      <c r="L96" s="106">
        <f>'Cash Flow %s Yr2'!L96</f>
        <v>8.3000000000000004E-2</v>
      </c>
      <c r="M96" s="106">
        <f>'Cash Flow %s Yr2'!M96</f>
        <v>8.3000000000000004E-2</v>
      </c>
      <c r="N96" s="106">
        <f>'Cash Flow %s Yr2'!N96</f>
        <v>8.3000000000000004E-2</v>
      </c>
      <c r="O96" s="106">
        <f>'Cash Flow %s Yr2'!O96</f>
        <v>8.3000000000000004E-2</v>
      </c>
      <c r="P96" s="106">
        <f>'Cash Flow %s Yr2'!P96</f>
        <v>0</v>
      </c>
      <c r="Q96" s="106">
        <f>'Cash Flow %s Yr2'!Q96</f>
        <v>0</v>
      </c>
      <c r="R96" s="106">
        <f>'Cash Flow %s Yr2'!R96</f>
        <v>0</v>
      </c>
      <c r="S96" s="105">
        <f t="shared" si="7"/>
        <v>0.99599999999999989</v>
      </c>
    </row>
    <row r="97" spans="1:19" hidden="1" outlineLevel="1" x14ac:dyDescent="0.3">
      <c r="A97" s="35"/>
      <c r="B97" s="62" t="str">
        <f>'Expenses Summary'!B53</f>
        <v>4400</v>
      </c>
      <c r="C97" s="62" t="str">
        <f>'Expenses Summary'!C53</f>
        <v>Noncapitalized Equipment</v>
      </c>
      <c r="D97" s="106">
        <f>'Cash Flow %s Yr2'!D97</f>
        <v>0</v>
      </c>
      <c r="E97" s="106">
        <f>'Cash Flow %s Yr2'!E97</f>
        <v>0</v>
      </c>
      <c r="F97" s="106">
        <f>'Cash Flow %s Yr2'!F97</f>
        <v>0.1</v>
      </c>
      <c r="G97" s="106">
        <f>'Cash Flow %s Yr2'!G97</f>
        <v>0.1</v>
      </c>
      <c r="H97" s="106">
        <f>'Cash Flow %s Yr2'!H97</f>
        <v>0.1</v>
      </c>
      <c r="I97" s="106">
        <f>'Cash Flow %s Yr2'!I97</f>
        <v>0.1</v>
      </c>
      <c r="J97" s="106">
        <f>'Cash Flow %s Yr2'!J97</f>
        <v>0.1</v>
      </c>
      <c r="K97" s="106">
        <f>'Cash Flow %s Yr2'!K97</f>
        <v>0.1</v>
      </c>
      <c r="L97" s="106">
        <f>'Cash Flow %s Yr2'!L97</f>
        <v>0.1</v>
      </c>
      <c r="M97" s="106">
        <f>'Cash Flow %s Yr2'!M97</f>
        <v>0.1</v>
      </c>
      <c r="N97" s="106">
        <f>'Cash Flow %s Yr2'!N97</f>
        <v>0.1</v>
      </c>
      <c r="O97" s="106">
        <f>'Cash Flow %s Yr2'!O97</f>
        <v>0.1</v>
      </c>
      <c r="P97" s="106">
        <f>'Cash Flow %s Yr2'!P97</f>
        <v>0</v>
      </c>
      <c r="Q97" s="106">
        <f>'Cash Flow %s Yr2'!Q97</f>
        <v>0</v>
      </c>
      <c r="R97" s="106">
        <f>'Cash Flow %s Yr2'!R97</f>
        <v>0</v>
      </c>
      <c r="S97" s="105">
        <f t="shared" ref="S97:S106" si="8">SUM(D97:R97)</f>
        <v>0.99999999999999989</v>
      </c>
    </row>
    <row r="98" spans="1:19" hidden="1" outlineLevel="1" x14ac:dyDescent="0.3">
      <c r="A98" s="35"/>
      <c r="B98" s="62" t="str">
        <f>'Expenses Summary'!B55</f>
        <v>4430</v>
      </c>
      <c r="C98" s="62" t="str">
        <f>'Expenses Summary'!C55</f>
        <v>General Student Equipment</v>
      </c>
      <c r="D98" s="106">
        <f>'Cash Flow %s Yr2'!D98</f>
        <v>0</v>
      </c>
      <c r="E98" s="106">
        <f>'Cash Flow %s Yr2'!E98</f>
        <v>0</v>
      </c>
      <c r="F98" s="106">
        <f>'Cash Flow %s Yr2'!F98</f>
        <v>0.1</v>
      </c>
      <c r="G98" s="106">
        <f>'Cash Flow %s Yr2'!G98</f>
        <v>0.1</v>
      </c>
      <c r="H98" s="106">
        <f>'Cash Flow %s Yr2'!H98</f>
        <v>0.1</v>
      </c>
      <c r="I98" s="106">
        <f>'Cash Flow %s Yr2'!I98</f>
        <v>0.1</v>
      </c>
      <c r="J98" s="106">
        <f>'Cash Flow %s Yr2'!J98</f>
        <v>0.1</v>
      </c>
      <c r="K98" s="106">
        <f>'Cash Flow %s Yr2'!K98</f>
        <v>0.1</v>
      </c>
      <c r="L98" s="106">
        <f>'Cash Flow %s Yr2'!L98</f>
        <v>0.1</v>
      </c>
      <c r="M98" s="106">
        <f>'Cash Flow %s Yr2'!M98</f>
        <v>0.1</v>
      </c>
      <c r="N98" s="106">
        <f>'Cash Flow %s Yr2'!N98</f>
        <v>0.1</v>
      </c>
      <c r="O98" s="106">
        <f>'Cash Flow %s Yr2'!O98</f>
        <v>0.1</v>
      </c>
      <c r="P98" s="106">
        <f>'Cash Flow %s Yr2'!P98</f>
        <v>0</v>
      </c>
      <c r="Q98" s="106">
        <f>'Cash Flow %s Yr2'!Q98</f>
        <v>0</v>
      </c>
      <c r="R98" s="106">
        <f>'Cash Flow %s Yr2'!R98</f>
        <v>0</v>
      </c>
      <c r="S98" s="105">
        <f t="shared" si="8"/>
        <v>0.99999999999999989</v>
      </c>
    </row>
    <row r="99" spans="1:19" hidden="1" outlineLevel="1" x14ac:dyDescent="0.3">
      <c r="A99" s="35"/>
      <c r="B99" s="62">
        <f>'Expenses Summary'!B56</f>
        <v>0</v>
      </c>
      <c r="C99" s="62">
        <f>'Expenses Summary'!C56</f>
        <v>0</v>
      </c>
      <c r="D99" s="106">
        <f>'Cash Flow %s Yr2'!D99</f>
        <v>0</v>
      </c>
      <c r="E99" s="106">
        <f>'Cash Flow %s Yr2'!E99</f>
        <v>0</v>
      </c>
      <c r="F99" s="106">
        <f>'Cash Flow %s Yr2'!F99</f>
        <v>0.1</v>
      </c>
      <c r="G99" s="106">
        <f>'Cash Flow %s Yr2'!G99</f>
        <v>0.1</v>
      </c>
      <c r="H99" s="106">
        <f>'Cash Flow %s Yr2'!H99</f>
        <v>0.1</v>
      </c>
      <c r="I99" s="106">
        <f>'Cash Flow %s Yr2'!I99</f>
        <v>0.1</v>
      </c>
      <c r="J99" s="106">
        <f>'Cash Flow %s Yr2'!J99</f>
        <v>0.1</v>
      </c>
      <c r="K99" s="106">
        <f>'Cash Flow %s Yr2'!K99</f>
        <v>0.1</v>
      </c>
      <c r="L99" s="106">
        <f>'Cash Flow %s Yr2'!L99</f>
        <v>0.1</v>
      </c>
      <c r="M99" s="106">
        <f>'Cash Flow %s Yr2'!M99</f>
        <v>0.1</v>
      </c>
      <c r="N99" s="106">
        <f>'Cash Flow %s Yr2'!N99</f>
        <v>0.1</v>
      </c>
      <c r="O99" s="106">
        <f>'Cash Flow %s Yr2'!O99</f>
        <v>0.1</v>
      </c>
      <c r="P99" s="106">
        <f>'Cash Flow %s Yr2'!P99</f>
        <v>0</v>
      </c>
      <c r="Q99" s="106">
        <f>'Cash Flow %s Yr2'!Q99</f>
        <v>0</v>
      </c>
      <c r="R99" s="106">
        <f>'Cash Flow %s Yr2'!R99</f>
        <v>0</v>
      </c>
      <c r="S99" s="105">
        <f t="shared" si="8"/>
        <v>0.99999999999999989</v>
      </c>
    </row>
    <row r="100" spans="1:19" hidden="1" outlineLevel="1" x14ac:dyDescent="0.3">
      <c r="A100" s="35"/>
      <c r="B100" s="62">
        <f>'Expenses Summary'!B57</f>
        <v>0</v>
      </c>
      <c r="C100" s="62">
        <f>'Expenses Summary'!C57</f>
        <v>0</v>
      </c>
      <c r="D100" s="106">
        <f>'Cash Flow %s Yr2'!D100</f>
        <v>0</v>
      </c>
      <c r="E100" s="106">
        <f>'Cash Flow %s Yr2'!E100</f>
        <v>0</v>
      </c>
      <c r="F100" s="106">
        <f>'Cash Flow %s Yr2'!F100</f>
        <v>0.1</v>
      </c>
      <c r="G100" s="106">
        <f>'Cash Flow %s Yr2'!G100</f>
        <v>0.1</v>
      </c>
      <c r="H100" s="106">
        <f>'Cash Flow %s Yr2'!H100</f>
        <v>0.1</v>
      </c>
      <c r="I100" s="106">
        <f>'Cash Flow %s Yr2'!I100</f>
        <v>0.1</v>
      </c>
      <c r="J100" s="106">
        <f>'Cash Flow %s Yr2'!J100</f>
        <v>0.1</v>
      </c>
      <c r="K100" s="106">
        <f>'Cash Flow %s Yr2'!K100</f>
        <v>0.1</v>
      </c>
      <c r="L100" s="106">
        <f>'Cash Flow %s Yr2'!L100</f>
        <v>0.1</v>
      </c>
      <c r="M100" s="106">
        <f>'Cash Flow %s Yr2'!M100</f>
        <v>0.1</v>
      </c>
      <c r="N100" s="106">
        <f>'Cash Flow %s Yr2'!N100</f>
        <v>0.1</v>
      </c>
      <c r="O100" s="106">
        <f>'Cash Flow %s Yr2'!O100</f>
        <v>0.1</v>
      </c>
      <c r="P100" s="106">
        <f>'Cash Flow %s Yr2'!P100</f>
        <v>0</v>
      </c>
      <c r="Q100" s="106">
        <f>'Cash Flow %s Yr2'!Q100</f>
        <v>0</v>
      </c>
      <c r="R100" s="106">
        <f>'Cash Flow %s Yr2'!R100</f>
        <v>0</v>
      </c>
      <c r="S100" s="105">
        <f t="shared" si="8"/>
        <v>0.99999999999999989</v>
      </c>
    </row>
    <row r="101" spans="1:19" hidden="1" outlineLevel="1" x14ac:dyDescent="0.3">
      <c r="A101" s="35"/>
      <c r="B101" s="62">
        <f>'Expenses Summary'!B58</f>
        <v>0</v>
      </c>
      <c r="C101" s="62">
        <f>'Expenses Summary'!C58</f>
        <v>0</v>
      </c>
      <c r="D101" s="106">
        <f>'Cash Flow %s Yr2'!D101</f>
        <v>0</v>
      </c>
      <c r="E101" s="106">
        <f>'Cash Flow %s Yr2'!E101</f>
        <v>0</v>
      </c>
      <c r="F101" s="106">
        <f>'Cash Flow %s Yr2'!F101</f>
        <v>0.1</v>
      </c>
      <c r="G101" s="106">
        <f>'Cash Flow %s Yr2'!G101</f>
        <v>0.1</v>
      </c>
      <c r="H101" s="106">
        <f>'Cash Flow %s Yr2'!H101</f>
        <v>0.1</v>
      </c>
      <c r="I101" s="106">
        <f>'Cash Flow %s Yr2'!I101</f>
        <v>0.1</v>
      </c>
      <c r="J101" s="106">
        <f>'Cash Flow %s Yr2'!J101</f>
        <v>0.1</v>
      </c>
      <c r="K101" s="106">
        <f>'Cash Flow %s Yr2'!K101</f>
        <v>0.1</v>
      </c>
      <c r="L101" s="106">
        <f>'Cash Flow %s Yr2'!L101</f>
        <v>0.1</v>
      </c>
      <c r="M101" s="106">
        <f>'Cash Flow %s Yr2'!M101</f>
        <v>0.1</v>
      </c>
      <c r="N101" s="106">
        <f>'Cash Flow %s Yr2'!N101</f>
        <v>0.1</v>
      </c>
      <c r="O101" s="106">
        <f>'Cash Flow %s Yr2'!O101</f>
        <v>0.1</v>
      </c>
      <c r="P101" s="106">
        <f>'Cash Flow %s Yr2'!P101</f>
        <v>0</v>
      </c>
      <c r="Q101" s="106">
        <f>'Cash Flow %s Yr2'!Q101</f>
        <v>0</v>
      </c>
      <c r="R101" s="106">
        <f>'Cash Flow %s Yr2'!R101</f>
        <v>0</v>
      </c>
      <c r="S101" s="105">
        <f t="shared" si="8"/>
        <v>0.99999999999999989</v>
      </c>
    </row>
    <row r="102" spans="1:19" hidden="1" outlineLevel="1" x14ac:dyDescent="0.3">
      <c r="A102" s="35"/>
      <c r="B102" s="62">
        <f>'Expenses Summary'!B59</f>
        <v>0</v>
      </c>
      <c r="C102" s="62">
        <f>'Expenses Summary'!C59</f>
        <v>0</v>
      </c>
      <c r="D102" s="106">
        <f>'Cash Flow %s Yr2'!D102</f>
        <v>0</v>
      </c>
      <c r="E102" s="106">
        <f>'Cash Flow %s Yr2'!E102</f>
        <v>0</v>
      </c>
      <c r="F102" s="106">
        <f>'Cash Flow %s Yr2'!F102</f>
        <v>0.1</v>
      </c>
      <c r="G102" s="106">
        <f>'Cash Flow %s Yr2'!G102</f>
        <v>0.1</v>
      </c>
      <c r="H102" s="106">
        <f>'Cash Flow %s Yr2'!H102</f>
        <v>0.1</v>
      </c>
      <c r="I102" s="106">
        <f>'Cash Flow %s Yr2'!I102</f>
        <v>0.1</v>
      </c>
      <c r="J102" s="106">
        <f>'Cash Flow %s Yr2'!J102</f>
        <v>0.1</v>
      </c>
      <c r="K102" s="106">
        <f>'Cash Flow %s Yr2'!K102</f>
        <v>0.1</v>
      </c>
      <c r="L102" s="106">
        <f>'Cash Flow %s Yr2'!L102</f>
        <v>0.1</v>
      </c>
      <c r="M102" s="106">
        <f>'Cash Flow %s Yr2'!M102</f>
        <v>0.1</v>
      </c>
      <c r="N102" s="106">
        <f>'Cash Flow %s Yr2'!N102</f>
        <v>0.1</v>
      </c>
      <c r="O102" s="106">
        <f>'Cash Flow %s Yr2'!O102</f>
        <v>0.1</v>
      </c>
      <c r="P102" s="106">
        <f>'Cash Flow %s Yr2'!P102</f>
        <v>0</v>
      </c>
      <c r="Q102" s="106">
        <f>'Cash Flow %s Yr2'!Q102</f>
        <v>0</v>
      </c>
      <c r="R102" s="106">
        <f>'Cash Flow %s Yr2'!R102</f>
        <v>0</v>
      </c>
      <c r="S102" s="105">
        <f t="shared" si="8"/>
        <v>0.99999999999999989</v>
      </c>
    </row>
    <row r="103" spans="1:19" hidden="1" outlineLevel="1" x14ac:dyDescent="0.3">
      <c r="A103" s="35"/>
      <c r="B103" s="62">
        <f>'Expenses Summary'!B60</f>
        <v>0</v>
      </c>
      <c r="C103" s="62">
        <f>'Expenses Summary'!C60</f>
        <v>0</v>
      </c>
      <c r="D103" s="106">
        <f>'Cash Flow %s Yr2'!D103</f>
        <v>0</v>
      </c>
      <c r="E103" s="106">
        <f>'Cash Flow %s Yr2'!E103</f>
        <v>0</v>
      </c>
      <c r="F103" s="106">
        <f>'Cash Flow %s Yr2'!F103</f>
        <v>0.1</v>
      </c>
      <c r="G103" s="106">
        <f>'Cash Flow %s Yr2'!G103</f>
        <v>0.1</v>
      </c>
      <c r="H103" s="106">
        <f>'Cash Flow %s Yr2'!H103</f>
        <v>0.1</v>
      </c>
      <c r="I103" s="106">
        <f>'Cash Flow %s Yr2'!I103</f>
        <v>0.1</v>
      </c>
      <c r="J103" s="106">
        <f>'Cash Flow %s Yr2'!J103</f>
        <v>0.1</v>
      </c>
      <c r="K103" s="106">
        <f>'Cash Flow %s Yr2'!K103</f>
        <v>0.1</v>
      </c>
      <c r="L103" s="106">
        <f>'Cash Flow %s Yr2'!L103</f>
        <v>0.1</v>
      </c>
      <c r="M103" s="106">
        <f>'Cash Flow %s Yr2'!M103</f>
        <v>0.1</v>
      </c>
      <c r="N103" s="106">
        <f>'Cash Flow %s Yr2'!N103</f>
        <v>0.1</v>
      </c>
      <c r="O103" s="106">
        <f>'Cash Flow %s Yr2'!O103</f>
        <v>0.1</v>
      </c>
      <c r="P103" s="106">
        <f>'Cash Flow %s Yr2'!P103</f>
        <v>0</v>
      </c>
      <c r="Q103" s="106">
        <f>'Cash Flow %s Yr2'!Q103</f>
        <v>0</v>
      </c>
      <c r="R103" s="106">
        <f>'Cash Flow %s Yr2'!R103</f>
        <v>0</v>
      </c>
      <c r="S103" s="105">
        <f t="shared" si="8"/>
        <v>0.99999999999999989</v>
      </c>
    </row>
    <row r="104" spans="1:19" hidden="1" outlineLevel="1" x14ac:dyDescent="0.3">
      <c r="A104" s="35"/>
      <c r="B104" s="62">
        <f>'Expenses Summary'!B61</f>
        <v>0</v>
      </c>
      <c r="C104" s="62">
        <f>'Expenses Summary'!C61</f>
        <v>0</v>
      </c>
      <c r="D104" s="106">
        <f>'Cash Flow %s Yr2'!D104</f>
        <v>0</v>
      </c>
      <c r="E104" s="106">
        <f>'Cash Flow %s Yr2'!E104</f>
        <v>0</v>
      </c>
      <c r="F104" s="106">
        <f>'Cash Flow %s Yr2'!F104</f>
        <v>0.1</v>
      </c>
      <c r="G104" s="106">
        <f>'Cash Flow %s Yr2'!G104</f>
        <v>0.1</v>
      </c>
      <c r="H104" s="106">
        <f>'Cash Flow %s Yr2'!H104</f>
        <v>0.1</v>
      </c>
      <c r="I104" s="106">
        <f>'Cash Flow %s Yr2'!I104</f>
        <v>0.1</v>
      </c>
      <c r="J104" s="106">
        <f>'Cash Flow %s Yr2'!J104</f>
        <v>0.1</v>
      </c>
      <c r="K104" s="106">
        <f>'Cash Flow %s Yr2'!K104</f>
        <v>0.1</v>
      </c>
      <c r="L104" s="106">
        <f>'Cash Flow %s Yr2'!L104</f>
        <v>0.1</v>
      </c>
      <c r="M104" s="106">
        <f>'Cash Flow %s Yr2'!M104</f>
        <v>0.1</v>
      </c>
      <c r="N104" s="106">
        <f>'Cash Flow %s Yr2'!N104</f>
        <v>0.1</v>
      </c>
      <c r="O104" s="106">
        <f>'Cash Flow %s Yr2'!O104</f>
        <v>0.1</v>
      </c>
      <c r="P104" s="106">
        <f>'Cash Flow %s Yr2'!P104</f>
        <v>0</v>
      </c>
      <c r="Q104" s="106">
        <f>'Cash Flow %s Yr2'!Q104</f>
        <v>0</v>
      </c>
      <c r="R104" s="106">
        <f>'Cash Flow %s Yr2'!R104</f>
        <v>0</v>
      </c>
      <c r="S104" s="105">
        <f t="shared" si="8"/>
        <v>0.99999999999999989</v>
      </c>
    </row>
    <row r="105" spans="1:19" hidden="1" outlineLevel="1" x14ac:dyDescent="0.3">
      <c r="A105" s="35"/>
      <c r="B105" s="62">
        <f>'Expenses Summary'!B62</f>
        <v>0</v>
      </c>
      <c r="C105" s="62">
        <f>'Expenses Summary'!C62</f>
        <v>0</v>
      </c>
      <c r="D105" s="106">
        <f>'Cash Flow %s Yr2'!D105</f>
        <v>0</v>
      </c>
      <c r="E105" s="106">
        <f>'Cash Flow %s Yr2'!E105</f>
        <v>0</v>
      </c>
      <c r="F105" s="106">
        <f>'Cash Flow %s Yr2'!F105</f>
        <v>0.1</v>
      </c>
      <c r="G105" s="106">
        <f>'Cash Flow %s Yr2'!G105</f>
        <v>0.1</v>
      </c>
      <c r="H105" s="106">
        <f>'Cash Flow %s Yr2'!H105</f>
        <v>0.1</v>
      </c>
      <c r="I105" s="106">
        <f>'Cash Flow %s Yr2'!I105</f>
        <v>0.1</v>
      </c>
      <c r="J105" s="106">
        <f>'Cash Flow %s Yr2'!J105</f>
        <v>0.1</v>
      </c>
      <c r="K105" s="106">
        <f>'Cash Flow %s Yr2'!K105</f>
        <v>0.1</v>
      </c>
      <c r="L105" s="106">
        <f>'Cash Flow %s Yr2'!L105</f>
        <v>0.1</v>
      </c>
      <c r="M105" s="106">
        <f>'Cash Flow %s Yr2'!M105</f>
        <v>0.1</v>
      </c>
      <c r="N105" s="106">
        <f>'Cash Flow %s Yr2'!N105</f>
        <v>0.1</v>
      </c>
      <c r="O105" s="106">
        <f>'Cash Flow %s Yr2'!O105</f>
        <v>0.1</v>
      </c>
      <c r="P105" s="106">
        <f>'Cash Flow %s Yr2'!P105</f>
        <v>0</v>
      </c>
      <c r="Q105" s="106">
        <f>'Cash Flow %s Yr2'!Q105</f>
        <v>0</v>
      </c>
      <c r="R105" s="106">
        <f>'Cash Flow %s Yr2'!R105</f>
        <v>0</v>
      </c>
      <c r="S105" s="105">
        <f t="shared" si="8"/>
        <v>0.99999999999999989</v>
      </c>
    </row>
    <row r="106" spans="1:19" hidden="1" outlineLevel="1" x14ac:dyDescent="0.3">
      <c r="A106" s="35"/>
      <c r="B106" s="62">
        <f>'Expenses Summary'!B63</f>
        <v>0</v>
      </c>
      <c r="C106" s="62">
        <f>'Expenses Summary'!C63</f>
        <v>0</v>
      </c>
      <c r="D106" s="106">
        <f>'Cash Flow %s Yr2'!D106</f>
        <v>0</v>
      </c>
      <c r="E106" s="106">
        <f>'Cash Flow %s Yr2'!E106</f>
        <v>0</v>
      </c>
      <c r="F106" s="106">
        <f>'Cash Flow %s Yr2'!F106</f>
        <v>0.1</v>
      </c>
      <c r="G106" s="106">
        <f>'Cash Flow %s Yr2'!G106</f>
        <v>0.1</v>
      </c>
      <c r="H106" s="106">
        <f>'Cash Flow %s Yr2'!H106</f>
        <v>0.1</v>
      </c>
      <c r="I106" s="106">
        <f>'Cash Flow %s Yr2'!I106</f>
        <v>0.1</v>
      </c>
      <c r="J106" s="106">
        <f>'Cash Flow %s Yr2'!J106</f>
        <v>0.1</v>
      </c>
      <c r="K106" s="106">
        <f>'Cash Flow %s Yr2'!K106</f>
        <v>0.1</v>
      </c>
      <c r="L106" s="106">
        <f>'Cash Flow %s Yr2'!L106</f>
        <v>0.1</v>
      </c>
      <c r="M106" s="106">
        <f>'Cash Flow %s Yr2'!M106</f>
        <v>0.1</v>
      </c>
      <c r="N106" s="106">
        <f>'Cash Flow %s Yr2'!N106</f>
        <v>0.1</v>
      </c>
      <c r="O106" s="106">
        <f>'Cash Flow %s Yr2'!O106</f>
        <v>0.1</v>
      </c>
      <c r="P106" s="106">
        <f>'Cash Flow %s Yr2'!P106</f>
        <v>0</v>
      </c>
      <c r="Q106" s="106">
        <f>'Cash Flow %s Yr2'!Q106</f>
        <v>0</v>
      </c>
      <c r="R106" s="106">
        <f>'Cash Flow %s Yr2'!R106</f>
        <v>0</v>
      </c>
      <c r="S106" s="105">
        <f t="shared" si="8"/>
        <v>0.99999999999999989</v>
      </c>
    </row>
    <row r="107" spans="1:19" s="30" customFormat="1" collapsed="1" x14ac:dyDescent="0.3">
      <c r="A107" s="35"/>
      <c r="B107" s="62" t="str">
        <f>'Expenses Summary'!B64</f>
        <v>4700</v>
      </c>
      <c r="C107" s="62" t="str">
        <f>'Expenses Summary'!C64</f>
        <v>Food and Food Supplies</v>
      </c>
      <c r="D107" s="106">
        <f>'Cash Flow %s Yr2'!D107</f>
        <v>0</v>
      </c>
      <c r="E107" s="106">
        <f>'Cash Flow %s Yr2'!E107</f>
        <v>0</v>
      </c>
      <c r="F107" s="106">
        <f>'Cash Flow %s Yr2'!F107</f>
        <v>0.1</v>
      </c>
      <c r="G107" s="106">
        <f>'Cash Flow %s Yr2'!G107</f>
        <v>0.1</v>
      </c>
      <c r="H107" s="106">
        <f>'Cash Flow %s Yr2'!H107</f>
        <v>0.1</v>
      </c>
      <c r="I107" s="106">
        <f>'Cash Flow %s Yr2'!I107</f>
        <v>0.1</v>
      </c>
      <c r="J107" s="106">
        <f>'Cash Flow %s Yr2'!J107</f>
        <v>0.1</v>
      </c>
      <c r="K107" s="106">
        <f>'Cash Flow %s Yr2'!K107</f>
        <v>0.1</v>
      </c>
      <c r="L107" s="106">
        <f>'Cash Flow %s Yr2'!L107</f>
        <v>0.1</v>
      </c>
      <c r="M107" s="106">
        <f>'Cash Flow %s Yr2'!M107</f>
        <v>0.1</v>
      </c>
      <c r="N107" s="106">
        <f>'Cash Flow %s Yr2'!N107</f>
        <v>0.1</v>
      </c>
      <c r="O107" s="106">
        <f>'Cash Flow %s Yr2'!O107</f>
        <v>0.1</v>
      </c>
      <c r="P107" s="106">
        <f>'Cash Flow %s Yr2'!P107</f>
        <v>0</v>
      </c>
      <c r="Q107" s="106">
        <f>'Cash Flow %s Yr2'!Q107</f>
        <v>0</v>
      </c>
      <c r="R107" s="106">
        <f>'Cash Flow %s Yr2'!R107</f>
        <v>0</v>
      </c>
      <c r="S107" s="105">
        <f>SUM(D107:R107)</f>
        <v>0.99999999999999989</v>
      </c>
    </row>
    <row r="108" spans="1:19" s="30" customFormat="1" x14ac:dyDescent="0.3">
      <c r="A108" s="35"/>
      <c r="B108" s="118"/>
      <c r="C108" s="87"/>
      <c r="D108" s="94"/>
      <c r="E108" s="94"/>
      <c r="F108" s="113"/>
      <c r="G108" s="113"/>
      <c r="H108" s="113"/>
      <c r="I108" s="113"/>
      <c r="J108" s="113"/>
      <c r="K108" s="113"/>
      <c r="L108" s="113"/>
      <c r="M108" s="113"/>
      <c r="N108" s="113"/>
      <c r="O108" s="113"/>
      <c r="P108" s="102"/>
      <c r="Q108" s="102"/>
      <c r="R108" s="102"/>
      <c r="S108" s="105"/>
    </row>
    <row r="109" spans="1:19" s="30" customFormat="1" x14ac:dyDescent="0.3">
      <c r="A109" s="35"/>
      <c r="B109" s="4"/>
      <c r="C109" s="3"/>
      <c r="D109" s="89"/>
      <c r="E109" s="89"/>
      <c r="F109" s="89"/>
      <c r="G109" s="89"/>
      <c r="H109" s="89"/>
      <c r="I109" s="89"/>
      <c r="J109" s="89"/>
      <c r="K109" s="89"/>
      <c r="L109" s="89"/>
      <c r="M109" s="89"/>
      <c r="N109" s="89"/>
      <c r="O109" s="89"/>
      <c r="P109" s="89"/>
      <c r="Q109" s="89"/>
      <c r="R109" s="89"/>
      <c r="S109" s="105"/>
    </row>
    <row r="110" spans="1:19" s="30" customFormat="1" x14ac:dyDescent="0.3">
      <c r="B110" s="5" t="s">
        <v>721</v>
      </c>
      <c r="C110" s="3"/>
      <c r="D110" s="89"/>
      <c r="E110" s="89"/>
      <c r="F110" s="89"/>
      <c r="G110" s="89"/>
      <c r="H110" s="89"/>
      <c r="I110" s="89"/>
      <c r="J110" s="89"/>
      <c r="K110" s="89"/>
      <c r="L110" s="89"/>
      <c r="M110" s="89"/>
      <c r="N110" s="89"/>
      <c r="O110" s="89"/>
      <c r="P110" s="89"/>
      <c r="Q110" s="89"/>
      <c r="R110" s="89"/>
      <c r="S110" s="105"/>
    </row>
    <row r="111" spans="1:19" s="30" customFormat="1" x14ac:dyDescent="0.3">
      <c r="A111" s="35"/>
      <c r="B111" s="62" t="str">
        <f>'Expenses Summary'!B68</f>
        <v>5200</v>
      </c>
      <c r="C111" s="62" t="str">
        <f>'Expenses Summary'!C68</f>
        <v>Travel and Conferences</v>
      </c>
      <c r="D111" s="106">
        <f>'Cash Flow %s Yr2'!D111</f>
        <v>0</v>
      </c>
      <c r="E111" s="106">
        <f>'Cash Flow %s Yr2'!E111</f>
        <v>0</v>
      </c>
      <c r="F111" s="106">
        <f>'Cash Flow %s Yr2'!F111</f>
        <v>0.3</v>
      </c>
      <c r="G111" s="106">
        <f>'Cash Flow %s Yr2'!G111</f>
        <v>0.1</v>
      </c>
      <c r="H111" s="106">
        <f>'Cash Flow %s Yr2'!H111</f>
        <v>0.1</v>
      </c>
      <c r="I111" s="106">
        <f>'Cash Flow %s Yr2'!I111</f>
        <v>0.1</v>
      </c>
      <c r="J111" s="106">
        <f>'Cash Flow %s Yr2'!J111</f>
        <v>0.1</v>
      </c>
      <c r="K111" s="106">
        <f>'Cash Flow %s Yr2'!K111</f>
        <v>0.1</v>
      </c>
      <c r="L111" s="106">
        <f>'Cash Flow %s Yr2'!L111</f>
        <v>0.1</v>
      </c>
      <c r="M111" s="106">
        <f>'Cash Flow %s Yr2'!M111</f>
        <v>0.1</v>
      </c>
      <c r="N111" s="106">
        <f>'Cash Flow %s Yr2'!N111</f>
        <v>0</v>
      </c>
      <c r="O111" s="106">
        <f>'Cash Flow %s Yr2'!O111</f>
        <v>0</v>
      </c>
      <c r="P111" s="106">
        <f>'Cash Flow %s Yr2'!P111</f>
        <v>0</v>
      </c>
      <c r="Q111" s="106">
        <f>'Cash Flow %s Yr2'!Q111</f>
        <v>0</v>
      </c>
      <c r="R111" s="106">
        <f>'Cash Flow %s Yr2'!R111</f>
        <v>0</v>
      </c>
      <c r="S111" s="105">
        <f t="shared" ref="S111:S141" si="9">SUM(D111:R111)</f>
        <v>0.99999999999999989</v>
      </c>
    </row>
    <row r="112" spans="1:19" s="30" customFormat="1" x14ac:dyDescent="0.3">
      <c r="A112" s="35"/>
      <c r="B112" s="62" t="str">
        <f>'Expenses Summary'!B69</f>
        <v>5210</v>
      </c>
      <c r="C112" s="62" t="str">
        <f>'Expenses Summary'!C69</f>
        <v>Training and Development Expense</v>
      </c>
      <c r="D112" s="106">
        <f>'Cash Flow %s Yr2'!D112</f>
        <v>0</v>
      </c>
      <c r="E112" s="106">
        <f>'Cash Flow %s Yr2'!E112</f>
        <v>0</v>
      </c>
      <c r="F112" s="106">
        <f>'Cash Flow %s Yr2'!F112</f>
        <v>0.3</v>
      </c>
      <c r="G112" s="106">
        <f>'Cash Flow %s Yr2'!G112</f>
        <v>0.1</v>
      </c>
      <c r="H112" s="106">
        <f>'Cash Flow %s Yr2'!H112</f>
        <v>0.1</v>
      </c>
      <c r="I112" s="106">
        <f>'Cash Flow %s Yr2'!I112</f>
        <v>0.1</v>
      </c>
      <c r="J112" s="106">
        <f>'Cash Flow %s Yr2'!J112</f>
        <v>0.1</v>
      </c>
      <c r="K112" s="106">
        <f>'Cash Flow %s Yr2'!K112</f>
        <v>0.1</v>
      </c>
      <c r="L112" s="106">
        <f>'Cash Flow %s Yr2'!L112</f>
        <v>0.1</v>
      </c>
      <c r="M112" s="106">
        <f>'Cash Flow %s Yr2'!M112</f>
        <v>0.1</v>
      </c>
      <c r="N112" s="106">
        <f>'Cash Flow %s Yr2'!N112</f>
        <v>0</v>
      </c>
      <c r="O112" s="106">
        <f>'Cash Flow %s Yr2'!O112</f>
        <v>0</v>
      </c>
      <c r="P112" s="106">
        <f>'Cash Flow %s Yr2'!P112</f>
        <v>0</v>
      </c>
      <c r="Q112" s="106">
        <f>'Cash Flow %s Yr2'!Q112</f>
        <v>0</v>
      </c>
      <c r="R112" s="106">
        <f>'Cash Flow %s Yr2'!R112</f>
        <v>0</v>
      </c>
      <c r="S112" s="105">
        <f t="shared" si="9"/>
        <v>0.99999999999999989</v>
      </c>
    </row>
    <row r="113" spans="1:19" s="30" customFormat="1" x14ac:dyDescent="0.3">
      <c r="A113" s="35"/>
      <c r="B113" s="62" t="str">
        <f>'Expenses Summary'!B70</f>
        <v>5300</v>
      </c>
      <c r="C113" s="62" t="str">
        <f>'Expenses Summary'!C70</f>
        <v>Dues and Memberships</v>
      </c>
      <c r="D113" s="106">
        <f>'Cash Flow %s Yr2'!D113</f>
        <v>0</v>
      </c>
      <c r="E113" s="106">
        <f>'Cash Flow %s Yr2'!E113</f>
        <v>0</v>
      </c>
      <c r="F113" s="106">
        <f>'Cash Flow %s Yr2'!F113</f>
        <v>0.3</v>
      </c>
      <c r="G113" s="106">
        <f>'Cash Flow %s Yr2'!G113</f>
        <v>0.1</v>
      </c>
      <c r="H113" s="106">
        <f>'Cash Flow %s Yr2'!H113</f>
        <v>0.1</v>
      </c>
      <c r="I113" s="106">
        <f>'Cash Flow %s Yr2'!I113</f>
        <v>0.1</v>
      </c>
      <c r="J113" s="106">
        <f>'Cash Flow %s Yr2'!J113</f>
        <v>0.1</v>
      </c>
      <c r="K113" s="106">
        <f>'Cash Flow %s Yr2'!K113</f>
        <v>0.1</v>
      </c>
      <c r="L113" s="106">
        <f>'Cash Flow %s Yr2'!L113</f>
        <v>0.1</v>
      </c>
      <c r="M113" s="106">
        <f>'Cash Flow %s Yr2'!M113</f>
        <v>0.1</v>
      </c>
      <c r="N113" s="106">
        <f>'Cash Flow %s Yr2'!N113</f>
        <v>0</v>
      </c>
      <c r="O113" s="106">
        <f>'Cash Flow %s Yr2'!O113</f>
        <v>0</v>
      </c>
      <c r="P113" s="106">
        <f>'Cash Flow %s Yr2'!P113</f>
        <v>0</v>
      </c>
      <c r="Q113" s="106">
        <f>'Cash Flow %s Yr2'!Q113</f>
        <v>0</v>
      </c>
      <c r="R113" s="106">
        <f>'Cash Flow %s Yr2'!R113</f>
        <v>0</v>
      </c>
      <c r="S113" s="105">
        <f t="shared" si="9"/>
        <v>0.99999999999999989</v>
      </c>
    </row>
    <row r="114" spans="1:19" s="30" customFormat="1" x14ac:dyDescent="0.3">
      <c r="A114" s="35"/>
      <c r="B114" s="62" t="str">
        <f>'Expenses Summary'!B71</f>
        <v>5400</v>
      </c>
      <c r="C114" s="62" t="str">
        <f>'Expenses Summary'!C71</f>
        <v>Insurance</v>
      </c>
      <c r="D114" s="106">
        <f>'Cash Flow %s Yr2'!D114</f>
        <v>0</v>
      </c>
      <c r="E114" s="106">
        <f>'Cash Flow %s Yr2'!E114</f>
        <v>0</v>
      </c>
      <c r="F114" s="106">
        <f>'Cash Flow %s Yr2'!F114</f>
        <v>0.3</v>
      </c>
      <c r="G114" s="106">
        <f>'Cash Flow %s Yr2'!G114</f>
        <v>0.1</v>
      </c>
      <c r="H114" s="106">
        <f>'Cash Flow %s Yr2'!H114</f>
        <v>0.1</v>
      </c>
      <c r="I114" s="106">
        <f>'Cash Flow %s Yr2'!I114</f>
        <v>0.1</v>
      </c>
      <c r="J114" s="106">
        <f>'Cash Flow %s Yr2'!J114</f>
        <v>0.1</v>
      </c>
      <c r="K114" s="106">
        <f>'Cash Flow %s Yr2'!K114</f>
        <v>0.1</v>
      </c>
      <c r="L114" s="106">
        <f>'Cash Flow %s Yr2'!L114</f>
        <v>0.1</v>
      </c>
      <c r="M114" s="106">
        <f>'Cash Flow %s Yr2'!M114</f>
        <v>0.1</v>
      </c>
      <c r="N114" s="106">
        <f>'Cash Flow %s Yr2'!N114</f>
        <v>0</v>
      </c>
      <c r="O114" s="106">
        <f>'Cash Flow %s Yr2'!O114</f>
        <v>0</v>
      </c>
      <c r="P114" s="106">
        <f>'Cash Flow %s Yr2'!P114</f>
        <v>0</v>
      </c>
      <c r="Q114" s="106">
        <f>'Cash Flow %s Yr2'!Q114</f>
        <v>0</v>
      </c>
      <c r="R114" s="106">
        <f>'Cash Flow %s Yr2'!R114</f>
        <v>0</v>
      </c>
      <c r="S114" s="105">
        <f t="shared" si="9"/>
        <v>0.99999999999999989</v>
      </c>
    </row>
    <row r="115" spans="1:19" s="30" customFormat="1" x14ac:dyDescent="0.3">
      <c r="A115" s="35"/>
      <c r="B115" s="62" t="str">
        <f>'Expenses Summary'!B72</f>
        <v>5450</v>
      </c>
      <c r="C115" s="62" t="str">
        <f>'Expenses Summary'!C72</f>
        <v>Property Tax</v>
      </c>
      <c r="D115" s="106">
        <f>'Cash Flow %s Yr2'!D115</f>
        <v>0</v>
      </c>
      <c r="E115" s="106">
        <f>'Cash Flow %s Yr2'!E115</f>
        <v>0</v>
      </c>
      <c r="F115" s="106">
        <f>'Cash Flow %s Yr2'!F115</f>
        <v>0.6</v>
      </c>
      <c r="G115" s="106">
        <f>'Cash Flow %s Yr2'!G115</f>
        <v>0</v>
      </c>
      <c r="H115" s="106">
        <f>'Cash Flow %s Yr2'!H115</f>
        <v>0</v>
      </c>
      <c r="I115" s="106">
        <f>'Cash Flow %s Yr2'!I115</f>
        <v>0</v>
      </c>
      <c r="J115" s="106">
        <f>'Cash Flow %s Yr2'!J115</f>
        <v>0.4</v>
      </c>
      <c r="K115" s="106">
        <f>'Cash Flow %s Yr2'!K115</f>
        <v>0</v>
      </c>
      <c r="L115" s="106">
        <f>'Cash Flow %s Yr2'!L115</f>
        <v>0</v>
      </c>
      <c r="M115" s="106">
        <f>'Cash Flow %s Yr2'!M115</f>
        <v>0</v>
      </c>
      <c r="N115" s="106">
        <f>'Cash Flow %s Yr2'!N115</f>
        <v>0</v>
      </c>
      <c r="O115" s="106">
        <f>'Cash Flow %s Yr2'!O115</f>
        <v>0</v>
      </c>
      <c r="P115" s="106">
        <f>'Cash Flow %s Yr2'!P115</f>
        <v>0</v>
      </c>
      <c r="Q115" s="106">
        <f>'Cash Flow %s Yr2'!Q115</f>
        <v>0</v>
      </c>
      <c r="R115" s="106">
        <f>'Cash Flow %s Yr2'!R115</f>
        <v>0</v>
      </c>
      <c r="S115" s="105">
        <f t="shared" si="9"/>
        <v>1</v>
      </c>
    </row>
    <row r="116" spans="1:19" s="30" customFormat="1" x14ac:dyDescent="0.3">
      <c r="A116" s="35"/>
      <c r="B116" s="62" t="str">
        <f>'Expenses Summary'!B73</f>
        <v>5500</v>
      </c>
      <c r="C116" s="62" t="str">
        <f>'Expenses Summary'!C73</f>
        <v>Operation and Housekeeping Services/Supplies</v>
      </c>
      <c r="D116" s="106">
        <f>'Cash Flow %s Yr2'!D116</f>
        <v>8.3000000000000004E-2</v>
      </c>
      <c r="E116" s="106">
        <f>'Cash Flow %s Yr2'!E116</f>
        <v>8.3000000000000004E-2</v>
      </c>
      <c r="F116" s="106">
        <f>'Cash Flow %s Yr2'!F116</f>
        <v>8.3000000000000004E-2</v>
      </c>
      <c r="G116" s="106">
        <f>'Cash Flow %s Yr2'!G116</f>
        <v>8.3000000000000004E-2</v>
      </c>
      <c r="H116" s="106">
        <f>'Cash Flow %s Yr2'!H116</f>
        <v>8.3000000000000004E-2</v>
      </c>
      <c r="I116" s="106">
        <f>'Cash Flow %s Yr2'!I116</f>
        <v>8.3000000000000004E-2</v>
      </c>
      <c r="J116" s="106">
        <f>'Cash Flow %s Yr2'!J116</f>
        <v>8.3000000000000004E-2</v>
      </c>
      <c r="K116" s="106">
        <f>'Cash Flow %s Yr2'!K116</f>
        <v>8.3000000000000004E-2</v>
      </c>
      <c r="L116" s="106">
        <f>'Cash Flow %s Yr2'!L116</f>
        <v>8.4000000000000005E-2</v>
      </c>
      <c r="M116" s="106">
        <f>'Cash Flow %s Yr2'!M116</f>
        <v>8.4000000000000005E-2</v>
      </c>
      <c r="N116" s="106">
        <f>'Cash Flow %s Yr2'!N116</f>
        <v>8.4000000000000005E-2</v>
      </c>
      <c r="O116" s="106">
        <f>'Cash Flow %s Yr2'!O116</f>
        <v>8.4000000000000005E-2</v>
      </c>
      <c r="P116" s="106">
        <f>'Cash Flow %s Yr2'!P116</f>
        <v>0</v>
      </c>
      <c r="Q116" s="106">
        <f>'Cash Flow %s Yr2'!Q116</f>
        <v>0</v>
      </c>
      <c r="R116" s="106">
        <f>'Cash Flow %s Yr2'!R116</f>
        <v>0</v>
      </c>
      <c r="S116" s="105">
        <f t="shared" si="9"/>
        <v>0.99999999999999989</v>
      </c>
    </row>
    <row r="117" spans="1:19" s="30" customFormat="1" x14ac:dyDescent="0.3">
      <c r="A117" s="35"/>
      <c r="B117" s="62" t="str">
        <f>'Expenses Summary'!B74</f>
        <v>5501</v>
      </c>
      <c r="C117" s="62" t="str">
        <f>'Expenses Summary'!C74</f>
        <v>Utilities</v>
      </c>
      <c r="D117" s="106">
        <f>'Cash Flow %s Yr2'!D117</f>
        <v>8.3000000000000004E-2</v>
      </c>
      <c r="E117" s="106">
        <f>'Cash Flow %s Yr2'!E117</f>
        <v>8.3000000000000004E-2</v>
      </c>
      <c r="F117" s="106">
        <f>'Cash Flow %s Yr2'!F117</f>
        <v>8.3000000000000004E-2</v>
      </c>
      <c r="G117" s="106">
        <f>'Cash Flow %s Yr2'!G117</f>
        <v>8.3000000000000004E-2</v>
      </c>
      <c r="H117" s="106">
        <f>'Cash Flow %s Yr2'!H117</f>
        <v>8.3000000000000004E-2</v>
      </c>
      <c r="I117" s="106">
        <f>'Cash Flow %s Yr2'!I117</f>
        <v>8.3000000000000004E-2</v>
      </c>
      <c r="J117" s="106">
        <f>'Cash Flow %s Yr2'!J117</f>
        <v>8.3000000000000004E-2</v>
      </c>
      <c r="K117" s="106">
        <f>'Cash Flow %s Yr2'!K117</f>
        <v>8.3000000000000004E-2</v>
      </c>
      <c r="L117" s="106">
        <f>'Cash Flow %s Yr2'!L117</f>
        <v>8.4000000000000005E-2</v>
      </c>
      <c r="M117" s="106">
        <f>'Cash Flow %s Yr2'!M117</f>
        <v>8.4000000000000005E-2</v>
      </c>
      <c r="N117" s="106">
        <f>'Cash Flow %s Yr2'!N117</f>
        <v>8.4000000000000005E-2</v>
      </c>
      <c r="O117" s="106">
        <f>'Cash Flow %s Yr2'!O117</f>
        <v>8.4000000000000005E-2</v>
      </c>
      <c r="P117" s="106">
        <f>'Cash Flow %s Yr2'!P117</f>
        <v>0</v>
      </c>
      <c r="Q117" s="106">
        <f>'Cash Flow %s Yr2'!Q117</f>
        <v>0</v>
      </c>
      <c r="R117" s="106">
        <f>'Cash Flow %s Yr2'!R117</f>
        <v>0</v>
      </c>
      <c r="S117" s="105">
        <f t="shared" si="9"/>
        <v>0.99999999999999989</v>
      </c>
    </row>
    <row r="118" spans="1:19" s="30" customFormat="1" x14ac:dyDescent="0.3">
      <c r="A118" s="35"/>
      <c r="B118" s="62" t="str">
        <f>'Expenses Summary'!B75</f>
        <v>5505</v>
      </c>
      <c r="C118" s="62" t="str">
        <f>'Expenses Summary'!C75</f>
        <v>Student Transportation / Field Trips</v>
      </c>
      <c r="D118" s="106">
        <f>'Cash Flow %s Yr2'!D118</f>
        <v>0</v>
      </c>
      <c r="E118" s="106">
        <f>'Cash Flow %s Yr2'!E118</f>
        <v>0</v>
      </c>
      <c r="F118" s="106">
        <f>'Cash Flow %s Yr2'!F118</f>
        <v>0.1</v>
      </c>
      <c r="G118" s="106">
        <f>'Cash Flow %s Yr2'!G118</f>
        <v>0.1</v>
      </c>
      <c r="H118" s="106">
        <f>'Cash Flow %s Yr2'!H118</f>
        <v>0.1</v>
      </c>
      <c r="I118" s="106">
        <f>'Cash Flow %s Yr2'!I118</f>
        <v>0.1</v>
      </c>
      <c r="J118" s="106">
        <f>'Cash Flow %s Yr2'!J118</f>
        <v>0.1</v>
      </c>
      <c r="K118" s="106">
        <f>'Cash Flow %s Yr2'!K118</f>
        <v>0.1</v>
      </c>
      <c r="L118" s="106">
        <f>'Cash Flow %s Yr2'!L118</f>
        <v>0.1</v>
      </c>
      <c r="M118" s="106">
        <f>'Cash Flow %s Yr2'!M118</f>
        <v>0.1</v>
      </c>
      <c r="N118" s="106">
        <f>'Cash Flow %s Yr2'!N118</f>
        <v>0.1</v>
      </c>
      <c r="O118" s="106">
        <f>'Cash Flow %s Yr2'!O118</f>
        <v>0.1</v>
      </c>
      <c r="P118" s="106">
        <f>'Cash Flow %s Yr2'!P118</f>
        <v>0</v>
      </c>
      <c r="Q118" s="106">
        <f>'Cash Flow %s Yr2'!Q118</f>
        <v>0</v>
      </c>
      <c r="R118" s="106">
        <f>'Cash Flow %s Yr2'!R118</f>
        <v>0</v>
      </c>
      <c r="S118" s="105">
        <f t="shared" si="9"/>
        <v>0.99999999999999989</v>
      </c>
    </row>
    <row r="119" spans="1:19" s="30" customFormat="1" x14ac:dyDescent="0.3">
      <c r="A119" s="35"/>
      <c r="B119" s="62" t="str">
        <f>'Expenses Summary'!B76</f>
        <v>5600</v>
      </c>
      <c r="C119" s="62" t="str">
        <f>'Expenses Summary'!C76</f>
        <v>Space Rental/Leases Expense</v>
      </c>
      <c r="D119" s="106">
        <f>'Cash Flow %s Yr2'!D119</f>
        <v>8.3000000000000004E-2</v>
      </c>
      <c r="E119" s="106">
        <f>'Cash Flow %s Yr2'!E119</f>
        <v>8.3000000000000004E-2</v>
      </c>
      <c r="F119" s="106">
        <f>'Cash Flow %s Yr2'!F119</f>
        <v>8.3000000000000004E-2</v>
      </c>
      <c r="G119" s="106">
        <f>'Cash Flow %s Yr2'!G119</f>
        <v>8.3000000000000004E-2</v>
      </c>
      <c r="H119" s="106">
        <f>'Cash Flow %s Yr2'!H119</f>
        <v>8.3000000000000004E-2</v>
      </c>
      <c r="I119" s="106">
        <f>'Cash Flow %s Yr2'!I119</f>
        <v>8.3000000000000004E-2</v>
      </c>
      <c r="J119" s="106">
        <f>'Cash Flow %s Yr2'!J119</f>
        <v>8.3000000000000004E-2</v>
      </c>
      <c r="K119" s="106">
        <f>'Cash Flow %s Yr2'!K119</f>
        <v>8.3000000000000004E-2</v>
      </c>
      <c r="L119" s="106">
        <f>'Cash Flow %s Yr2'!L119</f>
        <v>8.4000000000000005E-2</v>
      </c>
      <c r="M119" s="106">
        <f>'Cash Flow %s Yr2'!M119</f>
        <v>8.4000000000000005E-2</v>
      </c>
      <c r="N119" s="106">
        <f>'Cash Flow %s Yr2'!N119</f>
        <v>8.4000000000000005E-2</v>
      </c>
      <c r="O119" s="106">
        <f>'Cash Flow %s Yr2'!O119</f>
        <v>8.4000000000000005E-2</v>
      </c>
      <c r="P119" s="106">
        <f>'Cash Flow %s Yr2'!P119</f>
        <v>0</v>
      </c>
      <c r="Q119" s="106">
        <f>'Cash Flow %s Yr2'!Q119</f>
        <v>0</v>
      </c>
      <c r="R119" s="106">
        <f>'Cash Flow %s Yr2'!R119</f>
        <v>0</v>
      </c>
      <c r="S119" s="105">
        <f t="shared" si="9"/>
        <v>0.99999999999999989</v>
      </c>
    </row>
    <row r="120" spans="1:19" s="30" customFormat="1" x14ac:dyDescent="0.3">
      <c r="A120" s="35"/>
      <c r="B120" s="62" t="str">
        <f>'Expenses Summary'!B77</f>
        <v>5601</v>
      </c>
      <c r="C120" s="62" t="str">
        <f>'Expenses Summary'!C77</f>
        <v>Building Maintenance</v>
      </c>
      <c r="D120" s="106">
        <f>'Cash Flow %s Yr2'!D120</f>
        <v>8.3000000000000004E-2</v>
      </c>
      <c r="E120" s="106">
        <f>'Cash Flow %s Yr2'!E120</f>
        <v>8.3000000000000004E-2</v>
      </c>
      <c r="F120" s="106">
        <f>'Cash Flow %s Yr2'!F120</f>
        <v>8.3000000000000004E-2</v>
      </c>
      <c r="G120" s="106">
        <f>'Cash Flow %s Yr2'!G120</f>
        <v>8.3000000000000004E-2</v>
      </c>
      <c r="H120" s="106">
        <f>'Cash Flow %s Yr2'!H120</f>
        <v>8.3000000000000004E-2</v>
      </c>
      <c r="I120" s="106">
        <f>'Cash Flow %s Yr2'!I120</f>
        <v>8.3000000000000004E-2</v>
      </c>
      <c r="J120" s="106">
        <f>'Cash Flow %s Yr2'!J120</f>
        <v>8.3000000000000004E-2</v>
      </c>
      <c r="K120" s="106">
        <f>'Cash Flow %s Yr2'!K120</f>
        <v>8.3000000000000004E-2</v>
      </c>
      <c r="L120" s="106">
        <f>'Cash Flow %s Yr2'!L120</f>
        <v>8.4000000000000005E-2</v>
      </c>
      <c r="M120" s="106">
        <f>'Cash Flow %s Yr2'!M120</f>
        <v>8.4000000000000005E-2</v>
      </c>
      <c r="N120" s="106">
        <f>'Cash Flow %s Yr2'!N120</f>
        <v>8.4000000000000005E-2</v>
      </c>
      <c r="O120" s="106">
        <f>'Cash Flow %s Yr2'!O120</f>
        <v>8.4000000000000005E-2</v>
      </c>
      <c r="P120" s="106">
        <f>'Cash Flow %s Yr2'!P120</f>
        <v>0</v>
      </c>
      <c r="Q120" s="106">
        <f>'Cash Flow %s Yr2'!Q120</f>
        <v>0</v>
      </c>
      <c r="R120" s="106">
        <f>'Cash Flow %s Yr2'!R120</f>
        <v>0</v>
      </c>
      <c r="S120" s="105">
        <f t="shared" si="9"/>
        <v>0.99999999999999989</v>
      </c>
    </row>
    <row r="121" spans="1:19" s="30" customFormat="1" x14ac:dyDescent="0.3">
      <c r="A121" s="35"/>
      <c r="B121" s="62" t="str">
        <f>'Expenses Summary'!B78</f>
        <v>5602</v>
      </c>
      <c r="C121" s="62" t="str">
        <f>'Expenses Summary'!C78</f>
        <v>Other Space Rental</v>
      </c>
      <c r="D121" s="106">
        <f>'Cash Flow %s Yr2'!D121</f>
        <v>8.3000000000000004E-2</v>
      </c>
      <c r="E121" s="106">
        <f>'Cash Flow %s Yr2'!E121</f>
        <v>8.3000000000000004E-2</v>
      </c>
      <c r="F121" s="106">
        <f>'Cash Flow %s Yr2'!F121</f>
        <v>8.3000000000000004E-2</v>
      </c>
      <c r="G121" s="106">
        <f>'Cash Flow %s Yr2'!G121</f>
        <v>8.3000000000000004E-2</v>
      </c>
      <c r="H121" s="106">
        <f>'Cash Flow %s Yr2'!H121</f>
        <v>8.3000000000000004E-2</v>
      </c>
      <c r="I121" s="106">
        <f>'Cash Flow %s Yr2'!I121</f>
        <v>8.3000000000000004E-2</v>
      </c>
      <c r="J121" s="106">
        <f>'Cash Flow %s Yr2'!J121</f>
        <v>8.3000000000000004E-2</v>
      </c>
      <c r="K121" s="106">
        <f>'Cash Flow %s Yr2'!K121</f>
        <v>8.3000000000000004E-2</v>
      </c>
      <c r="L121" s="106">
        <f>'Cash Flow %s Yr2'!L121</f>
        <v>8.4000000000000005E-2</v>
      </c>
      <c r="M121" s="106">
        <f>'Cash Flow %s Yr2'!M121</f>
        <v>8.4000000000000005E-2</v>
      </c>
      <c r="N121" s="106">
        <f>'Cash Flow %s Yr2'!N121</f>
        <v>8.4000000000000005E-2</v>
      </c>
      <c r="O121" s="106">
        <f>'Cash Flow %s Yr2'!O121</f>
        <v>8.4000000000000005E-2</v>
      </c>
      <c r="P121" s="106">
        <f>'Cash Flow %s Yr2'!P121</f>
        <v>0</v>
      </c>
      <c r="Q121" s="106">
        <f>'Cash Flow %s Yr2'!Q121</f>
        <v>0</v>
      </c>
      <c r="R121" s="106">
        <f>'Cash Flow %s Yr2'!R121</f>
        <v>0</v>
      </c>
      <c r="S121" s="105">
        <f t="shared" si="9"/>
        <v>0.99999999999999989</v>
      </c>
    </row>
    <row r="122" spans="1:19" s="30" customFormat="1" x14ac:dyDescent="0.3">
      <c r="A122" s="35"/>
      <c r="B122" s="62" t="str">
        <f>'Expenses Summary'!B79</f>
        <v>5605</v>
      </c>
      <c r="C122" s="62" t="str">
        <f>'Expenses Summary'!C79</f>
        <v>Equipment Rental/Lease Expense</v>
      </c>
      <c r="D122" s="106">
        <f>'Cash Flow %s Yr2'!D122</f>
        <v>8.3000000000000004E-2</v>
      </c>
      <c r="E122" s="106">
        <f>'Cash Flow %s Yr2'!E122</f>
        <v>8.3000000000000004E-2</v>
      </c>
      <c r="F122" s="106">
        <f>'Cash Flow %s Yr2'!F122</f>
        <v>8.3000000000000004E-2</v>
      </c>
      <c r="G122" s="106">
        <f>'Cash Flow %s Yr2'!G122</f>
        <v>8.3000000000000004E-2</v>
      </c>
      <c r="H122" s="106">
        <f>'Cash Flow %s Yr2'!H122</f>
        <v>8.3000000000000004E-2</v>
      </c>
      <c r="I122" s="106">
        <f>'Cash Flow %s Yr2'!I122</f>
        <v>8.3000000000000004E-2</v>
      </c>
      <c r="J122" s="106">
        <f>'Cash Flow %s Yr2'!J122</f>
        <v>8.3000000000000004E-2</v>
      </c>
      <c r="K122" s="106">
        <f>'Cash Flow %s Yr2'!K122</f>
        <v>8.3000000000000004E-2</v>
      </c>
      <c r="L122" s="106">
        <f>'Cash Flow %s Yr2'!L122</f>
        <v>8.4000000000000005E-2</v>
      </c>
      <c r="M122" s="106">
        <f>'Cash Flow %s Yr2'!M122</f>
        <v>8.4000000000000005E-2</v>
      </c>
      <c r="N122" s="106">
        <f>'Cash Flow %s Yr2'!N122</f>
        <v>8.4000000000000005E-2</v>
      </c>
      <c r="O122" s="106">
        <f>'Cash Flow %s Yr2'!O122</f>
        <v>8.4000000000000005E-2</v>
      </c>
      <c r="P122" s="106">
        <f>'Cash Flow %s Yr2'!P122</f>
        <v>0</v>
      </c>
      <c r="Q122" s="106">
        <f>'Cash Flow %s Yr2'!Q122</f>
        <v>0</v>
      </c>
      <c r="R122" s="106">
        <f>'Cash Flow %s Yr2'!R122</f>
        <v>0</v>
      </c>
      <c r="S122" s="105">
        <f t="shared" si="9"/>
        <v>0.99999999999999989</v>
      </c>
    </row>
    <row r="123" spans="1:19" s="30" customFormat="1" x14ac:dyDescent="0.3">
      <c r="A123" s="35"/>
      <c r="B123" s="62" t="str">
        <f>'Expenses Summary'!B80</f>
        <v>5610</v>
      </c>
      <c r="C123" s="62" t="str">
        <f>'Expenses Summary'!C80</f>
        <v>Equipment Repair</v>
      </c>
      <c r="D123" s="106">
        <f>'Cash Flow %s Yr2'!D123</f>
        <v>8.3000000000000004E-2</v>
      </c>
      <c r="E123" s="106">
        <f>'Cash Flow %s Yr2'!E123</f>
        <v>8.3000000000000004E-2</v>
      </c>
      <c r="F123" s="106">
        <f>'Cash Flow %s Yr2'!F123</f>
        <v>8.3000000000000004E-2</v>
      </c>
      <c r="G123" s="106">
        <f>'Cash Flow %s Yr2'!G123</f>
        <v>8.3000000000000004E-2</v>
      </c>
      <c r="H123" s="106">
        <f>'Cash Flow %s Yr2'!H123</f>
        <v>8.3000000000000004E-2</v>
      </c>
      <c r="I123" s="106">
        <f>'Cash Flow %s Yr2'!I123</f>
        <v>8.3000000000000004E-2</v>
      </c>
      <c r="J123" s="106">
        <f>'Cash Flow %s Yr2'!J123</f>
        <v>8.3000000000000004E-2</v>
      </c>
      <c r="K123" s="106">
        <f>'Cash Flow %s Yr2'!K123</f>
        <v>8.3000000000000004E-2</v>
      </c>
      <c r="L123" s="106">
        <f>'Cash Flow %s Yr2'!L123</f>
        <v>8.4000000000000005E-2</v>
      </c>
      <c r="M123" s="106">
        <f>'Cash Flow %s Yr2'!M123</f>
        <v>8.4000000000000005E-2</v>
      </c>
      <c r="N123" s="106">
        <f>'Cash Flow %s Yr2'!N123</f>
        <v>8.4000000000000005E-2</v>
      </c>
      <c r="O123" s="106">
        <f>'Cash Flow %s Yr2'!O123</f>
        <v>8.4000000000000005E-2</v>
      </c>
      <c r="P123" s="106">
        <f>'Cash Flow %s Yr2'!P123</f>
        <v>0</v>
      </c>
      <c r="Q123" s="106">
        <f>'Cash Flow %s Yr2'!Q123</f>
        <v>0</v>
      </c>
      <c r="R123" s="106">
        <f>'Cash Flow %s Yr2'!R123</f>
        <v>0</v>
      </c>
      <c r="S123" s="105">
        <f t="shared" si="9"/>
        <v>0.99999999999999989</v>
      </c>
    </row>
    <row r="124" spans="1:19" s="30" customFormat="1" x14ac:dyDescent="0.3">
      <c r="A124" s="35"/>
      <c r="B124" s="62" t="str">
        <f>'Expenses Summary'!B81</f>
        <v>5800</v>
      </c>
      <c r="C124" s="62" t="str">
        <f>'Expenses Summary'!C81</f>
        <v>Professional/Consulting Services and Operating Expenditures</v>
      </c>
      <c r="D124" s="106">
        <f>'Cash Flow %s Yr2'!D124</f>
        <v>8.3000000000000004E-2</v>
      </c>
      <c r="E124" s="106">
        <f>'Cash Flow %s Yr2'!E124</f>
        <v>8.3000000000000004E-2</v>
      </c>
      <c r="F124" s="106">
        <f>'Cash Flow %s Yr2'!F124</f>
        <v>8.3000000000000004E-2</v>
      </c>
      <c r="G124" s="106">
        <f>'Cash Flow %s Yr2'!G124</f>
        <v>8.3000000000000004E-2</v>
      </c>
      <c r="H124" s="106">
        <f>'Cash Flow %s Yr2'!H124</f>
        <v>8.3000000000000004E-2</v>
      </c>
      <c r="I124" s="106">
        <f>'Cash Flow %s Yr2'!I124</f>
        <v>8.3000000000000004E-2</v>
      </c>
      <c r="J124" s="106">
        <f>'Cash Flow %s Yr2'!J124</f>
        <v>8.3000000000000004E-2</v>
      </c>
      <c r="K124" s="106">
        <f>'Cash Flow %s Yr2'!K124</f>
        <v>8.3000000000000004E-2</v>
      </c>
      <c r="L124" s="106">
        <f>'Cash Flow %s Yr2'!L124</f>
        <v>8.4000000000000005E-2</v>
      </c>
      <c r="M124" s="106">
        <f>'Cash Flow %s Yr2'!M124</f>
        <v>8.4000000000000005E-2</v>
      </c>
      <c r="N124" s="106">
        <f>'Cash Flow %s Yr2'!N124</f>
        <v>8.4000000000000005E-2</v>
      </c>
      <c r="O124" s="106">
        <f>'Cash Flow %s Yr2'!O124</f>
        <v>8.4000000000000005E-2</v>
      </c>
      <c r="P124" s="106">
        <f>'Cash Flow %s Yr2'!P124</f>
        <v>0</v>
      </c>
      <c r="Q124" s="106">
        <f>'Cash Flow %s Yr2'!Q124</f>
        <v>0</v>
      </c>
      <c r="R124" s="106">
        <f>'Cash Flow %s Yr2'!R124</f>
        <v>0</v>
      </c>
      <c r="S124" s="105">
        <f t="shared" si="9"/>
        <v>0.99999999999999989</v>
      </c>
    </row>
    <row r="125" spans="1:19" s="30" customFormat="1" x14ac:dyDescent="0.3">
      <c r="A125" s="35"/>
      <c r="B125" s="62" t="str">
        <f>'Expenses Summary'!B82</f>
        <v>5803</v>
      </c>
      <c r="C125" s="62" t="str">
        <f>'Expenses Summary'!C82</f>
        <v>Banking and Payroll Service Fees</v>
      </c>
      <c r="D125" s="106">
        <f>'Cash Flow %s Yr2'!D125</f>
        <v>8.3000000000000004E-2</v>
      </c>
      <c r="E125" s="106">
        <f>'Cash Flow %s Yr2'!E125</f>
        <v>8.3000000000000004E-2</v>
      </c>
      <c r="F125" s="106">
        <f>'Cash Flow %s Yr2'!F125</f>
        <v>8.3000000000000004E-2</v>
      </c>
      <c r="G125" s="106">
        <f>'Cash Flow %s Yr2'!G125</f>
        <v>8.3000000000000004E-2</v>
      </c>
      <c r="H125" s="106">
        <f>'Cash Flow %s Yr2'!H125</f>
        <v>8.3000000000000004E-2</v>
      </c>
      <c r="I125" s="106">
        <f>'Cash Flow %s Yr2'!I125</f>
        <v>8.3000000000000004E-2</v>
      </c>
      <c r="J125" s="106">
        <f>'Cash Flow %s Yr2'!J125</f>
        <v>8.3000000000000004E-2</v>
      </c>
      <c r="K125" s="106">
        <f>'Cash Flow %s Yr2'!K125</f>
        <v>8.3000000000000004E-2</v>
      </c>
      <c r="L125" s="106">
        <f>'Cash Flow %s Yr2'!L125</f>
        <v>8.4000000000000005E-2</v>
      </c>
      <c r="M125" s="106">
        <f>'Cash Flow %s Yr2'!M125</f>
        <v>8.4000000000000005E-2</v>
      </c>
      <c r="N125" s="106">
        <f>'Cash Flow %s Yr2'!N125</f>
        <v>8.4000000000000005E-2</v>
      </c>
      <c r="O125" s="106">
        <f>'Cash Flow %s Yr2'!O125</f>
        <v>8.4000000000000005E-2</v>
      </c>
      <c r="P125" s="106">
        <f>'Cash Flow %s Yr2'!P125</f>
        <v>0</v>
      </c>
      <c r="Q125" s="106">
        <f>'Cash Flow %s Yr2'!Q125</f>
        <v>0</v>
      </c>
      <c r="R125" s="106">
        <f>'Cash Flow %s Yr2'!R125</f>
        <v>0</v>
      </c>
      <c r="S125" s="105">
        <f t="shared" si="9"/>
        <v>0.99999999999999989</v>
      </c>
    </row>
    <row r="126" spans="1:19" s="30" customFormat="1" x14ac:dyDescent="0.3">
      <c r="A126" s="35"/>
      <c r="B126" s="62" t="str">
        <f>'Expenses Summary'!B83</f>
        <v>5805</v>
      </c>
      <c r="C126" s="62" t="str">
        <f>'Expenses Summary'!C83</f>
        <v xml:space="preserve">Legal Services </v>
      </c>
      <c r="D126" s="106">
        <f>'Cash Flow %s Yr2'!D126</f>
        <v>8.3000000000000004E-2</v>
      </c>
      <c r="E126" s="106">
        <f>'Cash Flow %s Yr2'!E126</f>
        <v>8.3000000000000004E-2</v>
      </c>
      <c r="F126" s="106">
        <f>'Cash Flow %s Yr2'!F126</f>
        <v>8.3000000000000004E-2</v>
      </c>
      <c r="G126" s="106">
        <f>'Cash Flow %s Yr2'!G126</f>
        <v>8.3000000000000004E-2</v>
      </c>
      <c r="H126" s="106">
        <f>'Cash Flow %s Yr2'!H126</f>
        <v>8.3000000000000004E-2</v>
      </c>
      <c r="I126" s="106">
        <f>'Cash Flow %s Yr2'!I126</f>
        <v>8.3000000000000004E-2</v>
      </c>
      <c r="J126" s="106">
        <f>'Cash Flow %s Yr2'!J126</f>
        <v>8.3000000000000004E-2</v>
      </c>
      <c r="K126" s="106">
        <f>'Cash Flow %s Yr2'!K126</f>
        <v>8.3000000000000004E-2</v>
      </c>
      <c r="L126" s="106">
        <f>'Cash Flow %s Yr2'!L126</f>
        <v>8.4000000000000005E-2</v>
      </c>
      <c r="M126" s="106">
        <f>'Cash Flow %s Yr2'!M126</f>
        <v>8.4000000000000005E-2</v>
      </c>
      <c r="N126" s="106">
        <f>'Cash Flow %s Yr2'!N126</f>
        <v>8.4000000000000005E-2</v>
      </c>
      <c r="O126" s="106">
        <f>'Cash Flow %s Yr2'!O126</f>
        <v>8.4000000000000005E-2</v>
      </c>
      <c r="P126" s="106">
        <f>'Cash Flow %s Yr2'!P126</f>
        <v>0</v>
      </c>
      <c r="Q126" s="106">
        <f>'Cash Flow %s Yr2'!Q126</f>
        <v>0</v>
      </c>
      <c r="R126" s="106">
        <f>'Cash Flow %s Yr2'!R126</f>
        <v>0</v>
      </c>
      <c r="S126" s="105">
        <f t="shared" si="9"/>
        <v>0.99999999999999989</v>
      </c>
    </row>
    <row r="127" spans="1:19" s="30" customFormat="1" x14ac:dyDescent="0.3">
      <c r="A127" s="35"/>
      <c r="B127" s="62" t="str">
        <f>'Expenses Summary'!B84</f>
        <v>5806</v>
      </c>
      <c r="C127" s="62" t="str">
        <f>'Expenses Summary'!C84</f>
        <v>Audit Services</v>
      </c>
      <c r="D127" s="106">
        <f>'Cash Flow %s Yr2'!D127</f>
        <v>0</v>
      </c>
      <c r="E127" s="106">
        <f>'Cash Flow %s Yr2'!E127</f>
        <v>0</v>
      </c>
      <c r="F127" s="106">
        <f>'Cash Flow %s Yr2'!F127</f>
        <v>0</v>
      </c>
      <c r="G127" s="106">
        <f>'Cash Flow %s Yr2'!G127</f>
        <v>0</v>
      </c>
      <c r="H127" s="106">
        <f>'Cash Flow %s Yr2'!H127</f>
        <v>0.5</v>
      </c>
      <c r="I127" s="106">
        <f>'Cash Flow %s Yr2'!I127</f>
        <v>0</v>
      </c>
      <c r="J127" s="106">
        <f>'Cash Flow %s Yr2'!J127</f>
        <v>0</v>
      </c>
      <c r="K127" s="106">
        <f>'Cash Flow %s Yr2'!K127</f>
        <v>0</v>
      </c>
      <c r="L127" s="106">
        <f>'Cash Flow %s Yr2'!L127</f>
        <v>0</v>
      </c>
      <c r="M127" s="106">
        <f>'Cash Flow %s Yr2'!M127</f>
        <v>0</v>
      </c>
      <c r="N127" s="106">
        <f>'Cash Flow %s Yr2'!N127</f>
        <v>0.5</v>
      </c>
      <c r="O127" s="106">
        <f>'Cash Flow %s Yr2'!O127</f>
        <v>0</v>
      </c>
      <c r="P127" s="106">
        <f>'Cash Flow %s Yr2'!P127</f>
        <v>0</v>
      </c>
      <c r="Q127" s="106">
        <f>'Cash Flow %s Yr2'!Q127</f>
        <v>0</v>
      </c>
      <c r="R127" s="106">
        <f>'Cash Flow %s Yr2'!R127</f>
        <v>0</v>
      </c>
      <c r="S127" s="105">
        <f t="shared" si="9"/>
        <v>1</v>
      </c>
    </row>
    <row r="128" spans="1:19" s="30" customFormat="1" x14ac:dyDescent="0.3">
      <c r="A128" s="35"/>
      <c r="B128" s="62" t="str">
        <f>'Expenses Summary'!B85</f>
        <v>5810</v>
      </c>
      <c r="C128" s="62" t="str">
        <f>'Expenses Summary'!C85</f>
        <v>Educational Consultants</v>
      </c>
      <c r="D128" s="106">
        <f>'Cash Flow %s Yr2'!D128</f>
        <v>8.3000000000000004E-2</v>
      </c>
      <c r="E128" s="106">
        <f>'Cash Flow %s Yr2'!E128</f>
        <v>8.3000000000000004E-2</v>
      </c>
      <c r="F128" s="106">
        <f>'Cash Flow %s Yr2'!F128</f>
        <v>8.3000000000000004E-2</v>
      </c>
      <c r="G128" s="106">
        <f>'Cash Flow %s Yr2'!G128</f>
        <v>8.3000000000000004E-2</v>
      </c>
      <c r="H128" s="106">
        <f>'Cash Flow %s Yr2'!H128</f>
        <v>8.3000000000000004E-2</v>
      </c>
      <c r="I128" s="106">
        <f>'Cash Flow %s Yr2'!I128</f>
        <v>8.3000000000000004E-2</v>
      </c>
      <c r="J128" s="106">
        <f>'Cash Flow %s Yr2'!J128</f>
        <v>8.3000000000000004E-2</v>
      </c>
      <c r="K128" s="106">
        <f>'Cash Flow %s Yr2'!K128</f>
        <v>8.3000000000000004E-2</v>
      </c>
      <c r="L128" s="106">
        <f>'Cash Flow %s Yr2'!L128</f>
        <v>8.4000000000000005E-2</v>
      </c>
      <c r="M128" s="106">
        <f>'Cash Flow %s Yr2'!M128</f>
        <v>8.4000000000000005E-2</v>
      </c>
      <c r="N128" s="106">
        <f>'Cash Flow %s Yr2'!N128</f>
        <v>8.4000000000000005E-2</v>
      </c>
      <c r="O128" s="106">
        <f>'Cash Flow %s Yr2'!O128</f>
        <v>8.4000000000000005E-2</v>
      </c>
      <c r="P128" s="106">
        <f>'Cash Flow %s Yr2'!P128</f>
        <v>0</v>
      </c>
      <c r="Q128" s="106">
        <f>'Cash Flow %s Yr2'!Q128</f>
        <v>0</v>
      </c>
      <c r="R128" s="106">
        <f>'Cash Flow %s Yr2'!R128</f>
        <v>0</v>
      </c>
      <c r="S128" s="105">
        <f t="shared" si="9"/>
        <v>0.99999999999999989</v>
      </c>
    </row>
    <row r="129" spans="1:19" s="30" customFormat="1" x14ac:dyDescent="0.3">
      <c r="A129" s="35"/>
      <c r="B129" s="62" t="str">
        <f>'Expenses Summary'!B86</f>
        <v>5811</v>
      </c>
      <c r="C129" s="62" t="str">
        <f>'Expenses Summary'!C86</f>
        <v>Student Transportation / Events</v>
      </c>
      <c r="D129" s="106">
        <f>'Cash Flow %s Yr2'!D129</f>
        <v>0</v>
      </c>
      <c r="E129" s="106">
        <f>'Cash Flow %s Yr2'!E129</f>
        <v>0</v>
      </c>
      <c r="F129" s="106">
        <f>'Cash Flow %s Yr2'!F129</f>
        <v>0.1</v>
      </c>
      <c r="G129" s="106">
        <f>'Cash Flow %s Yr2'!G129</f>
        <v>0.1</v>
      </c>
      <c r="H129" s="106">
        <f>'Cash Flow %s Yr2'!H129</f>
        <v>0.1</v>
      </c>
      <c r="I129" s="106">
        <f>'Cash Flow %s Yr2'!I129</f>
        <v>0.1</v>
      </c>
      <c r="J129" s="106">
        <f>'Cash Flow %s Yr2'!J129</f>
        <v>0.1</v>
      </c>
      <c r="K129" s="106">
        <f>'Cash Flow %s Yr2'!K129</f>
        <v>0.1</v>
      </c>
      <c r="L129" s="106">
        <f>'Cash Flow %s Yr2'!L129</f>
        <v>0.1</v>
      </c>
      <c r="M129" s="106">
        <f>'Cash Flow %s Yr2'!M129</f>
        <v>0.1</v>
      </c>
      <c r="N129" s="106">
        <f>'Cash Flow %s Yr2'!N129</f>
        <v>0.1</v>
      </c>
      <c r="O129" s="106">
        <f>'Cash Flow %s Yr2'!O129</f>
        <v>0.1</v>
      </c>
      <c r="P129" s="106">
        <f>'Cash Flow %s Yr2'!P129</f>
        <v>0</v>
      </c>
      <c r="Q129" s="106">
        <f>'Cash Flow %s Yr2'!Q129</f>
        <v>0</v>
      </c>
      <c r="R129" s="106">
        <f>'Cash Flow %s Yr2'!R129</f>
        <v>0</v>
      </c>
      <c r="S129" s="105">
        <f t="shared" si="9"/>
        <v>0.99999999999999989</v>
      </c>
    </row>
    <row r="130" spans="1:19" s="30" customFormat="1" x14ac:dyDescent="0.3">
      <c r="A130" s="35"/>
      <c r="B130" s="62" t="str">
        <f>'Expenses Summary'!B88</f>
        <v>5815</v>
      </c>
      <c r="C130" s="62" t="str">
        <f>'Expenses Summary'!C88</f>
        <v>Advertising / Recruiting</v>
      </c>
      <c r="D130" s="106">
        <f>'Cash Flow %s Yr2'!D130</f>
        <v>8.33285E-2</v>
      </c>
      <c r="E130" s="106">
        <f>'Cash Flow %s Yr2'!E130</f>
        <v>8.33285E-2</v>
      </c>
      <c r="F130" s="106">
        <f>'Cash Flow %s Yr2'!F130</f>
        <v>8.33285E-2</v>
      </c>
      <c r="G130" s="106">
        <f>'Cash Flow %s Yr2'!G130</f>
        <v>8.33285E-2</v>
      </c>
      <c r="H130" s="106">
        <f>'Cash Flow %s Yr2'!H130</f>
        <v>8.33285E-2</v>
      </c>
      <c r="I130" s="106">
        <f>'Cash Flow %s Yr2'!I130</f>
        <v>8.33285E-2</v>
      </c>
      <c r="J130" s="106">
        <f>'Cash Flow %s Yr2'!J130</f>
        <v>8.33285E-2</v>
      </c>
      <c r="K130" s="106">
        <f>'Cash Flow %s Yr2'!K130</f>
        <v>8.33285E-2</v>
      </c>
      <c r="L130" s="106">
        <f>'Cash Flow %s Yr2'!L130</f>
        <v>8.33285E-2</v>
      </c>
      <c r="M130" s="106">
        <f>'Cash Flow %s Yr2'!M130</f>
        <v>8.33285E-2</v>
      </c>
      <c r="N130" s="106">
        <f>'Cash Flow %s Yr2'!N130</f>
        <v>8.33285E-2</v>
      </c>
      <c r="O130" s="106">
        <f>'Cash Flow %s Yr2'!O130</f>
        <v>8.3386000000000002E-2</v>
      </c>
      <c r="P130" s="106">
        <f>'Cash Flow %s Yr2'!P130</f>
        <v>0</v>
      </c>
      <c r="Q130" s="106">
        <f>'Cash Flow %s Yr2'!Q130</f>
        <v>0</v>
      </c>
      <c r="R130" s="106">
        <f>'Cash Flow %s Yr2'!R130</f>
        <v>0</v>
      </c>
      <c r="S130" s="105">
        <f t="shared" si="9"/>
        <v>0.99999950000000015</v>
      </c>
    </row>
    <row r="131" spans="1:19" s="30" customFormat="1" x14ac:dyDescent="0.3">
      <c r="A131" s="35"/>
      <c r="B131" s="62" t="str">
        <f>'Expenses Summary'!B89</f>
        <v>5820</v>
      </c>
      <c r="C131" s="62" t="str">
        <f>'Expenses Summary'!C89</f>
        <v>Fundraising Expense</v>
      </c>
      <c r="D131" s="106">
        <f>'Cash Flow %s Yr2'!D131</f>
        <v>8.33285E-2</v>
      </c>
      <c r="E131" s="106">
        <f>'Cash Flow %s Yr2'!E131</f>
        <v>8.33285E-2</v>
      </c>
      <c r="F131" s="106">
        <f>'Cash Flow %s Yr2'!F131</f>
        <v>8.33285E-2</v>
      </c>
      <c r="G131" s="106">
        <f>'Cash Flow %s Yr2'!G131</f>
        <v>8.33285E-2</v>
      </c>
      <c r="H131" s="106">
        <f>'Cash Flow %s Yr2'!H131</f>
        <v>8.33285E-2</v>
      </c>
      <c r="I131" s="106">
        <f>'Cash Flow %s Yr2'!I131</f>
        <v>8.33285E-2</v>
      </c>
      <c r="J131" s="106">
        <f>'Cash Flow %s Yr2'!J131</f>
        <v>8.33285E-2</v>
      </c>
      <c r="K131" s="106">
        <f>'Cash Flow %s Yr2'!K131</f>
        <v>8.33285E-2</v>
      </c>
      <c r="L131" s="106">
        <f>'Cash Flow %s Yr2'!L131</f>
        <v>8.33285E-2</v>
      </c>
      <c r="M131" s="106">
        <f>'Cash Flow %s Yr2'!M131</f>
        <v>8.33285E-2</v>
      </c>
      <c r="N131" s="106">
        <f>'Cash Flow %s Yr2'!N131</f>
        <v>8.33285E-2</v>
      </c>
      <c r="O131" s="106">
        <f>'Cash Flow %s Yr2'!O131</f>
        <v>8.3386000000000002E-2</v>
      </c>
      <c r="P131" s="106">
        <f>'Cash Flow %s Yr2'!P131</f>
        <v>0</v>
      </c>
      <c r="Q131" s="106">
        <f>'Cash Flow %s Yr2'!Q131</f>
        <v>0</v>
      </c>
      <c r="R131" s="106">
        <f>'Cash Flow %s Yr2'!R131</f>
        <v>0</v>
      </c>
      <c r="S131" s="105">
        <f t="shared" si="9"/>
        <v>0.99999950000000015</v>
      </c>
    </row>
    <row r="132" spans="1:19" s="30" customFormat="1" x14ac:dyDescent="0.3">
      <c r="A132" s="35"/>
      <c r="B132" s="62" t="str">
        <f>'Expenses Summary'!B91</f>
        <v>5836</v>
      </c>
      <c r="C132" s="62" t="str">
        <f>'Expenses Summary'!C91</f>
        <v>Transportation Services</v>
      </c>
      <c r="D132" s="106">
        <f>'Cash Flow %s Yr2'!D132</f>
        <v>8.3000000000000004E-2</v>
      </c>
      <c r="E132" s="106">
        <f>'Cash Flow %s Yr2'!E132</f>
        <v>8.3000000000000004E-2</v>
      </c>
      <c r="F132" s="106">
        <f>'Cash Flow %s Yr2'!F132</f>
        <v>8.3000000000000004E-2</v>
      </c>
      <c r="G132" s="106">
        <f>'Cash Flow %s Yr2'!G132</f>
        <v>8.3000000000000004E-2</v>
      </c>
      <c r="H132" s="106">
        <f>'Cash Flow %s Yr2'!H132</f>
        <v>8.3000000000000004E-2</v>
      </c>
      <c r="I132" s="106">
        <f>'Cash Flow %s Yr2'!I132</f>
        <v>8.3000000000000004E-2</v>
      </c>
      <c r="J132" s="106">
        <f>'Cash Flow %s Yr2'!J132</f>
        <v>8.3000000000000004E-2</v>
      </c>
      <c r="K132" s="106">
        <f>'Cash Flow %s Yr2'!K132</f>
        <v>8.3000000000000004E-2</v>
      </c>
      <c r="L132" s="106">
        <f>'Cash Flow %s Yr2'!L132</f>
        <v>8.4000000000000005E-2</v>
      </c>
      <c r="M132" s="106">
        <f>'Cash Flow %s Yr2'!M132</f>
        <v>8.4000000000000005E-2</v>
      </c>
      <c r="N132" s="106">
        <f>'Cash Flow %s Yr2'!N132</f>
        <v>8.4000000000000005E-2</v>
      </c>
      <c r="O132" s="106">
        <f>'Cash Flow %s Yr2'!O132</f>
        <v>8.4000000000000005E-2</v>
      </c>
      <c r="P132" s="106">
        <f>'Cash Flow %s Yr2'!P132</f>
        <v>0</v>
      </c>
      <c r="Q132" s="106">
        <f>'Cash Flow %s Yr2'!Q132</f>
        <v>0</v>
      </c>
      <c r="R132" s="106">
        <f>'Cash Flow %s Yr2'!R132</f>
        <v>0</v>
      </c>
      <c r="S132" s="105">
        <f t="shared" si="9"/>
        <v>0.99999999999999989</v>
      </c>
    </row>
    <row r="133" spans="1:19" s="30" customFormat="1" hidden="1" outlineLevel="1" x14ac:dyDescent="0.3">
      <c r="A133" s="35"/>
      <c r="B133" s="62" t="str">
        <f>'Expenses Summary'!B92</f>
        <v>5842</v>
      </c>
      <c r="C133" s="62" t="str">
        <f>'Expenses Summary'!C92</f>
        <v>Services Student Athletics</v>
      </c>
      <c r="D133" s="106">
        <f>'Cash Flow %s Yr2'!D133</f>
        <v>0</v>
      </c>
      <c r="E133" s="106">
        <f>'Cash Flow %s Yr2'!E133</f>
        <v>0</v>
      </c>
      <c r="F133" s="106">
        <f>'Cash Flow %s Yr2'!F133</f>
        <v>0.1</v>
      </c>
      <c r="G133" s="106">
        <f>'Cash Flow %s Yr2'!G133</f>
        <v>0.1</v>
      </c>
      <c r="H133" s="106">
        <f>'Cash Flow %s Yr2'!H133</f>
        <v>0.1</v>
      </c>
      <c r="I133" s="106">
        <f>'Cash Flow %s Yr2'!I133</f>
        <v>0.1</v>
      </c>
      <c r="J133" s="106">
        <f>'Cash Flow %s Yr2'!J133</f>
        <v>0.1</v>
      </c>
      <c r="K133" s="106">
        <f>'Cash Flow %s Yr2'!K133</f>
        <v>0.1</v>
      </c>
      <c r="L133" s="106">
        <f>'Cash Flow %s Yr2'!L133</f>
        <v>0.1</v>
      </c>
      <c r="M133" s="106">
        <f>'Cash Flow %s Yr2'!M133</f>
        <v>0.1</v>
      </c>
      <c r="N133" s="106">
        <f>'Cash Flow %s Yr2'!N133</f>
        <v>0.1</v>
      </c>
      <c r="O133" s="106">
        <f>'Cash Flow %s Yr2'!O133</f>
        <v>0.1</v>
      </c>
      <c r="P133" s="106">
        <f>'Cash Flow %s Yr2'!P133</f>
        <v>0</v>
      </c>
      <c r="Q133" s="106">
        <f>'Cash Flow %s Yr2'!Q133</f>
        <v>0</v>
      </c>
      <c r="R133" s="106">
        <f>'Cash Flow %s Yr2'!R133</f>
        <v>0</v>
      </c>
      <c r="S133" s="105">
        <f t="shared" si="9"/>
        <v>0.99999999999999989</v>
      </c>
    </row>
    <row r="134" spans="1:19" s="30" customFormat="1" hidden="1" outlineLevel="1" x14ac:dyDescent="0.3">
      <c r="A134" s="35"/>
      <c r="B134" s="62" t="str">
        <f>'Expenses Summary'!B93</f>
        <v>5850</v>
      </c>
      <c r="C134" s="62" t="str">
        <f>'Expenses Summary'!C93</f>
        <v>Scholarships</v>
      </c>
      <c r="D134" s="106">
        <f>'Cash Flow %s Yr2'!D134</f>
        <v>0</v>
      </c>
      <c r="E134" s="106">
        <f>'Cash Flow %s Yr2'!E134</f>
        <v>0</v>
      </c>
      <c r="F134" s="106">
        <f>'Cash Flow %s Yr2'!F134</f>
        <v>0.1</v>
      </c>
      <c r="G134" s="106">
        <f>'Cash Flow %s Yr2'!G134</f>
        <v>0.1</v>
      </c>
      <c r="H134" s="106">
        <f>'Cash Flow %s Yr2'!H134</f>
        <v>0.1</v>
      </c>
      <c r="I134" s="106">
        <f>'Cash Flow %s Yr2'!I134</f>
        <v>0.1</v>
      </c>
      <c r="J134" s="106">
        <f>'Cash Flow %s Yr2'!J134</f>
        <v>0.1</v>
      </c>
      <c r="K134" s="106">
        <f>'Cash Flow %s Yr2'!K134</f>
        <v>0.1</v>
      </c>
      <c r="L134" s="106">
        <f>'Cash Flow %s Yr2'!L134</f>
        <v>0.1</v>
      </c>
      <c r="M134" s="106">
        <f>'Cash Flow %s Yr2'!M134</f>
        <v>0.1</v>
      </c>
      <c r="N134" s="106">
        <f>'Cash Flow %s Yr2'!N134</f>
        <v>0.1</v>
      </c>
      <c r="O134" s="106">
        <f>'Cash Flow %s Yr2'!O134</f>
        <v>0.1</v>
      </c>
      <c r="P134" s="106">
        <f>'Cash Flow %s Yr2'!P134</f>
        <v>0</v>
      </c>
      <c r="Q134" s="106">
        <f>'Cash Flow %s Yr2'!Q134</f>
        <v>0</v>
      </c>
      <c r="R134" s="106">
        <f>'Cash Flow %s Yr2'!R134</f>
        <v>0</v>
      </c>
      <c r="S134" s="105">
        <f t="shared" si="9"/>
        <v>0.99999999999999989</v>
      </c>
    </row>
    <row r="135" spans="1:19" s="30" customFormat="1" hidden="1" outlineLevel="1" x14ac:dyDescent="0.3">
      <c r="A135" s="35"/>
      <c r="B135" s="62" t="str">
        <f>'Expenses Summary'!B94</f>
        <v>5873</v>
      </c>
      <c r="C135" s="62" t="str">
        <f>'Expenses Summary'!C94</f>
        <v>Financial Services</v>
      </c>
      <c r="D135" s="106">
        <f>'Cash Flow %s Yr2'!D135</f>
        <v>0</v>
      </c>
      <c r="E135" s="106">
        <f>'Cash Flow %s Yr2'!E135</f>
        <v>0</v>
      </c>
      <c r="F135" s="106">
        <f>'Cash Flow %s Yr2'!F135</f>
        <v>0.1</v>
      </c>
      <c r="G135" s="106">
        <f>'Cash Flow %s Yr2'!G135</f>
        <v>0.1</v>
      </c>
      <c r="H135" s="106">
        <f>'Cash Flow %s Yr2'!H135</f>
        <v>0.1</v>
      </c>
      <c r="I135" s="106">
        <f>'Cash Flow %s Yr2'!I135</f>
        <v>0.1</v>
      </c>
      <c r="J135" s="106">
        <f>'Cash Flow %s Yr2'!J135</f>
        <v>0.1</v>
      </c>
      <c r="K135" s="106">
        <f>'Cash Flow %s Yr2'!K135</f>
        <v>0.1</v>
      </c>
      <c r="L135" s="106">
        <f>'Cash Flow %s Yr2'!L135</f>
        <v>0.1</v>
      </c>
      <c r="M135" s="106">
        <f>'Cash Flow %s Yr2'!M135</f>
        <v>0.1</v>
      </c>
      <c r="N135" s="106">
        <f>'Cash Flow %s Yr2'!N135</f>
        <v>0.1</v>
      </c>
      <c r="O135" s="106">
        <f>'Cash Flow %s Yr2'!O135</f>
        <v>0.1</v>
      </c>
      <c r="P135" s="106">
        <f>'Cash Flow %s Yr2'!P135</f>
        <v>0</v>
      </c>
      <c r="Q135" s="106">
        <f>'Cash Flow %s Yr2'!Q135</f>
        <v>0</v>
      </c>
      <c r="R135" s="106">
        <f>'Cash Flow %s Yr2'!R135</f>
        <v>0</v>
      </c>
      <c r="S135" s="105">
        <f t="shared" si="9"/>
        <v>0.99999999999999989</v>
      </c>
    </row>
    <row r="136" spans="1:19" s="30" customFormat="1" hidden="1" outlineLevel="1" x14ac:dyDescent="0.3">
      <c r="A136" s="35"/>
      <c r="B136" s="62" t="str">
        <f>'Expenses Summary'!B96</f>
        <v>5875</v>
      </c>
      <c r="C136" s="62" t="str">
        <f>'Expenses Summary'!C96</f>
        <v>District Oversight Fee</v>
      </c>
      <c r="D136" s="106">
        <f>'Cash Flow %s Yr2'!D136</f>
        <v>0</v>
      </c>
      <c r="E136" s="106">
        <f>'Cash Flow %s Yr2'!E136</f>
        <v>0</v>
      </c>
      <c r="F136" s="106">
        <f>'Cash Flow %s Yr2'!F136</f>
        <v>0.1</v>
      </c>
      <c r="G136" s="106">
        <f>'Cash Flow %s Yr2'!G136</f>
        <v>0.1</v>
      </c>
      <c r="H136" s="106">
        <f>'Cash Flow %s Yr2'!H136</f>
        <v>0.1</v>
      </c>
      <c r="I136" s="106">
        <f>'Cash Flow %s Yr2'!I136</f>
        <v>0.1</v>
      </c>
      <c r="J136" s="106">
        <f>'Cash Flow %s Yr2'!J136</f>
        <v>0.1</v>
      </c>
      <c r="K136" s="106">
        <f>'Cash Flow %s Yr2'!K136</f>
        <v>0.1</v>
      </c>
      <c r="L136" s="106">
        <f>'Cash Flow %s Yr2'!L136</f>
        <v>0.1</v>
      </c>
      <c r="M136" s="106">
        <f>'Cash Flow %s Yr2'!M136</f>
        <v>0.1</v>
      </c>
      <c r="N136" s="106">
        <f>'Cash Flow %s Yr2'!N136</f>
        <v>0.1</v>
      </c>
      <c r="O136" s="106">
        <f>'Cash Flow %s Yr2'!O136</f>
        <v>0.1</v>
      </c>
      <c r="P136" s="106">
        <f>'Cash Flow %s Yr2'!P136</f>
        <v>0</v>
      </c>
      <c r="Q136" s="106">
        <f>'Cash Flow %s Yr2'!Q136</f>
        <v>0</v>
      </c>
      <c r="R136" s="106">
        <f>'Cash Flow %s Yr2'!R136</f>
        <v>0</v>
      </c>
      <c r="S136" s="105">
        <f t="shared" si="9"/>
        <v>0.99999999999999989</v>
      </c>
    </row>
    <row r="137" spans="1:19" s="30" customFormat="1" hidden="1" outlineLevel="1" x14ac:dyDescent="0.3">
      <c r="A137" s="35"/>
      <c r="B137" s="62" t="str">
        <f>'Expenses Summary'!B97</f>
        <v>5877</v>
      </c>
      <c r="C137" s="62" t="str">
        <f>'Expenses Summary'!C97</f>
        <v>IT Services</v>
      </c>
      <c r="D137" s="106">
        <f>'Cash Flow %s Yr2'!D137</f>
        <v>0</v>
      </c>
      <c r="E137" s="106">
        <f>'Cash Flow %s Yr2'!E137</f>
        <v>0</v>
      </c>
      <c r="F137" s="106">
        <f>'Cash Flow %s Yr2'!F137</f>
        <v>0.1</v>
      </c>
      <c r="G137" s="106">
        <f>'Cash Flow %s Yr2'!G137</f>
        <v>0.1</v>
      </c>
      <c r="H137" s="106">
        <f>'Cash Flow %s Yr2'!H137</f>
        <v>0.1</v>
      </c>
      <c r="I137" s="106">
        <f>'Cash Flow %s Yr2'!I137</f>
        <v>0.1</v>
      </c>
      <c r="J137" s="106">
        <f>'Cash Flow %s Yr2'!J137</f>
        <v>0.1</v>
      </c>
      <c r="K137" s="106">
        <f>'Cash Flow %s Yr2'!K137</f>
        <v>0.1</v>
      </c>
      <c r="L137" s="106">
        <f>'Cash Flow %s Yr2'!L137</f>
        <v>0.1</v>
      </c>
      <c r="M137" s="106">
        <f>'Cash Flow %s Yr2'!M137</f>
        <v>0.1</v>
      </c>
      <c r="N137" s="106">
        <f>'Cash Flow %s Yr2'!N137</f>
        <v>0.1</v>
      </c>
      <c r="O137" s="106">
        <f>'Cash Flow %s Yr2'!O137</f>
        <v>0.1</v>
      </c>
      <c r="P137" s="106">
        <f>'Cash Flow %s Yr2'!P137</f>
        <v>0</v>
      </c>
      <c r="Q137" s="106">
        <f>'Cash Flow %s Yr2'!Q137</f>
        <v>0</v>
      </c>
      <c r="R137" s="106">
        <f>'Cash Flow %s Yr2'!R137</f>
        <v>0</v>
      </c>
      <c r="S137" s="105">
        <f t="shared" si="9"/>
        <v>0.99999999999999989</v>
      </c>
    </row>
    <row r="138" spans="1:19" s="30" customFormat="1" hidden="1" outlineLevel="1" x14ac:dyDescent="0.3">
      <c r="A138" s="35"/>
      <c r="B138" s="62" t="str">
        <f>'Expenses Summary'!B98</f>
        <v>5885</v>
      </c>
      <c r="C138" s="62" t="str">
        <f>'Expenses Summary'!C98</f>
        <v>Summer School Program</v>
      </c>
      <c r="D138" s="106">
        <f>'Cash Flow %s Yr2'!D138</f>
        <v>0</v>
      </c>
      <c r="E138" s="106">
        <f>'Cash Flow %s Yr2'!E138</f>
        <v>0</v>
      </c>
      <c r="F138" s="106">
        <f>'Cash Flow %s Yr2'!F138</f>
        <v>0.1</v>
      </c>
      <c r="G138" s="106">
        <f>'Cash Flow %s Yr2'!G138</f>
        <v>0.1</v>
      </c>
      <c r="H138" s="106">
        <f>'Cash Flow %s Yr2'!H138</f>
        <v>0.1</v>
      </c>
      <c r="I138" s="106">
        <f>'Cash Flow %s Yr2'!I138</f>
        <v>0.1</v>
      </c>
      <c r="J138" s="106">
        <f>'Cash Flow %s Yr2'!J138</f>
        <v>0.1</v>
      </c>
      <c r="K138" s="106">
        <f>'Cash Flow %s Yr2'!K138</f>
        <v>0.1</v>
      </c>
      <c r="L138" s="106">
        <f>'Cash Flow %s Yr2'!L138</f>
        <v>0.1</v>
      </c>
      <c r="M138" s="106">
        <f>'Cash Flow %s Yr2'!M138</f>
        <v>0.1</v>
      </c>
      <c r="N138" s="106">
        <f>'Cash Flow %s Yr2'!N138</f>
        <v>0.1</v>
      </c>
      <c r="O138" s="106">
        <f>'Cash Flow %s Yr2'!O138</f>
        <v>0.1</v>
      </c>
      <c r="P138" s="106">
        <f>'Cash Flow %s Yr2'!P138</f>
        <v>0</v>
      </c>
      <c r="Q138" s="106">
        <f>'Cash Flow %s Yr2'!Q138</f>
        <v>0</v>
      </c>
      <c r="R138" s="106">
        <f>'Cash Flow %s Yr2'!R138</f>
        <v>0</v>
      </c>
      <c r="S138" s="105">
        <f t="shared" si="9"/>
        <v>0.99999999999999989</v>
      </c>
    </row>
    <row r="139" spans="1:19" s="30" customFormat="1" hidden="1" outlineLevel="1" x14ac:dyDescent="0.3">
      <c r="A139" s="35"/>
      <c r="B139" s="62" t="str">
        <f>'Expenses Summary'!B99</f>
        <v>5890</v>
      </c>
      <c r="C139" s="62" t="str">
        <f>'Expenses Summary'!C99</f>
        <v>Interest Expense / Misc. Fees</v>
      </c>
      <c r="D139" s="106">
        <f>'Cash Flow %s Yr2'!D139</f>
        <v>0</v>
      </c>
      <c r="E139" s="106">
        <f>'Cash Flow %s Yr2'!E139</f>
        <v>0</v>
      </c>
      <c r="F139" s="106">
        <f>'Cash Flow %s Yr2'!F139</f>
        <v>0.1</v>
      </c>
      <c r="G139" s="106">
        <f>'Cash Flow %s Yr2'!G139</f>
        <v>0.1</v>
      </c>
      <c r="H139" s="106">
        <f>'Cash Flow %s Yr2'!H139</f>
        <v>0.1</v>
      </c>
      <c r="I139" s="106">
        <f>'Cash Flow %s Yr2'!I139</f>
        <v>0.1</v>
      </c>
      <c r="J139" s="106">
        <f>'Cash Flow %s Yr2'!J139</f>
        <v>0.1</v>
      </c>
      <c r="K139" s="106">
        <f>'Cash Flow %s Yr2'!K139</f>
        <v>0.1</v>
      </c>
      <c r="L139" s="106">
        <f>'Cash Flow %s Yr2'!L139</f>
        <v>0.1</v>
      </c>
      <c r="M139" s="106">
        <f>'Cash Flow %s Yr2'!M139</f>
        <v>0.1</v>
      </c>
      <c r="N139" s="106">
        <f>'Cash Flow %s Yr2'!N139</f>
        <v>0.1</v>
      </c>
      <c r="O139" s="106">
        <f>'Cash Flow %s Yr2'!O139</f>
        <v>0.1</v>
      </c>
      <c r="P139" s="106">
        <f>'Cash Flow %s Yr2'!P139</f>
        <v>0</v>
      </c>
      <c r="Q139" s="106">
        <f>'Cash Flow %s Yr2'!Q139</f>
        <v>0</v>
      </c>
      <c r="R139" s="106">
        <f>'Cash Flow %s Yr2'!R139</f>
        <v>0</v>
      </c>
      <c r="S139" s="105">
        <f t="shared" si="9"/>
        <v>0.99999999999999989</v>
      </c>
    </row>
    <row r="140" spans="1:19" s="30" customFormat="1" hidden="1" outlineLevel="1" x14ac:dyDescent="0.3">
      <c r="A140" s="35"/>
      <c r="B140" s="62" t="str">
        <f>'Expenses Summary'!B100</f>
        <v>5900</v>
      </c>
      <c r="C140" s="62" t="str">
        <f>'Expenses Summary'!C100</f>
        <v>Communications</v>
      </c>
      <c r="D140" s="106">
        <f>'Cash Flow %s Yr2'!D140</f>
        <v>0</v>
      </c>
      <c r="E140" s="106">
        <f>'Cash Flow %s Yr2'!E140</f>
        <v>0</v>
      </c>
      <c r="F140" s="106">
        <f>'Cash Flow %s Yr2'!F140</f>
        <v>0.1</v>
      </c>
      <c r="G140" s="106">
        <f>'Cash Flow %s Yr2'!G140</f>
        <v>0.1</v>
      </c>
      <c r="H140" s="106">
        <f>'Cash Flow %s Yr2'!H140</f>
        <v>0.1</v>
      </c>
      <c r="I140" s="106">
        <f>'Cash Flow %s Yr2'!I140</f>
        <v>0.1</v>
      </c>
      <c r="J140" s="106">
        <f>'Cash Flow %s Yr2'!J140</f>
        <v>0.1</v>
      </c>
      <c r="K140" s="106">
        <f>'Cash Flow %s Yr2'!K140</f>
        <v>0.1</v>
      </c>
      <c r="L140" s="106">
        <f>'Cash Flow %s Yr2'!L140</f>
        <v>0.1</v>
      </c>
      <c r="M140" s="106">
        <f>'Cash Flow %s Yr2'!M140</f>
        <v>0.1</v>
      </c>
      <c r="N140" s="106">
        <f>'Cash Flow %s Yr2'!N140</f>
        <v>0.1</v>
      </c>
      <c r="O140" s="106">
        <f>'Cash Flow %s Yr2'!O140</f>
        <v>0.1</v>
      </c>
      <c r="P140" s="106">
        <f>'Cash Flow %s Yr2'!P140</f>
        <v>0</v>
      </c>
      <c r="Q140" s="106">
        <f>'Cash Flow %s Yr2'!Q140</f>
        <v>0</v>
      </c>
      <c r="R140" s="106">
        <f>'Cash Flow %s Yr2'!R140</f>
        <v>0</v>
      </c>
      <c r="S140" s="105">
        <f t="shared" si="9"/>
        <v>0.99999999999999989</v>
      </c>
    </row>
    <row r="141" spans="1:19" s="30" customFormat="1" hidden="1" outlineLevel="1" x14ac:dyDescent="0.3">
      <c r="A141" s="35"/>
      <c r="B141" s="62" t="str">
        <f>'Expenses Summary'!B101</f>
        <v>7010</v>
      </c>
      <c r="C141" s="62" t="str">
        <f>'Expenses Summary'!C101</f>
        <v>Special Education Encroachment</v>
      </c>
      <c r="D141" s="106">
        <f>'Cash Flow %s Yr2'!D141</f>
        <v>0</v>
      </c>
      <c r="E141" s="106">
        <f>'Cash Flow %s Yr2'!E141</f>
        <v>0</v>
      </c>
      <c r="F141" s="106">
        <f>'Cash Flow %s Yr2'!F141</f>
        <v>0.1</v>
      </c>
      <c r="G141" s="106">
        <f>'Cash Flow %s Yr2'!G141</f>
        <v>0.1</v>
      </c>
      <c r="H141" s="106">
        <f>'Cash Flow %s Yr2'!H141</f>
        <v>0.1</v>
      </c>
      <c r="I141" s="106">
        <f>'Cash Flow %s Yr2'!I141</f>
        <v>0.1</v>
      </c>
      <c r="J141" s="106">
        <f>'Cash Flow %s Yr2'!J141</f>
        <v>0.1</v>
      </c>
      <c r="K141" s="106">
        <f>'Cash Flow %s Yr2'!K141</f>
        <v>0.1</v>
      </c>
      <c r="L141" s="106">
        <f>'Cash Flow %s Yr2'!L141</f>
        <v>0.1</v>
      </c>
      <c r="M141" s="106">
        <f>'Cash Flow %s Yr2'!M141</f>
        <v>0.1</v>
      </c>
      <c r="N141" s="106">
        <f>'Cash Flow %s Yr2'!N141</f>
        <v>0.1</v>
      </c>
      <c r="O141" s="106">
        <f>'Cash Flow %s Yr2'!O141</f>
        <v>0.1</v>
      </c>
      <c r="P141" s="106">
        <f>'Cash Flow %s Yr2'!P141</f>
        <v>0</v>
      </c>
      <c r="Q141" s="106">
        <f>'Cash Flow %s Yr2'!Q141</f>
        <v>0</v>
      </c>
      <c r="R141" s="106">
        <f>'Cash Flow %s Yr2'!R141</f>
        <v>0</v>
      </c>
      <c r="S141" s="105">
        <f t="shared" si="9"/>
        <v>0.99999999999999989</v>
      </c>
    </row>
    <row r="142" spans="1:19" s="30" customFormat="1" hidden="1" outlineLevel="1" x14ac:dyDescent="0.3">
      <c r="A142" s="35"/>
      <c r="B142" s="62" t="e">
        <f>'Expenses Summary'!#REF!</f>
        <v>#REF!</v>
      </c>
      <c r="C142" s="62" t="e">
        <f>'Expenses Summary'!#REF!</f>
        <v>#REF!</v>
      </c>
      <c r="D142" s="106">
        <f>'Cash Flow %s Yr2'!D142</f>
        <v>0</v>
      </c>
      <c r="E142" s="106">
        <f>'Cash Flow %s Yr2'!E142</f>
        <v>0</v>
      </c>
      <c r="F142" s="106">
        <f>'Cash Flow %s Yr2'!F142</f>
        <v>0.1</v>
      </c>
      <c r="G142" s="106">
        <f>'Cash Flow %s Yr2'!G142</f>
        <v>0.1</v>
      </c>
      <c r="H142" s="106">
        <f>'Cash Flow %s Yr2'!H142</f>
        <v>0.1</v>
      </c>
      <c r="I142" s="106">
        <f>'Cash Flow %s Yr2'!I142</f>
        <v>0.1</v>
      </c>
      <c r="J142" s="106">
        <f>'Cash Flow %s Yr2'!J142</f>
        <v>0.1</v>
      </c>
      <c r="K142" s="106">
        <f>'Cash Flow %s Yr2'!K142</f>
        <v>0.1</v>
      </c>
      <c r="L142" s="106">
        <f>'Cash Flow %s Yr2'!L142</f>
        <v>0.1</v>
      </c>
      <c r="M142" s="106">
        <f>'Cash Flow %s Yr2'!M142</f>
        <v>0.1</v>
      </c>
      <c r="N142" s="106">
        <f>'Cash Flow %s Yr2'!N142</f>
        <v>0.1</v>
      </c>
      <c r="O142" s="106">
        <f>'Cash Flow %s Yr2'!O142</f>
        <v>0.1</v>
      </c>
      <c r="P142" s="106">
        <f>'Cash Flow %s Yr2'!P142</f>
        <v>0</v>
      </c>
      <c r="Q142" s="106">
        <f>'Cash Flow %s Yr2'!Q142</f>
        <v>0</v>
      </c>
      <c r="R142" s="106">
        <f>'Cash Flow %s Yr2'!R142</f>
        <v>0</v>
      </c>
      <c r="S142" s="105">
        <f>SUM(D142:R142)</f>
        <v>0.99999999999999989</v>
      </c>
    </row>
    <row r="143" spans="1:19" s="30" customFormat="1" collapsed="1" x14ac:dyDescent="0.3">
      <c r="A143" s="35"/>
      <c r="B143" s="62" t="str">
        <f>'Expenses Summary'!B102</f>
        <v>5999</v>
      </c>
      <c r="C143" s="62" t="str">
        <f>'Expenses Summary'!C102</f>
        <v>Expense Suspense</v>
      </c>
      <c r="D143" s="106">
        <f>'Cash Flow %s Yr2'!D143</f>
        <v>0.05</v>
      </c>
      <c r="E143" s="106">
        <f>'Cash Flow %s Yr2'!E143</f>
        <v>0.05</v>
      </c>
      <c r="F143" s="106">
        <f>'Cash Flow %s Yr2'!F143</f>
        <v>0.09</v>
      </c>
      <c r="G143" s="106">
        <f>'Cash Flow %s Yr2'!G143</f>
        <v>0.09</v>
      </c>
      <c r="H143" s="106">
        <f>'Cash Flow %s Yr2'!H143</f>
        <v>0.09</v>
      </c>
      <c r="I143" s="106">
        <f>'Cash Flow %s Yr2'!I143</f>
        <v>0.09</v>
      </c>
      <c r="J143" s="106">
        <f>'Cash Flow %s Yr2'!J143</f>
        <v>0.09</v>
      </c>
      <c r="K143" s="106">
        <f>'Cash Flow %s Yr2'!K143</f>
        <v>0.09</v>
      </c>
      <c r="L143" s="106">
        <f>'Cash Flow %s Yr2'!L143</f>
        <v>0.09</v>
      </c>
      <c r="M143" s="106">
        <f>'Cash Flow %s Yr2'!M143</f>
        <v>0.09</v>
      </c>
      <c r="N143" s="106">
        <f>'Cash Flow %s Yr2'!N143</f>
        <v>0.09</v>
      </c>
      <c r="O143" s="106">
        <f>'Cash Flow %s Yr2'!O143</f>
        <v>0.09</v>
      </c>
      <c r="P143" s="106">
        <f>'Cash Flow %s Yr2'!P143</f>
        <v>0</v>
      </c>
      <c r="Q143" s="106">
        <f>'Cash Flow %s Yr2'!Q143</f>
        <v>0</v>
      </c>
      <c r="R143" s="106">
        <f>'Cash Flow %s Yr2'!R143</f>
        <v>0</v>
      </c>
      <c r="S143" s="105">
        <f>SUM(D143:R143)</f>
        <v>0.99999999999999978</v>
      </c>
    </row>
    <row r="144" spans="1:19" s="30" customFormat="1" x14ac:dyDescent="0.3">
      <c r="A144" s="35"/>
      <c r="B144" s="118"/>
      <c r="C144" s="87"/>
      <c r="D144" s="94"/>
      <c r="E144" s="94"/>
      <c r="F144" s="94"/>
      <c r="G144" s="94"/>
      <c r="H144" s="94"/>
      <c r="I144" s="94"/>
      <c r="J144" s="94"/>
      <c r="K144" s="94"/>
      <c r="L144" s="94"/>
      <c r="M144" s="94"/>
      <c r="N144" s="94"/>
      <c r="O144" s="94"/>
      <c r="P144" s="102"/>
      <c r="Q144" s="102"/>
      <c r="R144" s="102"/>
      <c r="S144" s="105"/>
    </row>
    <row r="145" spans="1:24" s="30" customFormat="1" x14ac:dyDescent="0.3">
      <c r="A145" s="35"/>
      <c r="B145" s="4"/>
      <c r="C145" s="3"/>
      <c r="D145" s="89"/>
      <c r="E145" s="89"/>
      <c r="F145" s="89"/>
      <c r="G145" s="89"/>
      <c r="H145" s="89"/>
      <c r="I145" s="89"/>
      <c r="J145" s="89"/>
      <c r="K145" s="89"/>
      <c r="L145" s="89"/>
      <c r="M145" s="89"/>
      <c r="N145" s="89"/>
      <c r="O145" s="89"/>
      <c r="P145" s="89"/>
      <c r="Q145" s="89"/>
      <c r="R145" s="89"/>
      <c r="S145" s="105"/>
    </row>
    <row r="146" spans="1:24" s="30" customFormat="1" x14ac:dyDescent="0.3">
      <c r="B146" s="33" t="s">
        <v>722</v>
      </c>
      <c r="C146" s="3"/>
      <c r="D146" s="89"/>
      <c r="E146" s="89"/>
      <c r="F146" s="89"/>
      <c r="G146" s="89"/>
      <c r="H146" s="89"/>
      <c r="I146" s="89"/>
      <c r="J146" s="89"/>
      <c r="K146" s="89"/>
      <c r="L146" s="89"/>
      <c r="M146" s="89"/>
      <c r="N146" s="89"/>
      <c r="O146" s="89"/>
      <c r="P146" s="89"/>
      <c r="Q146" s="89"/>
      <c r="R146" s="89"/>
      <c r="S146" s="105"/>
    </row>
    <row r="147" spans="1:24" s="30" customFormat="1" x14ac:dyDescent="0.3">
      <c r="A147" s="35"/>
      <c r="B147" s="62" t="str">
        <f>'Expenses Summary'!B106</f>
        <v>6900</v>
      </c>
      <c r="C147" s="62" t="str">
        <f>'Expenses Summary'!C106</f>
        <v xml:space="preserve">Depreciation Expense      </v>
      </c>
      <c r="D147" s="106">
        <f>'Cash Flow %s Yr2'!D147</f>
        <v>0</v>
      </c>
      <c r="E147" s="106">
        <f>'Cash Flow %s Yr2'!E147</f>
        <v>0</v>
      </c>
      <c r="F147" s="106">
        <f>'Cash Flow %s Yr2'!F147</f>
        <v>0</v>
      </c>
      <c r="G147" s="106">
        <f>'Cash Flow %s Yr2'!G147</f>
        <v>0</v>
      </c>
      <c r="H147" s="106">
        <f>'Cash Flow %s Yr2'!H147</f>
        <v>0</v>
      </c>
      <c r="I147" s="106">
        <f>'Cash Flow %s Yr2'!I147</f>
        <v>0</v>
      </c>
      <c r="J147" s="106">
        <f>'Cash Flow %s Yr2'!J147</f>
        <v>0</v>
      </c>
      <c r="K147" s="106">
        <f>'Cash Flow %s Yr2'!K147</f>
        <v>0</v>
      </c>
      <c r="L147" s="106">
        <f>'Cash Flow %s Yr2'!L147</f>
        <v>0</v>
      </c>
      <c r="M147" s="106">
        <f>'Cash Flow %s Yr2'!M147</f>
        <v>0</v>
      </c>
      <c r="N147" s="106">
        <f>'Cash Flow %s Yr2'!N147</f>
        <v>0</v>
      </c>
      <c r="O147" s="106">
        <f>'Cash Flow %s Yr2'!O147</f>
        <v>1</v>
      </c>
      <c r="P147" s="106">
        <f>'Cash Flow %s Yr2'!P147</f>
        <v>0</v>
      </c>
      <c r="Q147" s="106">
        <f>'Cash Flow %s Yr2'!Q147</f>
        <v>0</v>
      </c>
      <c r="R147" s="106">
        <f>'Cash Flow %s Yr2'!R147</f>
        <v>0</v>
      </c>
      <c r="S147" s="105">
        <f>SUM(D147:R147)</f>
        <v>1</v>
      </c>
    </row>
    <row r="148" spans="1:24" s="30" customFormat="1" x14ac:dyDescent="0.3">
      <c r="A148" s="35"/>
      <c r="B148" s="118"/>
      <c r="C148" s="87"/>
      <c r="D148" s="94"/>
      <c r="E148" s="94"/>
      <c r="F148" s="94"/>
      <c r="G148" s="94"/>
      <c r="H148" s="94"/>
      <c r="I148" s="102"/>
      <c r="J148" s="102"/>
      <c r="K148" s="102"/>
      <c r="L148" s="102"/>
      <c r="M148" s="102"/>
      <c r="N148" s="102"/>
      <c r="O148" s="102"/>
      <c r="P148" s="102"/>
      <c r="Q148" s="102"/>
      <c r="R148" s="102"/>
      <c r="S148" s="105"/>
    </row>
    <row r="149" spans="1:24" s="30" customFormat="1" x14ac:dyDescent="0.3">
      <c r="A149" s="35"/>
      <c r="B149" s="4"/>
      <c r="C149" s="3"/>
      <c r="D149" s="89"/>
      <c r="E149" s="98"/>
      <c r="F149" s="98"/>
      <c r="G149" s="89"/>
      <c r="H149" s="89"/>
      <c r="I149" s="89"/>
      <c r="J149" s="89"/>
      <c r="K149" s="89"/>
      <c r="L149" s="89"/>
      <c r="M149" s="89"/>
      <c r="N149" s="89"/>
      <c r="O149" s="89"/>
      <c r="P149" s="89"/>
      <c r="Q149" s="89"/>
      <c r="R149" s="89"/>
      <c r="S149" s="105"/>
    </row>
    <row r="150" spans="1:24" s="30" customFormat="1" x14ac:dyDescent="0.3">
      <c r="B150" s="33" t="s">
        <v>723</v>
      </c>
      <c r="C150" s="3"/>
      <c r="D150" s="89"/>
      <c r="E150" s="98"/>
      <c r="F150" s="98"/>
      <c r="G150" s="89"/>
      <c r="H150" s="89"/>
      <c r="I150" s="89"/>
      <c r="J150" s="89"/>
      <c r="K150" s="89"/>
      <c r="L150" s="89"/>
      <c r="M150" s="89"/>
      <c r="N150" s="89"/>
      <c r="O150" s="89"/>
      <c r="P150" s="89"/>
      <c r="Q150" s="89"/>
      <c r="R150" s="89"/>
      <c r="S150" s="105"/>
    </row>
    <row r="151" spans="1:24" s="30" customFormat="1" x14ac:dyDescent="0.3">
      <c r="A151" s="35"/>
      <c r="B151" s="62" t="str">
        <f>'Expenses Summary'!B110</f>
        <v>7000</v>
      </c>
      <c r="C151" s="62" t="str">
        <f>'Expenses Summary'!C110</f>
        <v>Miscellaneous Expense</v>
      </c>
      <c r="D151" s="106">
        <f>'Cash Flow %s Yr2'!D151</f>
        <v>0.05</v>
      </c>
      <c r="E151" s="106">
        <f>'Cash Flow %s Yr2'!E151</f>
        <v>0.05</v>
      </c>
      <c r="F151" s="106">
        <f>'Cash Flow %s Yr2'!F151</f>
        <v>0.09</v>
      </c>
      <c r="G151" s="106">
        <f>'Cash Flow %s Yr2'!G151</f>
        <v>0.09</v>
      </c>
      <c r="H151" s="106">
        <f>'Cash Flow %s Yr2'!H151</f>
        <v>0.09</v>
      </c>
      <c r="I151" s="106">
        <f>'Cash Flow %s Yr2'!I151</f>
        <v>0.09</v>
      </c>
      <c r="J151" s="106">
        <f>'Cash Flow %s Yr2'!J151</f>
        <v>0.09</v>
      </c>
      <c r="K151" s="106">
        <f>'Cash Flow %s Yr2'!K151</f>
        <v>0.09</v>
      </c>
      <c r="L151" s="106">
        <f>'Cash Flow %s Yr2'!L151</f>
        <v>0.09</v>
      </c>
      <c r="M151" s="106">
        <f>'Cash Flow %s Yr2'!M151</f>
        <v>0.09</v>
      </c>
      <c r="N151" s="106">
        <f>'Cash Flow %s Yr2'!N151</f>
        <v>0.09</v>
      </c>
      <c r="O151" s="106">
        <f>'Cash Flow %s Yr2'!O151</f>
        <v>0.09</v>
      </c>
      <c r="P151" s="106">
        <f>'Cash Flow %s Yr2'!P151</f>
        <v>0</v>
      </c>
      <c r="Q151" s="106">
        <f>'Cash Flow %s Yr2'!Q151</f>
        <v>0</v>
      </c>
      <c r="R151" s="106">
        <f>'Cash Flow %s Yr2'!R151</f>
        <v>0</v>
      </c>
      <c r="S151" s="105">
        <f>SUM(D151:R151)</f>
        <v>0.99999999999999978</v>
      </c>
    </row>
    <row r="152" spans="1:24" s="30" customFormat="1" x14ac:dyDescent="0.3">
      <c r="A152" s="35"/>
      <c r="B152" s="62" t="e">
        <f>'Expenses Summary'!#REF!</f>
        <v>#REF!</v>
      </c>
      <c r="C152" s="62" t="e">
        <f>'Expenses Summary'!#REF!</f>
        <v>#REF!</v>
      </c>
      <c r="D152" s="106">
        <f>'Cash Flow %s Yr2'!D152</f>
        <v>0</v>
      </c>
      <c r="E152" s="106">
        <f>'Cash Flow %s Yr2'!E152</f>
        <v>0</v>
      </c>
      <c r="F152" s="106">
        <f>'Cash Flow %s Yr2'!F152</f>
        <v>0.1</v>
      </c>
      <c r="G152" s="106">
        <f>'Cash Flow %s Yr2'!G152</f>
        <v>0.1</v>
      </c>
      <c r="H152" s="106">
        <f>'Cash Flow %s Yr2'!H152</f>
        <v>0.1</v>
      </c>
      <c r="I152" s="106">
        <f>'Cash Flow %s Yr2'!I152</f>
        <v>0.1</v>
      </c>
      <c r="J152" s="106">
        <f>'Cash Flow %s Yr2'!J152</f>
        <v>0.1</v>
      </c>
      <c r="K152" s="106">
        <f>'Cash Flow %s Yr2'!K152</f>
        <v>0.1</v>
      </c>
      <c r="L152" s="106">
        <f>'Cash Flow %s Yr2'!L152</f>
        <v>0.1</v>
      </c>
      <c r="M152" s="106">
        <f>'Cash Flow %s Yr2'!M152</f>
        <v>0.1</v>
      </c>
      <c r="N152" s="106">
        <f>'Cash Flow %s Yr2'!N152</f>
        <v>0.1</v>
      </c>
      <c r="O152" s="106">
        <f>'Cash Flow %s Yr2'!O152</f>
        <v>0.1</v>
      </c>
      <c r="P152" s="106">
        <f>'Cash Flow %s Yr2'!P152</f>
        <v>0</v>
      </c>
      <c r="Q152" s="106">
        <f>'Cash Flow %s Yr2'!Q152</f>
        <v>0</v>
      </c>
      <c r="R152" s="106">
        <f>'Cash Flow %s Yr2'!R152</f>
        <v>0</v>
      </c>
      <c r="S152" s="105">
        <f>SUM(D152:R152)</f>
        <v>0.99999999999999989</v>
      </c>
    </row>
    <row r="153" spans="1:24" s="30" customFormat="1" x14ac:dyDescent="0.3">
      <c r="A153" s="35"/>
      <c r="B153" s="62" t="str">
        <f>'Expenses Summary'!B111</f>
        <v>7438</v>
      </c>
      <c r="C153" s="62" t="str">
        <f>'Expenses Summary'!C111</f>
        <v xml:space="preserve">Debt </v>
      </c>
      <c r="D153" s="106">
        <f>'Cash Flow %s Yr2'!D153</f>
        <v>0</v>
      </c>
      <c r="E153" s="106">
        <f>'Cash Flow %s Yr2'!E153</f>
        <v>0</v>
      </c>
      <c r="F153" s="106">
        <f>'Cash Flow %s Yr2'!F153</f>
        <v>0</v>
      </c>
      <c r="G153" s="106">
        <f>'Cash Flow %s Yr2'!G153</f>
        <v>0</v>
      </c>
      <c r="H153" s="106">
        <f>'Cash Flow %s Yr2'!H153</f>
        <v>0</v>
      </c>
      <c r="I153" s="106">
        <f>'Cash Flow %s Yr2'!I153</f>
        <v>0</v>
      </c>
      <c r="J153" s="106">
        <f>'Cash Flow %s Yr2'!J153</f>
        <v>0</v>
      </c>
      <c r="K153" s="106">
        <f>'Cash Flow %s Yr2'!K153</f>
        <v>0</v>
      </c>
      <c r="L153" s="106">
        <f>'Cash Flow %s Yr2'!L153</f>
        <v>0</v>
      </c>
      <c r="M153" s="106">
        <f>'Cash Flow %s Yr2'!M153</f>
        <v>0</v>
      </c>
      <c r="N153" s="106">
        <f>'Cash Flow %s Yr2'!N153</f>
        <v>0</v>
      </c>
      <c r="O153" s="106">
        <f>'Cash Flow %s Yr2'!O153</f>
        <v>1</v>
      </c>
      <c r="P153" s="106">
        <f>'Cash Flow %s Yr2'!P153</f>
        <v>0</v>
      </c>
      <c r="Q153" s="106">
        <f>'Cash Flow %s Yr2'!Q153</f>
        <v>0</v>
      </c>
      <c r="R153" s="106">
        <f>'Cash Flow %s Yr2'!R153</f>
        <v>0</v>
      </c>
      <c r="S153" s="105">
        <f>SUM(D153:R153)</f>
        <v>1</v>
      </c>
    </row>
    <row r="154" spans="1:24" s="30" customFormat="1" x14ac:dyDescent="0.3">
      <c r="A154" s="35"/>
      <c r="B154" s="62" t="str">
        <f>'Expenses Summary'!B112</f>
        <v>8910</v>
      </c>
      <c r="C154" s="62" t="str">
        <f>'Expenses Summary'!C112</f>
        <v>Transfer in From LLC</v>
      </c>
      <c r="D154" s="106">
        <f>'Cash Flow %s Yr2'!D154</f>
        <v>0</v>
      </c>
      <c r="E154" s="106">
        <f>'Cash Flow %s Yr2'!E154</f>
        <v>0</v>
      </c>
      <c r="F154" s="106">
        <f>'Cash Flow %s Yr2'!F154</f>
        <v>0</v>
      </c>
      <c r="G154" s="106">
        <f>'Cash Flow %s Yr2'!G154</f>
        <v>0</v>
      </c>
      <c r="H154" s="106">
        <f>'Cash Flow %s Yr2'!H154</f>
        <v>0</v>
      </c>
      <c r="I154" s="106">
        <f>'Cash Flow %s Yr2'!I154</f>
        <v>0</v>
      </c>
      <c r="J154" s="106">
        <f>'Cash Flow %s Yr2'!J154</f>
        <v>0</v>
      </c>
      <c r="K154" s="106">
        <f>'Cash Flow %s Yr2'!K154</f>
        <v>0</v>
      </c>
      <c r="L154" s="106">
        <f>'Cash Flow %s Yr2'!L154</f>
        <v>0</v>
      </c>
      <c r="M154" s="106">
        <f>'Cash Flow %s Yr2'!M154</f>
        <v>0</v>
      </c>
      <c r="N154" s="106">
        <f>'Cash Flow %s Yr2'!N154</f>
        <v>0</v>
      </c>
      <c r="O154" s="106">
        <f>'Cash Flow %s Yr2'!O154</f>
        <v>1</v>
      </c>
      <c r="P154" s="106">
        <f>'Cash Flow %s Yr2'!P154</f>
        <v>0</v>
      </c>
      <c r="Q154" s="106">
        <f>'Cash Flow %s Yr2'!Q154</f>
        <v>0</v>
      </c>
      <c r="R154" s="106">
        <f>'Cash Flow %s Yr2'!R154</f>
        <v>0</v>
      </c>
      <c r="S154" s="105">
        <f>SUM(D154:R154)</f>
        <v>1</v>
      </c>
    </row>
    <row r="155" spans="1:24" s="30" customFormat="1" x14ac:dyDescent="0.3">
      <c r="A155" s="35"/>
      <c r="B155" s="39"/>
      <c r="C155" s="1"/>
      <c r="D155" s="99"/>
      <c r="E155" s="99"/>
      <c r="F155" s="99"/>
      <c r="G155" s="99"/>
      <c r="H155" s="99"/>
      <c r="I155" s="99"/>
      <c r="J155" s="99"/>
      <c r="K155" s="99"/>
      <c r="L155" s="99"/>
      <c r="M155" s="99"/>
      <c r="N155" s="99"/>
      <c r="O155" s="99"/>
      <c r="P155" s="99"/>
      <c r="Q155" s="99"/>
      <c r="R155" s="99"/>
      <c r="S155" s="105"/>
    </row>
    <row r="156" spans="1:24" s="30" customFormat="1" x14ac:dyDescent="0.3">
      <c r="A156" s="35"/>
      <c r="B156" s="39"/>
      <c r="C156" s="1"/>
      <c r="D156" s="89"/>
      <c r="E156" s="89"/>
      <c r="F156" s="89"/>
      <c r="G156" s="89"/>
      <c r="H156" s="89"/>
      <c r="I156" s="89"/>
      <c r="J156" s="89"/>
      <c r="K156" s="89"/>
      <c r="L156" s="89"/>
      <c r="M156" s="89"/>
      <c r="N156" s="89"/>
      <c r="O156" s="89"/>
      <c r="P156" s="89"/>
      <c r="Q156" s="89"/>
      <c r="R156" s="89"/>
      <c r="S156" s="105"/>
      <c r="T156" s="148"/>
    </row>
    <row r="157" spans="1:24" s="30" customFormat="1" x14ac:dyDescent="0.3">
      <c r="A157" s="35"/>
      <c r="B157" s="33" t="s">
        <v>818</v>
      </c>
      <c r="C157" s="3"/>
      <c r="D157" s="89"/>
      <c r="E157" s="98"/>
      <c r="F157" s="98"/>
      <c r="G157" s="89"/>
      <c r="H157" s="89"/>
      <c r="I157" s="89"/>
      <c r="J157" s="89"/>
      <c r="K157" s="89"/>
      <c r="L157" s="89"/>
      <c r="M157" s="89"/>
      <c r="N157" s="89"/>
      <c r="O157" s="89"/>
      <c r="P157" s="89"/>
      <c r="Q157" s="89"/>
      <c r="R157" s="89"/>
      <c r="S157" s="105"/>
    </row>
    <row r="158" spans="1:24" s="30" customFormat="1" x14ac:dyDescent="0.3">
      <c r="A158" s="35"/>
      <c r="B158" s="62"/>
      <c r="C158" s="129" t="s">
        <v>819</v>
      </c>
      <c r="D158" s="106">
        <f>'Cash Flow %s Yr2'!D158</f>
        <v>1</v>
      </c>
      <c r="E158" s="106">
        <f>'Cash Flow %s Yr2'!E158</f>
        <v>0</v>
      </c>
      <c r="F158" s="106">
        <f>'Cash Flow %s Yr2'!F158</f>
        <v>0</v>
      </c>
      <c r="G158" s="106">
        <f>'Cash Flow %s Yr2'!G158</f>
        <v>0</v>
      </c>
      <c r="H158" s="106">
        <f>'Cash Flow %s Yr2'!H158</f>
        <v>0</v>
      </c>
      <c r="I158" s="106">
        <f>'Cash Flow %s Yr2'!I158</f>
        <v>0</v>
      </c>
      <c r="J158" s="106">
        <f>'Cash Flow %s Yr2'!J158</f>
        <v>0</v>
      </c>
      <c r="K158" s="106">
        <f>'Cash Flow %s Yr2'!K158</f>
        <v>0</v>
      </c>
      <c r="L158" s="106">
        <f>'Cash Flow %s Yr2'!L158</f>
        <v>0</v>
      </c>
      <c r="M158" s="106">
        <f>'Cash Flow %s Yr2'!M158</f>
        <v>0</v>
      </c>
      <c r="N158" s="106">
        <f>'Cash Flow %s Yr2'!N158</f>
        <v>0</v>
      </c>
      <c r="O158" s="106">
        <f>'Cash Flow %s Yr2'!O158</f>
        <v>0</v>
      </c>
      <c r="P158" s="106">
        <f>'Cash Flow %s Yr2'!P158</f>
        <v>0</v>
      </c>
      <c r="Q158" s="106">
        <f>'Cash Flow %s Yr2'!Q158</f>
        <v>0</v>
      </c>
      <c r="R158" s="106">
        <f>'Cash Flow %s Yr2'!R158</f>
        <v>0</v>
      </c>
      <c r="S158" s="105">
        <f>SUM(D158:R158)</f>
        <v>1</v>
      </c>
      <c r="T158" s="143"/>
      <c r="U158" s="143"/>
      <c r="V158" s="143"/>
      <c r="W158" s="143"/>
      <c r="X158" s="143"/>
    </row>
    <row r="159" spans="1:24" s="30" customFormat="1" x14ac:dyDescent="0.3">
      <c r="A159" s="35"/>
      <c r="B159" s="62"/>
      <c r="C159" s="129" t="s">
        <v>820</v>
      </c>
      <c r="D159" s="106">
        <f>'Cash Flow %s Yr2'!D159</f>
        <v>0.6</v>
      </c>
      <c r="E159" s="106">
        <f>'Cash Flow %s Yr2'!E159</f>
        <v>0.25</v>
      </c>
      <c r="F159" s="106">
        <f>'Cash Flow %s Yr2'!F159</f>
        <v>0.1</v>
      </c>
      <c r="G159" s="106">
        <f>'Cash Flow %s Yr2'!G159</f>
        <v>0.05</v>
      </c>
      <c r="H159" s="106">
        <f>'Cash Flow %s Yr2'!H159</f>
        <v>0</v>
      </c>
      <c r="I159" s="106">
        <f>'Cash Flow %s Yr2'!I159</f>
        <v>0</v>
      </c>
      <c r="J159" s="106">
        <f>'Cash Flow %s Yr2'!J159</f>
        <v>0</v>
      </c>
      <c r="K159" s="106">
        <f>'Cash Flow %s Yr2'!K159</f>
        <v>0</v>
      </c>
      <c r="L159" s="106">
        <f>'Cash Flow %s Yr2'!L159</f>
        <v>0</v>
      </c>
      <c r="M159" s="106">
        <f>'Cash Flow %s Yr2'!M159</f>
        <v>0</v>
      </c>
      <c r="N159" s="106">
        <f>'Cash Flow %s Yr2'!N159</f>
        <v>0</v>
      </c>
      <c r="O159" s="106">
        <f>'Cash Flow %s Yr2'!O159</f>
        <v>0</v>
      </c>
      <c r="P159" s="106">
        <f>'Cash Flow %s Yr2'!P159</f>
        <v>0</v>
      </c>
      <c r="Q159" s="106">
        <f>'Cash Flow %s Yr2'!Q159</f>
        <v>0</v>
      </c>
      <c r="R159" s="106">
        <f>'Cash Flow %s Yr2'!R159</f>
        <v>0</v>
      </c>
      <c r="S159" s="105">
        <f>SUM(D159:R159)</f>
        <v>1</v>
      </c>
      <c r="T159" s="143"/>
      <c r="U159" s="143"/>
      <c r="V159" s="143"/>
      <c r="W159" s="143"/>
      <c r="X159" s="143"/>
    </row>
    <row r="160" spans="1:24" s="30" customFormat="1" x14ac:dyDescent="0.3">
      <c r="A160" s="35"/>
      <c r="B160" s="62"/>
      <c r="C160" s="129" t="s">
        <v>821</v>
      </c>
      <c r="D160" s="106">
        <f>'Cash Flow %s Yr2'!D160</f>
        <v>0.5</v>
      </c>
      <c r="E160" s="106">
        <f>'Cash Flow %s Yr2'!E160</f>
        <v>0.3</v>
      </c>
      <c r="F160" s="106">
        <f>'Cash Flow %s Yr2'!F160</f>
        <v>0.2</v>
      </c>
      <c r="G160" s="106">
        <f>'Cash Flow %s Yr2'!G160</f>
        <v>0</v>
      </c>
      <c r="H160" s="106">
        <f>'Cash Flow %s Yr2'!H160</f>
        <v>0</v>
      </c>
      <c r="I160" s="106">
        <f>'Cash Flow %s Yr2'!I160</f>
        <v>0</v>
      </c>
      <c r="J160" s="106">
        <f>'Cash Flow %s Yr2'!J160</f>
        <v>0</v>
      </c>
      <c r="K160" s="106">
        <f>'Cash Flow %s Yr2'!K160</f>
        <v>0</v>
      </c>
      <c r="L160" s="106">
        <f>'Cash Flow %s Yr2'!L160</f>
        <v>0</v>
      </c>
      <c r="M160" s="106">
        <f>'Cash Flow %s Yr2'!M160</f>
        <v>0</v>
      </c>
      <c r="N160" s="106">
        <f>'Cash Flow %s Yr2'!N160</f>
        <v>0</v>
      </c>
      <c r="O160" s="106">
        <f>'Cash Flow %s Yr2'!O160</f>
        <v>0</v>
      </c>
      <c r="P160" s="106">
        <f>'Cash Flow %s Yr2'!P160</f>
        <v>0</v>
      </c>
      <c r="Q160" s="106">
        <f>'Cash Flow %s Yr2'!Q160</f>
        <v>0</v>
      </c>
      <c r="R160" s="106">
        <f>'Cash Flow %s Yr2'!R160</f>
        <v>0</v>
      </c>
      <c r="S160" s="105">
        <f>SUM(D160:R160)</f>
        <v>1</v>
      </c>
      <c r="T160" s="143"/>
      <c r="U160" s="143"/>
      <c r="V160" s="143"/>
      <c r="W160" s="143"/>
      <c r="X160" s="143"/>
    </row>
    <row r="161" spans="1:24" s="39" customFormat="1" x14ac:dyDescent="0.3">
      <c r="A161" s="35"/>
      <c r="B161" s="62"/>
      <c r="C161" s="129" t="s">
        <v>822</v>
      </c>
      <c r="D161" s="106">
        <f>'Cash Flow %s Yr2'!D161</f>
        <v>0</v>
      </c>
      <c r="E161" s="106">
        <f>'Cash Flow %s Yr2'!E161</f>
        <v>0</v>
      </c>
      <c r="F161" s="106">
        <f>'Cash Flow %s Yr2'!F161</f>
        <v>0</v>
      </c>
      <c r="G161" s="106">
        <f>'Cash Flow %s Yr2'!G161</f>
        <v>0</v>
      </c>
      <c r="H161" s="106">
        <f>'Cash Flow %s Yr2'!H161</f>
        <v>0</v>
      </c>
      <c r="I161" s="106">
        <f>'Cash Flow %s Yr2'!I161</f>
        <v>0</v>
      </c>
      <c r="J161" s="106">
        <f>'Cash Flow %s Yr2'!J161</f>
        <v>0</v>
      </c>
      <c r="K161" s="106">
        <f>'Cash Flow %s Yr2'!K161</f>
        <v>0</v>
      </c>
      <c r="L161" s="106">
        <f>'Cash Flow %s Yr2'!L161</f>
        <v>0</v>
      </c>
      <c r="M161" s="106">
        <f>'Cash Flow %s Yr2'!M161</f>
        <v>0</v>
      </c>
      <c r="N161" s="106">
        <f>'Cash Flow %s Yr2'!N161</f>
        <v>0</v>
      </c>
      <c r="O161" s="106">
        <f>'Cash Flow %s Yr2'!O161</f>
        <v>1</v>
      </c>
      <c r="P161" s="106">
        <f>'Cash Flow %s Yr2'!P161</f>
        <v>0</v>
      </c>
      <c r="Q161" s="106">
        <f>'Cash Flow %s Yr2'!Q161</f>
        <v>0</v>
      </c>
      <c r="R161" s="106">
        <f>'Cash Flow %s Yr2'!R161</f>
        <v>0</v>
      </c>
      <c r="S161" s="105">
        <f>SUM(D161:R161)</f>
        <v>1</v>
      </c>
      <c r="T161" s="143"/>
      <c r="U161" s="143"/>
      <c r="V161" s="143"/>
      <c r="W161" s="143"/>
      <c r="X161" s="143"/>
    </row>
    <row r="162" spans="1:24" s="39" customFormat="1" x14ac:dyDescent="0.3">
      <c r="A162" s="35"/>
      <c r="C162" s="1"/>
      <c r="D162" s="89"/>
      <c r="E162" s="89"/>
      <c r="F162" s="89"/>
      <c r="G162" s="89"/>
      <c r="H162" s="89"/>
      <c r="I162" s="89"/>
      <c r="J162" s="89"/>
      <c r="K162" s="89"/>
      <c r="L162" s="89"/>
      <c r="M162" s="89"/>
      <c r="N162" s="89"/>
      <c r="O162" s="89"/>
      <c r="P162" s="89"/>
      <c r="Q162" s="89"/>
      <c r="R162" s="89"/>
      <c r="S162" s="173"/>
    </row>
    <row r="163" spans="1:24" s="39" customFormat="1" x14ac:dyDescent="0.3">
      <c r="A163" s="35"/>
      <c r="C163" s="1"/>
      <c r="D163" s="89"/>
      <c r="E163" s="89"/>
      <c r="F163" s="89"/>
      <c r="G163" s="89"/>
      <c r="H163" s="89"/>
      <c r="I163" s="89"/>
      <c r="J163" s="89"/>
      <c r="K163" s="89"/>
      <c r="L163" s="89"/>
      <c r="M163" s="89"/>
      <c r="N163" s="89"/>
      <c r="O163" s="89"/>
      <c r="P163" s="89"/>
      <c r="Q163" s="89"/>
      <c r="R163" s="89"/>
      <c r="S163" s="173"/>
    </row>
    <row r="164" spans="1:24" s="39" customFormat="1" x14ac:dyDescent="0.3">
      <c r="A164" s="35"/>
      <c r="C164" s="1"/>
      <c r="D164" s="89"/>
      <c r="E164" s="89"/>
      <c r="F164" s="89"/>
      <c r="G164" s="89"/>
      <c r="H164" s="89"/>
      <c r="I164" s="89"/>
      <c r="J164" s="89"/>
      <c r="K164" s="89"/>
      <c r="L164" s="89"/>
      <c r="M164" s="89"/>
      <c r="N164" s="89"/>
      <c r="O164" s="89"/>
      <c r="P164" s="89"/>
      <c r="Q164" s="89"/>
      <c r="R164" s="89"/>
      <c r="S164" s="173"/>
    </row>
    <row r="165" spans="1:24" s="39" customFormat="1" x14ac:dyDescent="0.3">
      <c r="A165" s="35"/>
      <c r="C165" s="1"/>
      <c r="D165" s="89"/>
      <c r="E165" s="89"/>
      <c r="F165" s="89"/>
      <c r="G165" s="89"/>
      <c r="H165" s="89"/>
      <c r="I165" s="89"/>
      <c r="J165" s="89"/>
      <c r="K165" s="89"/>
      <c r="L165" s="89"/>
      <c r="M165" s="89"/>
      <c r="N165" s="89"/>
      <c r="O165" s="89"/>
      <c r="P165" s="89"/>
      <c r="Q165" s="89"/>
      <c r="R165" s="89"/>
      <c r="S165" s="173"/>
    </row>
    <row r="166" spans="1:24" s="39" customFormat="1" x14ac:dyDescent="0.3">
      <c r="A166" s="35"/>
      <c r="C166" s="1"/>
      <c r="D166" s="89"/>
      <c r="E166" s="89"/>
      <c r="F166" s="89"/>
      <c r="G166" s="89"/>
      <c r="H166" s="89"/>
      <c r="I166" s="89"/>
      <c r="J166" s="89"/>
      <c r="K166" s="89"/>
      <c r="L166" s="89"/>
      <c r="M166" s="89"/>
      <c r="N166" s="89"/>
      <c r="O166" s="89"/>
      <c r="P166" s="89"/>
      <c r="Q166" s="89"/>
      <c r="R166" s="89"/>
      <c r="S166" s="173"/>
    </row>
    <row r="167" spans="1:24" s="39" customFormat="1" x14ac:dyDescent="0.3">
      <c r="A167" s="35"/>
      <c r="C167" s="1"/>
      <c r="D167" s="89"/>
      <c r="E167" s="89"/>
      <c r="F167" s="89"/>
      <c r="G167" s="89"/>
      <c r="H167" s="89"/>
      <c r="I167" s="89"/>
      <c r="J167" s="89"/>
      <c r="K167" s="89"/>
      <c r="L167" s="89"/>
      <c r="M167" s="89"/>
      <c r="N167" s="89"/>
      <c r="O167" s="89"/>
      <c r="P167" s="89"/>
      <c r="Q167" s="89"/>
      <c r="R167" s="89"/>
      <c r="S167" s="173"/>
    </row>
    <row r="168" spans="1:24" s="39" customFormat="1" x14ac:dyDescent="0.3">
      <c r="A168" s="35"/>
      <c r="C168" s="1"/>
      <c r="D168" s="89"/>
      <c r="E168" s="89"/>
      <c r="F168" s="89"/>
      <c r="G168" s="89"/>
      <c r="H168" s="89"/>
      <c r="I168" s="89"/>
      <c r="J168" s="89"/>
      <c r="K168" s="89"/>
      <c r="L168" s="89"/>
      <c r="M168" s="89"/>
      <c r="N168" s="89"/>
      <c r="O168" s="89"/>
      <c r="P168" s="89"/>
      <c r="Q168" s="89"/>
      <c r="R168" s="89"/>
      <c r="S168" s="173"/>
    </row>
    <row r="169" spans="1:24" s="39" customFormat="1" x14ac:dyDescent="0.3">
      <c r="A169" s="35"/>
      <c r="C169" s="1"/>
      <c r="D169" s="89"/>
      <c r="E169" s="89"/>
      <c r="F169" s="89"/>
      <c r="G169" s="89"/>
      <c r="H169" s="89"/>
      <c r="I169" s="89"/>
      <c r="J169" s="89"/>
      <c r="K169" s="89"/>
      <c r="L169" s="89"/>
      <c r="M169" s="89"/>
      <c r="N169" s="89"/>
      <c r="O169" s="89"/>
      <c r="P169" s="89"/>
      <c r="Q169" s="89"/>
      <c r="R169" s="89"/>
      <c r="S169" s="173"/>
    </row>
    <row r="170" spans="1:24" x14ac:dyDescent="0.3">
      <c r="S170" s="173"/>
    </row>
    <row r="171" spans="1:24" x14ac:dyDescent="0.3">
      <c r="S171" s="173"/>
    </row>
    <row r="172" spans="1:24" x14ac:dyDescent="0.3">
      <c r="S172" s="173"/>
    </row>
    <row r="173" spans="1:24" x14ac:dyDescent="0.3">
      <c r="S173" s="173"/>
    </row>
  </sheetData>
  <pageMargins left="0.25" right="0.25" top="0.5" bottom="0.5" header="0.25" footer="0.25"/>
  <pageSetup scale="59" fitToHeight="3" orientation="landscape" r:id="rId1"/>
  <headerFooter alignWithMargins="0">
    <oddHeader>&amp;A</oddHeader>
    <oddFooter>Page &amp;P</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499984740745262"/>
    <pageSetUpPr fitToPage="1"/>
  </sheetPr>
  <dimension ref="A1:Z89"/>
  <sheetViews>
    <sheetView zoomScale="80" zoomScaleNormal="80" workbookViewId="0">
      <pane xSplit="3" ySplit="6" topLeftCell="E7" activePane="bottomRight" state="frozen"/>
      <selection activeCell="S20" sqref="S20"/>
      <selection pane="topRight" activeCell="S20" sqref="S20"/>
      <selection pane="bottomLeft" activeCell="S20" sqref="S20"/>
      <selection pane="bottomRight" activeCell="I3" sqref="I3"/>
    </sheetView>
  </sheetViews>
  <sheetFormatPr defaultColWidth="9.109375" defaultRowHeight="15.6" outlineLevelRow="1" x14ac:dyDescent="0.3"/>
  <cols>
    <col min="1" max="1" width="5.44140625" style="6" customWidth="1"/>
    <col min="2" max="2" width="16.109375" style="7" customWidth="1"/>
    <col min="3" max="3" width="20.6640625" style="267" customWidth="1"/>
    <col min="4" max="4" width="26" style="267" customWidth="1"/>
    <col min="5" max="5" width="12.6640625" style="217" customWidth="1"/>
    <col min="6" max="8" width="9.109375" style="7"/>
    <col min="9" max="10" width="14.5546875" style="7" bestFit="1" customWidth="1"/>
    <col min="11" max="11" width="11.5546875" style="7" bestFit="1" customWidth="1"/>
    <col min="12" max="12" width="11.5546875" style="7" customWidth="1"/>
    <col min="13" max="13" width="14.6640625" style="6" bestFit="1" customWidth="1"/>
    <col min="14" max="14" width="17.44140625" style="7" bestFit="1" customWidth="1"/>
    <col min="15" max="15" width="17" style="6" bestFit="1" customWidth="1"/>
    <col min="16" max="18" width="12.109375" style="6" customWidth="1"/>
    <col min="19" max="19" width="12.109375" style="7" customWidth="1"/>
    <col min="20" max="21" width="15.5546875" style="6" customWidth="1"/>
    <col min="22" max="22" width="19.44140625" style="6" customWidth="1"/>
    <col min="23" max="23" width="18.44140625" style="6" customWidth="1"/>
    <col min="24" max="24" width="19.6640625" style="6" customWidth="1"/>
    <col min="25" max="26" width="15.5546875" style="6" customWidth="1"/>
    <col min="27" max="16384" width="9.109375" style="6"/>
  </cols>
  <sheetData>
    <row r="1" spans="1:26" ht="20.399999999999999" x14ac:dyDescent="0.35">
      <c r="A1" s="21" t="str">
        <f>'Student Info'!$A$1</f>
        <v>Three Rivers - 23-65565-0123737</v>
      </c>
    </row>
    <row r="2" spans="1:26" ht="17.399999999999999" x14ac:dyDescent="0.3">
      <c r="A2" s="20" t="s">
        <v>725</v>
      </c>
      <c r="I2" s="180">
        <v>0.03</v>
      </c>
      <c r="J2" s="181" t="s">
        <v>1013</v>
      </c>
      <c r="O2" s="8">
        <v>0.191</v>
      </c>
      <c r="P2" s="276">
        <v>0.27100000000000002</v>
      </c>
      <c r="Q2" s="8">
        <f>'Employee Input 22-23'!Q2</f>
        <v>6.25E-2</v>
      </c>
      <c r="R2" s="8">
        <f>'Employee Input 22-23'!R2</f>
        <v>1.4500000000000001E-2</v>
      </c>
      <c r="S2" s="277">
        <f>+'Employee Input 20-21'!S2</f>
        <v>500</v>
      </c>
      <c r="U2" s="277">
        <v>400</v>
      </c>
      <c r="V2" s="8">
        <f>'Employee Input 22-23'!V2</f>
        <v>1.2999999999999999E-2</v>
      </c>
      <c r="X2" s="12">
        <f>(0.08*$M2/1000)+(0.025*$M2/1000)+(0.14%*$M2)+(0.05*$M2/10)</f>
        <v>0</v>
      </c>
    </row>
    <row r="3" spans="1:26" ht="17.399999999999999" x14ac:dyDescent="0.3">
      <c r="A3" s="20" t="str">
        <f>'Student Info'!G6</f>
        <v>2023-24</v>
      </c>
      <c r="O3" s="9" t="s">
        <v>562</v>
      </c>
      <c r="P3" s="9" t="s">
        <v>563</v>
      </c>
      <c r="Q3" s="9" t="s">
        <v>1018</v>
      </c>
      <c r="R3" s="9" t="s">
        <v>671</v>
      </c>
      <c r="S3" s="9" t="s">
        <v>566</v>
      </c>
      <c r="T3" s="9"/>
      <c r="U3" s="9" t="s">
        <v>669</v>
      </c>
      <c r="V3" s="9" t="s">
        <v>670</v>
      </c>
      <c r="W3" s="9"/>
      <c r="X3" s="9" t="s">
        <v>1025</v>
      </c>
    </row>
    <row r="4" spans="1:26" ht="27" customHeight="1" x14ac:dyDescent="0.3"/>
    <row r="5" spans="1:26" x14ac:dyDescent="0.3">
      <c r="B5" s="13" t="s">
        <v>0</v>
      </c>
      <c r="J5" s="17" t="s">
        <v>676</v>
      </c>
      <c r="K5" s="13" t="s">
        <v>742</v>
      </c>
      <c r="L5" s="18"/>
      <c r="M5" s="17" t="s">
        <v>674</v>
      </c>
      <c r="N5" s="13" t="s">
        <v>729</v>
      </c>
      <c r="O5" s="284" t="s">
        <v>30</v>
      </c>
      <c r="P5" s="284" t="s">
        <v>38</v>
      </c>
      <c r="Q5" s="284" t="s">
        <v>1014</v>
      </c>
      <c r="R5" s="284" t="s">
        <v>1016</v>
      </c>
      <c r="S5" s="43" t="s">
        <v>564</v>
      </c>
      <c r="T5" s="284" t="s">
        <v>717</v>
      </c>
      <c r="U5" s="284" t="s">
        <v>718</v>
      </c>
      <c r="V5" s="284" t="s">
        <v>719</v>
      </c>
      <c r="W5" s="284" t="s">
        <v>1023</v>
      </c>
      <c r="X5" s="284" t="s">
        <v>1022</v>
      </c>
      <c r="Y5" s="19" t="s">
        <v>672</v>
      </c>
      <c r="Z5" s="17" t="s">
        <v>676</v>
      </c>
    </row>
    <row r="6" spans="1:26" ht="16.2" thickBot="1" x14ac:dyDescent="0.35">
      <c r="A6" s="22"/>
      <c r="B6" s="23"/>
      <c r="C6" s="268"/>
      <c r="D6" s="268" t="s">
        <v>2</v>
      </c>
      <c r="E6" s="24" t="s">
        <v>4</v>
      </c>
      <c r="F6" s="23" t="s">
        <v>3</v>
      </c>
      <c r="G6" s="23"/>
      <c r="H6" s="23"/>
      <c r="I6" s="23" t="s">
        <v>5</v>
      </c>
      <c r="J6" s="25" t="s">
        <v>739</v>
      </c>
      <c r="K6" s="23" t="s">
        <v>743</v>
      </c>
      <c r="L6" s="23" t="s">
        <v>741</v>
      </c>
      <c r="M6" s="25" t="s">
        <v>675</v>
      </c>
      <c r="N6" s="23" t="s">
        <v>730</v>
      </c>
      <c r="O6" s="26" t="s">
        <v>6</v>
      </c>
      <c r="P6" s="26" t="s">
        <v>7</v>
      </c>
      <c r="Q6" s="190" t="s">
        <v>1015</v>
      </c>
      <c r="R6" s="190" t="s">
        <v>1017</v>
      </c>
      <c r="S6" s="24" t="s">
        <v>565</v>
      </c>
      <c r="T6" s="26" t="s">
        <v>1019</v>
      </c>
      <c r="U6" s="190" t="s">
        <v>1020</v>
      </c>
      <c r="V6" s="190" t="s">
        <v>1021</v>
      </c>
      <c r="W6" s="26" t="s">
        <v>1024</v>
      </c>
      <c r="X6" s="190" t="s">
        <v>1027</v>
      </c>
      <c r="Y6" s="27" t="s">
        <v>673</v>
      </c>
      <c r="Z6" s="25" t="s">
        <v>675</v>
      </c>
    </row>
    <row r="7" spans="1:26" x14ac:dyDescent="0.3">
      <c r="B7" s="14">
        <f>IF('Employee Input 22-23'!B7="","",'Employee Input 22-23'!B7)</f>
        <v>0</v>
      </c>
      <c r="C7" s="269"/>
      <c r="D7" s="269">
        <f>IF('Employee Input 22-23'!D7="","",'Employee Input 22-23'!D7)</f>
        <v>0</v>
      </c>
      <c r="E7" s="14">
        <f>IF('Employee Input 22-23'!E7="","",'Employee Input 22-23'!E7)</f>
        <v>0</v>
      </c>
      <c r="F7" s="14" t="str">
        <f>IF('Employee Input 22-23'!F7="","",'Employee Input 22-23'!F7)</f>
        <v/>
      </c>
      <c r="G7" s="14"/>
      <c r="H7" s="14"/>
      <c r="I7" s="230">
        <f>IF('Employee Input 22-23'!I7="","",'Employee Input 22-23'!I7)*(1+$I$2)</f>
        <v>0</v>
      </c>
      <c r="J7" s="10">
        <f>+I7</f>
        <v>0</v>
      </c>
      <c r="K7" s="11">
        <f>IF('Employee Input 22-23'!K7="","",'Employee Input 22-23'!K7)</f>
        <v>0</v>
      </c>
      <c r="L7" s="11">
        <f>IF('Employee Input 22-23'!L7="","",'Employee Input 22-23'!L7)</f>
        <v>0</v>
      </c>
      <c r="M7" s="10">
        <f>SUM(J7:L7)</f>
        <v>0</v>
      </c>
      <c r="N7" s="16">
        <f>IF('Employee Input 22-23'!N7="","",'Employee Input 22-23'!N7)</f>
        <v>0</v>
      </c>
      <c r="O7" s="10" t="str">
        <f>IF($N7="STRS",$O$2*$M7,"")</f>
        <v/>
      </c>
      <c r="P7" s="10" t="str">
        <f>IF($N7="PERS",$P$2*$M7,"")</f>
        <v/>
      </c>
      <c r="Q7" s="10">
        <f>IF($N7="STRS","",$Q$2*$M7)</f>
        <v>0</v>
      </c>
      <c r="R7" s="10">
        <f>$R$2*M7</f>
        <v>0</v>
      </c>
      <c r="S7" s="279"/>
      <c r="T7" s="12"/>
      <c r="U7" s="12"/>
      <c r="V7" s="12">
        <f>$V$2*$M7</f>
        <v>0</v>
      </c>
      <c r="W7" s="12"/>
      <c r="X7" s="12"/>
      <c r="Y7" s="12">
        <f>SUM(T7:X7,O7:R7)</f>
        <v>0</v>
      </c>
      <c r="Z7" s="12">
        <f>Y7+M7</f>
        <v>0</v>
      </c>
    </row>
    <row r="8" spans="1:26" x14ac:dyDescent="0.3">
      <c r="B8" s="14"/>
      <c r="C8" s="269"/>
      <c r="D8" s="269"/>
      <c r="E8" s="14"/>
      <c r="F8" s="14"/>
      <c r="G8" s="14"/>
      <c r="H8" s="14"/>
      <c r="I8" s="230"/>
      <c r="J8" s="10"/>
      <c r="K8" s="11"/>
      <c r="L8" s="11"/>
      <c r="M8" s="10"/>
      <c r="N8" s="16"/>
      <c r="O8" s="10"/>
      <c r="P8" s="10"/>
      <c r="Q8" s="10"/>
      <c r="R8" s="10"/>
      <c r="S8" s="279"/>
      <c r="T8" s="261"/>
      <c r="U8" s="12"/>
      <c r="V8" s="12"/>
      <c r="W8" s="12"/>
      <c r="X8" s="12"/>
      <c r="Y8" s="12"/>
      <c r="Z8" s="12"/>
    </row>
    <row r="9" spans="1:26" x14ac:dyDescent="0.3">
      <c r="B9" s="14">
        <f>IF('Employee Input 22-23'!B9="","",'Employee Input 22-23'!B9)</f>
        <v>1100</v>
      </c>
      <c r="C9" s="269"/>
      <c r="D9" s="269" t="str">
        <f>IF('Employee Input 22-23'!D9="","",'Employee Input 22-23'!D9)</f>
        <v>Natalie Shoptaw</v>
      </c>
      <c r="E9" s="14" t="str">
        <f>IF('Employee Input 22-23'!E9="","",'Employee Input 22-23'!E9)</f>
        <v>Teacher</v>
      </c>
      <c r="F9" s="14">
        <f>IF('Employee Input 22-23'!F9="","",'Employee Input 22-23'!F9)</f>
        <v>1</v>
      </c>
      <c r="G9" s="14" t="str">
        <f>IF('Employee Input 22-23'!G9="","",'Employee Input 22-23'!G9)</f>
        <v/>
      </c>
      <c r="H9" s="14" t="str">
        <f>IF('Employee Input 22-23'!H9="","",'Employee Input 22-23'!H9)</f>
        <v/>
      </c>
      <c r="I9" s="230">
        <f>IF('Employee Input 22-23'!I9="","",'Employee Input 22-23'!I9)*(1+$I$2)</f>
        <v>54164.249500000005</v>
      </c>
      <c r="J9" s="10">
        <f t="shared" ref="J9:J23" si="0">+I9</f>
        <v>54164.249500000005</v>
      </c>
      <c r="K9" s="11">
        <f>IF('Employee Input 22-23'!K9="","",'Employee Input 22-23'!K9)</f>
        <v>1250</v>
      </c>
      <c r="L9" s="11">
        <f>IF('Employee Input 22-23'!L9="","",'Employee Input 22-23'!L9)</f>
        <v>0</v>
      </c>
      <c r="M9" s="10">
        <f t="shared" ref="M9:M23" si="1">SUM(J9:L9)</f>
        <v>55414.249500000005</v>
      </c>
      <c r="N9" s="16" t="str">
        <f>IF('Employee Input 22-23'!N9="","",'Employee Input 22-23'!N9)</f>
        <v>STRS</v>
      </c>
      <c r="O9" s="10">
        <f t="shared" ref="O9:O15" si="2">IF($N9="STRS",$O$2*$M9,"")</f>
        <v>10584.121654500001</v>
      </c>
      <c r="P9" s="10" t="str">
        <f t="shared" ref="P9:P15" si="3">IF($N9="PERS",$P$2*$M9,"")</f>
        <v/>
      </c>
      <c r="Q9" s="10" t="str">
        <f t="shared" ref="Q9:Q15" si="4">IF($N9="STRS","",$Q$2*$M9)</f>
        <v/>
      </c>
      <c r="R9" s="10">
        <f t="shared" ref="R9:R15" si="5">$R$2*M9</f>
        <v>803.50661775000015</v>
      </c>
      <c r="S9" s="279"/>
      <c r="T9" s="261">
        <v>11464</v>
      </c>
      <c r="U9" s="12">
        <f>$U$2*F9</f>
        <v>400</v>
      </c>
      <c r="V9" s="12">
        <f t="shared" ref="V9:V15" si="6">$V$2*$M9</f>
        <v>720.3852435</v>
      </c>
      <c r="W9" s="12"/>
      <c r="X9" s="10"/>
      <c r="Y9" s="12">
        <f t="shared" ref="Y9:Y23" si="7">SUM(T9:X9,O9:R9)</f>
        <v>23972.013515750001</v>
      </c>
      <c r="Z9" s="12">
        <f t="shared" ref="Z9:Z23" si="8">Y9+M9</f>
        <v>79386.26301575001</v>
      </c>
    </row>
    <row r="10" spans="1:26" x14ac:dyDescent="0.3">
      <c r="B10" s="14">
        <f>IF('Employee Input 22-23'!B10="","",'Employee Input 22-23'!B10)</f>
        <v>1100</v>
      </c>
      <c r="C10" s="269"/>
      <c r="D10" s="269" t="str">
        <f>IF('Employee Input 22-23'!D10="","",'Employee Input 22-23'!D10)</f>
        <v>Dani Krebs</v>
      </c>
      <c r="E10" s="14" t="str">
        <f>IF('Employee Input 22-23'!E10="","",'Employee Input 22-23'!E10)</f>
        <v>Teacher</v>
      </c>
      <c r="F10" s="14">
        <f>IF('Employee Input 22-23'!F10="","",'Employee Input 22-23'!F10)</f>
        <v>1</v>
      </c>
      <c r="G10" s="14" t="str">
        <f>IF('Employee Input 22-23'!G10="","",'Employee Input 22-23'!G10)</f>
        <v/>
      </c>
      <c r="H10" s="14" t="str">
        <f>IF('Employee Input 22-23'!H10="","",'Employee Input 22-23'!H10)</f>
        <v/>
      </c>
      <c r="I10" s="230">
        <f>IF('Employee Input 22-23'!I10="","",'Employee Input 22-23'!I10)*(1+$I$2)</f>
        <v>47761.718000000001</v>
      </c>
      <c r="J10" s="10">
        <f t="shared" si="0"/>
        <v>47761.718000000001</v>
      </c>
      <c r="K10" s="11" t="str">
        <f>IF('Employee Input 22-23'!K10="","",'Employee Input 22-23'!K10)</f>
        <v/>
      </c>
      <c r="L10" s="11">
        <f>IF('Employee Input 22-23'!L10="","",'Employee Input 22-23'!L10)</f>
        <v>0</v>
      </c>
      <c r="M10" s="10">
        <f t="shared" si="1"/>
        <v>47761.718000000001</v>
      </c>
      <c r="N10" s="16" t="str">
        <f>IF('Employee Input 22-23'!N10="","",'Employee Input 22-23'!N10)</f>
        <v>STRS</v>
      </c>
      <c r="O10" s="10">
        <f t="shared" si="2"/>
        <v>9122.4881380000006</v>
      </c>
      <c r="P10" s="10" t="str">
        <f t="shared" si="3"/>
        <v/>
      </c>
      <c r="Q10" s="10" t="str">
        <f t="shared" si="4"/>
        <v/>
      </c>
      <c r="R10" s="10">
        <f t="shared" si="5"/>
        <v>692.54491100000007</v>
      </c>
      <c r="S10" s="279"/>
      <c r="T10" s="261">
        <v>9514</v>
      </c>
      <c r="U10" s="12">
        <f>$U$2*F10</f>
        <v>400</v>
      </c>
      <c r="V10" s="12">
        <f t="shared" si="6"/>
        <v>620.902334</v>
      </c>
      <c r="W10" s="12"/>
      <c r="X10" s="10"/>
      <c r="Y10" s="12">
        <f t="shared" si="7"/>
        <v>20349.935383</v>
      </c>
      <c r="Z10" s="12">
        <f t="shared" si="8"/>
        <v>68111.653382999997</v>
      </c>
    </row>
    <row r="11" spans="1:26" x14ac:dyDescent="0.3">
      <c r="B11" s="14">
        <f>IF('Employee Input 22-23'!B11="","",'Employee Input 22-23'!B11)</f>
        <v>1100</v>
      </c>
      <c r="C11" s="269"/>
      <c r="D11" s="269" t="str">
        <f>IF('Employee Input 22-23'!D11="","",'Employee Input 22-23'!D11)</f>
        <v>Michael Lang</v>
      </c>
      <c r="E11" s="14" t="str">
        <f>IF('Employee Input 22-23'!E11="","",'Employee Input 22-23'!E11)</f>
        <v>Teacher</v>
      </c>
      <c r="F11" s="14">
        <f>IF('Employee Input 22-23'!F11="","",'Employee Input 22-23'!F11)</f>
        <v>1</v>
      </c>
      <c r="G11" s="14" t="str">
        <f>IF('Employee Input 22-23'!G11="","",'Employee Input 22-23'!G11)</f>
        <v/>
      </c>
      <c r="H11" s="14" t="str">
        <f>IF('Employee Input 22-23'!H11="","",'Employee Input 22-23'!H11)</f>
        <v/>
      </c>
      <c r="I11" s="230">
        <f>IF('Employee Input 22-23'!I11="","",'Employee Input 22-23'!I11)*(1+$I$2)</f>
        <v>48225.331299999998</v>
      </c>
      <c r="J11" s="10">
        <f t="shared" si="0"/>
        <v>48225.331299999998</v>
      </c>
      <c r="K11" s="11" t="str">
        <f>IF('Employee Input 22-23'!K11="","",'Employee Input 22-23'!K11)</f>
        <v/>
      </c>
      <c r="L11" s="11">
        <f>IF('Employee Input 22-23'!L11="","",'Employee Input 22-23'!L11)</f>
        <v>0</v>
      </c>
      <c r="M11" s="10">
        <f t="shared" si="1"/>
        <v>48225.331299999998</v>
      </c>
      <c r="N11" s="16" t="str">
        <f>IF('Employee Input 22-23'!N11="","",'Employee Input 22-23'!N11)</f>
        <v>STRS</v>
      </c>
      <c r="O11" s="10">
        <f t="shared" si="2"/>
        <v>9211.0382783000005</v>
      </c>
      <c r="P11" s="10" t="str">
        <f t="shared" si="3"/>
        <v/>
      </c>
      <c r="Q11" s="10" t="str">
        <f t="shared" si="4"/>
        <v/>
      </c>
      <c r="R11" s="10">
        <f t="shared" si="5"/>
        <v>699.26730384999996</v>
      </c>
      <c r="S11" s="279"/>
      <c r="T11" s="261">
        <v>0</v>
      </c>
      <c r="U11" s="12">
        <f>$U$2*F11</f>
        <v>400</v>
      </c>
      <c r="V11" s="12">
        <f t="shared" si="6"/>
        <v>626.92930689999992</v>
      </c>
      <c r="W11" s="12"/>
      <c r="X11" s="10"/>
      <c r="Y11" s="12">
        <f t="shared" si="7"/>
        <v>10937.23488905</v>
      </c>
      <c r="Z11" s="12">
        <f t="shared" si="8"/>
        <v>59162.566189049998</v>
      </c>
    </row>
    <row r="12" spans="1:26" x14ac:dyDescent="0.3">
      <c r="B12" s="14">
        <f>IF('Employee Input 22-23'!B12="","",'Employee Input 22-23'!B12)</f>
        <v>1100</v>
      </c>
      <c r="C12" s="269"/>
      <c r="D12" s="269" t="str">
        <f>IF('Employee Input 22-23'!D12="","",'Employee Input 22-23'!D12)</f>
        <v>maria Gibson</v>
      </c>
      <c r="E12" s="14" t="str">
        <f>IF('Employee Input 22-23'!E12="","",'Employee Input 22-23'!E12)</f>
        <v>Teacher</v>
      </c>
      <c r="F12" s="14">
        <f>IF('Employee Input 22-23'!F12="","",'Employee Input 22-23'!F12)</f>
        <v>1</v>
      </c>
      <c r="G12" s="14" t="str">
        <f>IF('Employee Input 22-23'!G12="","",'Employee Input 22-23'!G12)</f>
        <v/>
      </c>
      <c r="H12" s="14" t="str">
        <f>IF('Employee Input 22-23'!H12="","",'Employee Input 22-23'!H12)</f>
        <v/>
      </c>
      <c r="I12" s="230">
        <f>IF('Employee Input 22-23'!I12="","",'Employee Input 22-23'!I12)*(1+$I$2)</f>
        <v>49060.259599999998</v>
      </c>
      <c r="J12" s="10">
        <f t="shared" si="0"/>
        <v>49060.259599999998</v>
      </c>
      <c r="K12" s="11" t="str">
        <f>IF('Employee Input 22-23'!K12="","",'Employee Input 22-23'!K12)</f>
        <v/>
      </c>
      <c r="L12" s="11">
        <f>IF('Employee Input 22-23'!L12="","",'Employee Input 22-23'!L12)</f>
        <v>750</v>
      </c>
      <c r="M12" s="10">
        <f t="shared" si="1"/>
        <v>49810.259599999998</v>
      </c>
      <c r="N12" s="16" t="str">
        <f>IF('Employee Input 22-23'!N12="","",'Employee Input 22-23'!N12)</f>
        <v>STRS</v>
      </c>
      <c r="O12" s="10">
        <f t="shared" si="2"/>
        <v>9513.7595836</v>
      </c>
      <c r="P12" s="10" t="str">
        <f t="shared" si="3"/>
        <v/>
      </c>
      <c r="Q12" s="10" t="str">
        <f t="shared" si="4"/>
        <v/>
      </c>
      <c r="R12" s="10">
        <f t="shared" si="5"/>
        <v>722.24876419999998</v>
      </c>
      <c r="S12" s="279"/>
      <c r="T12" s="261">
        <v>11464</v>
      </c>
      <c r="U12" s="12">
        <f>$U$2*F12</f>
        <v>400</v>
      </c>
      <c r="V12" s="12">
        <f t="shared" si="6"/>
        <v>647.53337479999993</v>
      </c>
      <c r="W12" s="12"/>
      <c r="X12" s="10"/>
      <c r="Y12" s="12">
        <f t="shared" si="7"/>
        <v>22747.541722600003</v>
      </c>
      <c r="Z12" s="12">
        <f t="shared" si="8"/>
        <v>72557.801322600004</v>
      </c>
    </row>
    <row r="13" spans="1:26" x14ac:dyDescent="0.3">
      <c r="B13" s="14">
        <f>IF('Employee Input 22-23'!B13="","",'Employee Input 22-23'!B13)</f>
        <v>1100</v>
      </c>
      <c r="C13" s="269"/>
      <c r="D13" s="269" t="str">
        <f>IF('Employee Input 22-23'!D13="","",'Employee Input 22-23'!D13)</f>
        <v>Virginia Varnum</v>
      </c>
      <c r="E13" s="14" t="str">
        <f>IF('Employee Input 22-23'!E13="","",'Employee Input 22-23'!E13)</f>
        <v>Reading Specialist</v>
      </c>
      <c r="F13" s="14">
        <f>IF('Employee Input 22-23'!F13="","",'Employee Input 22-23'!F13)</f>
        <v>37</v>
      </c>
      <c r="G13" s="14">
        <f>IF('Employee Input 22-23'!G13="","",'Employee Input 22-23'!G13)</f>
        <v>15</v>
      </c>
      <c r="H13" s="14">
        <f>IF('Employee Input 22-23'!H13="","",'Employee Input 22-23'!H13)</f>
        <v>36</v>
      </c>
      <c r="I13" s="230">
        <f>IF('Employee Input 22-23'!I13="","",'Employee Input 22-23'!I13)*(1+$I$2)</f>
        <v>21196.782000000003</v>
      </c>
      <c r="J13" s="10">
        <f t="shared" si="0"/>
        <v>21196.782000000003</v>
      </c>
      <c r="K13" s="11">
        <f>IF('Employee Input 22-23'!K13="","",'Employee Input 22-23'!K13)</f>
        <v>0</v>
      </c>
      <c r="L13" s="11">
        <f>IF('Employee Input 22-23'!L13="","",'Employee Input 22-23'!L13)</f>
        <v>0</v>
      </c>
      <c r="M13" s="10">
        <f t="shared" si="1"/>
        <v>21196.782000000003</v>
      </c>
      <c r="N13" s="16">
        <f>IF('Employee Input 22-23'!N13="","",'Employee Input 22-23'!N13)</f>
        <v>0</v>
      </c>
      <c r="O13" s="10" t="str">
        <f t="shared" si="2"/>
        <v/>
      </c>
      <c r="P13" s="10" t="str">
        <f t="shared" si="3"/>
        <v/>
      </c>
      <c r="Q13" s="10">
        <f t="shared" si="4"/>
        <v>1324.7988750000002</v>
      </c>
      <c r="R13" s="10">
        <f t="shared" si="5"/>
        <v>307.35333900000006</v>
      </c>
      <c r="S13" s="279"/>
      <c r="T13" s="261">
        <v>0</v>
      </c>
      <c r="U13" s="12">
        <v>400</v>
      </c>
      <c r="V13" s="12">
        <f t="shared" si="6"/>
        <v>275.55816600000003</v>
      </c>
      <c r="W13" s="12"/>
      <c r="X13" s="10"/>
      <c r="Y13" s="12">
        <f t="shared" si="7"/>
        <v>2307.7103800000004</v>
      </c>
      <c r="Z13" s="12">
        <f t="shared" si="8"/>
        <v>23504.492380000003</v>
      </c>
    </row>
    <row r="14" spans="1:26" ht="7.95" hidden="1" customHeight="1" x14ac:dyDescent="0.3">
      <c r="B14" s="14">
        <f>IF('Employee Input 22-23'!B14="","",'Employee Input 22-23'!B14)</f>
        <v>0</v>
      </c>
      <c r="C14" s="269"/>
      <c r="D14" s="269">
        <f>IF('Employee Input 22-23'!D14="","",'Employee Input 22-23'!D14)</f>
        <v>0</v>
      </c>
      <c r="E14" s="14">
        <f>IF('Employee Input 22-23'!E14="","",'Employee Input 22-23'!E14)</f>
        <v>0</v>
      </c>
      <c r="F14" s="14">
        <f>IF('Employee Input 22-23'!F14="","",'Employee Input 22-23'!F14)</f>
        <v>0</v>
      </c>
      <c r="G14" s="14">
        <f>IF('Employee Input 22-23'!G14="","",'Employee Input 22-23'!G14)</f>
        <v>0</v>
      </c>
      <c r="H14" s="14">
        <f>IF('Employee Input 22-23'!H14="","",'Employee Input 22-23'!H14)</f>
        <v>0</v>
      </c>
      <c r="I14" s="230">
        <f>IF('Employee Input 22-23'!I14="","",'Employee Input 22-23'!I14)*(1+$I$2)</f>
        <v>0</v>
      </c>
      <c r="J14" s="10">
        <f t="shared" si="0"/>
        <v>0</v>
      </c>
      <c r="K14" s="11">
        <f>IF('Employee Input 22-23'!K14="","",'Employee Input 22-23'!K14)</f>
        <v>0</v>
      </c>
      <c r="L14" s="11">
        <f>IF('Employee Input 22-23'!L14="","",'Employee Input 22-23'!L14)</f>
        <v>0</v>
      </c>
      <c r="M14" s="10">
        <f t="shared" si="1"/>
        <v>0</v>
      </c>
      <c r="N14" s="16">
        <f>IF('Employee Input 22-23'!N14="","",'Employee Input 22-23'!N14)</f>
        <v>0</v>
      </c>
      <c r="O14" s="10" t="str">
        <f t="shared" si="2"/>
        <v/>
      </c>
      <c r="P14" s="10" t="str">
        <f t="shared" si="3"/>
        <v/>
      </c>
      <c r="Q14" s="10">
        <f t="shared" si="4"/>
        <v>0</v>
      </c>
      <c r="R14" s="10">
        <f t="shared" si="5"/>
        <v>0</v>
      </c>
      <c r="S14" s="279"/>
      <c r="T14" s="261"/>
      <c r="U14" s="12">
        <f>$U$2*F14</f>
        <v>0</v>
      </c>
      <c r="V14" s="12">
        <f t="shared" si="6"/>
        <v>0</v>
      </c>
      <c r="W14" s="12"/>
      <c r="X14" s="10"/>
      <c r="Y14" s="12">
        <f t="shared" si="7"/>
        <v>0</v>
      </c>
      <c r="Z14" s="12">
        <f t="shared" si="8"/>
        <v>0</v>
      </c>
    </row>
    <row r="15" spans="1:26" hidden="1" x14ac:dyDescent="0.3">
      <c r="B15" s="14">
        <f>IF('Employee Input 22-23'!B15="","",'Employee Input 22-23'!B15)</f>
        <v>0</v>
      </c>
      <c r="C15" s="269"/>
      <c r="D15" s="269">
        <f>IF('Employee Input 22-23'!D15="","",'Employee Input 22-23'!D15)</f>
        <v>0</v>
      </c>
      <c r="E15" s="14">
        <f>IF('Employee Input 22-23'!E15="","",'Employee Input 22-23'!E15)</f>
        <v>0</v>
      </c>
      <c r="F15" s="14">
        <f>IF('Employee Input 22-23'!F15="","",'Employee Input 22-23'!F15)</f>
        <v>0</v>
      </c>
      <c r="G15" s="14">
        <f>IF('Employee Input 22-23'!G15="","",'Employee Input 22-23'!G15)</f>
        <v>0</v>
      </c>
      <c r="H15" s="14">
        <f>IF('Employee Input 22-23'!H15="","",'Employee Input 22-23'!H15)</f>
        <v>0</v>
      </c>
      <c r="I15" s="230">
        <f>IF('Employee Input 22-23'!I15="","",'Employee Input 22-23'!I15)*(1+$I$2)</f>
        <v>0</v>
      </c>
      <c r="J15" s="10">
        <f t="shared" si="0"/>
        <v>0</v>
      </c>
      <c r="K15" s="11">
        <f>IF('Employee Input 22-23'!K15="","",'Employee Input 22-23'!K15)</f>
        <v>0</v>
      </c>
      <c r="L15" s="11">
        <f>IF('Employee Input 22-23'!L15="","",'Employee Input 22-23'!L15)</f>
        <v>0</v>
      </c>
      <c r="M15" s="10">
        <f t="shared" si="1"/>
        <v>0</v>
      </c>
      <c r="N15" s="16">
        <f>IF('Employee Input 22-23'!N15="","",'Employee Input 22-23'!N15)</f>
        <v>0</v>
      </c>
      <c r="O15" s="10" t="str">
        <f t="shared" si="2"/>
        <v/>
      </c>
      <c r="P15" s="10" t="str">
        <f t="shared" si="3"/>
        <v/>
      </c>
      <c r="Q15" s="10">
        <f t="shared" si="4"/>
        <v>0</v>
      </c>
      <c r="R15" s="10">
        <f t="shared" si="5"/>
        <v>0</v>
      </c>
      <c r="S15" s="279"/>
      <c r="T15" s="261"/>
      <c r="U15" s="12">
        <f>$U$2*F15</f>
        <v>0</v>
      </c>
      <c r="V15" s="12">
        <f t="shared" si="6"/>
        <v>0</v>
      </c>
      <c r="W15" s="12"/>
      <c r="X15" s="10"/>
      <c r="Y15" s="12">
        <f t="shared" si="7"/>
        <v>0</v>
      </c>
      <c r="Z15" s="12">
        <f t="shared" si="8"/>
        <v>0</v>
      </c>
    </row>
    <row r="16" spans="1:26" hidden="1" x14ac:dyDescent="0.3">
      <c r="B16" s="14"/>
      <c r="C16" s="269"/>
      <c r="D16" s="269"/>
      <c r="E16" s="14"/>
      <c r="F16" s="14"/>
      <c r="G16" s="14">
        <f>IF('Employee Input 22-23'!G16="","",'Employee Input 22-23'!G16)</f>
        <v>0</v>
      </c>
      <c r="H16" s="14">
        <f>IF('Employee Input 22-23'!H16="","",'Employee Input 22-23'!H16)</f>
        <v>0</v>
      </c>
      <c r="I16" s="230"/>
      <c r="J16" s="10"/>
      <c r="K16" s="11"/>
      <c r="L16" s="11"/>
      <c r="M16" s="10"/>
      <c r="N16" s="16"/>
      <c r="O16" s="10"/>
      <c r="P16" s="10"/>
      <c r="Q16" s="10"/>
      <c r="R16" s="10"/>
      <c r="S16" s="279"/>
      <c r="T16" s="261"/>
      <c r="U16" s="12"/>
      <c r="V16" s="12"/>
      <c r="W16" s="12"/>
      <c r="X16" s="10"/>
      <c r="Y16" s="12"/>
      <c r="Z16" s="12"/>
    </row>
    <row r="17" spans="2:26" hidden="1" x14ac:dyDescent="0.3">
      <c r="B17" s="14">
        <f>IF('Employee Input 22-23'!B17="","",'Employee Input 22-23'!B17)</f>
        <v>0</v>
      </c>
      <c r="C17" s="269"/>
      <c r="D17" s="269">
        <f>IF('Employee Input 22-23'!D17="","",'Employee Input 22-23'!D17)</f>
        <v>0</v>
      </c>
      <c r="E17" s="14">
        <f>IF('Employee Input 22-23'!E17="","",'Employee Input 22-23'!E17)</f>
        <v>0</v>
      </c>
      <c r="F17" s="14">
        <f>IF('Employee Input 22-23'!F17="","",'Employee Input 22-23'!F17)</f>
        <v>0</v>
      </c>
      <c r="G17" s="14">
        <f>IF('Employee Input 22-23'!G17="","",'Employee Input 22-23'!G17)</f>
        <v>0</v>
      </c>
      <c r="H17" s="14">
        <f>IF('Employee Input 22-23'!H17="","",'Employee Input 22-23'!H17)</f>
        <v>0</v>
      </c>
      <c r="I17" s="230">
        <f>IF('Employee Input 22-23'!I17="","",'Employee Input 22-23'!I17)*(1+$I$2)</f>
        <v>0</v>
      </c>
      <c r="J17" s="10">
        <f t="shared" si="0"/>
        <v>0</v>
      </c>
      <c r="K17" s="11">
        <f>IF('Employee Input 22-23'!K17="","",'Employee Input 22-23'!K17)</f>
        <v>0</v>
      </c>
      <c r="L17" s="11">
        <f>IF('Employee Input 22-23'!L17="","",'Employee Input 22-23'!L17)</f>
        <v>0</v>
      </c>
      <c r="M17" s="10">
        <f t="shared" si="1"/>
        <v>0</v>
      </c>
      <c r="N17" s="16">
        <f>IF('Employee Input 22-23'!N17="","",'Employee Input 22-23'!N17)</f>
        <v>0</v>
      </c>
      <c r="O17" s="10" t="str">
        <f>IF($N17="STRS",$O$2*$M17,"")</f>
        <v/>
      </c>
      <c r="P17" s="10" t="str">
        <f>IF($N17="PERS",$P$2*$M17,"")</f>
        <v/>
      </c>
      <c r="Q17" s="10">
        <f>IF($N17="STRS","",$Q$2*$M17)</f>
        <v>0</v>
      </c>
      <c r="R17" s="10">
        <f>$R$2*M17</f>
        <v>0</v>
      </c>
      <c r="S17" s="279"/>
      <c r="T17" s="261"/>
      <c r="U17" s="12">
        <f>$U$2*F17</f>
        <v>0</v>
      </c>
      <c r="V17" s="12">
        <f>$V$2*$M17</f>
        <v>0</v>
      </c>
      <c r="W17" s="12"/>
      <c r="X17" s="10"/>
      <c r="Y17" s="12">
        <f t="shared" si="7"/>
        <v>0</v>
      </c>
      <c r="Z17" s="12">
        <f t="shared" si="8"/>
        <v>0</v>
      </c>
    </row>
    <row r="18" spans="2:26" hidden="1" x14ac:dyDescent="0.3">
      <c r="B18" s="14">
        <f>IF('Employee Input 22-23'!B18="","",'Employee Input 22-23'!B18)</f>
        <v>0</v>
      </c>
      <c r="C18" s="269"/>
      <c r="D18" s="269" t="str">
        <f>IF('Employee Input 22-23'!D18="","",'Employee Input 22-23'!D18)</f>
        <v/>
      </c>
      <c r="E18" s="14">
        <f>IF('Employee Input 22-23'!E18="","",'Employee Input 22-23'!E18)</f>
        <v>0</v>
      </c>
      <c r="F18" s="14">
        <f>IF('Employee Input 22-23'!F18="","",'Employee Input 22-23'!F18)</f>
        <v>0</v>
      </c>
      <c r="G18" s="14">
        <f>IF('Employee Input 22-23'!G18="","",'Employee Input 22-23'!G18)</f>
        <v>0</v>
      </c>
      <c r="H18" s="14">
        <f>IF('Employee Input 22-23'!H18="","",'Employee Input 22-23'!H18)</f>
        <v>0</v>
      </c>
      <c r="I18" s="230">
        <f>IF('Employee Input 22-23'!I18="","",'Employee Input 22-23'!I18)*(1+$I$2)</f>
        <v>0</v>
      </c>
      <c r="J18" s="10">
        <f t="shared" si="0"/>
        <v>0</v>
      </c>
      <c r="K18" s="11">
        <f>IF('Employee Input 22-23'!K18="","",'Employee Input 22-23'!K18)</f>
        <v>0</v>
      </c>
      <c r="L18" s="11">
        <f>IF('Employee Input 22-23'!L18="","",'Employee Input 22-23'!L18)</f>
        <v>0</v>
      </c>
      <c r="M18" s="10">
        <f t="shared" si="1"/>
        <v>0</v>
      </c>
      <c r="N18" s="16">
        <f>IF('Employee Input 22-23'!N18="","",'Employee Input 22-23'!N18)</f>
        <v>0</v>
      </c>
      <c r="O18" s="10" t="str">
        <f>IF($N18="STRS",$O$2*$M18,"")</f>
        <v/>
      </c>
      <c r="P18" s="10" t="str">
        <f>IF($N18="PERS",$P$2*$M18,"")</f>
        <v/>
      </c>
      <c r="Q18" s="10">
        <f>IF($N18="STRS","",$Q$2*$M18)</f>
        <v>0</v>
      </c>
      <c r="R18" s="10">
        <f>$R$2*M18</f>
        <v>0</v>
      </c>
      <c r="S18" s="279"/>
      <c r="T18" s="261"/>
      <c r="U18" s="12">
        <f>$U$2*F18</f>
        <v>0</v>
      </c>
      <c r="V18" s="12">
        <f>$V$2*$M18</f>
        <v>0</v>
      </c>
      <c r="W18" s="12"/>
      <c r="X18" s="10"/>
      <c r="Y18" s="12">
        <f t="shared" si="7"/>
        <v>0</v>
      </c>
      <c r="Z18" s="12">
        <f t="shared" si="8"/>
        <v>0</v>
      </c>
    </row>
    <row r="19" spans="2:26" hidden="1" x14ac:dyDescent="0.3">
      <c r="B19" s="14">
        <f>IF('Employee Input 22-23'!B19="","",'Employee Input 22-23'!B19)</f>
        <v>0</v>
      </c>
      <c r="C19" s="269"/>
      <c r="D19" s="269" t="str">
        <f>IF('Employee Input 22-23'!D19="","",'Employee Input 22-23'!D19)</f>
        <v/>
      </c>
      <c r="E19" s="14">
        <f>IF('Employee Input 22-23'!E19="","",'Employee Input 22-23'!E19)</f>
        <v>0</v>
      </c>
      <c r="F19" s="14">
        <f>IF('Employee Input 22-23'!F19="","",'Employee Input 22-23'!F19)</f>
        <v>0</v>
      </c>
      <c r="G19" s="14">
        <f>IF('Employee Input 22-23'!G19="","",'Employee Input 22-23'!G19)</f>
        <v>0</v>
      </c>
      <c r="H19" s="14">
        <f>IF('Employee Input 22-23'!H19="","",'Employee Input 22-23'!H19)</f>
        <v>0</v>
      </c>
      <c r="I19" s="230">
        <f>IF('Employee Input 22-23'!I19="","",'Employee Input 22-23'!I19)*(1+$I$2)</f>
        <v>0</v>
      </c>
      <c r="J19" s="10">
        <f t="shared" si="0"/>
        <v>0</v>
      </c>
      <c r="K19" s="11">
        <f>IF('Employee Input 22-23'!K19="","",'Employee Input 22-23'!K19)</f>
        <v>0</v>
      </c>
      <c r="L19" s="11">
        <f>IF('Employee Input 22-23'!L19="","",'Employee Input 22-23'!L19)</f>
        <v>0</v>
      </c>
      <c r="M19" s="10">
        <f t="shared" si="1"/>
        <v>0</v>
      </c>
      <c r="N19" s="16">
        <f>IF('Employee Input 22-23'!N19="","",'Employee Input 22-23'!N19)</f>
        <v>0</v>
      </c>
      <c r="O19" s="10" t="str">
        <f>IF($N19="STRS",$O$2*$M19,"")</f>
        <v/>
      </c>
      <c r="P19" s="10" t="str">
        <f>IF($N19="PERS",$P$2*$M19,"")</f>
        <v/>
      </c>
      <c r="Q19" s="10">
        <f>IF($N19="STRS","",$Q$2*$M19)</f>
        <v>0</v>
      </c>
      <c r="R19" s="10">
        <f>$R$2*M19</f>
        <v>0</v>
      </c>
      <c r="S19" s="279"/>
      <c r="T19" s="261"/>
      <c r="U19" s="12">
        <f>$U$2*F19</f>
        <v>0</v>
      </c>
      <c r="V19" s="12">
        <f>$V$2*$M19</f>
        <v>0</v>
      </c>
      <c r="W19" s="12"/>
      <c r="X19" s="10"/>
      <c r="Y19" s="12">
        <f t="shared" si="7"/>
        <v>0</v>
      </c>
      <c r="Z19" s="12">
        <f t="shared" si="8"/>
        <v>0</v>
      </c>
    </row>
    <row r="20" spans="2:26" x14ac:dyDescent="0.3">
      <c r="B20" s="14"/>
      <c r="C20" s="269"/>
      <c r="D20" s="269"/>
      <c r="E20" s="14"/>
      <c r="F20" s="14"/>
      <c r="G20" s="14" t="str">
        <f>IF('Employee Input 22-23'!G20="","",'Employee Input 22-23'!G20)</f>
        <v/>
      </c>
      <c r="H20" s="14" t="str">
        <f>IF('Employee Input 22-23'!H20="","",'Employee Input 22-23'!H20)</f>
        <v/>
      </c>
      <c r="I20" s="230"/>
      <c r="J20" s="10"/>
      <c r="K20" s="11"/>
      <c r="L20" s="11"/>
      <c r="M20" s="10"/>
      <c r="N20" s="16"/>
      <c r="O20" s="10"/>
      <c r="P20" s="10"/>
      <c r="Q20" s="10"/>
      <c r="R20" s="10"/>
      <c r="S20" s="279"/>
      <c r="T20" s="261"/>
      <c r="U20" s="12"/>
      <c r="V20" s="12"/>
      <c r="W20" s="12"/>
      <c r="X20" s="10"/>
      <c r="Y20" s="12"/>
      <c r="Z20" s="12"/>
    </row>
    <row r="21" spans="2:26" x14ac:dyDescent="0.3">
      <c r="B21" s="14">
        <f>IF('Employee Input 22-23'!B21="","",'Employee Input 22-23'!B21)</f>
        <v>1300</v>
      </c>
      <c r="C21" s="269"/>
      <c r="D21" s="269" t="str">
        <f>IF('Employee Input 22-23'!D21="","",'Employee Input 22-23'!D21)</f>
        <v>Kim Morgan</v>
      </c>
      <c r="E21" s="14" t="str">
        <f>IF('Employee Input 22-23'!E21="","",'Employee Input 22-23'!E21)</f>
        <v>Principal</v>
      </c>
      <c r="F21" s="14">
        <f>IF('Employee Input 22-23'!F21="","",'Employee Input 22-23'!F21)</f>
        <v>1</v>
      </c>
      <c r="G21" s="14" t="str">
        <f>IF('Employee Input 22-23'!G21="","",'Employee Input 22-23'!G21)</f>
        <v/>
      </c>
      <c r="H21" s="14" t="str">
        <f>IF('Employee Input 22-23'!H21="","",'Employee Input 22-23'!H21)</f>
        <v/>
      </c>
      <c r="I21" s="230">
        <f>IF('Employee Input 22-23'!I21="","",'Employee Input 22-23'!I21)*(1+$I$2)</f>
        <v>71610.75</v>
      </c>
      <c r="J21" s="10">
        <f t="shared" si="0"/>
        <v>71610.75</v>
      </c>
      <c r="K21" s="11" t="str">
        <f>IF('Employee Input 22-23'!K21="","",'Employee Input 22-23'!K21)</f>
        <v/>
      </c>
      <c r="L21" s="11">
        <f>IF('Employee Input 22-23'!L21="","",'Employee Input 22-23'!L21)</f>
        <v>0</v>
      </c>
      <c r="M21" s="10">
        <f t="shared" si="1"/>
        <v>71610.75</v>
      </c>
      <c r="N21" s="16" t="str">
        <f>IF('Employee Input 22-23'!N21="","",'Employee Input 22-23'!N21)</f>
        <v>STRS</v>
      </c>
      <c r="O21" s="10">
        <f>IF($N21="STRS",$O$2*$M21,"")</f>
        <v>13677.653249999999</v>
      </c>
      <c r="P21" s="10" t="str">
        <f>IF($N21="PERS",$P$2*$M21,"")</f>
        <v/>
      </c>
      <c r="Q21" s="10" t="str">
        <f>IF($N21="STRS","",$Q$2*$M21)</f>
        <v/>
      </c>
      <c r="R21" s="10">
        <f>$R$2*M21</f>
        <v>1038.355875</v>
      </c>
      <c r="S21" s="279"/>
      <c r="T21" s="261">
        <v>11464</v>
      </c>
      <c r="U21" s="12">
        <f>$U$2*F21</f>
        <v>400</v>
      </c>
      <c r="V21" s="12">
        <f>$V$2*$M21</f>
        <v>930.93975</v>
      </c>
      <c r="W21" s="12"/>
      <c r="X21" s="10"/>
      <c r="Y21" s="12">
        <f t="shared" si="7"/>
        <v>27510.948875000002</v>
      </c>
      <c r="Z21" s="12">
        <f t="shared" si="8"/>
        <v>99121.698875000002</v>
      </c>
    </row>
    <row r="22" spans="2:26" x14ac:dyDescent="0.3">
      <c r="B22" s="14"/>
      <c r="C22" s="269"/>
      <c r="D22" s="269"/>
      <c r="E22" s="14"/>
      <c r="F22" s="14"/>
      <c r="G22" s="14" t="str">
        <f>IF('Employee Input 22-23'!G22="","",'Employee Input 22-23'!G22)</f>
        <v/>
      </c>
      <c r="H22" s="14" t="str">
        <f>IF('Employee Input 22-23'!H22="","",'Employee Input 22-23'!H22)</f>
        <v/>
      </c>
      <c r="I22" s="230"/>
      <c r="J22" s="10"/>
      <c r="K22" s="11"/>
      <c r="L22" s="11"/>
      <c r="M22" s="10"/>
      <c r="N22" s="16"/>
      <c r="O22" s="10"/>
      <c r="P22" s="10"/>
      <c r="Q22" s="10"/>
      <c r="R22" s="10"/>
      <c r="S22" s="279"/>
      <c r="T22" s="261"/>
      <c r="U22" s="12"/>
      <c r="V22" s="12"/>
      <c r="W22" s="12"/>
      <c r="X22" s="10" t="str">
        <f>IF($P22="STRS",$Q$2*$O22,"")</f>
        <v/>
      </c>
      <c r="Y22" s="12"/>
      <c r="Z22" s="12"/>
    </row>
    <row r="23" spans="2:26" x14ac:dyDescent="0.3">
      <c r="B23" s="14">
        <f>IF('Employee Input 22-23'!B23="","",'Employee Input 22-23'!B23)</f>
        <v>2100</v>
      </c>
      <c r="C23" s="269"/>
      <c r="D23" s="269" t="str">
        <f>IF('Employee Input 22-23'!D23="","",'Employee Input 22-23'!D23)</f>
        <v>Yesenia Huerta</v>
      </c>
      <c r="E23" s="14" t="str">
        <f>IF('Employee Input 22-23'!E23="","",'Employee Input 22-23'!E23)</f>
        <v>Instructional Aide</v>
      </c>
      <c r="F23" s="14">
        <f>IF('Employee Input 22-23'!F23="","",'Employee Input 22-23'!F23)</f>
        <v>18</v>
      </c>
      <c r="G23" s="14">
        <f>IF('Employee Input 22-23'!G23="","",'Employee Input 22-23'!G23)</f>
        <v>32</v>
      </c>
      <c r="H23" s="14">
        <f>IF('Employee Input 22-23'!H23="","",'Employee Input 22-23'!H23)</f>
        <v>36</v>
      </c>
      <c r="I23" s="230">
        <f>IF('Employee Input 22-23'!I23="","",'Employee Input 22-23'!I23)*(1+$I$2)</f>
        <v>21998.822400000001</v>
      </c>
      <c r="J23" s="10">
        <f t="shared" si="0"/>
        <v>21998.822400000001</v>
      </c>
      <c r="K23" s="11">
        <f>IF('Employee Input 22-23'!K23="","",'Employee Input 22-23'!K23)</f>
        <v>0</v>
      </c>
      <c r="L23" s="11">
        <f>IF('Employee Input 22-23'!L23="","",'Employee Input 22-23'!L23)</f>
        <v>0</v>
      </c>
      <c r="M23" s="10">
        <f t="shared" si="1"/>
        <v>21998.822400000001</v>
      </c>
      <c r="N23" s="16">
        <f>IF('Employee Input 22-23'!N23="","",'Employee Input 22-23'!N23)</f>
        <v>0</v>
      </c>
      <c r="O23" s="10" t="str">
        <f t="shared" ref="O23:O32" si="9">IF($N23="STRS",$O$2*$M23,"")</f>
        <v/>
      </c>
      <c r="P23" s="10" t="str">
        <f t="shared" ref="P23:P32" si="10">IF($N23="PERS",$P$2*$M23,"")</f>
        <v/>
      </c>
      <c r="Q23" s="10">
        <f t="shared" ref="Q23:Q32" si="11">IF($N23="STRS","",$Q$2*$M23)</f>
        <v>1374.9264000000001</v>
      </c>
      <c r="R23" s="10">
        <f t="shared" ref="R23:R31" si="12">$R$2*M23</f>
        <v>318.98292480000003</v>
      </c>
      <c r="S23" s="279"/>
      <c r="T23" s="261">
        <v>0</v>
      </c>
      <c r="U23" s="12">
        <v>400</v>
      </c>
      <c r="V23" s="12">
        <f t="shared" ref="V23:V32" si="13">$V$2*$M23</f>
        <v>285.98469119999999</v>
      </c>
      <c r="W23" s="12"/>
      <c r="X23" s="10" t="str">
        <f>IF($P23="STRS",$Q$2*$O23,"")</f>
        <v/>
      </c>
      <c r="Y23" s="12">
        <f t="shared" si="7"/>
        <v>2379.8940160000002</v>
      </c>
      <c r="Z23" s="12">
        <f t="shared" si="8"/>
        <v>24378.716416000003</v>
      </c>
    </row>
    <row r="24" spans="2:26" x14ac:dyDescent="0.3">
      <c r="B24" s="14">
        <f>IF('Employee Input 22-23'!B24="","",'Employee Input 22-23'!B24)</f>
        <v>2100</v>
      </c>
      <c r="C24" s="269"/>
      <c r="D24" s="269" t="str">
        <f>IF('Employee Input 22-23'!D24="","",'Employee Input 22-23'!D24)</f>
        <v>Rebecca Deerwater</v>
      </c>
      <c r="E24" s="14" t="str">
        <f>IF('Employee Input 22-23'!E24="","",'Employee Input 22-23'!E24)</f>
        <v>Instructional Aide</v>
      </c>
      <c r="F24" s="14">
        <f>IF('Employee Input 22-23'!F24="","",'Employee Input 22-23'!F24)</f>
        <v>14.9</v>
      </c>
      <c r="G24" s="14">
        <f>IF('Employee Input 22-23'!G24="","",'Employee Input 22-23'!G24)</f>
        <v>30</v>
      </c>
      <c r="H24" s="14">
        <f>IF('Employee Input 22-23'!H24="","",'Employee Input 22-23'!H24)</f>
        <v>36</v>
      </c>
      <c r="I24" s="230">
        <f>IF('Employee Input 22-23'!I24="","",'Employee Input 22-23'!I24)*(1+$I$2)</f>
        <v>17072.002800000002</v>
      </c>
      <c r="J24" s="10">
        <f t="shared" ref="J24:J31" si="14">+I24</f>
        <v>17072.002800000002</v>
      </c>
      <c r="K24" s="11" t="str">
        <f>IF('Employee Input 22-23'!K24="","",'Employee Input 22-23'!K24)</f>
        <v/>
      </c>
      <c r="L24" s="11">
        <f>IF('Employee Input 22-23'!L24="","",'Employee Input 22-23'!L24)</f>
        <v>0</v>
      </c>
      <c r="M24" s="10">
        <f t="shared" ref="M24:M31" si="15">SUM(J24:L24)</f>
        <v>17072.002800000002</v>
      </c>
      <c r="N24" s="16">
        <f>IF('Employee Input 22-23'!N24="","",'Employee Input 22-23'!N24)</f>
        <v>0</v>
      </c>
      <c r="O24" s="10" t="str">
        <f t="shared" si="9"/>
        <v/>
      </c>
      <c r="P24" s="10" t="str">
        <f t="shared" si="10"/>
        <v/>
      </c>
      <c r="Q24" s="10">
        <f t="shared" si="11"/>
        <v>1067.0001750000001</v>
      </c>
      <c r="R24" s="10">
        <f t="shared" si="12"/>
        <v>247.54404060000005</v>
      </c>
      <c r="S24" s="279"/>
      <c r="T24" s="261"/>
      <c r="U24" s="12">
        <v>400</v>
      </c>
      <c r="V24" s="12">
        <f t="shared" si="13"/>
        <v>221.93603640000001</v>
      </c>
      <c r="W24" s="12"/>
      <c r="X24" s="12"/>
      <c r="Y24" s="12">
        <f t="shared" ref="Y24:Y31" si="16">SUM(T24:X24,O24:R24)</f>
        <v>1936.4802520000001</v>
      </c>
      <c r="Z24" s="12">
        <f t="shared" ref="Z24:Z31" si="17">Y24+M24</f>
        <v>19008.483052000003</v>
      </c>
    </row>
    <row r="25" spans="2:26" x14ac:dyDescent="0.3">
      <c r="B25" s="14">
        <f>IF('Employee Input 22-23'!B25="","",'Employee Input 22-23'!B25)</f>
        <v>2100</v>
      </c>
      <c r="C25" s="269"/>
      <c r="D25" s="269" t="str">
        <f>IF('Employee Input 22-23'!D25="","",'Employee Input 22-23'!D25)</f>
        <v>Sofia Duran</v>
      </c>
      <c r="E25" s="14" t="str">
        <f>IF('Employee Input 22-23'!E25="","",'Employee Input 22-23'!E25)</f>
        <v>Instructional Aide</v>
      </c>
      <c r="F25" s="14">
        <f>IF('Employee Input 22-23'!F25="","",'Employee Input 22-23'!F25)</f>
        <v>14.9</v>
      </c>
      <c r="G25" s="14">
        <f>IF('Employee Input 22-23'!G25="","",'Employee Input 22-23'!G25)</f>
        <v>30</v>
      </c>
      <c r="H25" s="14">
        <f>IF('Employee Input 22-23'!H25="","",'Employee Input 22-23'!H25)</f>
        <v>36</v>
      </c>
      <c r="I25" s="230">
        <f>IF('Employee Input 22-23'!I25="","",'Employee Input 22-23'!I25)*(1+$I$2)</f>
        <v>17072.002800000002</v>
      </c>
      <c r="J25" s="10">
        <f t="shared" si="14"/>
        <v>17072.002800000002</v>
      </c>
      <c r="K25" s="11">
        <f>IF('Employee Input 22-23'!K25="","",'Employee Input 22-23'!K25)</f>
        <v>0</v>
      </c>
      <c r="L25" s="11">
        <f>IF('Employee Input 22-23'!L25="","",'Employee Input 22-23'!L25)</f>
        <v>0</v>
      </c>
      <c r="M25" s="10">
        <f t="shared" si="15"/>
        <v>17072.002800000002</v>
      </c>
      <c r="N25" s="16">
        <f>IF('Employee Input 22-23'!N25="","",'Employee Input 22-23'!N25)</f>
        <v>0</v>
      </c>
      <c r="O25" s="10" t="str">
        <f t="shared" si="9"/>
        <v/>
      </c>
      <c r="P25" s="10" t="str">
        <f t="shared" si="10"/>
        <v/>
      </c>
      <c r="Q25" s="10">
        <f t="shared" si="11"/>
        <v>1067.0001750000001</v>
      </c>
      <c r="R25" s="10">
        <f t="shared" si="12"/>
        <v>247.54404060000005</v>
      </c>
      <c r="S25" s="279"/>
      <c r="T25" s="261"/>
      <c r="U25" s="12">
        <v>400</v>
      </c>
      <c r="V25" s="12">
        <f t="shared" si="13"/>
        <v>221.93603640000001</v>
      </c>
      <c r="W25" s="12"/>
      <c r="X25" s="12"/>
      <c r="Y25" s="12">
        <f t="shared" si="16"/>
        <v>1936.4802520000001</v>
      </c>
      <c r="Z25" s="12">
        <f t="shared" si="17"/>
        <v>19008.483052000003</v>
      </c>
    </row>
    <row r="26" spans="2:26" x14ac:dyDescent="0.3">
      <c r="B26" s="14">
        <f>IF('Employee Input 22-23'!B26="","",'Employee Input 22-23'!B26)</f>
        <v>2100</v>
      </c>
      <c r="C26" s="269"/>
      <c r="D26" s="269" t="str">
        <f>IF('Employee Input 22-23'!D26="","",'Employee Input 22-23'!D26)</f>
        <v>Madeline Brink</v>
      </c>
      <c r="E26" s="14" t="str">
        <f>IF('Employee Input 22-23'!E26="","",'Employee Input 22-23'!E26)</f>
        <v>Instructional Aide</v>
      </c>
      <c r="F26" s="14">
        <f>IF('Employee Input 22-23'!F26="","",'Employee Input 22-23'!F26)</f>
        <v>15.15</v>
      </c>
      <c r="G26" s="14">
        <f>IF('Employee Input 22-23'!G26="","",'Employee Input 22-23'!G26)</f>
        <v>15</v>
      </c>
      <c r="H26" s="14">
        <f>IF('Employee Input 22-23'!H26="","",'Employee Input 22-23'!H26)</f>
        <v>36</v>
      </c>
      <c r="I26" s="230">
        <f>IF('Employee Input 22-23'!I26="","",'Employee Input 22-23'!I26)*(1+$I$2)</f>
        <v>8679.2229000000007</v>
      </c>
      <c r="J26" s="10">
        <f t="shared" si="14"/>
        <v>8679.2229000000007</v>
      </c>
      <c r="K26" s="11">
        <f>IF('Employee Input 22-23'!K26="","",'Employee Input 22-23'!K26)</f>
        <v>0</v>
      </c>
      <c r="L26" s="11">
        <f>IF('Employee Input 22-23'!L26="","",'Employee Input 22-23'!L26)</f>
        <v>0</v>
      </c>
      <c r="M26" s="10">
        <f t="shared" si="15"/>
        <v>8679.2229000000007</v>
      </c>
      <c r="N26" s="16">
        <f>IF('Employee Input 22-23'!N26="","",'Employee Input 22-23'!N26)</f>
        <v>0</v>
      </c>
      <c r="O26" s="10" t="str">
        <f t="shared" si="9"/>
        <v/>
      </c>
      <c r="P26" s="10" t="str">
        <f t="shared" si="10"/>
        <v/>
      </c>
      <c r="Q26" s="10">
        <f t="shared" si="11"/>
        <v>542.45143125000004</v>
      </c>
      <c r="R26" s="10">
        <f t="shared" si="12"/>
        <v>125.84873205000001</v>
      </c>
      <c r="S26" s="279"/>
      <c r="T26" s="261"/>
      <c r="U26" s="12">
        <v>400</v>
      </c>
      <c r="V26" s="12">
        <f t="shared" si="13"/>
        <v>112.8298977</v>
      </c>
      <c r="W26" s="12"/>
      <c r="X26" s="12"/>
      <c r="Y26" s="12">
        <f t="shared" si="16"/>
        <v>1181.1300610000001</v>
      </c>
      <c r="Z26" s="12">
        <f t="shared" si="17"/>
        <v>9860.3529610000005</v>
      </c>
    </row>
    <row r="27" spans="2:26" x14ac:dyDescent="0.3">
      <c r="B27" s="14">
        <f>IF('Employee Input 22-23'!B27="","",'Employee Input 22-23'!B27)</f>
        <v>2100</v>
      </c>
      <c r="C27" s="269"/>
      <c r="D27" s="269" t="str">
        <f>IF('Employee Input 22-23'!D27="","",'Employee Input 22-23'!D27)</f>
        <v>Rana Adams</v>
      </c>
      <c r="E27" s="14" t="str">
        <f>IF('Employee Input 22-23'!E27="","",'Employee Input 22-23'!E27)</f>
        <v>Utility</v>
      </c>
      <c r="F27" s="14">
        <f>IF('Employee Input 22-23'!F27="","",'Employee Input 22-23'!F27)</f>
        <v>22</v>
      </c>
      <c r="G27" s="14">
        <f>IF('Employee Input 22-23'!G27="","",'Employee Input 22-23'!G27)</f>
        <v>40</v>
      </c>
      <c r="H27" s="14">
        <f>IF('Employee Input 22-23'!H27="","",'Employee Input 22-23'!H27)</f>
        <v>36</v>
      </c>
      <c r="I27" s="230">
        <f>IF('Employee Input 22-23'!I27="","",'Employee Input 22-23'!I27)*(1+$I$2)</f>
        <v>33609.312000000005</v>
      </c>
      <c r="J27" s="10">
        <f t="shared" si="14"/>
        <v>33609.312000000005</v>
      </c>
      <c r="K27" s="11">
        <f>IF('Employee Input 22-23'!K27="","",'Employee Input 22-23'!K27)</f>
        <v>0</v>
      </c>
      <c r="L27" s="11">
        <f>IF('Employee Input 22-23'!L27="","",'Employee Input 22-23'!L27)</f>
        <v>693</v>
      </c>
      <c r="M27" s="10">
        <f t="shared" si="15"/>
        <v>34302.312000000005</v>
      </c>
      <c r="N27" s="16">
        <f>IF('Employee Input 22-23'!N27="","",'Employee Input 22-23'!N27)</f>
        <v>0</v>
      </c>
      <c r="O27" s="10" t="str">
        <f t="shared" si="9"/>
        <v/>
      </c>
      <c r="P27" s="10" t="str">
        <f t="shared" si="10"/>
        <v/>
      </c>
      <c r="Q27" s="10">
        <f t="shared" si="11"/>
        <v>2143.8945000000003</v>
      </c>
      <c r="R27" s="10">
        <f t="shared" si="12"/>
        <v>497.38352400000008</v>
      </c>
      <c r="S27" s="279"/>
      <c r="T27" s="261">
        <v>9514</v>
      </c>
      <c r="U27" s="12">
        <v>400</v>
      </c>
      <c r="V27" s="12">
        <f t="shared" si="13"/>
        <v>445.93005600000004</v>
      </c>
      <c r="W27" s="12"/>
      <c r="X27" s="12"/>
      <c r="Y27" s="12">
        <f t="shared" si="16"/>
        <v>13001.20808</v>
      </c>
      <c r="Z27" s="12">
        <f t="shared" si="17"/>
        <v>47303.520080000002</v>
      </c>
    </row>
    <row r="28" spans="2:26" x14ac:dyDescent="0.3">
      <c r="B28" s="14">
        <f>IF('Employee Input 22-23'!B28="","",'Employee Input 22-23'!B28)</f>
        <v>2100</v>
      </c>
      <c r="C28" s="269"/>
      <c r="D28" s="269" t="str">
        <f>IF('Employee Input 22-23'!D28="","",'Employee Input 22-23'!D28)</f>
        <v>W. Kimmelman</v>
      </c>
      <c r="E28" s="14" t="str">
        <f>IF('Employee Input 22-23'!E28="","",'Employee Input 22-23'!E28)</f>
        <v>Instructional Aide</v>
      </c>
      <c r="F28" s="14">
        <f>IF('Employee Input 22-23'!F28="","",'Employee Input 22-23'!F28)</f>
        <v>28</v>
      </c>
      <c r="G28" s="14">
        <f>IF('Employee Input 22-23'!G28="","",'Employee Input 22-23'!G28)</f>
        <v>14</v>
      </c>
      <c r="H28" s="14">
        <f>IF('Employee Input 22-23'!H28="","",'Employee Input 22-23'!H28)</f>
        <v>36</v>
      </c>
      <c r="I28" s="230">
        <f>IF('Employee Input 22-23'!I28="","",'Employee Input 22-23'!I28)*(1+$I$2)</f>
        <v>14971.420800000002</v>
      </c>
      <c r="J28" s="10">
        <f t="shared" si="14"/>
        <v>14971.420800000002</v>
      </c>
      <c r="K28" s="11">
        <f>IF('Employee Input 22-23'!K28="","",'Employee Input 22-23'!K28)</f>
        <v>0</v>
      </c>
      <c r="L28" s="11">
        <f>IF('Employee Input 22-23'!L28="","",'Employee Input 22-23'!L28)</f>
        <v>0</v>
      </c>
      <c r="M28" s="10">
        <f t="shared" si="15"/>
        <v>14971.420800000002</v>
      </c>
      <c r="N28" s="16">
        <f>IF('Employee Input 22-23'!N28="","",'Employee Input 22-23'!N28)</f>
        <v>0</v>
      </c>
      <c r="O28" s="10" t="str">
        <f t="shared" si="9"/>
        <v/>
      </c>
      <c r="P28" s="10" t="str">
        <f t="shared" si="10"/>
        <v/>
      </c>
      <c r="Q28" s="10">
        <f t="shared" si="11"/>
        <v>935.71380000000011</v>
      </c>
      <c r="R28" s="10">
        <f t="shared" si="12"/>
        <v>217.08560160000005</v>
      </c>
      <c r="S28" s="279"/>
      <c r="T28" s="261">
        <v>0</v>
      </c>
      <c r="U28" s="12">
        <v>400</v>
      </c>
      <c r="V28" s="12">
        <f t="shared" si="13"/>
        <v>194.62847040000003</v>
      </c>
      <c r="W28" s="12"/>
      <c r="X28" s="12"/>
      <c r="Y28" s="12">
        <f t="shared" si="16"/>
        <v>1747.427872</v>
      </c>
      <c r="Z28" s="12">
        <f t="shared" si="17"/>
        <v>16718.848672</v>
      </c>
    </row>
    <row r="29" spans="2:26" x14ac:dyDescent="0.3">
      <c r="B29" s="14">
        <f>IF('Employee Input 22-23'!B29="","",'Employee Input 22-23'!B29)</f>
        <v>2100</v>
      </c>
      <c r="C29" s="269"/>
      <c r="D29" s="269" t="str">
        <f>IF('Employee Input 22-23'!D29="","",'Employee Input 22-23'!D29)</f>
        <v>Mindy Ballentine</v>
      </c>
      <c r="E29" s="14" t="str">
        <f>IF('Employee Input 22-23'!E29="","",'Employee Input 22-23'!E29)</f>
        <v>Instructional Aide</v>
      </c>
      <c r="F29" s="14">
        <f>IF('Employee Input 22-23'!F29="","",'Employee Input 22-23'!F29)</f>
        <v>14</v>
      </c>
      <c r="G29" s="14">
        <f>IF('Employee Input 22-23'!G29="","",'Employee Input 22-23'!G29)</f>
        <v>32</v>
      </c>
      <c r="H29" s="14">
        <f>IF('Employee Input 22-23'!H29="","",'Employee Input 22-23'!H29)</f>
        <v>36</v>
      </c>
      <c r="I29" s="230">
        <f>IF('Employee Input 22-23'!I29="","",'Employee Input 22-23'!I29)*(1+$I$2)</f>
        <v>17110.195200000002</v>
      </c>
      <c r="J29" s="10">
        <f t="shared" si="14"/>
        <v>17110.195200000002</v>
      </c>
      <c r="K29" s="11" t="str">
        <f>IF('Employee Input 22-23'!K29="","",'Employee Input 22-23'!K29)</f>
        <v/>
      </c>
      <c r="L29" s="11">
        <f>IF('Employee Input 22-23'!L29="","",'Employee Input 22-23'!L29)</f>
        <v>0</v>
      </c>
      <c r="M29" s="10">
        <f t="shared" si="15"/>
        <v>17110.195200000002</v>
      </c>
      <c r="N29" s="16">
        <f>IF('Employee Input 22-23'!N29="","",'Employee Input 22-23'!N29)</f>
        <v>0</v>
      </c>
      <c r="O29" s="10" t="str">
        <f t="shared" si="9"/>
        <v/>
      </c>
      <c r="P29" s="10" t="str">
        <f t="shared" si="10"/>
        <v/>
      </c>
      <c r="Q29" s="10">
        <f t="shared" si="11"/>
        <v>1069.3872000000001</v>
      </c>
      <c r="R29" s="10">
        <f t="shared" si="12"/>
        <v>248.09783040000005</v>
      </c>
      <c r="S29" s="279"/>
      <c r="T29" s="261"/>
      <c r="U29" s="12">
        <v>400</v>
      </c>
      <c r="V29" s="12">
        <f t="shared" si="13"/>
        <v>222.43253760000002</v>
      </c>
      <c r="W29" s="12"/>
      <c r="X29" s="12"/>
      <c r="Y29" s="12">
        <f t="shared" si="16"/>
        <v>1939.9175680000003</v>
      </c>
      <c r="Z29" s="12">
        <f t="shared" si="17"/>
        <v>19050.112768000003</v>
      </c>
    </row>
    <row r="30" spans="2:26" x14ac:dyDescent="0.3">
      <c r="B30" s="14">
        <f>IF('Employee Input 22-23'!B30="","",'Employee Input 22-23'!B30)</f>
        <v>2200</v>
      </c>
      <c r="C30" s="269"/>
      <c r="D30" s="269" t="str">
        <f>IF('Employee Input 22-23'!D30="","",'Employee Input 22-23'!D30)</f>
        <v>Marsha Bartholomay</v>
      </c>
      <c r="E30" s="14" t="str">
        <f>IF('Employee Input 22-23'!E30="","",'Employee Input 22-23'!E30)</f>
        <v>Counselor</v>
      </c>
      <c r="F30" s="14">
        <f>IF('Employee Input 22-23'!F30="","",'Employee Input 22-23'!F30)</f>
        <v>28.3</v>
      </c>
      <c r="G30" s="14">
        <f>IF('Employee Input 22-23'!G30="","",'Employee Input 22-23'!G30)</f>
        <v>25</v>
      </c>
      <c r="H30" s="14">
        <f>IF('Employee Input 22-23'!H30="","",'Employee Input 22-23'!H30)</f>
        <v>38</v>
      </c>
      <c r="I30" s="230">
        <f>IF('Employee Input 22-23'!I30="","",'Employee Input 22-23'!I30)*(1+$I$2)</f>
        <v>28522.2965</v>
      </c>
      <c r="J30" s="10">
        <f t="shared" si="14"/>
        <v>28522.2965</v>
      </c>
      <c r="K30" s="11">
        <f>IF('Employee Input 22-23'!K30="","",'Employee Input 22-23'!K30)</f>
        <v>0</v>
      </c>
      <c r="L30" s="11">
        <f>IF('Employee Input 22-23'!L30="","",'Employee Input 22-23'!L30)</f>
        <v>0</v>
      </c>
      <c r="M30" s="10">
        <f t="shared" si="15"/>
        <v>28522.2965</v>
      </c>
      <c r="N30" s="16">
        <f>IF('Employee Input 22-23'!N30="","",'Employee Input 22-23'!N30)</f>
        <v>0</v>
      </c>
      <c r="O30" s="10" t="str">
        <f t="shared" si="9"/>
        <v/>
      </c>
      <c r="P30" s="10" t="str">
        <f t="shared" si="10"/>
        <v/>
      </c>
      <c r="Q30" s="10">
        <f t="shared" si="11"/>
        <v>1782.64353125</v>
      </c>
      <c r="R30" s="10">
        <f t="shared" si="12"/>
        <v>413.57329925000005</v>
      </c>
      <c r="S30" s="279"/>
      <c r="T30" s="261"/>
      <c r="U30" s="12">
        <v>400</v>
      </c>
      <c r="V30" s="12">
        <f t="shared" si="13"/>
        <v>370.78985449999999</v>
      </c>
      <c r="W30" s="12"/>
      <c r="X30" s="12"/>
      <c r="Y30" s="12">
        <f t="shared" si="16"/>
        <v>2967.0066850000003</v>
      </c>
      <c r="Z30" s="12">
        <f t="shared" si="17"/>
        <v>31489.303185000001</v>
      </c>
    </row>
    <row r="31" spans="2:26" x14ac:dyDescent="0.3">
      <c r="B31" s="14">
        <f>IF('Employee Input 22-23'!B31="","",'Employee Input 22-23'!B31)</f>
        <v>2400</v>
      </c>
      <c r="C31" s="269"/>
      <c r="D31" s="269" t="str">
        <f>IF('Employee Input 22-23'!D31="","",'Employee Input 22-23'!D31)</f>
        <v>Marcia Mollett</v>
      </c>
      <c r="E31" s="14" t="str">
        <f>IF('Employee Input 22-23'!E31="","",'Employee Input 22-23'!E31)</f>
        <v>Support</v>
      </c>
      <c r="F31" s="14">
        <f>IF('Employee Input 22-23'!F31="","",'Employee Input 22-23'!F31)</f>
        <v>18.55</v>
      </c>
      <c r="G31" s="14">
        <f>IF('Employee Input 22-23'!G31="","",'Employee Input 22-23'!G31)</f>
        <v>38</v>
      </c>
      <c r="H31" s="14">
        <f>IF('Employee Input 22-23'!H31="","",'Employee Input 22-23'!H31)</f>
        <v>38</v>
      </c>
      <c r="I31" s="230">
        <f>IF('Employee Input 22-23'!I31="","",'Employee Input 22-23'!I31)*(1+$I$2)</f>
        <v>28417.479579999999</v>
      </c>
      <c r="J31" s="10">
        <f t="shared" si="14"/>
        <v>28417.479579999999</v>
      </c>
      <c r="K31" s="11">
        <f>IF('Employee Input 22-23'!K31="","",'Employee Input 22-23'!K31)</f>
        <v>0</v>
      </c>
      <c r="L31" s="11">
        <f>IF('Employee Input 22-23'!L31="","",'Employee Input 22-23'!L31)</f>
        <v>0</v>
      </c>
      <c r="M31" s="10">
        <f t="shared" si="15"/>
        <v>28417.479579999999</v>
      </c>
      <c r="N31" s="16">
        <f>IF('Employee Input 22-23'!N31="","",'Employee Input 22-23'!N31)</f>
        <v>0</v>
      </c>
      <c r="O31" s="10" t="str">
        <f t="shared" si="9"/>
        <v/>
      </c>
      <c r="P31" s="10" t="str">
        <f t="shared" si="10"/>
        <v/>
      </c>
      <c r="Q31" s="10">
        <f t="shared" si="11"/>
        <v>1776.09247375</v>
      </c>
      <c r="R31" s="10">
        <f t="shared" si="12"/>
        <v>412.05345391000003</v>
      </c>
      <c r="S31" s="279"/>
      <c r="T31" s="261"/>
      <c r="U31" s="12">
        <v>400</v>
      </c>
      <c r="V31" s="12">
        <f t="shared" si="13"/>
        <v>369.42723453999997</v>
      </c>
      <c r="W31" s="12"/>
      <c r="X31" s="12"/>
      <c r="Y31" s="12">
        <f t="shared" si="16"/>
        <v>2957.5731621999998</v>
      </c>
      <c r="Z31" s="12">
        <f t="shared" si="17"/>
        <v>31375.052742199998</v>
      </c>
    </row>
    <row r="32" spans="2:26" x14ac:dyDescent="0.3">
      <c r="B32" s="14">
        <f>IF('Employee Input 22-23'!B32="","",'Employee Input 22-23'!B32)</f>
        <v>2900</v>
      </c>
      <c r="C32" s="269"/>
      <c r="D32" s="269" t="str">
        <f>IF('Employee Input 22-23'!D32="","",'Employee Input 22-23'!D32)</f>
        <v>Vacant</v>
      </c>
      <c r="E32" s="14" t="str">
        <f>IF('Employee Input 22-23'!E32="","",'Employee Input 22-23'!E32)</f>
        <v>Lunch Aide</v>
      </c>
      <c r="F32" s="14">
        <f>IF('Employee Input 22-23'!F32="","",'Employee Input 22-23'!F32)</f>
        <v>0</v>
      </c>
      <c r="G32" s="14">
        <f>IF('Employee Input 22-23'!G32="","",'Employee Input 22-23'!G32)</f>
        <v>20</v>
      </c>
      <c r="H32" s="14">
        <f>IF('Employee Input 22-23'!H32="","",'Employee Input 22-23'!H32)</f>
        <v>36</v>
      </c>
      <c r="I32" s="230">
        <f>IF('Employee Input 22-23'!I32="","",'Employee Input 22-23'!I32)*(1+$I$2)</f>
        <v>0</v>
      </c>
      <c r="J32" s="10">
        <f>+I32</f>
        <v>0</v>
      </c>
      <c r="K32" s="11">
        <f>IF('Employee Input 22-23'!K32="","",'Employee Input 22-23'!K32)</f>
        <v>0</v>
      </c>
      <c r="L32" s="11">
        <f>IF('Employee Input 22-23'!L32="","",'Employee Input 22-23'!L32)</f>
        <v>0</v>
      </c>
      <c r="M32" s="10">
        <f>SUM(J32:L32)</f>
        <v>0</v>
      </c>
      <c r="N32" s="16">
        <f>IF('Employee Input 22-23'!N32="","",'Employee Input 22-23'!N32)</f>
        <v>0</v>
      </c>
      <c r="O32" s="10" t="str">
        <f t="shared" si="9"/>
        <v/>
      </c>
      <c r="P32" s="10" t="str">
        <f t="shared" si="10"/>
        <v/>
      </c>
      <c r="Q32" s="10">
        <f t="shared" si="11"/>
        <v>0</v>
      </c>
      <c r="R32" s="10">
        <f>$R$2*M32</f>
        <v>0</v>
      </c>
      <c r="S32" s="279"/>
      <c r="T32" s="261"/>
      <c r="U32" s="12">
        <v>400</v>
      </c>
      <c r="V32" s="12">
        <f t="shared" si="13"/>
        <v>0</v>
      </c>
      <c r="W32" s="12"/>
      <c r="X32" s="12"/>
      <c r="Y32" s="12">
        <f>SUM(T32:X32,O32:R32)</f>
        <v>400</v>
      </c>
      <c r="Z32" s="12">
        <f>Y32+M32</f>
        <v>400</v>
      </c>
    </row>
    <row r="33" spans="2:26" x14ac:dyDescent="0.3">
      <c r="B33" s="14"/>
      <c r="C33" s="269"/>
      <c r="D33" s="269"/>
      <c r="E33" s="14"/>
      <c r="F33" s="14"/>
      <c r="G33" s="14"/>
      <c r="H33" s="14"/>
      <c r="I33" s="230"/>
      <c r="J33" s="10"/>
      <c r="K33" s="11"/>
      <c r="L33" s="11"/>
      <c r="M33" s="10"/>
      <c r="N33" s="16"/>
      <c r="O33" s="10"/>
      <c r="P33" s="10"/>
      <c r="Q33" s="10"/>
      <c r="R33" s="10"/>
      <c r="S33" s="279"/>
      <c r="T33" s="261"/>
      <c r="U33" s="12"/>
      <c r="V33" s="12"/>
      <c r="W33" s="12"/>
      <c r="X33" s="12"/>
      <c r="Y33" s="12"/>
      <c r="Z33" s="12"/>
    </row>
    <row r="35" spans="2:26" outlineLevel="1" x14ac:dyDescent="0.3">
      <c r="B35" s="14"/>
      <c r="C35" s="269"/>
      <c r="D35" s="269"/>
      <c r="E35" s="14"/>
      <c r="F35" s="14"/>
      <c r="G35" s="14"/>
      <c r="H35" s="14"/>
      <c r="I35" s="230"/>
      <c r="J35" s="10"/>
      <c r="K35" s="11"/>
      <c r="L35" s="11"/>
      <c r="M35" s="10"/>
      <c r="N35" s="16"/>
      <c r="O35" s="10"/>
      <c r="P35" s="10"/>
      <c r="Q35" s="10"/>
      <c r="R35" s="10"/>
      <c r="S35" s="279"/>
      <c r="T35" s="12"/>
      <c r="U35" s="12"/>
      <c r="V35" s="12"/>
      <c r="W35" s="12"/>
      <c r="X35" s="12"/>
      <c r="Y35" s="12"/>
      <c r="Z35" s="12"/>
    </row>
    <row r="36" spans="2:26" outlineLevel="1" x14ac:dyDescent="0.3">
      <c r="B36" s="14"/>
      <c r="C36" s="269"/>
      <c r="D36" s="269"/>
      <c r="E36" s="14"/>
      <c r="F36" s="14"/>
      <c r="G36" s="14"/>
      <c r="H36" s="14"/>
      <c r="I36" s="230"/>
      <c r="J36" s="10"/>
      <c r="K36" s="11"/>
      <c r="L36" s="11"/>
      <c r="M36" s="10"/>
      <c r="N36" s="16"/>
      <c r="O36" s="10"/>
      <c r="P36" s="10"/>
      <c r="Q36" s="10"/>
      <c r="R36" s="10"/>
      <c r="S36" s="279"/>
      <c r="T36" s="12"/>
      <c r="U36" s="12"/>
      <c r="V36" s="12"/>
      <c r="W36" s="12"/>
      <c r="X36" s="12"/>
      <c r="Y36" s="12"/>
      <c r="Z36" s="12"/>
    </row>
    <row r="37" spans="2:26" outlineLevel="1" x14ac:dyDescent="0.3">
      <c r="B37" s="14"/>
      <c r="C37" s="269"/>
      <c r="D37" s="269"/>
      <c r="E37" s="14"/>
      <c r="F37" s="14"/>
      <c r="G37" s="14"/>
      <c r="H37" s="14"/>
      <c r="I37" s="230"/>
      <c r="J37" s="10"/>
      <c r="K37" s="11"/>
      <c r="L37" s="11"/>
      <c r="M37" s="10"/>
      <c r="N37" s="16"/>
      <c r="O37" s="10"/>
      <c r="P37" s="10"/>
      <c r="Q37" s="10"/>
      <c r="R37" s="10"/>
      <c r="S37" s="279"/>
      <c r="T37" s="12"/>
      <c r="U37" s="12"/>
      <c r="V37" s="12"/>
      <c r="W37" s="12"/>
      <c r="X37" s="12"/>
      <c r="Y37" s="12"/>
      <c r="Z37" s="12"/>
    </row>
    <row r="38" spans="2:26" outlineLevel="1" x14ac:dyDescent="0.3">
      <c r="B38" s="14"/>
      <c r="C38" s="269"/>
      <c r="D38" s="269"/>
      <c r="E38" s="14"/>
      <c r="F38" s="14"/>
      <c r="G38" s="14"/>
      <c r="H38" s="14"/>
      <c r="I38" s="230"/>
      <c r="J38" s="10"/>
      <c r="K38" s="11"/>
      <c r="L38" s="11"/>
      <c r="M38" s="10"/>
      <c r="N38" s="16"/>
      <c r="O38" s="10"/>
      <c r="P38" s="10"/>
      <c r="Q38" s="10"/>
      <c r="R38" s="10"/>
      <c r="S38" s="279"/>
      <c r="T38" s="12"/>
      <c r="U38" s="12"/>
      <c r="V38" s="12"/>
      <c r="W38" s="12"/>
      <c r="X38" s="12"/>
      <c r="Y38" s="12"/>
      <c r="Z38" s="12"/>
    </row>
    <row r="39" spans="2:26" outlineLevel="1" x14ac:dyDescent="0.3">
      <c r="B39" s="14"/>
      <c r="C39" s="269"/>
      <c r="D39" s="269"/>
      <c r="E39" s="14"/>
      <c r="F39" s="14"/>
      <c r="G39" s="14"/>
      <c r="H39" s="14"/>
      <c r="I39" s="230"/>
      <c r="J39" s="10"/>
      <c r="K39" s="11"/>
      <c r="L39" s="11"/>
      <c r="M39" s="10"/>
      <c r="N39" s="16"/>
      <c r="O39" s="10"/>
      <c r="P39" s="10"/>
      <c r="Q39" s="10"/>
      <c r="R39" s="10"/>
      <c r="S39" s="279"/>
      <c r="T39" s="12"/>
      <c r="U39" s="12"/>
      <c r="V39" s="12"/>
      <c r="W39" s="12"/>
      <c r="X39" s="12"/>
      <c r="Y39" s="12"/>
      <c r="Z39" s="12"/>
    </row>
    <row r="40" spans="2:26" outlineLevel="1" x14ac:dyDescent="0.3">
      <c r="B40" s="14"/>
      <c r="C40" s="269"/>
      <c r="D40" s="269"/>
      <c r="E40" s="14"/>
      <c r="F40" s="14"/>
      <c r="G40" s="14"/>
      <c r="H40" s="14"/>
      <c r="I40" s="230"/>
      <c r="J40" s="10"/>
      <c r="K40" s="11"/>
      <c r="L40" s="11"/>
      <c r="M40" s="10"/>
      <c r="N40" s="16"/>
      <c r="O40" s="10"/>
      <c r="P40" s="10"/>
      <c r="Q40" s="10"/>
      <c r="R40" s="10"/>
      <c r="S40" s="279"/>
      <c r="T40" s="12"/>
      <c r="U40" s="12"/>
      <c r="V40" s="12"/>
      <c r="W40" s="12"/>
      <c r="X40" s="12"/>
      <c r="Y40" s="12"/>
      <c r="Z40" s="12"/>
    </row>
    <row r="41" spans="2:26" outlineLevel="1" x14ac:dyDescent="0.3">
      <c r="B41" s="14"/>
      <c r="C41" s="269"/>
      <c r="D41" s="269"/>
      <c r="E41" s="14"/>
      <c r="F41" s="14"/>
      <c r="G41" s="14"/>
      <c r="H41" s="14"/>
      <c r="I41" s="230"/>
      <c r="J41" s="10"/>
      <c r="K41" s="11"/>
      <c r="L41" s="11"/>
      <c r="M41" s="10"/>
      <c r="N41" s="16"/>
      <c r="O41" s="10"/>
      <c r="P41" s="10"/>
      <c r="Q41" s="10"/>
      <c r="R41" s="10"/>
      <c r="S41" s="279"/>
      <c r="T41" s="12"/>
      <c r="U41" s="12"/>
      <c r="V41" s="12"/>
      <c r="W41" s="12"/>
      <c r="X41" s="12"/>
      <c r="Y41" s="12"/>
      <c r="Z41" s="12"/>
    </row>
    <row r="42" spans="2:26" outlineLevel="1" x14ac:dyDescent="0.3">
      <c r="B42" s="14"/>
      <c r="C42" s="269"/>
      <c r="D42" s="269"/>
      <c r="E42" s="14"/>
      <c r="F42" s="14"/>
      <c r="G42" s="14"/>
      <c r="H42" s="14"/>
      <c r="I42" s="230"/>
      <c r="J42" s="10"/>
      <c r="K42" s="11"/>
      <c r="L42" s="11"/>
      <c r="M42" s="10"/>
      <c r="N42" s="16"/>
      <c r="O42" s="10"/>
      <c r="P42" s="10"/>
      <c r="Q42" s="10"/>
      <c r="R42" s="10"/>
      <c r="S42" s="279"/>
      <c r="T42" s="12"/>
      <c r="U42" s="12"/>
      <c r="V42" s="12"/>
      <c r="W42" s="12"/>
      <c r="X42" s="12"/>
      <c r="Y42" s="12"/>
      <c r="Z42" s="12"/>
    </row>
    <row r="43" spans="2:26" outlineLevel="1" x14ac:dyDescent="0.3">
      <c r="B43" s="14"/>
      <c r="C43" s="269"/>
      <c r="D43" s="269"/>
      <c r="E43" s="14"/>
      <c r="F43" s="14"/>
      <c r="G43" s="14"/>
      <c r="H43" s="14"/>
      <c r="I43" s="230"/>
      <c r="J43" s="10"/>
      <c r="K43" s="11"/>
      <c r="L43" s="11"/>
      <c r="M43" s="10"/>
      <c r="N43" s="16"/>
      <c r="O43" s="10"/>
      <c r="P43" s="10"/>
      <c r="Q43" s="10"/>
      <c r="R43" s="10"/>
      <c r="S43" s="279"/>
      <c r="T43" s="12"/>
      <c r="U43" s="12"/>
      <c r="V43" s="12"/>
      <c r="W43" s="12"/>
      <c r="X43" s="12"/>
      <c r="Y43" s="12"/>
      <c r="Z43" s="12"/>
    </row>
    <row r="44" spans="2:26" outlineLevel="1" x14ac:dyDescent="0.3">
      <c r="B44" s="14"/>
      <c r="C44" s="269"/>
      <c r="D44" s="269"/>
      <c r="E44" s="14"/>
      <c r="F44" s="14"/>
      <c r="G44" s="14"/>
      <c r="H44" s="14"/>
      <c r="I44" s="230"/>
      <c r="J44" s="10"/>
      <c r="K44" s="11"/>
      <c r="L44" s="11"/>
      <c r="M44" s="10"/>
      <c r="N44" s="16"/>
      <c r="O44" s="10"/>
      <c r="P44" s="10"/>
      <c r="Q44" s="10"/>
      <c r="R44" s="10"/>
      <c r="S44" s="279"/>
      <c r="T44" s="12"/>
      <c r="U44" s="12"/>
      <c r="V44" s="12"/>
      <c r="W44" s="12"/>
      <c r="X44" s="12"/>
      <c r="Y44" s="12"/>
      <c r="Z44" s="12"/>
    </row>
    <row r="45" spans="2:26" outlineLevel="1" x14ac:dyDescent="0.3">
      <c r="B45" s="14"/>
      <c r="C45" s="269"/>
      <c r="D45" s="269"/>
      <c r="E45" s="14"/>
      <c r="F45" s="14"/>
      <c r="G45" s="14"/>
      <c r="H45" s="14"/>
      <c r="I45" s="230"/>
      <c r="J45" s="10"/>
      <c r="K45" s="11"/>
      <c r="L45" s="11"/>
      <c r="M45" s="10"/>
      <c r="N45" s="16"/>
      <c r="O45" s="10"/>
      <c r="P45" s="10"/>
      <c r="Q45" s="10"/>
      <c r="R45" s="10"/>
      <c r="S45" s="279"/>
      <c r="T45" s="12"/>
      <c r="U45" s="12"/>
      <c r="V45" s="12"/>
      <c r="W45" s="12"/>
      <c r="X45" s="12"/>
      <c r="Y45" s="12"/>
      <c r="Z45" s="12"/>
    </row>
    <row r="46" spans="2:26" outlineLevel="1" x14ac:dyDescent="0.3">
      <c r="B46" s="14"/>
      <c r="C46" s="269"/>
      <c r="D46" s="269"/>
      <c r="E46" s="14"/>
      <c r="F46" s="14"/>
      <c r="G46" s="14"/>
      <c r="H46" s="14"/>
      <c r="I46" s="230"/>
      <c r="J46" s="10"/>
      <c r="K46" s="11"/>
      <c r="L46" s="11"/>
      <c r="M46" s="10"/>
      <c r="N46" s="16"/>
      <c r="O46" s="10"/>
      <c r="P46" s="10"/>
      <c r="Q46" s="10"/>
      <c r="R46" s="10"/>
      <c r="S46" s="279"/>
      <c r="T46" s="12"/>
      <c r="U46" s="12"/>
      <c r="V46" s="12"/>
      <c r="W46" s="12"/>
      <c r="X46" s="12"/>
      <c r="Y46" s="12"/>
      <c r="Z46" s="12"/>
    </row>
    <row r="47" spans="2:26" outlineLevel="1" x14ac:dyDescent="0.3">
      <c r="B47" s="14"/>
      <c r="C47" s="269"/>
      <c r="D47" s="269"/>
      <c r="E47" s="14"/>
      <c r="F47" s="14"/>
      <c r="G47" s="14"/>
      <c r="H47" s="14"/>
      <c r="I47" s="230"/>
      <c r="J47" s="10"/>
      <c r="K47" s="11"/>
      <c r="L47" s="11"/>
      <c r="M47" s="10"/>
      <c r="N47" s="16"/>
      <c r="O47" s="10"/>
      <c r="P47" s="10"/>
      <c r="Q47" s="10"/>
      <c r="R47" s="10"/>
      <c r="S47" s="279"/>
      <c r="T47" s="12"/>
      <c r="U47" s="12"/>
      <c r="V47" s="12"/>
      <c r="W47" s="12"/>
      <c r="X47" s="12"/>
      <c r="Y47" s="12"/>
      <c r="Z47" s="12"/>
    </row>
    <row r="48" spans="2:26" outlineLevel="1" x14ac:dyDescent="0.3">
      <c r="B48" s="14"/>
      <c r="C48" s="269"/>
      <c r="D48" s="269"/>
      <c r="E48" s="14"/>
      <c r="F48" s="14"/>
      <c r="G48" s="14"/>
      <c r="H48" s="14"/>
      <c r="I48" s="230"/>
      <c r="J48" s="10"/>
      <c r="K48" s="11"/>
      <c r="L48" s="11"/>
      <c r="M48" s="10"/>
      <c r="N48" s="16"/>
      <c r="O48" s="10"/>
      <c r="P48" s="10"/>
      <c r="Q48" s="10"/>
      <c r="R48" s="10"/>
      <c r="S48" s="279"/>
      <c r="T48" s="12"/>
      <c r="U48" s="12"/>
      <c r="V48" s="12"/>
      <c r="W48" s="12"/>
      <c r="X48" s="12"/>
      <c r="Y48" s="12"/>
      <c r="Z48" s="12"/>
    </row>
    <row r="49" spans="2:26" outlineLevel="1" x14ac:dyDescent="0.3">
      <c r="B49" s="14"/>
      <c r="C49" s="269"/>
      <c r="D49" s="269"/>
      <c r="E49" s="14"/>
      <c r="F49" s="14"/>
      <c r="G49" s="14"/>
      <c r="H49" s="14"/>
      <c r="I49" s="230"/>
      <c r="J49" s="10"/>
      <c r="K49" s="11"/>
      <c r="L49" s="11"/>
      <c r="M49" s="10"/>
      <c r="N49" s="16"/>
      <c r="O49" s="10"/>
      <c r="P49" s="10"/>
      <c r="Q49" s="10"/>
      <c r="R49" s="10"/>
      <c r="S49" s="279"/>
      <c r="T49" s="12"/>
      <c r="U49" s="12"/>
      <c r="V49" s="12"/>
      <c r="W49" s="12"/>
      <c r="X49" s="12"/>
      <c r="Y49" s="12"/>
      <c r="Z49" s="12"/>
    </row>
    <row r="50" spans="2:26" outlineLevel="1" x14ac:dyDescent="0.3">
      <c r="B50" s="14"/>
      <c r="C50" s="269"/>
      <c r="D50" s="269"/>
      <c r="E50" s="14"/>
      <c r="F50" s="14"/>
      <c r="G50" s="14"/>
      <c r="H50" s="14"/>
      <c r="I50" s="230"/>
      <c r="J50" s="10"/>
      <c r="K50" s="11"/>
      <c r="L50" s="11"/>
      <c r="M50" s="10"/>
      <c r="N50" s="16"/>
      <c r="O50" s="10"/>
      <c r="P50" s="10"/>
      <c r="Q50" s="10"/>
      <c r="R50" s="10"/>
      <c r="S50" s="279"/>
      <c r="T50" s="12"/>
      <c r="U50" s="12"/>
      <c r="V50" s="12"/>
      <c r="W50" s="12"/>
      <c r="X50" s="12"/>
      <c r="Y50" s="12"/>
      <c r="Z50" s="12"/>
    </row>
    <row r="51" spans="2:26" outlineLevel="1" x14ac:dyDescent="0.3">
      <c r="B51" s="14"/>
      <c r="C51" s="269"/>
      <c r="D51" s="269"/>
      <c r="E51" s="14"/>
      <c r="F51" s="14"/>
      <c r="G51" s="14"/>
      <c r="H51" s="14"/>
      <c r="I51" s="230"/>
      <c r="J51" s="10"/>
      <c r="K51" s="11"/>
      <c r="L51" s="11"/>
      <c r="M51" s="10"/>
      <c r="N51" s="16"/>
      <c r="O51" s="10"/>
      <c r="P51" s="10"/>
      <c r="Q51" s="10"/>
      <c r="R51" s="10"/>
      <c r="S51" s="279"/>
      <c r="T51" s="12"/>
      <c r="U51" s="12"/>
      <c r="V51" s="12"/>
      <c r="W51" s="12"/>
      <c r="X51" s="12"/>
      <c r="Y51" s="12"/>
      <c r="Z51" s="12"/>
    </row>
    <row r="52" spans="2:26" outlineLevel="1" x14ac:dyDescent="0.3">
      <c r="B52" s="14"/>
      <c r="C52" s="269"/>
      <c r="D52" s="269"/>
      <c r="E52" s="14"/>
      <c r="F52" s="14"/>
      <c r="G52" s="14"/>
      <c r="H52" s="14"/>
      <c r="I52" s="230"/>
      <c r="J52" s="10"/>
      <c r="K52" s="11"/>
      <c r="L52" s="11"/>
      <c r="M52" s="10"/>
      <c r="N52" s="16"/>
      <c r="O52" s="10"/>
      <c r="P52" s="10"/>
      <c r="Q52" s="10"/>
      <c r="R52" s="10"/>
      <c r="S52" s="279"/>
      <c r="T52" s="12"/>
      <c r="U52" s="12"/>
      <c r="V52" s="12"/>
      <c r="W52" s="12"/>
      <c r="X52" s="12"/>
      <c r="Y52" s="12"/>
      <c r="Z52" s="12"/>
    </row>
    <row r="53" spans="2:26" outlineLevel="1" x14ac:dyDescent="0.3">
      <c r="B53" s="14"/>
      <c r="C53" s="269"/>
      <c r="D53" s="269"/>
      <c r="E53" s="14"/>
      <c r="F53" s="14"/>
      <c r="G53" s="14"/>
      <c r="H53" s="14"/>
      <c r="I53" s="230"/>
      <c r="J53" s="10"/>
      <c r="K53" s="11"/>
      <c r="L53" s="11"/>
      <c r="M53" s="10"/>
      <c r="N53" s="16"/>
      <c r="O53" s="10"/>
      <c r="P53" s="10"/>
      <c r="Q53" s="10"/>
      <c r="R53" s="10"/>
      <c r="S53" s="279"/>
      <c r="T53" s="12"/>
      <c r="U53" s="12"/>
      <c r="V53" s="12"/>
      <c r="W53" s="12"/>
      <c r="X53" s="12"/>
      <c r="Y53" s="12"/>
      <c r="Z53" s="12"/>
    </row>
    <row r="54" spans="2:26" outlineLevel="1" x14ac:dyDescent="0.3">
      <c r="B54" s="14"/>
      <c r="C54" s="269"/>
      <c r="D54" s="269"/>
      <c r="E54" s="14"/>
      <c r="F54" s="14"/>
      <c r="G54" s="14"/>
      <c r="H54" s="14"/>
      <c r="I54" s="230"/>
      <c r="J54" s="10"/>
      <c r="K54" s="11"/>
      <c r="L54" s="11"/>
      <c r="M54" s="10"/>
      <c r="N54" s="16"/>
      <c r="O54" s="10"/>
      <c r="P54" s="10"/>
      <c r="Q54" s="10"/>
      <c r="R54" s="10"/>
      <c r="S54" s="279"/>
      <c r="T54" s="12"/>
      <c r="U54" s="12"/>
      <c r="V54" s="12"/>
      <c r="W54" s="12"/>
      <c r="X54" s="12"/>
      <c r="Y54" s="12"/>
      <c r="Z54" s="12"/>
    </row>
    <row r="55" spans="2:26" outlineLevel="1" x14ac:dyDescent="0.3">
      <c r="B55" s="14"/>
      <c r="C55" s="269"/>
      <c r="D55" s="269"/>
      <c r="E55" s="14"/>
      <c r="F55" s="14"/>
      <c r="G55" s="14"/>
      <c r="H55" s="14"/>
      <c r="I55" s="230"/>
      <c r="J55" s="10"/>
      <c r="K55" s="11"/>
      <c r="L55" s="11"/>
      <c r="M55" s="10"/>
      <c r="N55" s="16"/>
      <c r="O55" s="10"/>
      <c r="P55" s="10"/>
      <c r="Q55" s="10"/>
      <c r="R55" s="10"/>
      <c r="S55" s="279"/>
      <c r="T55" s="12"/>
      <c r="U55" s="12"/>
      <c r="V55" s="12"/>
      <c r="W55" s="12"/>
      <c r="X55" s="12"/>
      <c r="Y55" s="12"/>
      <c r="Z55" s="12"/>
    </row>
    <row r="56" spans="2:26" outlineLevel="1" x14ac:dyDescent="0.3">
      <c r="B56" s="14"/>
      <c r="C56" s="269"/>
      <c r="D56" s="269"/>
      <c r="E56" s="14"/>
      <c r="F56" s="14"/>
      <c r="G56" s="14"/>
      <c r="H56" s="14"/>
      <c r="I56" s="230"/>
      <c r="J56" s="10"/>
      <c r="K56" s="11"/>
      <c r="L56" s="11"/>
      <c r="M56" s="10"/>
      <c r="N56" s="16"/>
      <c r="O56" s="10"/>
      <c r="P56" s="10"/>
      <c r="Q56" s="10"/>
      <c r="R56" s="10"/>
      <c r="S56" s="279"/>
      <c r="T56" s="12"/>
      <c r="U56" s="12"/>
      <c r="V56" s="12"/>
      <c r="W56" s="12"/>
      <c r="X56" s="12"/>
      <c r="Y56" s="12"/>
      <c r="Z56" s="12"/>
    </row>
    <row r="57" spans="2:26" outlineLevel="1" x14ac:dyDescent="0.3">
      <c r="B57" s="14"/>
      <c r="C57" s="269"/>
      <c r="D57" s="269"/>
      <c r="E57" s="14"/>
      <c r="F57" s="14"/>
      <c r="G57" s="14"/>
      <c r="H57" s="14"/>
      <c r="I57" s="230"/>
      <c r="J57" s="10"/>
      <c r="K57" s="11"/>
      <c r="L57" s="11"/>
      <c r="M57" s="10"/>
      <c r="N57" s="16"/>
      <c r="O57" s="10"/>
      <c r="P57" s="10"/>
      <c r="Q57" s="10"/>
      <c r="R57" s="10"/>
      <c r="S57" s="279"/>
      <c r="T57" s="12"/>
      <c r="U57" s="12"/>
      <c r="V57" s="12"/>
      <c r="W57" s="12"/>
      <c r="X57" s="12"/>
      <c r="Y57" s="12"/>
      <c r="Z57" s="12"/>
    </row>
    <row r="58" spans="2:26" outlineLevel="1" x14ac:dyDescent="0.3">
      <c r="B58" s="14"/>
      <c r="C58" s="269"/>
      <c r="D58" s="269"/>
      <c r="E58" s="14"/>
      <c r="F58" s="14"/>
      <c r="G58" s="14"/>
      <c r="H58" s="14"/>
      <c r="I58" s="230"/>
      <c r="J58" s="10"/>
      <c r="K58" s="11"/>
      <c r="L58" s="11"/>
      <c r="M58" s="10"/>
      <c r="N58" s="16"/>
      <c r="O58" s="10"/>
      <c r="P58" s="10"/>
      <c r="Q58" s="10"/>
      <c r="R58" s="10"/>
      <c r="S58" s="279"/>
      <c r="T58" s="12"/>
      <c r="U58" s="12"/>
      <c r="V58" s="12"/>
      <c r="W58" s="12"/>
      <c r="X58" s="12"/>
      <c r="Y58" s="12"/>
      <c r="Z58" s="12"/>
    </row>
    <row r="59" spans="2:26" outlineLevel="1" x14ac:dyDescent="0.3">
      <c r="B59" s="14"/>
      <c r="C59" s="269"/>
      <c r="D59" s="269"/>
      <c r="E59" s="14"/>
      <c r="F59" s="14"/>
      <c r="G59" s="14"/>
      <c r="H59" s="14"/>
      <c r="I59" s="230"/>
      <c r="J59" s="10"/>
      <c r="K59" s="11"/>
      <c r="L59" s="11"/>
      <c r="M59" s="10"/>
      <c r="N59" s="16"/>
      <c r="O59" s="10"/>
      <c r="P59" s="10"/>
      <c r="Q59" s="10"/>
      <c r="R59" s="10"/>
      <c r="S59" s="279"/>
      <c r="T59" s="12"/>
      <c r="U59" s="12"/>
      <c r="V59" s="12"/>
      <c r="W59" s="12"/>
      <c r="X59" s="12"/>
      <c r="Y59" s="12"/>
      <c r="Z59" s="12"/>
    </row>
    <row r="60" spans="2:26" outlineLevel="1" x14ac:dyDescent="0.3">
      <c r="B60" s="14"/>
      <c r="C60" s="269"/>
      <c r="D60" s="269"/>
      <c r="E60" s="14"/>
      <c r="F60" s="14"/>
      <c r="G60" s="14"/>
      <c r="H60" s="14"/>
      <c r="I60" s="230"/>
      <c r="J60" s="10"/>
      <c r="K60" s="11"/>
      <c r="L60" s="11"/>
      <c r="M60" s="10"/>
      <c r="N60" s="16"/>
      <c r="O60" s="10"/>
      <c r="P60" s="10"/>
      <c r="Q60" s="10"/>
      <c r="R60" s="10"/>
      <c r="S60" s="279"/>
      <c r="T60" s="12"/>
      <c r="U60" s="12"/>
      <c r="V60" s="12"/>
      <c r="W60" s="12"/>
      <c r="X60" s="12"/>
      <c r="Y60" s="12"/>
      <c r="Z60" s="12"/>
    </row>
    <row r="61" spans="2:26" outlineLevel="1" x14ac:dyDescent="0.3">
      <c r="B61" s="14"/>
      <c r="C61" s="269"/>
      <c r="D61" s="269"/>
      <c r="E61" s="14"/>
      <c r="F61" s="14"/>
      <c r="G61" s="14"/>
      <c r="H61" s="14"/>
      <c r="I61" s="230"/>
      <c r="J61" s="10"/>
      <c r="K61" s="11"/>
      <c r="L61" s="11"/>
      <c r="M61" s="10"/>
      <c r="N61" s="16"/>
      <c r="O61" s="10"/>
      <c r="P61" s="10"/>
      <c r="Q61" s="10"/>
      <c r="R61" s="10"/>
      <c r="S61" s="279"/>
      <c r="T61" s="12"/>
      <c r="U61" s="12"/>
      <c r="V61" s="12"/>
      <c r="W61" s="12"/>
      <c r="X61" s="12"/>
      <c r="Y61" s="12"/>
      <c r="Z61" s="12"/>
    </row>
    <row r="62" spans="2:26" outlineLevel="1" x14ac:dyDescent="0.3">
      <c r="B62" s="14"/>
      <c r="C62" s="269"/>
      <c r="D62" s="269"/>
      <c r="E62" s="14"/>
      <c r="F62" s="14"/>
      <c r="G62" s="14"/>
      <c r="H62" s="14"/>
      <c r="I62" s="230"/>
      <c r="J62" s="10"/>
      <c r="K62" s="11"/>
      <c r="L62" s="11"/>
      <c r="M62" s="10"/>
      <c r="N62" s="16"/>
      <c r="O62" s="10"/>
      <c r="P62" s="10"/>
      <c r="Q62" s="10"/>
      <c r="R62" s="10"/>
      <c r="S62" s="279"/>
      <c r="T62" s="12"/>
      <c r="U62" s="12"/>
      <c r="V62" s="12"/>
      <c r="W62" s="12"/>
      <c r="X62" s="12"/>
      <c r="Y62" s="12"/>
      <c r="Z62" s="12"/>
    </row>
    <row r="63" spans="2:26" outlineLevel="1" x14ac:dyDescent="0.3">
      <c r="B63" s="14"/>
      <c r="C63" s="269"/>
      <c r="D63" s="269"/>
      <c r="E63" s="14"/>
      <c r="F63" s="14"/>
      <c r="G63" s="14"/>
      <c r="H63" s="14"/>
      <c r="I63" s="230"/>
      <c r="J63" s="10"/>
      <c r="K63" s="11"/>
      <c r="L63" s="11"/>
      <c r="M63" s="10"/>
      <c r="N63" s="16"/>
      <c r="O63" s="10"/>
      <c r="P63" s="10"/>
      <c r="Q63" s="10"/>
      <c r="R63" s="10"/>
      <c r="S63" s="279"/>
      <c r="T63" s="12"/>
      <c r="U63" s="12"/>
      <c r="V63" s="12"/>
      <c r="W63" s="12"/>
      <c r="X63" s="12"/>
      <c r="Y63" s="12"/>
      <c r="Z63" s="12"/>
    </row>
    <row r="64" spans="2:26" outlineLevel="1" x14ac:dyDescent="0.3">
      <c r="B64" s="14"/>
      <c r="C64" s="269"/>
      <c r="D64" s="269"/>
      <c r="E64" s="14"/>
      <c r="F64" s="14"/>
      <c r="G64" s="14"/>
      <c r="H64" s="14"/>
      <c r="I64" s="230"/>
      <c r="J64" s="10"/>
      <c r="K64" s="11"/>
      <c r="L64" s="11"/>
      <c r="M64" s="10"/>
      <c r="N64" s="16"/>
      <c r="O64" s="10"/>
      <c r="P64" s="10"/>
      <c r="Q64" s="10"/>
      <c r="R64" s="10"/>
      <c r="S64" s="279"/>
      <c r="T64" s="12"/>
      <c r="U64" s="12"/>
      <c r="V64" s="12"/>
      <c r="W64" s="12"/>
      <c r="X64" s="12"/>
      <c r="Y64" s="12"/>
      <c r="Z64" s="12"/>
    </row>
    <row r="65" spans="2:26" outlineLevel="1" x14ac:dyDescent="0.3">
      <c r="B65" s="14"/>
      <c r="C65" s="269"/>
      <c r="D65" s="269"/>
      <c r="E65" s="14"/>
      <c r="F65" s="14"/>
      <c r="G65" s="14"/>
      <c r="H65" s="14"/>
      <c r="I65" s="230"/>
      <c r="J65" s="10"/>
      <c r="K65" s="11"/>
      <c r="L65" s="11"/>
      <c r="M65" s="10"/>
      <c r="N65" s="16"/>
      <c r="O65" s="10"/>
      <c r="P65" s="10"/>
      <c r="Q65" s="10"/>
      <c r="R65" s="10"/>
      <c r="S65" s="279"/>
      <c r="T65" s="12"/>
      <c r="U65" s="12"/>
      <c r="V65" s="12"/>
      <c r="W65" s="12"/>
      <c r="X65" s="12"/>
      <c r="Y65" s="12"/>
      <c r="Z65" s="12"/>
    </row>
    <row r="66" spans="2:26" outlineLevel="1" x14ac:dyDescent="0.3">
      <c r="B66" s="14"/>
      <c r="C66" s="269"/>
      <c r="D66" s="269"/>
      <c r="E66" s="14"/>
      <c r="F66" s="14"/>
      <c r="G66" s="14"/>
      <c r="H66" s="14"/>
      <c r="I66" s="230"/>
      <c r="J66" s="10"/>
      <c r="K66" s="11"/>
      <c r="L66" s="11"/>
      <c r="M66" s="10"/>
      <c r="N66" s="16"/>
      <c r="O66" s="10"/>
      <c r="P66" s="10"/>
      <c r="Q66" s="10"/>
      <c r="R66" s="10"/>
      <c r="S66" s="279"/>
      <c r="T66" s="12"/>
      <c r="U66" s="12"/>
      <c r="V66" s="12"/>
      <c r="W66" s="12"/>
      <c r="X66" s="12"/>
      <c r="Y66" s="12"/>
      <c r="Z66" s="12"/>
    </row>
    <row r="67" spans="2:26" outlineLevel="1" x14ac:dyDescent="0.3">
      <c r="B67" s="14"/>
      <c r="C67" s="269"/>
      <c r="D67" s="269"/>
      <c r="E67" s="14"/>
      <c r="F67" s="14"/>
      <c r="G67" s="14"/>
      <c r="H67" s="14"/>
      <c r="I67" s="230"/>
      <c r="J67" s="10"/>
      <c r="K67" s="11"/>
      <c r="L67" s="11"/>
      <c r="M67" s="10"/>
      <c r="N67" s="16"/>
      <c r="O67" s="10"/>
      <c r="P67" s="10"/>
      <c r="Q67" s="10"/>
      <c r="R67" s="10"/>
      <c r="S67" s="279"/>
      <c r="T67" s="12"/>
      <c r="U67" s="12"/>
      <c r="V67" s="12"/>
      <c r="W67" s="12"/>
      <c r="X67" s="12"/>
      <c r="Y67" s="12"/>
      <c r="Z67" s="12"/>
    </row>
    <row r="68" spans="2:26" outlineLevel="1" x14ac:dyDescent="0.3">
      <c r="B68" s="14"/>
      <c r="C68" s="269"/>
      <c r="D68" s="269"/>
      <c r="E68" s="14"/>
      <c r="F68" s="14"/>
      <c r="G68" s="14"/>
      <c r="H68" s="14"/>
      <c r="I68" s="230"/>
      <c r="J68" s="10"/>
      <c r="K68" s="11"/>
      <c r="L68" s="11"/>
      <c r="M68" s="10"/>
      <c r="N68" s="16"/>
      <c r="O68" s="10"/>
      <c r="P68" s="10"/>
      <c r="Q68" s="10"/>
      <c r="R68" s="10"/>
      <c r="S68" s="279"/>
      <c r="T68" s="12"/>
      <c r="U68" s="12"/>
      <c r="V68" s="12"/>
      <c r="W68" s="12"/>
      <c r="X68" s="12"/>
      <c r="Y68" s="12"/>
      <c r="Z68" s="12"/>
    </row>
    <row r="69" spans="2:26" outlineLevel="1" x14ac:dyDescent="0.3">
      <c r="B69" s="14"/>
      <c r="C69" s="269"/>
      <c r="D69" s="269"/>
      <c r="E69" s="14"/>
      <c r="F69" s="14"/>
      <c r="G69" s="14"/>
      <c r="H69" s="14"/>
      <c r="I69" s="230"/>
      <c r="J69" s="10"/>
      <c r="K69" s="11"/>
      <c r="L69" s="11"/>
      <c r="M69" s="10"/>
      <c r="N69" s="16"/>
      <c r="O69" s="10"/>
      <c r="P69" s="10"/>
      <c r="Q69" s="10"/>
      <c r="R69" s="10"/>
      <c r="S69" s="279"/>
      <c r="T69" s="12"/>
      <c r="U69" s="12"/>
      <c r="V69" s="12"/>
      <c r="W69" s="12"/>
      <c r="X69" s="12"/>
      <c r="Y69" s="12"/>
      <c r="Z69" s="12"/>
    </row>
    <row r="70" spans="2:26" outlineLevel="1" x14ac:dyDescent="0.3">
      <c r="B70" s="14"/>
      <c r="C70" s="269"/>
      <c r="D70" s="269"/>
      <c r="E70" s="14"/>
      <c r="F70" s="14"/>
      <c r="G70" s="14"/>
      <c r="H70" s="14"/>
      <c r="I70" s="230"/>
      <c r="J70" s="10"/>
      <c r="K70" s="11"/>
      <c r="L70" s="11"/>
      <c r="M70" s="10"/>
      <c r="N70" s="16"/>
      <c r="O70" s="10"/>
      <c r="P70" s="10"/>
      <c r="Q70" s="10"/>
      <c r="R70" s="10"/>
      <c r="S70" s="279"/>
      <c r="T70" s="12"/>
      <c r="U70" s="12"/>
      <c r="V70" s="12"/>
      <c r="W70" s="12"/>
      <c r="X70" s="12"/>
      <c r="Y70" s="12"/>
      <c r="Z70" s="12"/>
    </row>
    <row r="71" spans="2:26" outlineLevel="1" x14ac:dyDescent="0.3">
      <c r="B71" s="14"/>
      <c r="C71" s="269"/>
      <c r="D71" s="269"/>
      <c r="E71" s="14"/>
      <c r="F71" s="14"/>
      <c r="G71" s="14"/>
      <c r="H71" s="14"/>
      <c r="I71" s="230"/>
      <c r="J71" s="10"/>
      <c r="K71" s="11"/>
      <c r="L71" s="11"/>
      <c r="M71" s="10"/>
      <c r="N71" s="16"/>
      <c r="O71" s="10"/>
      <c r="P71" s="10"/>
      <c r="Q71" s="10"/>
      <c r="R71" s="10"/>
      <c r="S71" s="279"/>
      <c r="T71" s="12"/>
      <c r="U71" s="12"/>
      <c r="V71" s="12"/>
      <c r="W71" s="12"/>
      <c r="X71" s="12"/>
      <c r="Y71" s="12"/>
      <c r="Z71" s="12"/>
    </row>
    <row r="72" spans="2:26" outlineLevel="1" x14ac:dyDescent="0.3">
      <c r="B72" s="14"/>
      <c r="C72" s="269"/>
      <c r="D72" s="269"/>
      <c r="E72" s="14"/>
      <c r="F72" s="14"/>
      <c r="G72" s="14"/>
      <c r="H72" s="14"/>
      <c r="I72" s="230"/>
      <c r="J72" s="10"/>
      <c r="K72" s="11"/>
      <c r="L72" s="11"/>
      <c r="M72" s="10"/>
      <c r="N72" s="16"/>
      <c r="O72" s="10"/>
      <c r="P72" s="10"/>
      <c r="Q72" s="10"/>
      <c r="R72" s="10"/>
      <c r="S72" s="279"/>
      <c r="T72" s="12"/>
      <c r="U72" s="12"/>
      <c r="V72" s="12"/>
      <c r="W72" s="12"/>
      <c r="X72" s="12"/>
      <c r="Y72" s="12"/>
      <c r="Z72" s="12"/>
    </row>
    <row r="73" spans="2:26" outlineLevel="1" x14ac:dyDescent="0.3">
      <c r="B73" s="14"/>
      <c r="C73" s="269"/>
      <c r="D73" s="269"/>
      <c r="E73" s="14"/>
      <c r="F73" s="14"/>
      <c r="G73" s="14"/>
      <c r="H73" s="14"/>
      <c r="I73" s="230"/>
      <c r="J73" s="10"/>
      <c r="K73" s="11"/>
      <c r="L73" s="11"/>
      <c r="M73" s="10"/>
      <c r="N73" s="16"/>
      <c r="O73" s="10"/>
      <c r="P73" s="10"/>
      <c r="Q73" s="10"/>
      <c r="R73" s="10"/>
      <c r="S73" s="279"/>
      <c r="T73" s="12"/>
      <c r="U73" s="12"/>
      <c r="V73" s="12"/>
      <c r="W73" s="12"/>
      <c r="X73" s="12"/>
      <c r="Y73" s="12"/>
      <c r="Z73" s="12"/>
    </row>
    <row r="74" spans="2:26" outlineLevel="1" x14ac:dyDescent="0.3">
      <c r="B74" s="14"/>
      <c r="C74" s="269"/>
      <c r="D74" s="269"/>
      <c r="E74" s="14"/>
      <c r="F74" s="14"/>
      <c r="G74" s="14"/>
      <c r="H74" s="14"/>
      <c r="I74" s="230"/>
      <c r="J74" s="10"/>
      <c r="K74" s="11"/>
      <c r="L74" s="11"/>
      <c r="M74" s="10"/>
      <c r="N74" s="16"/>
      <c r="O74" s="10"/>
      <c r="P74" s="10"/>
      <c r="Q74" s="10"/>
      <c r="R74" s="10"/>
      <c r="S74" s="279"/>
      <c r="T74" s="12"/>
      <c r="U74" s="12"/>
      <c r="V74" s="12"/>
      <c r="W74" s="12"/>
      <c r="X74" s="12"/>
      <c r="Y74" s="12"/>
      <c r="Z74" s="12"/>
    </row>
    <row r="75" spans="2:26" outlineLevel="1" x14ac:dyDescent="0.3">
      <c r="B75" s="14"/>
      <c r="C75" s="269"/>
      <c r="D75" s="269"/>
      <c r="E75" s="14"/>
      <c r="F75" s="14"/>
      <c r="G75" s="14"/>
      <c r="H75" s="14"/>
      <c r="I75" s="230"/>
      <c r="J75" s="10"/>
      <c r="K75" s="11"/>
      <c r="L75" s="11"/>
      <c r="M75" s="10"/>
      <c r="N75" s="16"/>
      <c r="O75" s="10"/>
      <c r="P75" s="10"/>
      <c r="Q75" s="10"/>
      <c r="R75" s="10"/>
      <c r="S75" s="279"/>
      <c r="T75" s="12"/>
      <c r="U75" s="12"/>
      <c r="V75" s="12"/>
      <c r="W75" s="12"/>
      <c r="X75" s="12"/>
      <c r="Y75" s="12"/>
      <c r="Z75" s="12"/>
    </row>
    <row r="76" spans="2:26" outlineLevel="1" x14ac:dyDescent="0.3">
      <c r="B76" s="14"/>
      <c r="C76" s="271"/>
      <c r="D76" s="271"/>
      <c r="E76" s="15"/>
      <c r="F76" s="14"/>
      <c r="G76" s="14"/>
      <c r="H76" s="14"/>
      <c r="I76" s="230"/>
      <c r="J76" s="10"/>
      <c r="K76" s="11"/>
      <c r="L76" s="11"/>
      <c r="M76" s="10"/>
      <c r="N76" s="16"/>
      <c r="O76" s="10"/>
      <c r="P76" s="10"/>
      <c r="Q76" s="10"/>
      <c r="R76" s="10"/>
      <c r="S76" s="233"/>
      <c r="T76" s="12"/>
      <c r="U76" s="12"/>
      <c r="V76" s="12"/>
      <c r="W76" s="12"/>
      <c r="X76" s="12"/>
      <c r="Y76" s="12"/>
      <c r="Z76" s="12"/>
    </row>
    <row r="77" spans="2:26" outlineLevel="1" x14ac:dyDescent="0.3">
      <c r="B77" s="14"/>
      <c r="C77" s="271"/>
      <c r="D77" s="271"/>
      <c r="E77" s="15"/>
      <c r="F77" s="14"/>
      <c r="G77" s="14"/>
      <c r="H77" s="14"/>
      <c r="I77" s="230"/>
      <c r="J77" s="10"/>
      <c r="K77" s="11"/>
      <c r="L77" s="11"/>
      <c r="M77" s="10"/>
      <c r="N77" s="16"/>
      <c r="O77" s="10"/>
      <c r="P77" s="10"/>
      <c r="Q77" s="10"/>
      <c r="R77" s="10"/>
      <c r="S77" s="233"/>
      <c r="T77" s="12"/>
      <c r="U77" s="12"/>
      <c r="V77" s="12"/>
      <c r="W77" s="12"/>
      <c r="X77" s="12"/>
      <c r="Y77" s="12"/>
      <c r="Z77" s="12"/>
    </row>
    <row r="78" spans="2:26" outlineLevel="1" x14ac:dyDescent="0.3">
      <c r="B78" s="14"/>
      <c r="C78" s="271"/>
      <c r="D78" s="271"/>
      <c r="E78" s="15"/>
      <c r="F78" s="14"/>
      <c r="G78" s="14"/>
      <c r="H78" s="14"/>
      <c r="I78" s="230"/>
      <c r="J78" s="10"/>
      <c r="K78" s="11"/>
      <c r="L78" s="11"/>
      <c r="M78" s="10"/>
      <c r="N78" s="16"/>
      <c r="O78" s="10"/>
      <c r="P78" s="10"/>
      <c r="Q78" s="10"/>
      <c r="R78" s="10"/>
      <c r="S78" s="233"/>
      <c r="T78" s="12"/>
      <c r="U78" s="12"/>
      <c r="V78" s="12"/>
      <c r="W78" s="12"/>
      <c r="X78" s="12"/>
      <c r="Y78" s="12"/>
      <c r="Z78" s="12"/>
    </row>
    <row r="79" spans="2:26" outlineLevel="1" x14ac:dyDescent="0.3">
      <c r="B79" s="14"/>
      <c r="C79" s="271"/>
      <c r="D79" s="271"/>
      <c r="E79" s="15"/>
      <c r="F79" s="14"/>
      <c r="G79" s="14"/>
      <c r="H79" s="14"/>
      <c r="I79" s="230"/>
      <c r="J79" s="10"/>
      <c r="K79" s="11"/>
      <c r="L79" s="11"/>
      <c r="M79" s="10"/>
      <c r="N79" s="16"/>
      <c r="O79" s="10"/>
      <c r="P79" s="10"/>
      <c r="Q79" s="10"/>
      <c r="R79" s="10"/>
      <c r="S79" s="233"/>
      <c r="T79" s="12"/>
      <c r="U79" s="12"/>
      <c r="V79" s="12"/>
      <c r="W79" s="12"/>
      <c r="X79" s="12"/>
      <c r="Y79" s="12"/>
      <c r="Z79" s="12"/>
    </row>
    <row r="80" spans="2:26" outlineLevel="1" x14ac:dyDescent="0.3">
      <c r="B80" s="14"/>
      <c r="C80" s="271"/>
      <c r="D80" s="271"/>
      <c r="E80" s="15"/>
      <c r="F80" s="14"/>
      <c r="G80" s="14"/>
      <c r="H80" s="14"/>
      <c r="I80" s="230"/>
      <c r="J80" s="10"/>
      <c r="K80" s="11"/>
      <c r="L80" s="11"/>
      <c r="M80" s="10"/>
      <c r="N80" s="16"/>
      <c r="O80" s="10"/>
      <c r="P80" s="10"/>
      <c r="Q80" s="10"/>
      <c r="R80" s="10"/>
      <c r="S80" s="233"/>
      <c r="T80" s="12"/>
      <c r="U80" s="12"/>
      <c r="V80" s="12"/>
      <c r="W80" s="12"/>
      <c r="X80" s="12"/>
      <c r="Y80" s="12"/>
      <c r="Z80" s="12"/>
    </row>
    <row r="81" spans="1:26" outlineLevel="1" x14ac:dyDescent="0.3">
      <c r="B81" s="14"/>
      <c r="C81" s="271"/>
      <c r="D81" s="271"/>
      <c r="E81" s="15"/>
      <c r="F81" s="14"/>
      <c r="G81" s="14"/>
      <c r="H81" s="14"/>
      <c r="I81" s="230"/>
      <c r="J81" s="10"/>
      <c r="K81" s="11"/>
      <c r="L81" s="11"/>
      <c r="M81" s="10"/>
      <c r="N81" s="16"/>
      <c r="O81" s="10"/>
      <c r="P81" s="10"/>
      <c r="Q81" s="10"/>
      <c r="R81" s="10"/>
      <c r="S81" s="233"/>
      <c r="T81" s="12"/>
      <c r="U81" s="12"/>
      <c r="V81" s="12"/>
      <c r="W81" s="12"/>
      <c r="X81" s="12"/>
      <c r="Y81" s="12"/>
      <c r="Z81" s="12"/>
    </row>
    <row r="82" spans="1:26" outlineLevel="1" x14ac:dyDescent="0.3">
      <c r="B82" s="14"/>
      <c r="C82" s="271"/>
      <c r="D82" s="271"/>
      <c r="E82" s="15"/>
      <c r="F82" s="14"/>
      <c r="G82" s="14"/>
      <c r="H82" s="14"/>
      <c r="I82" s="230"/>
      <c r="J82" s="10"/>
      <c r="K82" s="11"/>
      <c r="L82" s="11"/>
      <c r="M82" s="10"/>
      <c r="N82" s="16"/>
      <c r="O82" s="10"/>
      <c r="P82" s="10"/>
      <c r="Q82" s="10"/>
      <c r="R82" s="10"/>
      <c r="S82" s="233"/>
      <c r="T82" s="12"/>
      <c r="U82" s="12"/>
      <c r="V82" s="12"/>
      <c r="W82" s="12"/>
      <c r="X82" s="12"/>
      <c r="Y82" s="12"/>
      <c r="Z82" s="12"/>
    </row>
    <row r="83" spans="1:26" outlineLevel="1" x14ac:dyDescent="0.3">
      <c r="B83" s="14"/>
      <c r="C83" s="271"/>
      <c r="D83" s="271"/>
      <c r="E83" s="15"/>
      <c r="F83" s="14"/>
      <c r="G83" s="14"/>
      <c r="H83" s="14"/>
      <c r="I83" s="230"/>
      <c r="J83" s="10"/>
      <c r="K83" s="11"/>
      <c r="L83" s="11"/>
      <c r="M83" s="10"/>
      <c r="N83" s="16"/>
      <c r="O83" s="10"/>
      <c r="P83" s="10"/>
      <c r="Q83" s="10"/>
      <c r="R83" s="10"/>
      <c r="S83" s="233"/>
      <c r="T83" s="12"/>
      <c r="U83" s="12"/>
      <c r="V83" s="12"/>
      <c r="W83" s="12"/>
      <c r="X83" s="12"/>
      <c r="Y83" s="12"/>
      <c r="Z83" s="12"/>
    </row>
    <row r="84" spans="1:26" outlineLevel="1" x14ac:dyDescent="0.3">
      <c r="B84" s="14"/>
      <c r="C84" s="271"/>
      <c r="D84" s="271"/>
      <c r="E84" s="15"/>
      <c r="F84" s="14"/>
      <c r="G84" s="14"/>
      <c r="H84" s="14"/>
      <c r="I84" s="230"/>
      <c r="J84" s="10"/>
      <c r="K84" s="11"/>
      <c r="L84" s="11"/>
      <c r="M84" s="10"/>
      <c r="N84" s="16"/>
      <c r="O84" s="10"/>
      <c r="P84" s="10"/>
      <c r="Q84" s="10"/>
      <c r="R84" s="10"/>
      <c r="S84" s="233"/>
      <c r="T84" s="12"/>
      <c r="U84" s="12"/>
      <c r="V84" s="12"/>
      <c r="W84" s="12"/>
      <c r="X84" s="12"/>
      <c r="Y84" s="12"/>
      <c r="Z84" s="12"/>
    </row>
    <row r="85" spans="1:26" outlineLevel="1" x14ac:dyDescent="0.3">
      <c r="B85" s="14" t="str">
        <f>IF('Employee Input 22-23'!B85="","",'Employee Input 22-23'!B85)</f>
        <v/>
      </c>
      <c r="C85" s="271"/>
      <c r="D85" s="271" t="str">
        <f>IF('Employee Input 22-23'!D85="","",'Employee Input 22-23'!D85)</f>
        <v/>
      </c>
      <c r="E85" s="15" t="str">
        <f>IF('Employee Input 22-23'!E85="","",'Employee Input 22-23'!E85)</f>
        <v/>
      </c>
      <c r="F85" s="14" t="str">
        <f>IF('Employee Input 22-23'!F85="","",'Employee Input 22-23'!F85)</f>
        <v/>
      </c>
      <c r="G85" s="14"/>
      <c r="H85" s="14"/>
      <c r="I85" s="230" t="str">
        <f>IF('Employee Input 22-23'!I85="","",'Employee Input 22-23'!I85)</f>
        <v/>
      </c>
      <c r="J85" s="10" t="str">
        <f>IF(F85="","",F85*I85)</f>
        <v/>
      </c>
      <c r="K85" s="11" t="str">
        <f>IF('Employee Input 22-23'!K85="","",'Employee Input 22-23'!K85)</f>
        <v/>
      </c>
      <c r="L85" s="11" t="str">
        <f>IF('Employee Input 22-23'!L85="","",'Employee Input 22-23'!L85)</f>
        <v/>
      </c>
      <c r="M85" s="10" t="str">
        <f>IF(SUM(J85:L85)&gt;0,SUM(J85:L85),"")</f>
        <v/>
      </c>
      <c r="N85" s="16" t="str">
        <f>IF('Employee Input 22-23'!N85="","",'Employee Input 22-23'!N85)</f>
        <v/>
      </c>
      <c r="O85" s="10"/>
      <c r="P85" s="10"/>
      <c r="Q85" s="10"/>
      <c r="R85" s="10"/>
      <c r="S85" s="233"/>
      <c r="T85" s="12"/>
      <c r="U85" s="12"/>
      <c r="V85" s="12"/>
      <c r="W85" s="12"/>
      <c r="X85" s="12"/>
      <c r="Y85" s="12"/>
      <c r="Z85" s="12"/>
    </row>
    <row r="86" spans="1:26" ht="16.2" thickBot="1" x14ac:dyDescent="0.35">
      <c r="A86" s="22"/>
      <c r="B86" s="38"/>
      <c r="C86" s="268"/>
      <c r="D86" s="268"/>
      <c r="E86" s="24"/>
      <c r="F86" s="38"/>
      <c r="G86" s="38"/>
      <c r="H86" s="38"/>
      <c r="I86" s="38"/>
      <c r="J86" s="38"/>
      <c r="K86" s="38"/>
      <c r="L86" s="38"/>
      <c r="M86" s="22"/>
      <c r="N86" s="38"/>
      <c r="O86" s="22"/>
      <c r="P86" s="22"/>
      <c r="Q86" s="22"/>
      <c r="R86" s="22"/>
      <c r="S86" s="38"/>
      <c r="T86" s="22"/>
      <c r="U86" s="22"/>
      <c r="V86" s="22"/>
      <c r="W86" s="22"/>
      <c r="X86" s="22"/>
      <c r="Y86" s="22"/>
      <c r="Z86" s="22"/>
    </row>
    <row r="87" spans="1:26" x14ac:dyDescent="0.3">
      <c r="B87" s="33" t="s">
        <v>740</v>
      </c>
      <c r="C87" s="272"/>
      <c r="D87" s="273"/>
      <c r="E87" s="218" t="str">
        <f>IF(SUM(E17,E49,E85)&gt;0,SUM(E17,E49,E85),"")</f>
        <v/>
      </c>
      <c r="F87" s="37">
        <f>SUM(F7:F86)</f>
        <v>215.80000000000004</v>
      </c>
      <c r="G87" s="37"/>
      <c r="H87" s="37"/>
      <c r="I87" s="37"/>
      <c r="J87" s="37">
        <f>SUM(J7:J86)</f>
        <v>479471.84538000007</v>
      </c>
      <c r="K87" s="37">
        <f>SUM(K7:K86)</f>
        <v>1250</v>
      </c>
      <c r="L87" s="37">
        <f>SUM(L7:L86)</f>
        <v>1443</v>
      </c>
      <c r="M87" s="37">
        <f>SUM(M7:M86)</f>
        <v>482164.84538000007</v>
      </c>
      <c r="O87" s="37">
        <f t="shared" ref="O87:Z87" si="18">SUM(O7:O86)</f>
        <v>52109.060904400001</v>
      </c>
      <c r="P87" s="37">
        <f t="shared" si="18"/>
        <v>0</v>
      </c>
      <c r="Q87" s="37">
        <f t="shared" si="18"/>
        <v>13083.908561249998</v>
      </c>
      <c r="R87" s="37">
        <f t="shared" si="18"/>
        <v>6991.3902580099984</v>
      </c>
      <c r="S87" s="37">
        <f t="shared" si="18"/>
        <v>0</v>
      </c>
      <c r="T87" s="37">
        <f t="shared" si="18"/>
        <v>53420</v>
      </c>
      <c r="U87" s="37">
        <f t="shared" si="18"/>
        <v>6400</v>
      </c>
      <c r="V87" s="37">
        <f t="shared" si="18"/>
        <v>6268.1429899400009</v>
      </c>
      <c r="W87" s="37">
        <f t="shared" si="18"/>
        <v>0</v>
      </c>
      <c r="X87" s="37">
        <f t="shared" si="18"/>
        <v>0</v>
      </c>
      <c r="Y87" s="37">
        <f t="shared" si="18"/>
        <v>138272.5027136</v>
      </c>
      <c r="Z87" s="37">
        <f t="shared" si="18"/>
        <v>620437.3480935999</v>
      </c>
    </row>
    <row r="89" spans="1:26" x14ac:dyDescent="0.3">
      <c r="B89" s="33" t="s">
        <v>744</v>
      </c>
      <c r="F89" s="37">
        <f>SUMIF($B:$B,1100,F:F)</f>
        <v>41</v>
      </c>
      <c r="G89" s="37"/>
      <c r="H89" s="37"/>
      <c r="I89" s="37"/>
      <c r="J89" s="37">
        <f>SUMIF($B:$B,1100,J:J)</f>
        <v>220408.34039999999</v>
      </c>
      <c r="K89" s="37">
        <f>SUMIF($B:$B,1100,K:K)</f>
        <v>1250</v>
      </c>
      <c r="L89" s="37">
        <f>SUMIF($B:$B,1100,L:L)</f>
        <v>750</v>
      </c>
      <c r="M89" s="37">
        <f>SUMIF($B:$B,1100,M:M)</f>
        <v>222408.34039999999</v>
      </c>
      <c r="O89" s="37">
        <f t="shared" ref="O89:Z89" si="19">SUMIF($B:$B,1100,O:O)</f>
        <v>38431.407654399998</v>
      </c>
      <c r="P89" s="37">
        <f t="shared" si="19"/>
        <v>0</v>
      </c>
      <c r="Q89" s="37">
        <f t="shared" si="19"/>
        <v>1324.7988750000002</v>
      </c>
      <c r="R89" s="37">
        <f t="shared" si="19"/>
        <v>3224.9209358000003</v>
      </c>
      <c r="S89" s="37">
        <f t="shared" si="19"/>
        <v>0</v>
      </c>
      <c r="T89" s="37">
        <f t="shared" si="19"/>
        <v>32442</v>
      </c>
      <c r="U89" s="37">
        <f t="shared" si="19"/>
        <v>2000</v>
      </c>
      <c r="V89" s="37">
        <f t="shared" si="19"/>
        <v>2891.3084251999999</v>
      </c>
      <c r="W89" s="37">
        <f t="shared" si="19"/>
        <v>0</v>
      </c>
      <c r="X89" s="37">
        <f t="shared" si="19"/>
        <v>0</v>
      </c>
      <c r="Y89" s="37">
        <f t="shared" si="19"/>
        <v>80314.435890400011</v>
      </c>
      <c r="Z89" s="37">
        <f t="shared" si="19"/>
        <v>302722.77629040001</v>
      </c>
    </row>
  </sheetData>
  <printOptions horizontalCentered="1" verticalCentered="1" gridLines="1"/>
  <pageMargins left="0.25" right="0.25" top="0.25" bottom="0.25" header="0.3" footer="0.3"/>
  <pageSetup paperSize="5" scale="78" fitToWidth="2"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249977111117893"/>
    <pageSetUpPr fitToPage="1"/>
  </sheetPr>
  <dimension ref="A1:X173"/>
  <sheetViews>
    <sheetView workbookViewId="0">
      <pane xSplit="3" ySplit="6" topLeftCell="D7" activePane="bottomRight" state="frozen"/>
      <selection activeCell="L14" sqref="L14"/>
      <selection pane="topRight" activeCell="L14" sqref="L14"/>
      <selection pane="bottomLeft" activeCell="L14" sqref="L14"/>
      <selection pane="bottomRight" activeCell="L14" sqref="L14"/>
    </sheetView>
  </sheetViews>
  <sheetFormatPr defaultRowHeight="15.6" outlineLevelRow="1" x14ac:dyDescent="0.3"/>
  <cols>
    <col min="1" max="1" width="5.6640625" style="34" customWidth="1"/>
    <col min="2" max="2" width="5.109375" style="39" customWidth="1"/>
    <col min="3" max="3" width="42.5546875" style="1" customWidth="1"/>
    <col min="4" max="18" width="7.88671875" style="89" customWidth="1"/>
    <col min="19" max="19" width="10.33203125" style="1" bestFit="1" customWidth="1"/>
    <col min="20" max="24" width="11.5546875" style="1" customWidth="1"/>
    <col min="25" max="255" width="9.109375" style="1"/>
    <col min="256" max="256" width="22.88671875" style="1" customWidth="1"/>
    <col min="257" max="511" width="9.109375" style="1"/>
    <col min="512" max="512" width="22.88671875" style="1" customWidth="1"/>
    <col min="513" max="767" width="9.109375" style="1"/>
    <col min="768" max="768" width="22.88671875" style="1" customWidth="1"/>
    <col min="769" max="1023" width="9.109375" style="1"/>
    <col min="1024" max="1024" width="22.88671875" style="1" customWidth="1"/>
    <col min="1025" max="1279" width="9.109375" style="1"/>
    <col min="1280" max="1280" width="22.88671875" style="1" customWidth="1"/>
    <col min="1281" max="1535" width="9.109375" style="1"/>
    <col min="1536" max="1536" width="22.88671875" style="1" customWidth="1"/>
    <col min="1537" max="1791" width="9.109375" style="1"/>
    <col min="1792" max="1792" width="22.88671875" style="1" customWidth="1"/>
    <col min="1793" max="2047" width="9.109375" style="1"/>
    <col min="2048" max="2048" width="22.88671875" style="1" customWidth="1"/>
    <col min="2049" max="2303" width="9.109375" style="1"/>
    <col min="2304" max="2304" width="22.88671875" style="1" customWidth="1"/>
    <col min="2305" max="2559" width="9.109375" style="1"/>
    <col min="2560" max="2560" width="22.88671875" style="1" customWidth="1"/>
    <col min="2561" max="2815" width="9.109375" style="1"/>
    <col min="2816" max="2816" width="22.88671875" style="1" customWidth="1"/>
    <col min="2817" max="3071" width="9.109375" style="1"/>
    <col min="3072" max="3072" width="22.88671875" style="1" customWidth="1"/>
    <col min="3073" max="3327" width="9.109375" style="1"/>
    <col min="3328" max="3328" width="22.88671875" style="1" customWidth="1"/>
    <col min="3329" max="3583" width="9.109375" style="1"/>
    <col min="3584" max="3584" width="22.88671875" style="1" customWidth="1"/>
    <col min="3585" max="3839" width="9.109375" style="1"/>
    <col min="3840" max="3840" width="22.88671875" style="1" customWidth="1"/>
    <col min="3841" max="4095" width="9.109375" style="1"/>
    <col min="4096" max="4096" width="22.88671875" style="1" customWidth="1"/>
    <col min="4097" max="4351" width="9.109375" style="1"/>
    <col min="4352" max="4352" width="22.88671875" style="1" customWidth="1"/>
    <col min="4353" max="4607" width="9.109375" style="1"/>
    <col min="4608" max="4608" width="22.88671875" style="1" customWidth="1"/>
    <col min="4609" max="4863" width="9.109375" style="1"/>
    <col min="4864" max="4864" width="22.88671875" style="1" customWidth="1"/>
    <col min="4865" max="5119" width="9.109375" style="1"/>
    <col min="5120" max="5120" width="22.88671875" style="1" customWidth="1"/>
    <col min="5121" max="5375" width="9.109375" style="1"/>
    <col min="5376" max="5376" width="22.88671875" style="1" customWidth="1"/>
    <col min="5377" max="5631" width="9.109375" style="1"/>
    <col min="5632" max="5632" width="22.88671875" style="1" customWidth="1"/>
    <col min="5633" max="5887" width="9.109375" style="1"/>
    <col min="5888" max="5888" width="22.88671875" style="1" customWidth="1"/>
    <col min="5889" max="6143" width="9.109375" style="1"/>
    <col min="6144" max="6144" width="22.88671875" style="1" customWidth="1"/>
    <col min="6145" max="6399" width="9.109375" style="1"/>
    <col min="6400" max="6400" width="22.88671875" style="1" customWidth="1"/>
    <col min="6401" max="6655" width="9.109375" style="1"/>
    <col min="6656" max="6656" width="22.88671875" style="1" customWidth="1"/>
    <col min="6657" max="6911" width="9.109375" style="1"/>
    <col min="6912" max="6912" width="22.88671875" style="1" customWidth="1"/>
    <col min="6913" max="7167" width="9.109375" style="1"/>
    <col min="7168" max="7168" width="22.88671875" style="1" customWidth="1"/>
    <col min="7169" max="7423" width="9.109375" style="1"/>
    <col min="7424" max="7424" width="22.88671875" style="1" customWidth="1"/>
    <col min="7425" max="7679" width="9.109375" style="1"/>
    <col min="7680" max="7680" width="22.88671875" style="1" customWidth="1"/>
    <col min="7681" max="7935" width="9.109375" style="1"/>
    <col min="7936" max="7936" width="22.88671875" style="1" customWidth="1"/>
    <col min="7937" max="8191" width="9.109375" style="1"/>
    <col min="8192" max="8192" width="22.88671875" style="1" customWidth="1"/>
    <col min="8193" max="8447" width="9.109375" style="1"/>
    <col min="8448" max="8448" width="22.88671875" style="1" customWidth="1"/>
    <col min="8449" max="8703" width="9.109375" style="1"/>
    <col min="8704" max="8704" width="22.88671875" style="1" customWidth="1"/>
    <col min="8705" max="8959" width="9.109375" style="1"/>
    <col min="8960" max="8960" width="22.88671875" style="1" customWidth="1"/>
    <col min="8961" max="9215" width="9.109375" style="1"/>
    <col min="9216" max="9216" width="22.88671875" style="1" customWidth="1"/>
    <col min="9217" max="9471" width="9.109375" style="1"/>
    <col min="9472" max="9472" width="22.88671875" style="1" customWidth="1"/>
    <col min="9473" max="9727" width="9.109375" style="1"/>
    <col min="9728" max="9728" width="22.88671875" style="1" customWidth="1"/>
    <col min="9729" max="9983" width="9.109375" style="1"/>
    <col min="9984" max="9984" width="22.88671875" style="1" customWidth="1"/>
    <col min="9985" max="10239" width="9.109375" style="1"/>
    <col min="10240" max="10240" width="22.88671875" style="1" customWidth="1"/>
    <col min="10241" max="10495" width="9.109375" style="1"/>
    <col min="10496" max="10496" width="22.88671875" style="1" customWidth="1"/>
    <col min="10497" max="10751" width="9.109375" style="1"/>
    <col min="10752" max="10752" width="22.88671875" style="1" customWidth="1"/>
    <col min="10753" max="11007" width="9.109375" style="1"/>
    <col min="11008" max="11008" width="22.88671875" style="1" customWidth="1"/>
    <col min="11009" max="11263" width="9.109375" style="1"/>
    <col min="11264" max="11264" width="22.88671875" style="1" customWidth="1"/>
    <col min="11265" max="11519" width="9.109375" style="1"/>
    <col min="11520" max="11520" width="22.88671875" style="1" customWidth="1"/>
    <col min="11521" max="11775" width="9.109375" style="1"/>
    <col min="11776" max="11776" width="22.88671875" style="1" customWidth="1"/>
    <col min="11777" max="12031" width="9.109375" style="1"/>
    <col min="12032" max="12032" width="22.88671875" style="1" customWidth="1"/>
    <col min="12033" max="12287" width="9.109375" style="1"/>
    <col min="12288" max="12288" width="22.88671875" style="1" customWidth="1"/>
    <col min="12289" max="12543" width="9.109375" style="1"/>
    <col min="12544" max="12544" width="22.88671875" style="1" customWidth="1"/>
    <col min="12545" max="12799" width="9.109375" style="1"/>
    <col min="12800" max="12800" width="22.88671875" style="1" customWidth="1"/>
    <col min="12801" max="13055" width="9.109375" style="1"/>
    <col min="13056" max="13056" width="22.88671875" style="1" customWidth="1"/>
    <col min="13057" max="13311" width="9.109375" style="1"/>
    <col min="13312" max="13312" width="22.88671875" style="1" customWidth="1"/>
    <col min="13313" max="13567" width="9.109375" style="1"/>
    <col min="13568" max="13568" width="22.88671875" style="1" customWidth="1"/>
    <col min="13569" max="13823" width="9.109375" style="1"/>
    <col min="13824" max="13824" width="22.88671875" style="1" customWidth="1"/>
    <col min="13825" max="14079" width="9.109375" style="1"/>
    <col min="14080" max="14080" width="22.88671875" style="1" customWidth="1"/>
    <col min="14081" max="14335" width="9.109375" style="1"/>
    <col min="14336" max="14336" width="22.88671875" style="1" customWidth="1"/>
    <col min="14337" max="14591" width="9.109375" style="1"/>
    <col min="14592" max="14592" width="22.88671875" style="1" customWidth="1"/>
    <col min="14593" max="14847" width="9.109375" style="1"/>
    <col min="14848" max="14848" width="22.88671875" style="1" customWidth="1"/>
    <col min="14849" max="15103" width="9.109375" style="1"/>
    <col min="15104" max="15104" width="22.88671875" style="1" customWidth="1"/>
    <col min="15105" max="15359" width="9.109375" style="1"/>
    <col min="15360" max="15360" width="22.88671875" style="1" customWidth="1"/>
    <col min="15361" max="15615" width="9.109375" style="1"/>
    <col min="15616" max="15616" width="22.88671875" style="1" customWidth="1"/>
    <col min="15617" max="15871" width="9.109375" style="1"/>
    <col min="15872" max="15872" width="22.88671875" style="1" customWidth="1"/>
    <col min="15873" max="16127" width="9.109375" style="1"/>
    <col min="16128" max="16128" width="22.88671875" style="1" customWidth="1"/>
    <col min="16129" max="16384" width="9.109375" style="1"/>
  </cols>
  <sheetData>
    <row r="1" spans="1:20" ht="20.399999999999999" x14ac:dyDescent="0.35">
      <c r="A1" s="21" t="str">
        <f>'Student Info'!$A$1</f>
        <v>Three Rivers - 23-65565-0123737</v>
      </c>
      <c r="D1" s="172" t="s">
        <v>1011</v>
      </c>
    </row>
    <row r="2" spans="1:20" ht="17.399999999999999" x14ac:dyDescent="0.3">
      <c r="A2" s="20" t="s">
        <v>798</v>
      </c>
      <c r="D2" s="172" t="s">
        <v>1010</v>
      </c>
    </row>
    <row r="3" spans="1:20" ht="17.399999999999999" x14ac:dyDescent="0.3">
      <c r="A3" s="20" t="str">
        <f>'Cash Flow $s Yr4'!A3</f>
        <v>2023-24</v>
      </c>
    </row>
    <row r="5" spans="1:20" ht="17.399999999999999" x14ac:dyDescent="0.3">
      <c r="A5" s="28"/>
      <c r="B5" s="40"/>
      <c r="C5" s="28"/>
      <c r="D5" s="90"/>
      <c r="E5" s="90"/>
      <c r="F5" s="90"/>
      <c r="G5" s="90"/>
      <c r="H5" s="90"/>
      <c r="I5" s="90"/>
      <c r="J5" s="90"/>
      <c r="K5" s="90"/>
      <c r="L5" s="90"/>
      <c r="M5" s="90"/>
      <c r="N5" s="90"/>
      <c r="O5" s="90"/>
      <c r="P5" s="90"/>
      <c r="Q5" s="90"/>
      <c r="R5" s="90"/>
    </row>
    <row r="6" spans="1:20"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c r="S6" s="100" t="s">
        <v>676</v>
      </c>
    </row>
    <row r="7" spans="1:20" ht="17.399999999999999" x14ac:dyDescent="0.3">
      <c r="A7" s="45" t="s">
        <v>789</v>
      </c>
      <c r="B7" s="81"/>
      <c r="D7" s="30"/>
      <c r="F7" s="91"/>
      <c r="G7" s="91"/>
      <c r="H7" s="91"/>
      <c r="I7" s="30"/>
      <c r="J7" s="30"/>
      <c r="K7" s="91"/>
      <c r="L7" s="91"/>
      <c r="M7" s="91"/>
      <c r="N7" s="91"/>
      <c r="O7" s="91"/>
      <c r="P7" s="91"/>
      <c r="Q7" s="91"/>
      <c r="R7" s="91"/>
    </row>
    <row r="8" spans="1:20" ht="17.399999999999999" hidden="1" x14ac:dyDescent="0.3">
      <c r="A8" s="45"/>
      <c r="B8" s="81"/>
      <c r="C8" s="103" t="s">
        <v>811</v>
      </c>
      <c r="D8" s="104" t="s">
        <v>780</v>
      </c>
      <c r="F8" s="91"/>
      <c r="G8" s="91"/>
      <c r="H8" s="91"/>
      <c r="I8" s="30"/>
      <c r="J8" s="30"/>
      <c r="K8" s="91"/>
      <c r="L8" s="91"/>
      <c r="M8" s="91"/>
      <c r="N8" s="91"/>
      <c r="O8" s="91"/>
      <c r="P8" s="91"/>
      <c r="Q8" s="91"/>
      <c r="R8" s="91"/>
    </row>
    <row r="9" spans="1:20" ht="17.399999999999999" x14ac:dyDescent="0.3">
      <c r="A9" s="45"/>
      <c r="B9" s="81"/>
      <c r="C9" s="83" t="s">
        <v>812</v>
      </c>
      <c r="D9" s="109">
        <f>'Cash Flow %s Yr3'!D9</f>
        <v>0.05</v>
      </c>
      <c r="E9" s="109">
        <f>'Cash Flow %s Yr3'!E9</f>
        <v>0.05</v>
      </c>
      <c r="F9" s="109">
        <f>'Cash Flow %s Yr3'!F9</f>
        <v>0.09</v>
      </c>
      <c r="G9" s="109">
        <f>'Cash Flow %s Yr3'!G9</f>
        <v>0.09</v>
      </c>
      <c r="H9" s="109">
        <f>'Cash Flow %s Yr3'!H9</f>
        <v>0.09</v>
      </c>
      <c r="I9" s="109">
        <f>'Cash Flow %s Yr3'!I9</f>
        <v>0.09</v>
      </c>
      <c r="J9" s="109">
        <f>'Cash Flow %s Yr3'!J9</f>
        <v>0.09</v>
      </c>
      <c r="K9" s="109">
        <f>'Cash Flow %s Yr3'!K9</f>
        <v>0.09</v>
      </c>
      <c r="L9" s="211">
        <v>0.09</v>
      </c>
      <c r="M9" s="109">
        <f>'Cash Flow %s Yr3'!M9</f>
        <v>0.09</v>
      </c>
      <c r="N9" s="109">
        <f>'Cash Flow %s Yr3'!N9</f>
        <v>0.09</v>
      </c>
      <c r="O9" s="109">
        <f>'Cash Flow %s Yr3'!O9</f>
        <v>0.09</v>
      </c>
      <c r="P9" s="109">
        <f>'Cash Flow %s Yr3'!P9</f>
        <v>0</v>
      </c>
      <c r="Q9" s="211">
        <v>0</v>
      </c>
      <c r="R9" s="109">
        <f>'Cash Flow %s Yr3'!R9</f>
        <v>0</v>
      </c>
      <c r="S9" s="105">
        <f>SUM(D9:R9)</f>
        <v>0.99999999999999978</v>
      </c>
      <c r="T9" s="1" t="str">
        <f>'Cash Flow %s Yr3'!T9</f>
        <v>estimate based on January 2013 Governor's budget</v>
      </c>
    </row>
    <row r="10" spans="1:20" ht="17.399999999999999" hidden="1" x14ac:dyDescent="0.3">
      <c r="A10" s="45"/>
      <c r="B10" s="81"/>
      <c r="C10" s="83" t="s">
        <v>813</v>
      </c>
      <c r="D10" s="109">
        <f>'Cash Flow %s Yr3'!D10</f>
        <v>0</v>
      </c>
      <c r="E10" s="109">
        <f>'Cash Flow %s Yr3'!E10</f>
        <v>0</v>
      </c>
      <c r="F10" s="109">
        <f>'Cash Flow %s Yr3'!F10</f>
        <v>0</v>
      </c>
      <c r="G10" s="109">
        <f>'Cash Flow %s Yr3'!G10</f>
        <v>0.37</v>
      </c>
      <c r="H10" s="109">
        <f>'Cash Flow %s Yr3'!H10</f>
        <v>0</v>
      </c>
      <c r="I10" s="109">
        <f>'Cash Flow %s Yr3'!I10</f>
        <v>0</v>
      </c>
      <c r="J10" s="109">
        <f>'Cash Flow %s Yr3'!J10</f>
        <v>0.18</v>
      </c>
      <c r="K10" s="109">
        <f>'Cash Flow %s Yr3'!K10</f>
        <v>0</v>
      </c>
      <c r="L10" s="109">
        <f>'Cash Flow %s Yr3'!L10</f>
        <v>0.09</v>
      </c>
      <c r="M10" s="109">
        <f>'Cash Flow %s Yr3'!M10</f>
        <v>0.09</v>
      </c>
      <c r="N10" s="109">
        <f>'Cash Flow %s Yr3'!N10</f>
        <v>0.09</v>
      </c>
      <c r="O10" s="109">
        <f>'Cash Flow %s Yr3'!O10</f>
        <v>0.09</v>
      </c>
      <c r="P10" s="109">
        <f>'Cash Flow %s Yr3'!P10</f>
        <v>0</v>
      </c>
      <c r="Q10" s="109">
        <f>'Cash Flow %s Yr3'!Q10</f>
        <v>0</v>
      </c>
      <c r="R10" s="109">
        <f>'Cash Flow %s Yr3'!R10</f>
        <v>0</v>
      </c>
      <c r="S10" s="105">
        <f>SUM(D10:R10)</f>
        <v>0.90999999999999992</v>
      </c>
      <c r="T10" s="1">
        <f>'Cash Flow %s Yr3'!T10</f>
        <v>0</v>
      </c>
    </row>
    <row r="11" spans="1:20" s="30" customFormat="1" ht="17.399999999999999" x14ac:dyDescent="0.3">
      <c r="B11" s="66" t="s">
        <v>777</v>
      </c>
      <c r="C11" s="47"/>
      <c r="D11" s="212"/>
      <c r="E11" s="212"/>
      <c r="F11" s="212"/>
      <c r="G11" s="212"/>
      <c r="H11" s="212"/>
      <c r="I11" s="212"/>
      <c r="J11" s="212"/>
      <c r="K11" s="212"/>
      <c r="L11" s="212"/>
      <c r="M11" s="212"/>
      <c r="N11" s="212"/>
      <c r="O11" s="212"/>
      <c r="P11" s="212"/>
      <c r="Q11" s="212"/>
      <c r="R11" s="212"/>
      <c r="S11" s="105"/>
    </row>
    <row r="12" spans="1:20" s="30" customFormat="1" x14ac:dyDescent="0.3">
      <c r="A12" s="48"/>
      <c r="B12" s="61">
        <f>'Revenue Input'!B8</f>
        <v>8011</v>
      </c>
      <c r="C12" s="61" t="str">
        <f>'Revenue Input'!C8</f>
        <v>LCFF for all grades; state aid portion</v>
      </c>
      <c r="D12" s="109">
        <f>D$9</f>
        <v>0.05</v>
      </c>
      <c r="E12" s="109">
        <f t="shared" ref="E12:R12" si="0">E$9</f>
        <v>0.05</v>
      </c>
      <c r="F12" s="109">
        <f t="shared" si="0"/>
        <v>0.09</v>
      </c>
      <c r="G12" s="109">
        <f t="shared" si="0"/>
        <v>0.09</v>
      </c>
      <c r="H12" s="109">
        <f t="shared" si="0"/>
        <v>0.09</v>
      </c>
      <c r="I12" s="109">
        <f t="shared" si="0"/>
        <v>0.09</v>
      </c>
      <c r="J12" s="109">
        <f t="shared" si="0"/>
        <v>0.09</v>
      </c>
      <c r="K12" s="109">
        <f t="shared" si="0"/>
        <v>0.09</v>
      </c>
      <c r="L12" s="109">
        <f t="shared" si="0"/>
        <v>0.09</v>
      </c>
      <c r="M12" s="109">
        <f t="shared" si="0"/>
        <v>0.09</v>
      </c>
      <c r="N12" s="109">
        <f t="shared" si="0"/>
        <v>0.09</v>
      </c>
      <c r="O12" s="109">
        <f t="shared" si="0"/>
        <v>0.09</v>
      </c>
      <c r="P12" s="109">
        <f t="shared" si="0"/>
        <v>0</v>
      </c>
      <c r="Q12" s="109">
        <f t="shared" si="0"/>
        <v>0</v>
      </c>
      <c r="R12" s="109">
        <f t="shared" si="0"/>
        <v>0</v>
      </c>
      <c r="S12" s="105">
        <f t="shared" ref="S12:S22" si="1">SUM(D12:R12)</f>
        <v>0.99999999999999978</v>
      </c>
    </row>
    <row r="13" spans="1:20" s="30" customFormat="1" x14ac:dyDescent="0.3">
      <c r="A13" s="48"/>
      <c r="B13" s="61">
        <f>'Revenue Input'!B9</f>
        <v>8012</v>
      </c>
      <c r="C13" s="61" t="str">
        <f>'Revenue Input'!C9</f>
        <v>LCFF for all grades; EPA portion</v>
      </c>
      <c r="D13" s="210">
        <f>+'Cash Flow %s Yr3'!D13</f>
        <v>0</v>
      </c>
      <c r="E13" s="210">
        <f>+'Cash Flow %s Yr3'!E13</f>
        <v>0</v>
      </c>
      <c r="F13" s="210">
        <f>+'Cash Flow %s Yr3'!F13</f>
        <v>0.25</v>
      </c>
      <c r="G13" s="210">
        <f>+'Cash Flow %s Yr3'!G13</f>
        <v>0</v>
      </c>
      <c r="H13" s="210">
        <f>+'Cash Flow %s Yr3'!H13</f>
        <v>0</v>
      </c>
      <c r="I13" s="210">
        <f>+'Cash Flow %s Yr3'!I13</f>
        <v>0.25</v>
      </c>
      <c r="J13" s="210">
        <f>+'Cash Flow %s Yr3'!J13</f>
        <v>0</v>
      </c>
      <c r="K13" s="210">
        <f>+'Cash Flow %s Yr3'!K13</f>
        <v>0</v>
      </c>
      <c r="L13" s="210">
        <f>+'Cash Flow %s Yr3'!L13</f>
        <v>0.25</v>
      </c>
      <c r="M13" s="210">
        <f>+'Cash Flow %s Yr3'!M13</f>
        <v>0</v>
      </c>
      <c r="N13" s="210">
        <f>+'Cash Flow %s Yr3'!N13</f>
        <v>0</v>
      </c>
      <c r="O13" s="210">
        <f>+'Cash Flow %s Yr3'!O13</f>
        <v>0.25</v>
      </c>
      <c r="P13" s="210">
        <f>+'Cash Flow %s Yr3'!P13</f>
        <v>0</v>
      </c>
      <c r="Q13" s="210">
        <f>+'Cash Flow %s Yr3'!Q13</f>
        <v>0</v>
      </c>
      <c r="R13" s="210">
        <f>+'Cash Flow %s Yr3'!R13</f>
        <v>0</v>
      </c>
      <c r="S13" s="105">
        <f t="shared" si="1"/>
        <v>1</v>
      </c>
    </row>
    <row r="14" spans="1:20" s="30" customFormat="1" x14ac:dyDescent="0.3">
      <c r="A14" s="48"/>
      <c r="B14" s="61">
        <f>'Revenue Input'!B10</f>
        <v>8096</v>
      </c>
      <c r="C14" s="61" t="str">
        <f>'Revenue Input'!C10</f>
        <v>In-Lieu of Property Taxes, all grades</v>
      </c>
      <c r="D14" s="210">
        <v>0</v>
      </c>
      <c r="E14" s="210">
        <f>'Cash Flow %s Yr3'!E14</f>
        <v>0.06</v>
      </c>
      <c r="F14" s="210">
        <f>'Cash Flow %s Yr3'!F14</f>
        <v>0.12</v>
      </c>
      <c r="G14" s="210">
        <f>'Cash Flow %s Yr3'!G14</f>
        <v>0.08</v>
      </c>
      <c r="H14" s="210">
        <f>'Cash Flow %s Yr3'!H14</f>
        <v>0.08</v>
      </c>
      <c r="I14" s="210">
        <f>'Cash Flow %s Yr3'!I14</f>
        <v>0.08</v>
      </c>
      <c r="J14" s="210">
        <f>'Cash Flow %s Yr3'!J14</f>
        <v>0.08</v>
      </c>
      <c r="K14" s="210">
        <f>'Cash Flow %s Yr3'!K14</f>
        <v>0.08</v>
      </c>
      <c r="L14" s="210">
        <f>'Cash Flow %s Yr3'!L14</f>
        <v>0.14000000000000001</v>
      </c>
      <c r="M14" s="210">
        <f>'Cash Flow %s Yr3'!M14</f>
        <v>7.0000000000000007E-2</v>
      </c>
      <c r="N14" s="210">
        <f>'Cash Flow %s Yr3'!N14</f>
        <v>7.0000000000000007E-2</v>
      </c>
      <c r="O14" s="210">
        <f>'Cash Flow %s Yr3'!O14</f>
        <v>0.14000000000000001</v>
      </c>
      <c r="P14" s="210">
        <f>'Cash Flow %s Yr3'!P14</f>
        <v>0</v>
      </c>
      <c r="Q14" s="210">
        <v>0</v>
      </c>
      <c r="R14" s="210">
        <v>0</v>
      </c>
      <c r="S14" s="105">
        <f t="shared" si="1"/>
        <v>1</v>
      </c>
    </row>
    <row r="15" spans="1:20" s="30" customFormat="1" x14ac:dyDescent="0.3">
      <c r="A15" s="48"/>
      <c r="B15" s="61">
        <f>'Revenue Input'!B11</f>
        <v>8019</v>
      </c>
      <c r="C15" s="61" t="str">
        <f>'Revenue Input'!C11</f>
        <v>Prior Year Income / Adjustments</v>
      </c>
      <c r="D15" s="109">
        <f>'Cash Flow %s Yr3'!D15</f>
        <v>0.05</v>
      </c>
      <c r="E15" s="109">
        <f>'Cash Flow %s Yr3'!E15</f>
        <v>0.05</v>
      </c>
      <c r="F15" s="109">
        <f>'Cash Flow %s Yr3'!F15</f>
        <v>0.09</v>
      </c>
      <c r="G15" s="109">
        <f>'Cash Flow %s Yr3'!G15</f>
        <v>0.09</v>
      </c>
      <c r="H15" s="109">
        <f>'Cash Flow %s Yr3'!H15</f>
        <v>0.09</v>
      </c>
      <c r="I15" s="109">
        <f>'Cash Flow %s Yr3'!I15</f>
        <v>0.09</v>
      </c>
      <c r="J15" s="109">
        <f>'Cash Flow %s Yr3'!J15</f>
        <v>0.09</v>
      </c>
      <c r="K15" s="109">
        <f>'Cash Flow %s Yr3'!K15</f>
        <v>0.09</v>
      </c>
      <c r="L15" s="109">
        <f>'Cash Flow %s Yr3'!L15</f>
        <v>0.09</v>
      </c>
      <c r="M15" s="109">
        <f>'Cash Flow %s Yr3'!M15</f>
        <v>0.09</v>
      </c>
      <c r="N15" s="109">
        <f>'Cash Flow %s Yr3'!N15</f>
        <v>0.09</v>
      </c>
      <c r="O15" s="109">
        <f>'Cash Flow %s Yr3'!O15</f>
        <v>0.09</v>
      </c>
      <c r="P15" s="109">
        <f>'Cash Flow %s Yr3'!P15</f>
        <v>0</v>
      </c>
      <c r="Q15" s="109">
        <f>'Cash Flow %s Yr3'!Q15</f>
        <v>0</v>
      </c>
      <c r="R15" s="109">
        <f>'Cash Flow %s Yr3'!R15</f>
        <v>0</v>
      </c>
      <c r="S15" s="105">
        <f t="shared" si="1"/>
        <v>0.99999999999999978</v>
      </c>
    </row>
    <row r="16" spans="1:20" s="30" customFormat="1" x14ac:dyDescent="0.3">
      <c r="A16" s="48"/>
      <c r="B16" s="61">
        <f>'Revenue Input'!B30</f>
        <v>8520</v>
      </c>
      <c r="C16" s="61" t="str">
        <f>'Revenue Input'!C30</f>
        <v>State Child Nutrition Program</v>
      </c>
      <c r="D16" s="109">
        <f>'Cash Flow %s Yr3'!D16</f>
        <v>0.05</v>
      </c>
      <c r="E16" s="109">
        <f>'Cash Flow %s Yr3'!E16</f>
        <v>0.05</v>
      </c>
      <c r="F16" s="109">
        <f>'Cash Flow %s Yr3'!F16</f>
        <v>0.09</v>
      </c>
      <c r="G16" s="109">
        <f>'Cash Flow %s Yr3'!G16</f>
        <v>0.09</v>
      </c>
      <c r="H16" s="109">
        <f>'Cash Flow %s Yr3'!H16</f>
        <v>0.09</v>
      </c>
      <c r="I16" s="109">
        <f>'Cash Flow %s Yr3'!I16</f>
        <v>0.09</v>
      </c>
      <c r="J16" s="109">
        <f>'Cash Flow %s Yr3'!J16</f>
        <v>0.09</v>
      </c>
      <c r="K16" s="109">
        <f>'Cash Flow %s Yr3'!K16</f>
        <v>0.09</v>
      </c>
      <c r="L16" s="109">
        <f>'Cash Flow %s Yr3'!L16</f>
        <v>0.09</v>
      </c>
      <c r="M16" s="109">
        <f>'Cash Flow %s Yr3'!M16</f>
        <v>0.09</v>
      </c>
      <c r="N16" s="109">
        <f>'Cash Flow %s Yr3'!N16</f>
        <v>0.09</v>
      </c>
      <c r="O16" s="109">
        <f>'Cash Flow %s Yr3'!O16</f>
        <v>0.09</v>
      </c>
      <c r="P16" s="109">
        <f>'Cash Flow %s Yr3'!P16</f>
        <v>0</v>
      </c>
      <c r="Q16" s="109">
        <f>'Cash Flow %s Yr3'!Q16</f>
        <v>0</v>
      </c>
      <c r="R16" s="109">
        <f>'Cash Flow %s Yr3'!R16</f>
        <v>0</v>
      </c>
      <c r="S16" s="105">
        <f t="shared" si="1"/>
        <v>0.99999999999999978</v>
      </c>
    </row>
    <row r="17" spans="1:20" s="30" customFormat="1" x14ac:dyDescent="0.3">
      <c r="A17" s="48"/>
      <c r="B17" s="61">
        <f>'Revenue Input'!B31</f>
        <v>8550</v>
      </c>
      <c r="C17" s="61" t="str">
        <f>'Revenue Input'!C31</f>
        <v>Mandate Block Grant</v>
      </c>
      <c r="D17" s="109">
        <f>'Cash Flow %s Yr3'!D17</f>
        <v>0</v>
      </c>
      <c r="E17" s="109">
        <f>'Cash Flow %s Yr3'!E17</f>
        <v>0</v>
      </c>
      <c r="F17" s="109">
        <f>'Cash Flow %s Yr3'!F17</f>
        <v>0</v>
      </c>
      <c r="G17" s="109">
        <f>'Cash Flow %s Yr3'!G17</f>
        <v>0</v>
      </c>
      <c r="H17" s="109">
        <f>'Cash Flow %s Yr3'!H17</f>
        <v>0</v>
      </c>
      <c r="I17" s="109">
        <f>'Cash Flow %s Yr3'!I17</f>
        <v>0.25</v>
      </c>
      <c r="J17" s="109">
        <f>'Cash Flow %s Yr3'!J17</f>
        <v>0</v>
      </c>
      <c r="K17" s="109">
        <f>'Cash Flow %s Yr3'!K17</f>
        <v>0.25</v>
      </c>
      <c r="L17" s="109">
        <f>'Cash Flow %s Yr3'!L17</f>
        <v>0</v>
      </c>
      <c r="M17" s="109">
        <f>'Cash Flow %s Yr3'!M17</f>
        <v>0.25</v>
      </c>
      <c r="N17" s="109">
        <f>'Cash Flow %s Yr3'!N17</f>
        <v>0</v>
      </c>
      <c r="O17" s="109">
        <f>'Cash Flow %s Yr3'!O17</f>
        <v>0.25</v>
      </c>
      <c r="P17" s="109">
        <f>'Cash Flow %s Yr3'!P17</f>
        <v>0</v>
      </c>
      <c r="Q17" s="109">
        <f>'Cash Flow %s Yr3'!Q17</f>
        <v>0</v>
      </c>
      <c r="R17" s="109">
        <f>'Cash Flow %s Yr3'!R17</f>
        <v>0</v>
      </c>
      <c r="S17" s="105">
        <f t="shared" si="1"/>
        <v>1</v>
      </c>
      <c r="T17" s="1">
        <f>'Cash Flow %s Yr3'!T17</f>
        <v>0</v>
      </c>
    </row>
    <row r="18" spans="1:20" s="30" customFormat="1" x14ac:dyDescent="0.3">
      <c r="A18" s="47"/>
      <c r="B18" s="61">
        <f>'Revenue Input'!B32</f>
        <v>8560</v>
      </c>
      <c r="C18" s="61" t="str">
        <f>'Revenue Input'!C32</f>
        <v>Lottery</v>
      </c>
      <c r="D18" s="109">
        <f>'Cash Flow %s Yr3'!D18</f>
        <v>0</v>
      </c>
      <c r="E18" s="109">
        <f>'Cash Flow %s Yr3'!E18</f>
        <v>0</v>
      </c>
      <c r="F18" s="109">
        <f>'Cash Flow %s Yr3'!F18</f>
        <v>0</v>
      </c>
      <c r="G18" s="109">
        <f>'Cash Flow %s Yr3'!G18</f>
        <v>0</v>
      </c>
      <c r="H18" s="109">
        <f>'Cash Flow %s Yr3'!H18</f>
        <v>0.1</v>
      </c>
      <c r="I18" s="109">
        <f>'Cash Flow %s Yr3'!I18</f>
        <v>0.1</v>
      </c>
      <c r="J18" s="109">
        <f>'Cash Flow %s Yr3'!J18</f>
        <v>0.1</v>
      </c>
      <c r="K18" s="109">
        <f>'Cash Flow %s Yr3'!K18</f>
        <v>0.1</v>
      </c>
      <c r="L18" s="109">
        <f>'Cash Flow %s Yr3'!L18</f>
        <v>0.1</v>
      </c>
      <c r="M18" s="109">
        <f>'Cash Flow %s Yr3'!M18</f>
        <v>0.1</v>
      </c>
      <c r="N18" s="109">
        <f>'Cash Flow %s Yr3'!N18</f>
        <v>0.1</v>
      </c>
      <c r="O18" s="109">
        <f>'Cash Flow %s Yr3'!O18</f>
        <v>0.3</v>
      </c>
      <c r="P18" s="109">
        <f>'Cash Flow %s Yr3'!P18</f>
        <v>0</v>
      </c>
      <c r="Q18" s="109">
        <f>'Cash Flow %s Yr3'!Q18</f>
        <v>0</v>
      </c>
      <c r="R18" s="109">
        <f>'Cash Flow %s Yr3'!R18</f>
        <v>0</v>
      </c>
      <c r="S18" s="105">
        <f t="shared" si="1"/>
        <v>1</v>
      </c>
    </row>
    <row r="19" spans="1:20" s="30" customFormat="1" x14ac:dyDescent="0.3">
      <c r="A19" s="48"/>
      <c r="B19" s="61">
        <f>'Revenue Input'!B34</f>
        <v>8590</v>
      </c>
      <c r="C19" s="61" t="str">
        <f>'Revenue Input'!C34</f>
        <v xml:space="preserve">Other State Revenues </v>
      </c>
      <c r="D19" s="109">
        <f>'Cash Flow %s Yr3'!D19</f>
        <v>0</v>
      </c>
      <c r="E19" s="109">
        <f>'Cash Flow %s Yr3'!E19</f>
        <v>0</v>
      </c>
      <c r="F19" s="109">
        <f>'Cash Flow %s Yr3'!F19</f>
        <v>0</v>
      </c>
      <c r="G19" s="109">
        <f>'Cash Flow %s Yr3'!G19</f>
        <v>0</v>
      </c>
      <c r="H19" s="109">
        <f>'Cash Flow %s Yr3'!H19</f>
        <v>0.25</v>
      </c>
      <c r="I19" s="109">
        <f>'Cash Flow %s Yr3'!I19</f>
        <v>0</v>
      </c>
      <c r="J19" s="109">
        <f>'Cash Flow %s Yr3'!J19</f>
        <v>0</v>
      </c>
      <c r="K19" s="109">
        <f>'Cash Flow %s Yr3'!K19</f>
        <v>0.25</v>
      </c>
      <c r="L19" s="109">
        <f>'Cash Flow %s Yr3'!L19</f>
        <v>0</v>
      </c>
      <c r="M19" s="109">
        <f>'Cash Flow %s Yr3'!M19</f>
        <v>0</v>
      </c>
      <c r="N19" s="109">
        <f>'Cash Flow %s Yr3'!N19</f>
        <v>0.25</v>
      </c>
      <c r="O19" s="109">
        <f>'Cash Flow %s Yr3'!O19</f>
        <v>0.25</v>
      </c>
      <c r="P19" s="109">
        <f>'Cash Flow %s Yr3'!P19</f>
        <v>0</v>
      </c>
      <c r="Q19" s="109">
        <f>'Cash Flow %s Yr3'!Q19</f>
        <v>0</v>
      </c>
      <c r="R19" s="109">
        <f>'Cash Flow %s Yr3'!R19</f>
        <v>0</v>
      </c>
      <c r="S19" s="105">
        <f t="shared" si="1"/>
        <v>1</v>
      </c>
    </row>
    <row r="20" spans="1:20" s="30" customFormat="1" ht="17.399999999999999" x14ac:dyDescent="0.3">
      <c r="A20" s="45"/>
      <c r="B20" s="61">
        <f>'Revenue Input'!B37</f>
        <v>8591</v>
      </c>
      <c r="C20" s="61" t="str">
        <f>'Revenue Input'!C37</f>
        <v>SB740</v>
      </c>
      <c r="D20" s="109">
        <f>'Cash Flow %s Yr3'!D20</f>
        <v>0</v>
      </c>
      <c r="E20" s="109">
        <f>'Cash Flow %s Yr3'!E20</f>
        <v>0</v>
      </c>
      <c r="F20" s="109">
        <f>'Cash Flow %s Yr3'!F20</f>
        <v>0</v>
      </c>
      <c r="G20" s="109">
        <f>'Cash Flow %s Yr3'!G20</f>
        <v>0</v>
      </c>
      <c r="H20" s="109">
        <f>'Cash Flow %s Yr3'!H20</f>
        <v>0.65</v>
      </c>
      <c r="I20" s="109">
        <f>'Cash Flow %s Yr3'!I20</f>
        <v>0</v>
      </c>
      <c r="J20" s="109">
        <f>'Cash Flow %s Yr3'!J20</f>
        <v>0</v>
      </c>
      <c r="K20" s="109">
        <f>'Cash Flow %s Yr3'!K20</f>
        <v>0</v>
      </c>
      <c r="L20" s="109">
        <f>'Cash Flow %s Yr3'!L20</f>
        <v>0</v>
      </c>
      <c r="M20" s="109">
        <f>'Cash Flow %s Yr3'!M20</f>
        <v>0</v>
      </c>
      <c r="N20" s="109">
        <f>'Cash Flow %s Yr3'!N20</f>
        <v>0</v>
      </c>
      <c r="O20" s="109">
        <f>'Cash Flow %s Yr3'!O20</f>
        <v>0.35</v>
      </c>
      <c r="P20" s="109">
        <f>'Cash Flow %s Yr3'!P20</f>
        <v>0</v>
      </c>
      <c r="Q20" s="109">
        <f>'Cash Flow %s Yr3'!Q20</f>
        <v>0</v>
      </c>
      <c r="R20" s="109">
        <f>'Cash Flow %s Yr3'!R20</f>
        <v>0</v>
      </c>
      <c r="S20" s="105">
        <f t="shared" si="1"/>
        <v>1</v>
      </c>
    </row>
    <row r="21" spans="1:20" s="30" customFormat="1" ht="17.399999999999999" x14ac:dyDescent="0.3">
      <c r="A21" s="45"/>
      <c r="B21" s="61">
        <f>'Revenue Input'!B38</f>
        <v>8599</v>
      </c>
      <c r="C21" s="61" t="str">
        <f>'Revenue Input'!C38</f>
        <v>Prior Year State Income</v>
      </c>
      <c r="D21" s="109">
        <f>'Cash Flow %s Yr3'!D21</f>
        <v>0</v>
      </c>
      <c r="E21" s="109">
        <f>'Cash Flow %s Yr3'!E21</f>
        <v>0</v>
      </c>
      <c r="F21" s="109">
        <f>'Cash Flow %s Yr3'!F21</f>
        <v>0.5</v>
      </c>
      <c r="G21" s="109">
        <f>'Cash Flow %s Yr3'!G21</f>
        <v>0</v>
      </c>
      <c r="H21" s="109">
        <f>'Cash Flow %s Yr3'!H21</f>
        <v>0</v>
      </c>
      <c r="I21" s="109">
        <f>'Cash Flow %s Yr3'!I21</f>
        <v>0</v>
      </c>
      <c r="J21" s="109">
        <f>'Cash Flow %s Yr3'!J21</f>
        <v>0.5</v>
      </c>
      <c r="K21" s="109">
        <f>'Cash Flow %s Yr3'!K21</f>
        <v>0</v>
      </c>
      <c r="L21" s="109">
        <f>'Cash Flow %s Yr3'!L21</f>
        <v>0</v>
      </c>
      <c r="M21" s="109">
        <f>'Cash Flow %s Yr3'!M21</f>
        <v>0</v>
      </c>
      <c r="N21" s="109">
        <f>'Cash Flow %s Yr3'!N21</f>
        <v>0</v>
      </c>
      <c r="O21" s="109">
        <f>'Cash Flow %s Yr3'!O21</f>
        <v>0</v>
      </c>
      <c r="P21" s="109">
        <f>'Cash Flow %s Yr3'!P21</f>
        <v>0</v>
      </c>
      <c r="Q21" s="109">
        <f>'Cash Flow %s Yr3'!Q21</f>
        <v>0</v>
      </c>
      <c r="R21" s="109">
        <f>'Cash Flow %s Yr3'!R21</f>
        <v>0</v>
      </c>
      <c r="S21" s="105">
        <f>SUM(D21:R21)</f>
        <v>1</v>
      </c>
    </row>
    <row r="22" spans="1:20" s="30" customFormat="1" ht="17.399999999999999" x14ac:dyDescent="0.3">
      <c r="A22" s="45"/>
      <c r="B22" s="61">
        <f>'Revenue Input'!B39</f>
        <v>8792</v>
      </c>
      <c r="C22" s="61" t="str">
        <f>'Revenue Input'!C39</f>
        <v>Special Education - AB 602</v>
      </c>
      <c r="D22" s="109">
        <f>'Cash Flow %s Yr3'!D22</f>
        <v>0</v>
      </c>
      <c r="E22" s="109">
        <f>'Cash Flow %s Yr3'!E22</f>
        <v>0</v>
      </c>
      <c r="F22" s="109">
        <f>'Cash Flow %s Yr3'!F22</f>
        <v>0</v>
      </c>
      <c r="G22" s="109">
        <f>'Cash Flow %s Yr3'!G22</f>
        <v>0</v>
      </c>
      <c r="H22" s="109">
        <f>'Cash Flow %s Yr3'!H22</f>
        <v>0</v>
      </c>
      <c r="I22" s="109">
        <f>'Cash Flow %s Yr3'!I22</f>
        <v>0</v>
      </c>
      <c r="J22" s="109">
        <f>'Cash Flow %s Yr3'!J22</f>
        <v>0.4</v>
      </c>
      <c r="K22" s="109">
        <f>'Cash Flow %s Yr3'!K22</f>
        <v>0</v>
      </c>
      <c r="L22" s="109">
        <f>'Cash Flow %s Yr3'!L22</f>
        <v>0</v>
      </c>
      <c r="M22" s="109">
        <f>'Cash Flow %s Yr3'!M22</f>
        <v>0.4</v>
      </c>
      <c r="N22" s="109">
        <f>'Cash Flow %s Yr3'!N22</f>
        <v>0</v>
      </c>
      <c r="O22" s="109">
        <f>'Cash Flow %s Yr3'!O22</f>
        <v>0.2</v>
      </c>
      <c r="P22" s="109">
        <f>'Cash Flow %s Yr3'!P22</f>
        <v>0</v>
      </c>
      <c r="Q22" s="109">
        <f>'Cash Flow %s Yr3'!Q22</f>
        <v>0</v>
      </c>
      <c r="R22" s="109">
        <f>'Cash Flow %s Yr3'!R22</f>
        <v>0</v>
      </c>
      <c r="S22" s="105">
        <f t="shared" si="1"/>
        <v>1</v>
      </c>
    </row>
    <row r="23" spans="1:20" s="30" customFormat="1" ht="17.399999999999999" x14ac:dyDescent="0.3">
      <c r="A23" s="45"/>
      <c r="B23" s="68"/>
      <c r="C23" s="48"/>
      <c r="D23" s="114"/>
      <c r="E23" s="114"/>
      <c r="F23" s="114"/>
      <c r="G23" s="114"/>
      <c r="H23" s="114"/>
      <c r="I23" s="114"/>
      <c r="J23" s="114"/>
      <c r="K23" s="114"/>
      <c r="L23" s="114"/>
      <c r="M23" s="114"/>
      <c r="N23" s="114"/>
      <c r="O23" s="114"/>
      <c r="P23" s="114"/>
      <c r="Q23" s="114"/>
      <c r="R23" s="115"/>
      <c r="S23" s="105"/>
    </row>
    <row r="24" spans="1:20" s="30" customFormat="1" ht="17.399999999999999" x14ac:dyDescent="0.3">
      <c r="A24" s="45"/>
      <c r="B24" s="68"/>
      <c r="C24" s="48"/>
      <c r="D24" s="113"/>
      <c r="E24" s="113"/>
      <c r="F24" s="113"/>
      <c r="G24" s="113"/>
      <c r="H24" s="113"/>
      <c r="I24" s="113"/>
      <c r="J24" s="113"/>
      <c r="K24" s="113"/>
      <c r="L24" s="113"/>
      <c r="M24" s="113"/>
      <c r="N24" s="113"/>
      <c r="O24" s="113"/>
      <c r="P24" s="113"/>
      <c r="Q24" s="113"/>
      <c r="R24" s="113"/>
      <c r="S24" s="105"/>
    </row>
    <row r="25" spans="1:20" s="30" customFormat="1" ht="17.399999999999999" x14ac:dyDescent="0.3">
      <c r="B25" s="45" t="s">
        <v>781</v>
      </c>
      <c r="C25" s="48"/>
      <c r="D25" s="113"/>
      <c r="E25" s="113"/>
      <c r="F25" s="113"/>
      <c r="G25" s="113"/>
      <c r="H25" s="113"/>
      <c r="I25" s="113"/>
      <c r="J25" s="113"/>
      <c r="K25" s="113"/>
      <c r="L25" s="113"/>
      <c r="M25" s="113"/>
      <c r="N25" s="113"/>
      <c r="O25" s="113"/>
      <c r="P25" s="113"/>
      <c r="Q25" s="113"/>
      <c r="R25" s="113"/>
      <c r="S25" s="105"/>
    </row>
    <row r="26" spans="1:20" s="30" customFormat="1" ht="17.399999999999999" x14ac:dyDescent="0.3">
      <c r="A26" s="45"/>
      <c r="B26" s="61">
        <f>'Revenue Input'!B15</f>
        <v>8181</v>
      </c>
      <c r="C26" s="61" t="str">
        <f>'Revenue Input'!C15</f>
        <v>Special Education - Federal IDEA</v>
      </c>
      <c r="D26" s="109">
        <f>'Cash Flow %s Yr3'!D26</f>
        <v>0</v>
      </c>
      <c r="E26" s="109">
        <f>'Cash Flow %s Yr3'!E26</f>
        <v>0</v>
      </c>
      <c r="F26" s="109">
        <f>'Cash Flow %s Yr3'!F26</f>
        <v>0</v>
      </c>
      <c r="G26" s="109">
        <f>'Cash Flow %s Yr3'!G26</f>
        <v>0</v>
      </c>
      <c r="H26" s="109">
        <f>'Cash Flow %s Yr3'!H26</f>
        <v>0.1</v>
      </c>
      <c r="I26" s="109">
        <f>'Cash Flow %s Yr3'!I26</f>
        <v>0.1</v>
      </c>
      <c r="J26" s="109">
        <f>'Cash Flow %s Yr3'!J26</f>
        <v>0.1</v>
      </c>
      <c r="K26" s="109">
        <f>'Cash Flow %s Yr3'!K26</f>
        <v>0.1</v>
      </c>
      <c r="L26" s="109">
        <f>'Cash Flow %s Yr3'!L26</f>
        <v>0.1</v>
      </c>
      <c r="M26" s="109">
        <f>'Cash Flow %s Yr3'!M26</f>
        <v>0.1</v>
      </c>
      <c r="N26" s="109">
        <f>'Cash Flow %s Yr3'!N26</f>
        <v>0.1</v>
      </c>
      <c r="O26" s="109">
        <f>'Cash Flow %s Yr3'!O26</f>
        <v>0.3</v>
      </c>
      <c r="P26" s="109">
        <f>'Cash Flow %s Yr3'!P26</f>
        <v>0</v>
      </c>
      <c r="Q26" s="109">
        <f>'Cash Flow %s Yr3'!Q26</f>
        <v>0</v>
      </c>
      <c r="R26" s="109">
        <f>'Cash Flow %s Yr3'!R26</f>
        <v>0</v>
      </c>
      <c r="S26" s="105">
        <f t="shared" ref="S26:S33" si="2">SUM(D26:R26)</f>
        <v>1</v>
      </c>
    </row>
    <row r="27" spans="1:20" s="30" customFormat="1" ht="17.399999999999999" x14ac:dyDescent="0.3">
      <c r="A27" s="45"/>
      <c r="B27" s="61">
        <f>'Revenue Input'!B17</f>
        <v>8290</v>
      </c>
      <c r="C27" s="61" t="str">
        <f>'Revenue Input'!C17</f>
        <v>All Other Federal Revenue, GEER/CRF</v>
      </c>
      <c r="D27" s="109">
        <f>'Cash Flow %s Yr3'!D27</f>
        <v>0</v>
      </c>
      <c r="E27" s="109">
        <f>'Cash Flow %s Yr3'!E27</f>
        <v>0</v>
      </c>
      <c r="F27" s="109">
        <f>'Cash Flow %s Yr3'!F27</f>
        <v>0</v>
      </c>
      <c r="G27" s="109">
        <f>'Cash Flow %s Yr3'!G27</f>
        <v>0</v>
      </c>
      <c r="H27" s="109">
        <f>'Cash Flow %s Yr3'!H27</f>
        <v>0</v>
      </c>
      <c r="I27" s="109">
        <f>'Cash Flow %s Yr3'!I27</f>
        <v>0</v>
      </c>
      <c r="J27" s="109">
        <f>'Cash Flow %s Yr3'!J27</f>
        <v>0.25</v>
      </c>
      <c r="K27" s="109">
        <f>'Cash Flow %s Yr3'!K27</f>
        <v>0</v>
      </c>
      <c r="L27" s="109">
        <f>'Cash Flow %s Yr3'!L27</f>
        <v>0</v>
      </c>
      <c r="M27" s="109">
        <f>'Cash Flow %s Yr3'!M27</f>
        <v>0.5</v>
      </c>
      <c r="N27" s="109">
        <f>'Cash Flow %s Yr3'!N27</f>
        <v>0</v>
      </c>
      <c r="O27" s="109">
        <f>'Cash Flow %s Yr3'!O27</f>
        <v>0.25</v>
      </c>
      <c r="P27" s="109">
        <f>'Cash Flow %s Yr3'!P27</f>
        <v>0</v>
      </c>
      <c r="Q27" s="109">
        <f>'Cash Flow %s Yr3'!Q27</f>
        <v>0</v>
      </c>
      <c r="R27" s="109">
        <f>'Cash Flow %s Yr3'!R27</f>
        <v>0</v>
      </c>
      <c r="S27" s="105">
        <f t="shared" si="2"/>
        <v>1</v>
      </c>
    </row>
    <row r="28" spans="1:20" s="30" customFormat="1" ht="17.399999999999999" x14ac:dyDescent="0.3">
      <c r="A28" s="45"/>
      <c r="B28" s="61">
        <f>'Revenue Input'!B21</f>
        <v>8291</v>
      </c>
      <c r="C28" s="61" t="str">
        <f>'Revenue Input'!C21</f>
        <v>Title I</v>
      </c>
      <c r="D28" s="109">
        <f>'Cash Flow %s Yr3'!D28</f>
        <v>0</v>
      </c>
      <c r="E28" s="109">
        <f>'Cash Flow %s Yr3'!E28</f>
        <v>0</v>
      </c>
      <c r="F28" s="109">
        <f>'Cash Flow %s Yr3'!F28</f>
        <v>0</v>
      </c>
      <c r="G28" s="109">
        <f>'Cash Flow %s Yr3'!G28</f>
        <v>0</v>
      </c>
      <c r="H28" s="109">
        <f>'Cash Flow %s Yr3'!H28</f>
        <v>0</v>
      </c>
      <c r="I28" s="109">
        <f>'Cash Flow %s Yr3'!I28</f>
        <v>0</v>
      </c>
      <c r="J28" s="109">
        <f>'Cash Flow %s Yr3'!J28</f>
        <v>0.25</v>
      </c>
      <c r="K28" s="109">
        <f>'Cash Flow %s Yr3'!K28</f>
        <v>0</v>
      </c>
      <c r="L28" s="109">
        <f>'Cash Flow %s Yr3'!L28</f>
        <v>0</v>
      </c>
      <c r="M28" s="109">
        <f>'Cash Flow %s Yr3'!M28</f>
        <v>0.5</v>
      </c>
      <c r="N28" s="109">
        <f>'Cash Flow %s Yr3'!N28</f>
        <v>0</v>
      </c>
      <c r="O28" s="109">
        <f>'Cash Flow %s Yr3'!O28</f>
        <v>0.25</v>
      </c>
      <c r="P28" s="109">
        <f>'Cash Flow %s Yr3'!P28</f>
        <v>0</v>
      </c>
      <c r="Q28" s="109">
        <f>'Cash Flow %s Yr3'!Q28</f>
        <v>0</v>
      </c>
      <c r="R28" s="109">
        <f>'Cash Flow %s Yr3'!R28</f>
        <v>0</v>
      </c>
      <c r="S28" s="105">
        <f t="shared" si="2"/>
        <v>1</v>
      </c>
    </row>
    <row r="29" spans="1:20" s="30" customFormat="1" ht="17.399999999999999" x14ac:dyDescent="0.3">
      <c r="A29" s="45"/>
      <c r="B29" s="61">
        <f>'Revenue Input'!B22</f>
        <v>8292</v>
      </c>
      <c r="C29" s="61" t="str">
        <f>'Revenue Input'!C22</f>
        <v>Title II</v>
      </c>
      <c r="D29" s="109">
        <f>'Cash Flow %s Yr3'!D29</f>
        <v>0</v>
      </c>
      <c r="E29" s="109">
        <f>'Cash Flow %s Yr3'!E29</f>
        <v>0</v>
      </c>
      <c r="F29" s="109">
        <f>'Cash Flow %s Yr3'!F29</f>
        <v>0</v>
      </c>
      <c r="G29" s="109">
        <f>'Cash Flow %s Yr3'!G29</f>
        <v>0</v>
      </c>
      <c r="H29" s="109">
        <f>'Cash Flow %s Yr3'!H29</f>
        <v>0</v>
      </c>
      <c r="I29" s="109">
        <f>'Cash Flow %s Yr3'!I29</f>
        <v>0</v>
      </c>
      <c r="J29" s="109">
        <f>'Cash Flow %s Yr3'!J29</f>
        <v>0.25</v>
      </c>
      <c r="K29" s="109">
        <f>'Cash Flow %s Yr3'!K29</f>
        <v>0</v>
      </c>
      <c r="L29" s="109">
        <f>'Cash Flow %s Yr3'!L29</f>
        <v>0</v>
      </c>
      <c r="M29" s="109">
        <f>'Cash Flow %s Yr3'!M29</f>
        <v>0.5</v>
      </c>
      <c r="N29" s="109">
        <f>'Cash Flow %s Yr3'!N29</f>
        <v>0</v>
      </c>
      <c r="O29" s="109">
        <f>'Cash Flow %s Yr3'!O29</f>
        <v>0.25</v>
      </c>
      <c r="P29" s="109">
        <f>'Cash Flow %s Yr3'!P29</f>
        <v>0</v>
      </c>
      <c r="Q29" s="109">
        <f>'Cash Flow %s Yr3'!Q29</f>
        <v>0</v>
      </c>
      <c r="R29" s="109">
        <f>'Cash Flow %s Yr3'!R29</f>
        <v>0</v>
      </c>
      <c r="S29" s="105">
        <f t="shared" si="2"/>
        <v>1</v>
      </c>
    </row>
    <row r="30" spans="1:20" s="30" customFormat="1" ht="17.399999999999999" x14ac:dyDescent="0.3">
      <c r="A30" s="45"/>
      <c r="B30" s="61">
        <f>'Revenue Input'!B23</f>
        <v>8293</v>
      </c>
      <c r="C30" s="61" t="str">
        <f>'Revenue Input'!C23</f>
        <v>Title III</v>
      </c>
      <c r="D30" s="109">
        <f>'Cash Flow %s Yr3'!D30</f>
        <v>0</v>
      </c>
      <c r="E30" s="109">
        <f>'Cash Flow %s Yr3'!E30</f>
        <v>0</v>
      </c>
      <c r="F30" s="109">
        <f>'Cash Flow %s Yr3'!F30</f>
        <v>0</v>
      </c>
      <c r="G30" s="109">
        <f>'Cash Flow %s Yr3'!G30</f>
        <v>0</v>
      </c>
      <c r="H30" s="109">
        <f>'Cash Flow %s Yr3'!H30</f>
        <v>0</v>
      </c>
      <c r="I30" s="109">
        <f>'Cash Flow %s Yr3'!I30</f>
        <v>0</v>
      </c>
      <c r="J30" s="109">
        <f>'Cash Flow %s Yr3'!J30</f>
        <v>0.25</v>
      </c>
      <c r="K30" s="109">
        <f>'Cash Flow %s Yr3'!K30</f>
        <v>0</v>
      </c>
      <c r="L30" s="109">
        <f>'Cash Flow %s Yr3'!L30</f>
        <v>0</v>
      </c>
      <c r="M30" s="109">
        <f>'Cash Flow %s Yr3'!M30</f>
        <v>0.5</v>
      </c>
      <c r="N30" s="109">
        <f>'Cash Flow %s Yr3'!N30</f>
        <v>0</v>
      </c>
      <c r="O30" s="109">
        <f>'Cash Flow %s Yr3'!O30</f>
        <v>0.25</v>
      </c>
      <c r="P30" s="109">
        <f>'Cash Flow %s Yr3'!P30</f>
        <v>0</v>
      </c>
      <c r="Q30" s="109">
        <f>'Cash Flow %s Yr3'!Q30</f>
        <v>0</v>
      </c>
      <c r="R30" s="109">
        <f>'Cash Flow %s Yr3'!R30</f>
        <v>0</v>
      </c>
      <c r="S30" s="105">
        <f t="shared" si="2"/>
        <v>1</v>
      </c>
    </row>
    <row r="31" spans="1:20" s="30" customFormat="1" ht="17.399999999999999" x14ac:dyDescent="0.3">
      <c r="A31" s="45"/>
      <c r="B31" s="61">
        <f>'Revenue Input'!B24</f>
        <v>8294</v>
      </c>
      <c r="C31" s="61" t="str">
        <f>'Revenue Input'!C24</f>
        <v>Title IV</v>
      </c>
      <c r="D31" s="109">
        <f>'Cash Flow %s Yr3'!D31</f>
        <v>0</v>
      </c>
      <c r="E31" s="109">
        <f>'Cash Flow %s Yr3'!E31</f>
        <v>0</v>
      </c>
      <c r="F31" s="109">
        <f>'Cash Flow %s Yr3'!F31</f>
        <v>0</v>
      </c>
      <c r="G31" s="109">
        <f>'Cash Flow %s Yr3'!G31</f>
        <v>0</v>
      </c>
      <c r="H31" s="109">
        <f>'Cash Flow %s Yr3'!H31</f>
        <v>0</v>
      </c>
      <c r="I31" s="109">
        <f>'Cash Flow %s Yr3'!I31</f>
        <v>0</v>
      </c>
      <c r="J31" s="109">
        <f>'Cash Flow %s Yr3'!J31</f>
        <v>0.25</v>
      </c>
      <c r="K31" s="109">
        <f>'Cash Flow %s Yr3'!K31</f>
        <v>0</v>
      </c>
      <c r="L31" s="109">
        <f>'Cash Flow %s Yr3'!L31</f>
        <v>0</v>
      </c>
      <c r="M31" s="109">
        <f>'Cash Flow %s Yr3'!M31</f>
        <v>0.5</v>
      </c>
      <c r="N31" s="109">
        <f>'Cash Flow %s Yr3'!N31</f>
        <v>0</v>
      </c>
      <c r="O31" s="109">
        <f>'Cash Flow %s Yr3'!O31</f>
        <v>0.25</v>
      </c>
      <c r="P31" s="109">
        <f>'Cash Flow %s Yr3'!P31</f>
        <v>0</v>
      </c>
      <c r="Q31" s="109">
        <f>'Cash Flow %s Yr3'!Q31</f>
        <v>0</v>
      </c>
      <c r="R31" s="109">
        <f>'Cash Flow %s Yr3'!R31</f>
        <v>0</v>
      </c>
      <c r="S31" s="105">
        <f t="shared" si="2"/>
        <v>1</v>
      </c>
    </row>
    <row r="32" spans="1:20" s="30" customFormat="1" ht="17.399999999999999" x14ac:dyDescent="0.3">
      <c r="A32" s="45"/>
      <c r="B32" s="61">
        <f>'Revenue Input'!B25</f>
        <v>8295</v>
      </c>
      <c r="C32" s="61" t="str">
        <f>'Revenue Input'!C25</f>
        <v>Title V</v>
      </c>
      <c r="D32" s="109">
        <f>'Cash Flow %s Yr3'!D32</f>
        <v>0</v>
      </c>
      <c r="E32" s="109">
        <f>'Cash Flow %s Yr3'!E32</f>
        <v>0</v>
      </c>
      <c r="F32" s="109">
        <f>'Cash Flow %s Yr3'!F32</f>
        <v>1</v>
      </c>
      <c r="G32" s="109">
        <f>'Cash Flow %s Yr3'!G32</f>
        <v>0</v>
      </c>
      <c r="H32" s="109">
        <f>'Cash Flow %s Yr3'!H32</f>
        <v>0</v>
      </c>
      <c r="I32" s="109">
        <f>'Cash Flow %s Yr3'!I32</f>
        <v>0</v>
      </c>
      <c r="J32" s="109">
        <f>'Cash Flow %s Yr3'!J32</f>
        <v>0</v>
      </c>
      <c r="K32" s="109">
        <f>'Cash Flow %s Yr3'!K32</f>
        <v>0</v>
      </c>
      <c r="L32" s="109">
        <f>'Cash Flow %s Yr3'!L32</f>
        <v>0</v>
      </c>
      <c r="M32" s="109">
        <f>'Cash Flow %s Yr3'!M32</f>
        <v>0</v>
      </c>
      <c r="N32" s="109">
        <f>'Cash Flow %s Yr3'!N32</f>
        <v>0</v>
      </c>
      <c r="O32" s="109">
        <f>'Cash Flow %s Yr3'!O32</f>
        <v>0</v>
      </c>
      <c r="P32" s="109">
        <f>'Cash Flow %s Yr3'!P32</f>
        <v>0</v>
      </c>
      <c r="Q32" s="109">
        <f>'Cash Flow %s Yr3'!Q32</f>
        <v>0</v>
      </c>
      <c r="R32" s="109">
        <f>'Cash Flow %s Yr3'!R32</f>
        <v>0</v>
      </c>
      <c r="S32" s="105">
        <f t="shared" si="2"/>
        <v>1</v>
      </c>
    </row>
    <row r="33" spans="1:19" s="30" customFormat="1" ht="17.399999999999999" x14ac:dyDescent="0.3">
      <c r="A33" s="45"/>
      <c r="B33" s="61">
        <f>'Revenue Input'!B26</f>
        <v>8299</v>
      </c>
      <c r="C33" s="61" t="str">
        <f>'Revenue Input'!C26</f>
        <v>Prior Year Federal Revenue</v>
      </c>
      <c r="D33" s="109">
        <f>'Cash Flow %s Yr3'!D33</f>
        <v>0</v>
      </c>
      <c r="E33" s="109">
        <f>'Cash Flow %s Yr3'!E33</f>
        <v>0</v>
      </c>
      <c r="F33" s="109">
        <f>'Cash Flow %s Yr3'!F33</f>
        <v>0.5</v>
      </c>
      <c r="G33" s="109">
        <f>'Cash Flow %s Yr3'!G33</f>
        <v>0</v>
      </c>
      <c r="H33" s="109">
        <f>'Cash Flow %s Yr3'!H33</f>
        <v>0</v>
      </c>
      <c r="I33" s="109" t="e">
        <f>'Cash Flow %s Yr3'!I33</f>
        <v>#REF!</v>
      </c>
      <c r="J33" s="109">
        <f>'Cash Flow %s Yr3'!J33</f>
        <v>0</v>
      </c>
      <c r="K33" s="109">
        <f>'Cash Flow %s Yr3'!K33</f>
        <v>0.4</v>
      </c>
      <c r="L33" s="109">
        <f>'Cash Flow %s Yr3'!L33</f>
        <v>0</v>
      </c>
      <c r="M33" s="109">
        <f>'Cash Flow %s Yr3'!M33</f>
        <v>0</v>
      </c>
      <c r="N33" s="109">
        <f>'Cash Flow %s Yr3'!N33</f>
        <v>0.1</v>
      </c>
      <c r="O33" s="109">
        <f>'Cash Flow %s Yr3'!O33</f>
        <v>0</v>
      </c>
      <c r="P33" s="109">
        <f>'Cash Flow %s Yr3'!P33</f>
        <v>0</v>
      </c>
      <c r="Q33" s="109">
        <f>'Cash Flow %s Yr3'!Q33</f>
        <v>0</v>
      </c>
      <c r="R33" s="109">
        <f>'Cash Flow %s Yr3'!R33</f>
        <v>0</v>
      </c>
      <c r="S33" s="105" t="e">
        <f t="shared" si="2"/>
        <v>#REF!</v>
      </c>
    </row>
    <row r="34" spans="1:19" s="30" customFormat="1" ht="17.399999999999999" x14ac:dyDescent="0.3">
      <c r="A34" s="45"/>
      <c r="B34" s="68"/>
      <c r="C34" s="48"/>
      <c r="D34" s="114"/>
      <c r="E34" s="114"/>
      <c r="F34" s="114"/>
      <c r="G34" s="114"/>
      <c r="H34" s="114"/>
      <c r="I34" s="114"/>
      <c r="J34" s="114"/>
      <c r="K34" s="114"/>
      <c r="L34" s="114"/>
      <c r="M34" s="114"/>
      <c r="N34" s="114"/>
      <c r="O34" s="114"/>
      <c r="P34" s="114"/>
      <c r="Q34" s="114"/>
      <c r="R34" s="114"/>
      <c r="S34" s="105"/>
    </row>
    <row r="35" spans="1:19" s="30" customFormat="1" ht="17.399999999999999" x14ac:dyDescent="0.3">
      <c r="A35" s="45"/>
      <c r="B35" s="68"/>
      <c r="C35" s="48"/>
      <c r="D35" s="117"/>
      <c r="E35" s="117"/>
      <c r="F35" s="117"/>
      <c r="G35" s="117"/>
      <c r="H35" s="117"/>
      <c r="I35" s="117"/>
      <c r="J35" s="117"/>
      <c r="K35" s="117"/>
      <c r="L35" s="117"/>
      <c r="M35" s="117"/>
      <c r="N35" s="117"/>
      <c r="O35" s="117"/>
      <c r="P35" s="117"/>
      <c r="Q35" s="117"/>
      <c r="R35" s="117"/>
      <c r="S35" s="105"/>
    </row>
    <row r="36" spans="1:19" s="30" customFormat="1" ht="17.399999999999999" x14ac:dyDescent="0.3">
      <c r="B36" s="45" t="s">
        <v>790</v>
      </c>
      <c r="C36" s="48"/>
      <c r="D36" s="117"/>
      <c r="E36" s="117"/>
      <c r="F36" s="117"/>
      <c r="G36" s="117"/>
      <c r="H36" s="117"/>
      <c r="I36" s="117"/>
      <c r="J36" s="117"/>
      <c r="K36" s="117"/>
      <c r="L36" s="117"/>
      <c r="M36" s="117"/>
      <c r="N36" s="117"/>
      <c r="O36" s="117"/>
      <c r="P36" s="117"/>
      <c r="Q36" s="117"/>
      <c r="R36" s="117"/>
      <c r="S36" s="105"/>
    </row>
    <row r="37" spans="1:19" s="30" customFormat="1" ht="17.399999999999999" x14ac:dyDescent="0.3">
      <c r="A37" s="45"/>
      <c r="B37" s="61">
        <f>'Revenue Input'!B44</f>
        <v>8660</v>
      </c>
      <c r="C37" s="61" t="str">
        <f>'Revenue Input'!C44</f>
        <v>Interest</v>
      </c>
      <c r="D37" s="109">
        <f>'Cash Flow %s Yr3'!D37</f>
        <v>8.3000000000000004E-2</v>
      </c>
      <c r="E37" s="109">
        <f>'Cash Flow %s Yr3'!E37</f>
        <v>8.3000000000000004E-2</v>
      </c>
      <c r="F37" s="109">
        <f>'Cash Flow %s Yr3'!F37</f>
        <v>8.3000000000000004E-2</v>
      </c>
      <c r="G37" s="109">
        <f>'Cash Flow %s Yr3'!G37</f>
        <v>8.3000000000000004E-2</v>
      </c>
      <c r="H37" s="109">
        <f>'Cash Flow %s Yr3'!H37</f>
        <v>8.3000000000000004E-2</v>
      </c>
      <c r="I37" s="109">
        <f>'Cash Flow %s Yr3'!I37</f>
        <v>8.3000000000000004E-2</v>
      </c>
      <c r="J37" s="109">
        <f>'Cash Flow %s Yr3'!J37</f>
        <v>8.3000000000000004E-2</v>
      </c>
      <c r="K37" s="109">
        <f>'Cash Flow %s Yr3'!K37</f>
        <v>8.3000000000000004E-2</v>
      </c>
      <c r="L37" s="109">
        <f>'Cash Flow %s Yr3'!L37</f>
        <v>8.4000000000000005E-2</v>
      </c>
      <c r="M37" s="109">
        <f>'Cash Flow %s Yr3'!M37</f>
        <v>8.4000000000000005E-2</v>
      </c>
      <c r="N37" s="109">
        <f>'Cash Flow %s Yr3'!N37</f>
        <v>8.4000000000000005E-2</v>
      </c>
      <c r="O37" s="109">
        <f>'Cash Flow %s Yr3'!O37</f>
        <v>8.4000000000000005E-2</v>
      </c>
      <c r="P37" s="109">
        <f>'Cash Flow %s Yr3'!P37</f>
        <v>0</v>
      </c>
      <c r="Q37" s="109">
        <f>'Cash Flow %s Yr3'!Q37</f>
        <v>0</v>
      </c>
      <c r="R37" s="109">
        <f>'Cash Flow %s Yr3'!R37</f>
        <v>0</v>
      </c>
      <c r="S37" s="105">
        <f t="shared" ref="S37:S49" si="3">SUM(D37:R37)</f>
        <v>0.99999999999999989</v>
      </c>
    </row>
    <row r="38" spans="1:19" s="30" customFormat="1" ht="17.399999999999999" x14ac:dyDescent="0.3">
      <c r="A38" s="45"/>
      <c r="B38" s="61">
        <f>'Revenue Input'!B45</f>
        <v>8682</v>
      </c>
      <c r="C38" s="61" t="str">
        <f>'Revenue Input'!C45</f>
        <v>Foundation Grants / Donations</v>
      </c>
      <c r="D38" s="109">
        <f>'Cash Flow %s Yr3'!D38</f>
        <v>0</v>
      </c>
      <c r="E38" s="109">
        <f>'Cash Flow %s Yr3'!E38</f>
        <v>0</v>
      </c>
      <c r="F38" s="109">
        <f>'Cash Flow %s Yr3'!F38</f>
        <v>0.1</v>
      </c>
      <c r="G38" s="109">
        <f>'Cash Flow %s Yr3'!G38</f>
        <v>0.1</v>
      </c>
      <c r="H38" s="109">
        <f>'Cash Flow %s Yr3'!H38</f>
        <v>0.1</v>
      </c>
      <c r="I38" s="109">
        <f>'Cash Flow %s Yr3'!I38</f>
        <v>0.1</v>
      </c>
      <c r="J38" s="109">
        <f>'Cash Flow %s Yr3'!J38</f>
        <v>0.1</v>
      </c>
      <c r="K38" s="109">
        <f>'Cash Flow %s Yr3'!K38</f>
        <v>0.1</v>
      </c>
      <c r="L38" s="109">
        <f>'Cash Flow %s Yr3'!L38</f>
        <v>0.1</v>
      </c>
      <c r="M38" s="109">
        <f>'Cash Flow %s Yr3'!M38</f>
        <v>0.1</v>
      </c>
      <c r="N38" s="109">
        <f>'Cash Flow %s Yr3'!N38</f>
        <v>0.1</v>
      </c>
      <c r="O38" s="109">
        <f>'Cash Flow %s Yr3'!O38</f>
        <v>0.1</v>
      </c>
      <c r="P38" s="109">
        <f>'Cash Flow %s Yr3'!P38</f>
        <v>0</v>
      </c>
      <c r="Q38" s="109">
        <f>'Cash Flow %s Yr3'!Q38</f>
        <v>0</v>
      </c>
      <c r="R38" s="109">
        <f>'Cash Flow %s Yr3'!R38</f>
        <v>0</v>
      </c>
      <c r="S38" s="105">
        <f t="shared" si="3"/>
        <v>0.99999999999999989</v>
      </c>
    </row>
    <row r="39" spans="1:19" s="30" customFormat="1" ht="17.399999999999999" x14ac:dyDescent="0.3">
      <c r="A39" s="45"/>
      <c r="B39" s="61">
        <f>'Revenue Input'!B46</f>
        <v>8684</v>
      </c>
      <c r="C39" s="61" t="str">
        <f>'Revenue Input'!C46</f>
        <v>Student  Body (ASB) Fundraising Revenue</v>
      </c>
      <c r="D39" s="109">
        <f>'Cash Flow %s Yr3'!D39</f>
        <v>0</v>
      </c>
      <c r="E39" s="109">
        <f>'Cash Flow %s Yr3'!E39</f>
        <v>0</v>
      </c>
      <c r="F39" s="109">
        <f>'Cash Flow %s Yr3'!F39</f>
        <v>0.1</v>
      </c>
      <c r="G39" s="109">
        <f>'Cash Flow %s Yr3'!G39</f>
        <v>0.1</v>
      </c>
      <c r="H39" s="109">
        <f>'Cash Flow %s Yr3'!H39</f>
        <v>0.1</v>
      </c>
      <c r="I39" s="109">
        <f>'Cash Flow %s Yr3'!I39</f>
        <v>0.1</v>
      </c>
      <c r="J39" s="109">
        <f>'Cash Flow %s Yr3'!J39</f>
        <v>0.1</v>
      </c>
      <c r="K39" s="109">
        <f>'Cash Flow %s Yr3'!K39</f>
        <v>0.1</v>
      </c>
      <c r="L39" s="109">
        <f>'Cash Flow %s Yr3'!L39</f>
        <v>0.1</v>
      </c>
      <c r="M39" s="109">
        <f>'Cash Flow %s Yr3'!M39</f>
        <v>0.1</v>
      </c>
      <c r="N39" s="109">
        <f>'Cash Flow %s Yr3'!N39</f>
        <v>0.1</v>
      </c>
      <c r="O39" s="109">
        <f>'Cash Flow %s Yr3'!O39</f>
        <v>0.1</v>
      </c>
      <c r="P39" s="109">
        <f>'Cash Flow %s Yr3'!P39</f>
        <v>0</v>
      </c>
      <c r="Q39" s="109">
        <f>'Cash Flow %s Yr3'!Q39</f>
        <v>0</v>
      </c>
      <c r="R39" s="109">
        <f>'Cash Flow %s Yr3'!R39</f>
        <v>0</v>
      </c>
      <c r="S39" s="105">
        <f t="shared" si="3"/>
        <v>0.99999999999999989</v>
      </c>
    </row>
    <row r="40" spans="1:19" s="30" customFormat="1" x14ac:dyDescent="0.3">
      <c r="A40" s="47"/>
      <c r="B40" s="61">
        <f>'Revenue Input'!B47</f>
        <v>8685</v>
      </c>
      <c r="C40" s="61" t="str">
        <f>'Revenue Input'!C47</f>
        <v>School Site Fundraising</v>
      </c>
      <c r="D40" s="109">
        <f>'Cash Flow %s Yr3'!D40</f>
        <v>0</v>
      </c>
      <c r="E40" s="109">
        <f>'Cash Flow %s Yr3'!E40</f>
        <v>0</v>
      </c>
      <c r="F40" s="109">
        <f>'Cash Flow %s Yr3'!F40</f>
        <v>0.1</v>
      </c>
      <c r="G40" s="109">
        <f>'Cash Flow %s Yr3'!G40</f>
        <v>0.1</v>
      </c>
      <c r="H40" s="109">
        <f>'Cash Flow %s Yr3'!H40</f>
        <v>0.1</v>
      </c>
      <c r="I40" s="109">
        <f>'Cash Flow %s Yr3'!I40</f>
        <v>0.1</v>
      </c>
      <c r="J40" s="109">
        <f>'Cash Flow %s Yr3'!J40</f>
        <v>0.1</v>
      </c>
      <c r="K40" s="109">
        <f>'Cash Flow %s Yr3'!K40</f>
        <v>0.1</v>
      </c>
      <c r="L40" s="109">
        <f>'Cash Flow %s Yr3'!L40</f>
        <v>0.1</v>
      </c>
      <c r="M40" s="109">
        <f>'Cash Flow %s Yr3'!M40</f>
        <v>0.1</v>
      </c>
      <c r="N40" s="109">
        <f>'Cash Flow %s Yr3'!N40</f>
        <v>0.1</v>
      </c>
      <c r="O40" s="109">
        <f>'Cash Flow %s Yr3'!O40</f>
        <v>0.1</v>
      </c>
      <c r="P40" s="109">
        <f>'Cash Flow %s Yr3'!P40</f>
        <v>0</v>
      </c>
      <c r="Q40" s="109">
        <f>'Cash Flow %s Yr3'!Q40</f>
        <v>0</v>
      </c>
      <c r="R40" s="109">
        <f>'Cash Flow %s Yr3'!R40</f>
        <v>0</v>
      </c>
      <c r="S40" s="105">
        <f t="shared" si="3"/>
        <v>0.99999999999999989</v>
      </c>
    </row>
    <row r="41" spans="1:19" s="30" customFormat="1" x14ac:dyDescent="0.3">
      <c r="A41" s="48"/>
      <c r="B41" s="61">
        <f>'Revenue Input'!B48</f>
        <v>8686</v>
      </c>
      <c r="C41" s="61" t="str">
        <f>'Revenue Input'!C48</f>
        <v>Donations</v>
      </c>
      <c r="D41" s="109">
        <f>'Cash Flow %s Yr3'!D41</f>
        <v>0</v>
      </c>
      <c r="E41" s="109">
        <f>'Cash Flow %s Yr3'!E41</f>
        <v>0</v>
      </c>
      <c r="F41" s="109">
        <f>'Cash Flow %s Yr3'!F41</f>
        <v>0.1</v>
      </c>
      <c r="G41" s="109">
        <f>'Cash Flow %s Yr3'!G41</f>
        <v>0.1</v>
      </c>
      <c r="H41" s="109">
        <f>'Cash Flow %s Yr3'!H41</f>
        <v>0.1</v>
      </c>
      <c r="I41" s="109">
        <f>'Cash Flow %s Yr3'!I41</f>
        <v>0.1</v>
      </c>
      <c r="J41" s="109">
        <f>'Cash Flow %s Yr3'!J41</f>
        <v>0.1</v>
      </c>
      <c r="K41" s="109">
        <f>'Cash Flow %s Yr3'!K41</f>
        <v>0.1</v>
      </c>
      <c r="L41" s="109">
        <f>'Cash Flow %s Yr3'!L41</f>
        <v>0.1</v>
      </c>
      <c r="M41" s="109">
        <f>'Cash Flow %s Yr3'!M41</f>
        <v>0.1</v>
      </c>
      <c r="N41" s="109">
        <f>'Cash Flow %s Yr3'!N41</f>
        <v>0.1</v>
      </c>
      <c r="O41" s="109">
        <f>'Cash Flow %s Yr3'!O41</f>
        <v>0.1</v>
      </c>
      <c r="P41" s="109">
        <f>'Cash Flow %s Yr3'!P41</f>
        <v>0</v>
      </c>
      <c r="Q41" s="109">
        <f>'Cash Flow %s Yr3'!Q41</f>
        <v>0</v>
      </c>
      <c r="R41" s="109">
        <f>'Cash Flow %s Yr3'!R41</f>
        <v>0</v>
      </c>
      <c r="S41" s="105">
        <f t="shared" si="3"/>
        <v>0.99999999999999989</v>
      </c>
    </row>
    <row r="42" spans="1:19" s="30" customFormat="1" ht="17.399999999999999" x14ac:dyDescent="0.3">
      <c r="A42" s="45"/>
      <c r="B42" s="61">
        <f>'Revenue Input'!B49</f>
        <v>8687</v>
      </c>
      <c r="C42" s="61" t="str">
        <f>'Revenue Input'!C49</f>
        <v>Fund Development</v>
      </c>
      <c r="D42" s="109">
        <f>'Cash Flow %s Yr3'!D42</f>
        <v>0</v>
      </c>
      <c r="E42" s="109">
        <f>'Cash Flow %s Yr3'!E42</f>
        <v>0</v>
      </c>
      <c r="F42" s="109">
        <f>'Cash Flow %s Yr3'!F42</f>
        <v>0.1</v>
      </c>
      <c r="G42" s="109">
        <f>'Cash Flow %s Yr3'!G42</f>
        <v>0.1</v>
      </c>
      <c r="H42" s="109">
        <f>'Cash Flow %s Yr3'!H42</f>
        <v>0.1</v>
      </c>
      <c r="I42" s="109">
        <f>'Cash Flow %s Yr3'!I42</f>
        <v>0.1</v>
      </c>
      <c r="J42" s="109">
        <f>'Cash Flow %s Yr3'!J42</f>
        <v>0.1</v>
      </c>
      <c r="K42" s="109">
        <f>'Cash Flow %s Yr3'!K42</f>
        <v>0.1</v>
      </c>
      <c r="L42" s="109">
        <f>'Cash Flow %s Yr3'!L42</f>
        <v>0.1</v>
      </c>
      <c r="M42" s="109">
        <f>'Cash Flow %s Yr3'!M42</f>
        <v>0.1</v>
      </c>
      <c r="N42" s="109">
        <f>'Cash Flow %s Yr3'!N42</f>
        <v>0.1</v>
      </c>
      <c r="O42" s="109">
        <f>'Cash Flow %s Yr3'!O42</f>
        <v>0.1</v>
      </c>
      <c r="P42" s="109">
        <f>'Cash Flow %s Yr3'!P42</f>
        <v>0</v>
      </c>
      <c r="Q42" s="109">
        <f>'Cash Flow %s Yr3'!Q42</f>
        <v>0</v>
      </c>
      <c r="R42" s="109">
        <f>'Cash Flow %s Yr3'!R42</f>
        <v>0</v>
      </c>
      <c r="S42" s="105">
        <f t="shared" si="3"/>
        <v>0.99999999999999989</v>
      </c>
    </row>
    <row r="43" spans="1:19" s="30" customFormat="1" ht="17.399999999999999" x14ac:dyDescent="0.3">
      <c r="A43" s="45"/>
      <c r="B43" s="61">
        <f>'Revenue Input'!B50</f>
        <v>8688</v>
      </c>
      <c r="C43" s="61" t="str">
        <f>'Revenue Input'!C50</f>
        <v>In Kind Contributions</v>
      </c>
      <c r="D43" s="109">
        <f>'Cash Flow %s Yr3'!D43</f>
        <v>0</v>
      </c>
      <c r="E43" s="109">
        <f>'Cash Flow %s Yr3'!E43</f>
        <v>0</v>
      </c>
      <c r="F43" s="109">
        <f>'Cash Flow %s Yr3'!F43</f>
        <v>0.1</v>
      </c>
      <c r="G43" s="109">
        <f>'Cash Flow %s Yr3'!G43</f>
        <v>0.1</v>
      </c>
      <c r="H43" s="109">
        <f>'Cash Flow %s Yr3'!H43</f>
        <v>0.1</v>
      </c>
      <c r="I43" s="109">
        <f>'Cash Flow %s Yr3'!I43</f>
        <v>0.1</v>
      </c>
      <c r="J43" s="109">
        <f>'Cash Flow %s Yr3'!J43</f>
        <v>0.1</v>
      </c>
      <c r="K43" s="109">
        <f>'Cash Flow %s Yr3'!K43</f>
        <v>0.1</v>
      </c>
      <c r="L43" s="109">
        <f>'Cash Flow %s Yr3'!L43</f>
        <v>0.1</v>
      </c>
      <c r="M43" s="109">
        <f>'Cash Flow %s Yr3'!M43</f>
        <v>0.1</v>
      </c>
      <c r="N43" s="109">
        <f>'Cash Flow %s Yr3'!N43</f>
        <v>0.1</v>
      </c>
      <c r="O43" s="109">
        <f>'Cash Flow %s Yr3'!O43</f>
        <v>0.1</v>
      </c>
      <c r="P43" s="109">
        <f>'Cash Flow %s Yr3'!P43</f>
        <v>0</v>
      </c>
      <c r="Q43" s="109">
        <f>'Cash Flow %s Yr3'!Q43</f>
        <v>0</v>
      </c>
      <c r="R43" s="109">
        <f>'Cash Flow %s Yr3'!R43</f>
        <v>0</v>
      </c>
      <c r="S43" s="105">
        <f t="shared" si="3"/>
        <v>0.99999999999999989</v>
      </c>
    </row>
    <row r="44" spans="1:19" s="30" customFormat="1" ht="17.399999999999999" x14ac:dyDescent="0.3">
      <c r="A44" s="45"/>
      <c r="B44" s="61" t="e">
        <f>'Revenue Input'!#REF!</f>
        <v>#REF!</v>
      </c>
      <c r="C44" s="61" t="e">
        <f>'Revenue Input'!#REF!</f>
        <v>#REF!</v>
      </c>
      <c r="D44" s="109">
        <f>'Cash Flow %s Yr3'!D44</f>
        <v>0</v>
      </c>
      <c r="E44" s="109">
        <f>'Cash Flow %s Yr3'!E44</f>
        <v>0</v>
      </c>
      <c r="F44" s="109">
        <f>'Cash Flow %s Yr3'!F44</f>
        <v>0.1</v>
      </c>
      <c r="G44" s="109">
        <f>'Cash Flow %s Yr3'!G44</f>
        <v>0.1</v>
      </c>
      <c r="H44" s="109">
        <f>'Cash Flow %s Yr3'!H44</f>
        <v>0.1</v>
      </c>
      <c r="I44" s="109">
        <f>'Cash Flow %s Yr3'!I44</f>
        <v>0.1</v>
      </c>
      <c r="J44" s="109">
        <f>'Cash Flow %s Yr3'!J44</f>
        <v>0.1</v>
      </c>
      <c r="K44" s="109">
        <f>'Cash Flow %s Yr3'!K44</f>
        <v>0.1</v>
      </c>
      <c r="L44" s="109">
        <f>'Cash Flow %s Yr3'!L44</f>
        <v>0.1</v>
      </c>
      <c r="M44" s="109">
        <f>'Cash Flow %s Yr3'!M44</f>
        <v>0.1</v>
      </c>
      <c r="N44" s="109">
        <f>'Cash Flow %s Yr3'!N44</f>
        <v>0.1</v>
      </c>
      <c r="O44" s="109">
        <f>'Cash Flow %s Yr3'!O44</f>
        <v>0.1</v>
      </c>
      <c r="P44" s="109">
        <f>'Cash Flow %s Yr3'!P44</f>
        <v>0</v>
      </c>
      <c r="Q44" s="109">
        <f>'Cash Flow %s Yr3'!Q44</f>
        <v>0</v>
      </c>
      <c r="R44" s="109">
        <f>'Cash Flow %s Yr3'!R44</f>
        <v>0</v>
      </c>
      <c r="S44" s="105">
        <f t="shared" si="3"/>
        <v>0.99999999999999989</v>
      </c>
    </row>
    <row r="45" spans="1:19" s="30" customFormat="1" ht="17.399999999999999" x14ac:dyDescent="0.3">
      <c r="A45" s="45"/>
      <c r="B45" s="61" t="e">
        <f>'Revenue Input'!#REF!</f>
        <v>#REF!</v>
      </c>
      <c r="C45" s="61" t="e">
        <f>'Revenue Input'!#REF!</f>
        <v>#REF!</v>
      </c>
      <c r="D45" s="109">
        <f>'Cash Flow %s Yr3'!D45</f>
        <v>0</v>
      </c>
      <c r="E45" s="109">
        <f>'Cash Flow %s Yr3'!E45</f>
        <v>0</v>
      </c>
      <c r="F45" s="109">
        <f>'Cash Flow %s Yr3'!F45</f>
        <v>0.1</v>
      </c>
      <c r="G45" s="109">
        <f>'Cash Flow %s Yr3'!G45</f>
        <v>0.1</v>
      </c>
      <c r="H45" s="109">
        <f>'Cash Flow %s Yr3'!H45</f>
        <v>0.1</v>
      </c>
      <c r="I45" s="109">
        <f>'Cash Flow %s Yr3'!I45</f>
        <v>0.1</v>
      </c>
      <c r="J45" s="109">
        <f>'Cash Flow %s Yr3'!J45</f>
        <v>0.1</v>
      </c>
      <c r="K45" s="109">
        <f>'Cash Flow %s Yr3'!K45</f>
        <v>0.1</v>
      </c>
      <c r="L45" s="109">
        <f>'Cash Flow %s Yr3'!L45</f>
        <v>0.1</v>
      </c>
      <c r="M45" s="109">
        <f>'Cash Flow %s Yr3'!M45</f>
        <v>0.1</v>
      </c>
      <c r="N45" s="109">
        <f>'Cash Flow %s Yr3'!N45</f>
        <v>0.1</v>
      </c>
      <c r="O45" s="109">
        <f>'Cash Flow %s Yr3'!O45</f>
        <v>0.1</v>
      </c>
      <c r="P45" s="109">
        <f>'Cash Flow %s Yr3'!P45</f>
        <v>0</v>
      </c>
      <c r="Q45" s="109">
        <f>'Cash Flow %s Yr3'!Q45</f>
        <v>0</v>
      </c>
      <c r="R45" s="109">
        <f>'Cash Flow %s Yr3'!R45</f>
        <v>0</v>
      </c>
      <c r="S45" s="105">
        <f t="shared" si="3"/>
        <v>0.99999999999999989</v>
      </c>
    </row>
    <row r="46" spans="1:19" s="30" customFormat="1" ht="17.399999999999999" x14ac:dyDescent="0.3">
      <c r="A46" s="45"/>
      <c r="B46" s="61">
        <f>'Revenue Input'!B51</f>
        <v>8689</v>
      </c>
      <c r="C46" s="61" t="str">
        <f>'Revenue Input'!C51</f>
        <v xml:space="preserve">All Other Local Revenue </v>
      </c>
      <c r="D46" s="109">
        <f>'Cash Flow %s Yr3'!D46</f>
        <v>0</v>
      </c>
      <c r="E46" s="109">
        <f>'Cash Flow %s Yr3'!E46</f>
        <v>0</v>
      </c>
      <c r="F46" s="109">
        <f>'Cash Flow %s Yr3'!F46</f>
        <v>0.1</v>
      </c>
      <c r="G46" s="109">
        <f>'Cash Flow %s Yr3'!G46</f>
        <v>0.1</v>
      </c>
      <c r="H46" s="109">
        <f>'Cash Flow %s Yr3'!H46</f>
        <v>0.1</v>
      </c>
      <c r="I46" s="109">
        <f>'Cash Flow %s Yr3'!I46</f>
        <v>0.1</v>
      </c>
      <c r="J46" s="109">
        <f>'Cash Flow %s Yr3'!J46</f>
        <v>0.1</v>
      </c>
      <c r="K46" s="109">
        <f>'Cash Flow %s Yr3'!K46</f>
        <v>0.1</v>
      </c>
      <c r="L46" s="109">
        <f>'Cash Flow %s Yr3'!L46</f>
        <v>0.1</v>
      </c>
      <c r="M46" s="109">
        <f>'Cash Flow %s Yr3'!M46</f>
        <v>0.1</v>
      </c>
      <c r="N46" s="109">
        <f>'Cash Flow %s Yr3'!N46</f>
        <v>0.1</v>
      </c>
      <c r="O46" s="109">
        <f>'Cash Flow %s Yr3'!O46</f>
        <v>0.1</v>
      </c>
      <c r="P46" s="109">
        <f>'Cash Flow %s Yr3'!P46</f>
        <v>0</v>
      </c>
      <c r="Q46" s="109">
        <f>'Cash Flow %s Yr3'!Q46</f>
        <v>0</v>
      </c>
      <c r="R46" s="109">
        <f>'Cash Flow %s Yr3'!R46</f>
        <v>0</v>
      </c>
      <c r="S46" s="105">
        <f>SUM(D46:R46)</f>
        <v>0.99999999999999989</v>
      </c>
    </row>
    <row r="47" spans="1:19" s="30" customFormat="1" ht="17.399999999999999" x14ac:dyDescent="0.3">
      <c r="A47" s="45"/>
      <c r="B47" s="61">
        <f>'Revenue Input'!B52</f>
        <v>8699</v>
      </c>
      <c r="C47" s="61" t="str">
        <f>'Revenue Input'!C52</f>
        <v xml:space="preserve">All Other Local Revenue </v>
      </c>
      <c r="D47" s="109">
        <f>'Cash Flow %s Yr3'!D47</f>
        <v>0</v>
      </c>
      <c r="E47" s="109">
        <f>'Cash Flow %s Yr3'!E47</f>
        <v>0</v>
      </c>
      <c r="F47" s="109">
        <f>'Cash Flow %s Yr3'!F47</f>
        <v>0.1</v>
      </c>
      <c r="G47" s="109">
        <f>'Cash Flow %s Yr3'!G47</f>
        <v>0.1</v>
      </c>
      <c r="H47" s="109">
        <f>'Cash Flow %s Yr3'!H47</f>
        <v>0.1</v>
      </c>
      <c r="I47" s="109">
        <f>'Cash Flow %s Yr3'!I47</f>
        <v>0.1</v>
      </c>
      <c r="J47" s="109">
        <f>'Cash Flow %s Yr3'!J47</f>
        <v>0.1</v>
      </c>
      <c r="K47" s="109">
        <f>'Cash Flow %s Yr3'!K47</f>
        <v>0.1</v>
      </c>
      <c r="L47" s="109">
        <f>'Cash Flow %s Yr3'!L47</f>
        <v>0.1</v>
      </c>
      <c r="M47" s="109">
        <f>'Cash Flow %s Yr3'!M47</f>
        <v>0.1</v>
      </c>
      <c r="N47" s="109">
        <f>'Cash Flow %s Yr3'!N47</f>
        <v>0.1</v>
      </c>
      <c r="O47" s="109">
        <f>'Cash Flow %s Yr3'!O47</f>
        <v>0.1</v>
      </c>
      <c r="P47" s="109">
        <f>'Cash Flow %s Yr3'!P47</f>
        <v>0</v>
      </c>
      <c r="Q47" s="109">
        <f>'Cash Flow %s Yr3'!Q47</f>
        <v>0</v>
      </c>
      <c r="R47" s="109">
        <f>'Cash Flow %s Yr3'!R47</f>
        <v>0</v>
      </c>
      <c r="S47" s="105">
        <f>SUM(D47:R47)</f>
        <v>0.99999999999999989</v>
      </c>
    </row>
    <row r="48" spans="1:19" s="30" customFormat="1" ht="17.399999999999999" x14ac:dyDescent="0.3">
      <c r="A48" s="45"/>
      <c r="B48" s="61">
        <f>'Revenue Input'!B53</f>
        <v>8792</v>
      </c>
      <c r="C48" s="61" t="str">
        <f>'Revenue Input'!C53</f>
        <v>SPED State/Other Transfers of Apportionments from County</v>
      </c>
      <c r="D48" s="109">
        <f>'Cash Flow %s Yr3'!D48</f>
        <v>0</v>
      </c>
      <c r="E48" s="109">
        <f>'Cash Flow %s Yr3'!E48</f>
        <v>0</v>
      </c>
      <c r="F48" s="109">
        <f>'Cash Flow %s Yr3'!F48</f>
        <v>0.1</v>
      </c>
      <c r="G48" s="109">
        <f>'Cash Flow %s Yr3'!G48</f>
        <v>0.1</v>
      </c>
      <c r="H48" s="109">
        <f>'Cash Flow %s Yr3'!H48</f>
        <v>0.1</v>
      </c>
      <c r="I48" s="109">
        <f>'Cash Flow %s Yr3'!I48</f>
        <v>0.1</v>
      </c>
      <c r="J48" s="109">
        <f>'Cash Flow %s Yr3'!J48</f>
        <v>0.1</v>
      </c>
      <c r="K48" s="109">
        <f>'Cash Flow %s Yr3'!K48</f>
        <v>0.1</v>
      </c>
      <c r="L48" s="109">
        <f>'Cash Flow %s Yr3'!L48</f>
        <v>0.1</v>
      </c>
      <c r="M48" s="109">
        <f>'Cash Flow %s Yr3'!M48</f>
        <v>0.1</v>
      </c>
      <c r="N48" s="109">
        <f>'Cash Flow %s Yr3'!N48</f>
        <v>0.1</v>
      </c>
      <c r="O48" s="109">
        <f>'Cash Flow %s Yr3'!O48</f>
        <v>0.1</v>
      </c>
      <c r="P48" s="109">
        <f>'Cash Flow %s Yr3'!P48</f>
        <v>0</v>
      </c>
      <c r="Q48" s="109">
        <f>'Cash Flow %s Yr3'!Q48</f>
        <v>0</v>
      </c>
      <c r="R48" s="109">
        <f>'Cash Flow %s Yr3'!R48</f>
        <v>0</v>
      </c>
      <c r="S48" s="105">
        <f>SUM(D48:R48)</f>
        <v>0.99999999999999989</v>
      </c>
    </row>
    <row r="49" spans="1:19" s="30" customFormat="1" ht="17.399999999999999" x14ac:dyDescent="0.3">
      <c r="A49" s="45"/>
      <c r="B49" s="61">
        <f>'Revenue Input'!B55</f>
        <v>8984</v>
      </c>
      <c r="C49" s="61" t="str">
        <f>'Revenue Input'!C55</f>
        <v>Student Body (ASB Fundraising)</v>
      </c>
      <c r="D49" s="109">
        <f>'Cash Flow %s Yr3'!D49</f>
        <v>0</v>
      </c>
      <c r="E49" s="109">
        <f>'Cash Flow %s Yr3'!E49</f>
        <v>0</v>
      </c>
      <c r="F49" s="109">
        <f>'Cash Flow %s Yr3'!F49</f>
        <v>0.1</v>
      </c>
      <c r="G49" s="109">
        <f>'Cash Flow %s Yr3'!G49</f>
        <v>0.1</v>
      </c>
      <c r="H49" s="109">
        <f>'Cash Flow %s Yr3'!H49</f>
        <v>0.1</v>
      </c>
      <c r="I49" s="109">
        <f>'Cash Flow %s Yr3'!I49</f>
        <v>0.1</v>
      </c>
      <c r="J49" s="109">
        <f>'Cash Flow %s Yr3'!J49</f>
        <v>0.1</v>
      </c>
      <c r="K49" s="109">
        <f>'Cash Flow %s Yr3'!K49</f>
        <v>0.1</v>
      </c>
      <c r="L49" s="109">
        <f>'Cash Flow %s Yr3'!L49</f>
        <v>0.1</v>
      </c>
      <c r="M49" s="109">
        <f>'Cash Flow %s Yr3'!M49</f>
        <v>0.1</v>
      </c>
      <c r="N49" s="109">
        <f>'Cash Flow %s Yr3'!N49</f>
        <v>0.1</v>
      </c>
      <c r="O49" s="109">
        <f>'Cash Flow %s Yr3'!O49</f>
        <v>0.1</v>
      </c>
      <c r="P49" s="109">
        <f>'Cash Flow %s Yr3'!P49</f>
        <v>0</v>
      </c>
      <c r="Q49" s="109">
        <f>'Cash Flow %s Yr3'!Q49</f>
        <v>0</v>
      </c>
      <c r="R49" s="109">
        <f>'Cash Flow %s Yr3'!R49</f>
        <v>0</v>
      </c>
      <c r="S49" s="105">
        <f t="shared" si="3"/>
        <v>0.99999999999999989</v>
      </c>
    </row>
    <row r="50" spans="1:19" s="30" customFormat="1" ht="17.399999999999999" x14ac:dyDescent="0.3">
      <c r="A50" s="45"/>
      <c r="B50" s="68"/>
      <c r="C50" s="48"/>
      <c r="D50" s="113"/>
      <c r="E50" s="113"/>
      <c r="F50" s="113"/>
      <c r="G50" s="113"/>
      <c r="H50" s="113"/>
      <c r="I50" s="113"/>
      <c r="J50" s="113"/>
      <c r="K50" s="113"/>
      <c r="L50" s="113"/>
      <c r="M50" s="113"/>
      <c r="N50" s="113"/>
      <c r="O50" s="113"/>
      <c r="P50" s="94"/>
      <c r="Q50" s="94"/>
      <c r="R50" s="94"/>
      <c r="S50" s="105"/>
    </row>
    <row r="51" spans="1:19" s="30" customFormat="1" ht="17.399999999999999" x14ac:dyDescent="0.3">
      <c r="A51" s="45"/>
      <c r="B51" s="68"/>
      <c r="C51" s="48"/>
      <c r="D51" s="113"/>
      <c r="E51" s="113"/>
      <c r="F51" s="113"/>
      <c r="G51" s="113"/>
      <c r="H51" s="113"/>
      <c r="I51" s="113"/>
      <c r="J51" s="113"/>
      <c r="K51" s="113"/>
      <c r="L51" s="113"/>
      <c r="M51" s="113"/>
      <c r="N51" s="113"/>
      <c r="O51" s="113"/>
      <c r="P51" s="94"/>
      <c r="Q51" s="94"/>
      <c r="R51" s="94"/>
      <c r="S51" s="105"/>
    </row>
    <row r="52" spans="1:19" s="30" customFormat="1" ht="17.399999999999999" x14ac:dyDescent="0.3">
      <c r="A52" s="45"/>
      <c r="B52" s="68"/>
      <c r="C52" s="48"/>
      <c r="D52" s="94"/>
      <c r="E52" s="94"/>
      <c r="F52" s="94"/>
      <c r="G52" s="94"/>
      <c r="H52" s="94"/>
      <c r="I52" s="94"/>
      <c r="J52" s="94"/>
      <c r="K52" s="94"/>
      <c r="L52" s="94"/>
      <c r="M52" s="94"/>
      <c r="N52" s="94"/>
      <c r="O52" s="94"/>
      <c r="P52" s="94"/>
      <c r="Q52" s="94"/>
      <c r="R52" s="94"/>
      <c r="S52" s="105"/>
    </row>
    <row r="53" spans="1:19" s="30" customFormat="1" ht="17.399999999999999" x14ac:dyDescent="0.3">
      <c r="A53" s="45" t="s">
        <v>796</v>
      </c>
      <c r="B53" s="69"/>
      <c r="C53" s="33"/>
      <c r="D53" s="95"/>
      <c r="E53" s="95"/>
      <c r="F53" s="95"/>
      <c r="G53" s="95"/>
      <c r="H53" s="95"/>
      <c r="I53" s="95"/>
      <c r="J53" s="95"/>
      <c r="K53" s="95"/>
      <c r="L53" s="95"/>
      <c r="M53" s="95"/>
      <c r="N53" s="95"/>
      <c r="O53" s="95"/>
      <c r="P53" s="95"/>
      <c r="Q53" s="95"/>
      <c r="R53" s="95"/>
      <c r="S53" s="105"/>
    </row>
    <row r="54" spans="1:19" x14ac:dyDescent="0.3">
      <c r="A54" s="1"/>
      <c r="B54" s="33" t="s">
        <v>732</v>
      </c>
      <c r="C54" s="3"/>
      <c r="S54" s="173"/>
    </row>
    <row r="55" spans="1:19" x14ac:dyDescent="0.3">
      <c r="A55" s="35"/>
      <c r="B55" s="63" t="str">
        <f>'Expenses Summary'!B8</f>
        <v>1100</v>
      </c>
      <c r="C55" s="63" t="str">
        <f>'Expenses Summary'!C8</f>
        <v>Teachers'  Salaries</v>
      </c>
      <c r="D55" s="106">
        <f>'Cash Flow %s Yr3'!D55</f>
        <v>0.02</v>
      </c>
      <c r="E55" s="106">
        <f>'Cash Flow %s Yr3'!E55</f>
        <v>0.05</v>
      </c>
      <c r="F55" s="106">
        <f>'Cash Flow %s Yr3'!F55</f>
        <v>0.1</v>
      </c>
      <c r="G55" s="106">
        <f>'Cash Flow %s Yr3'!G55</f>
        <v>0.1</v>
      </c>
      <c r="H55" s="106">
        <f>'Cash Flow %s Yr3'!H55</f>
        <v>0.1</v>
      </c>
      <c r="I55" s="106">
        <f>'Cash Flow %s Yr3'!I55</f>
        <v>0.1</v>
      </c>
      <c r="J55" s="106">
        <f>'Cash Flow %s Yr3'!J55</f>
        <v>0.1</v>
      </c>
      <c r="K55" s="106">
        <f>'Cash Flow %s Yr3'!K55</f>
        <v>0.1</v>
      </c>
      <c r="L55" s="106">
        <f>'Cash Flow %s Yr3'!L55</f>
        <v>0.1</v>
      </c>
      <c r="M55" s="106">
        <f>'Cash Flow %s Yr3'!M55</f>
        <v>0.1</v>
      </c>
      <c r="N55" s="106">
        <f>'Cash Flow %s Yr3'!N55</f>
        <v>0.1</v>
      </c>
      <c r="O55" s="106">
        <f>'Cash Flow %s Yr3'!O55</f>
        <v>0.03</v>
      </c>
      <c r="P55" s="106">
        <f>'Cash Flow %s Yr3'!P55</f>
        <v>0</v>
      </c>
      <c r="Q55" s="106">
        <f>'Cash Flow %s Yr3'!Q55</f>
        <v>0</v>
      </c>
      <c r="R55" s="106">
        <f>'Cash Flow %s Yr3'!R55</f>
        <v>0</v>
      </c>
      <c r="S55" s="105">
        <f t="shared" ref="S55:S62" si="4">SUM(D55:R55)</f>
        <v>0.99999999999999989</v>
      </c>
    </row>
    <row r="56" spans="1:19" x14ac:dyDescent="0.3">
      <c r="A56" s="35"/>
      <c r="B56" s="63" t="str">
        <f>'Expenses Summary'!B9</f>
        <v>1105</v>
      </c>
      <c r="C56" s="63" t="str">
        <f>'Expenses Summary'!C9</f>
        <v>Teachers'  Stipend</v>
      </c>
      <c r="D56" s="106">
        <f>'Cash Flow %s Yr3'!D56</f>
        <v>0</v>
      </c>
      <c r="E56" s="106">
        <f>'Cash Flow %s Yr3'!E56</f>
        <v>0</v>
      </c>
      <c r="F56" s="106">
        <f>'Cash Flow %s Yr3'!F56</f>
        <v>0</v>
      </c>
      <c r="G56" s="106">
        <f>'Cash Flow %s Yr3'!G56</f>
        <v>0</v>
      </c>
      <c r="H56" s="106">
        <f>'Cash Flow %s Yr3'!H56</f>
        <v>0</v>
      </c>
      <c r="I56" s="106">
        <f>'Cash Flow %s Yr3'!I56</f>
        <v>0.5</v>
      </c>
      <c r="J56" s="106">
        <f>'Cash Flow %s Yr3'!J56</f>
        <v>0</v>
      </c>
      <c r="K56" s="106">
        <f>'Cash Flow %s Yr3'!K56</f>
        <v>0</v>
      </c>
      <c r="L56" s="106">
        <f>'Cash Flow %s Yr3'!L56</f>
        <v>0</v>
      </c>
      <c r="M56" s="106">
        <f>'Cash Flow %s Yr3'!M56</f>
        <v>0</v>
      </c>
      <c r="N56" s="106">
        <f>'Cash Flow %s Yr3'!N56</f>
        <v>0</v>
      </c>
      <c r="O56" s="106">
        <f>'Cash Flow %s Yr3'!O56</f>
        <v>0.5</v>
      </c>
      <c r="P56" s="106">
        <f>'Cash Flow %s Yr3'!P56</f>
        <v>0</v>
      </c>
      <c r="Q56" s="106">
        <f>'Cash Flow %s Yr3'!Q56</f>
        <v>0</v>
      </c>
      <c r="R56" s="106">
        <f>'Cash Flow %s Yr3'!R56</f>
        <v>0</v>
      </c>
      <c r="S56" s="105">
        <f t="shared" si="4"/>
        <v>1</v>
      </c>
    </row>
    <row r="57" spans="1:19" x14ac:dyDescent="0.3">
      <c r="A57" s="35"/>
      <c r="B57" s="63" t="str">
        <f>'Expenses Summary'!B10</f>
        <v>1120</v>
      </c>
      <c r="C57" s="63" t="str">
        <f>'Expenses Summary'!C10</f>
        <v>Substitute Expense</v>
      </c>
      <c r="D57" s="106">
        <f>'Cash Flow %s Yr3'!D57</f>
        <v>0</v>
      </c>
      <c r="E57" s="106">
        <f>'Cash Flow %s Yr3'!E57</f>
        <v>0</v>
      </c>
      <c r="F57" s="106">
        <f>'Cash Flow %s Yr3'!F57</f>
        <v>0.1</v>
      </c>
      <c r="G57" s="106">
        <f>'Cash Flow %s Yr3'!G57</f>
        <v>0.1</v>
      </c>
      <c r="H57" s="106">
        <f>'Cash Flow %s Yr3'!H57</f>
        <v>0.1</v>
      </c>
      <c r="I57" s="106">
        <f>'Cash Flow %s Yr3'!I57</f>
        <v>0.1</v>
      </c>
      <c r="J57" s="106">
        <f>'Cash Flow %s Yr3'!J57</f>
        <v>0.1</v>
      </c>
      <c r="K57" s="106">
        <f>'Cash Flow %s Yr3'!K57</f>
        <v>0.1</v>
      </c>
      <c r="L57" s="106">
        <f>'Cash Flow %s Yr3'!L57</f>
        <v>0.1</v>
      </c>
      <c r="M57" s="106">
        <f>'Cash Flow %s Yr3'!M57</f>
        <v>0.1</v>
      </c>
      <c r="N57" s="106">
        <f>'Cash Flow %s Yr3'!N57</f>
        <v>0.1</v>
      </c>
      <c r="O57" s="106">
        <f>'Cash Flow %s Yr3'!O57</f>
        <v>0.1</v>
      </c>
      <c r="P57" s="106">
        <f>'Cash Flow %s Yr3'!P57</f>
        <v>0</v>
      </c>
      <c r="Q57" s="106">
        <f>'Cash Flow %s Yr3'!Q57</f>
        <v>0</v>
      </c>
      <c r="R57" s="106">
        <f>'Cash Flow %s Yr3'!R57</f>
        <v>0</v>
      </c>
      <c r="S57" s="105">
        <f t="shared" si="4"/>
        <v>0.99999999999999989</v>
      </c>
    </row>
    <row r="58" spans="1:19" x14ac:dyDescent="0.3">
      <c r="A58" s="35"/>
      <c r="B58" s="63" t="str">
        <f>'Expenses Summary'!B11</f>
        <v>1200</v>
      </c>
      <c r="C58" s="63" t="str">
        <f>'Expenses Summary'!C11</f>
        <v>Certificated Pupil Support Salaries</v>
      </c>
      <c r="D58" s="106">
        <f>'Cash Flow %s Yr3'!D58</f>
        <v>0</v>
      </c>
      <c r="E58" s="106">
        <f>'Cash Flow %s Yr3'!E58</f>
        <v>0</v>
      </c>
      <c r="F58" s="106">
        <f>'Cash Flow %s Yr3'!F58</f>
        <v>0.1</v>
      </c>
      <c r="G58" s="106">
        <f>'Cash Flow %s Yr3'!G58</f>
        <v>0.1</v>
      </c>
      <c r="H58" s="106">
        <f>'Cash Flow %s Yr3'!H58</f>
        <v>0.1</v>
      </c>
      <c r="I58" s="106">
        <f>'Cash Flow %s Yr3'!I58</f>
        <v>0.1</v>
      </c>
      <c r="J58" s="106">
        <f>'Cash Flow %s Yr3'!J58</f>
        <v>0.1</v>
      </c>
      <c r="K58" s="106">
        <f>'Cash Flow %s Yr3'!K58</f>
        <v>0.1</v>
      </c>
      <c r="L58" s="106">
        <f>'Cash Flow %s Yr3'!L58</f>
        <v>0.1</v>
      </c>
      <c r="M58" s="106">
        <f>'Cash Flow %s Yr3'!M58</f>
        <v>0.1</v>
      </c>
      <c r="N58" s="106">
        <f>'Cash Flow %s Yr3'!N58</f>
        <v>0.1</v>
      </c>
      <c r="O58" s="106">
        <f>'Cash Flow %s Yr3'!O58</f>
        <v>0.1</v>
      </c>
      <c r="P58" s="106">
        <f>'Cash Flow %s Yr3'!P58</f>
        <v>0</v>
      </c>
      <c r="Q58" s="106">
        <f>'Cash Flow %s Yr3'!Q58</f>
        <v>0</v>
      </c>
      <c r="R58" s="106">
        <f>'Cash Flow %s Yr3'!R58</f>
        <v>0</v>
      </c>
      <c r="S58" s="105">
        <f t="shared" si="4"/>
        <v>0.99999999999999989</v>
      </c>
    </row>
    <row r="59" spans="1:19" x14ac:dyDescent="0.3">
      <c r="A59" s="35"/>
      <c r="B59" s="63" t="str">
        <f>'Expenses Summary'!B13</f>
        <v>1300</v>
      </c>
      <c r="C59" s="63" t="str">
        <f>'Expenses Summary'!C13</f>
        <v>Certificated Supervisor and Administrator Salaries</v>
      </c>
      <c r="D59" s="106">
        <f>'Cash Flow %s Yr3'!D59</f>
        <v>8.3000000000000004E-2</v>
      </c>
      <c r="E59" s="106">
        <f>'Cash Flow %s Yr3'!E59</f>
        <v>8.3000000000000004E-2</v>
      </c>
      <c r="F59" s="106">
        <f>'Cash Flow %s Yr3'!F59</f>
        <v>8.3000000000000004E-2</v>
      </c>
      <c r="G59" s="106">
        <f>'Cash Flow %s Yr3'!G59</f>
        <v>8.3000000000000004E-2</v>
      </c>
      <c r="H59" s="106">
        <f>'Cash Flow %s Yr3'!H59</f>
        <v>8.3000000000000004E-2</v>
      </c>
      <c r="I59" s="106">
        <f>'Cash Flow %s Yr3'!I59</f>
        <v>8.3000000000000004E-2</v>
      </c>
      <c r="J59" s="106">
        <f>'Cash Flow %s Yr3'!J59</f>
        <v>8.3000000000000004E-2</v>
      </c>
      <c r="K59" s="106">
        <f>'Cash Flow %s Yr3'!K59</f>
        <v>8.3000000000000004E-2</v>
      </c>
      <c r="L59" s="106">
        <f>'Cash Flow %s Yr3'!L59</f>
        <v>8.4000000000000005E-2</v>
      </c>
      <c r="M59" s="106">
        <f>'Cash Flow %s Yr3'!M59</f>
        <v>8.4000000000000005E-2</v>
      </c>
      <c r="N59" s="106">
        <f>'Cash Flow %s Yr3'!N59</f>
        <v>8.4000000000000005E-2</v>
      </c>
      <c r="O59" s="106">
        <f>'Cash Flow %s Yr3'!O59</f>
        <v>8.4000000000000005E-2</v>
      </c>
      <c r="P59" s="106">
        <f>'Cash Flow %s Yr3'!P59</f>
        <v>0</v>
      </c>
      <c r="Q59" s="106">
        <f>'Cash Flow %s Yr3'!Q59</f>
        <v>0</v>
      </c>
      <c r="R59" s="106">
        <f>'Cash Flow %s Yr3'!R59</f>
        <v>0</v>
      </c>
      <c r="S59" s="105">
        <f t="shared" si="4"/>
        <v>0.99999999999999989</v>
      </c>
    </row>
    <row r="60" spans="1:19" x14ac:dyDescent="0.3">
      <c r="A60" s="35"/>
      <c r="B60" s="63" t="str">
        <f>'Expenses Summary'!B14</f>
        <v>1305</v>
      </c>
      <c r="C60" s="63" t="str">
        <f>'Expenses Summary'!C14</f>
        <v>Certificated Supervisor and Administrator Bonuses</v>
      </c>
      <c r="D60" s="106">
        <f>'Cash Flow %s Yr3'!D60</f>
        <v>0</v>
      </c>
      <c r="E60" s="106">
        <f>'Cash Flow %s Yr3'!E60</f>
        <v>0</v>
      </c>
      <c r="F60" s="106">
        <f>'Cash Flow %s Yr3'!F60</f>
        <v>0</v>
      </c>
      <c r="G60" s="106">
        <f>'Cash Flow %s Yr3'!G60</f>
        <v>0</v>
      </c>
      <c r="H60" s="106">
        <f>'Cash Flow %s Yr3'!H60</f>
        <v>0</v>
      </c>
      <c r="I60" s="106">
        <f>'Cash Flow %s Yr3'!I60</f>
        <v>0.5</v>
      </c>
      <c r="J60" s="106">
        <f>'Cash Flow %s Yr3'!J60</f>
        <v>0</v>
      </c>
      <c r="K60" s="106">
        <f>'Cash Flow %s Yr3'!K60</f>
        <v>0</v>
      </c>
      <c r="L60" s="106">
        <f>'Cash Flow %s Yr3'!L60</f>
        <v>0</v>
      </c>
      <c r="M60" s="106">
        <f>'Cash Flow %s Yr3'!M60</f>
        <v>0</v>
      </c>
      <c r="N60" s="106">
        <f>'Cash Flow %s Yr3'!N60</f>
        <v>0</v>
      </c>
      <c r="O60" s="106">
        <f>'Cash Flow %s Yr3'!O60</f>
        <v>0.5</v>
      </c>
      <c r="P60" s="106">
        <f>'Cash Flow %s Yr3'!P60</f>
        <v>0</v>
      </c>
      <c r="Q60" s="106">
        <f>'Cash Flow %s Yr3'!Q60</f>
        <v>0</v>
      </c>
      <c r="R60" s="106">
        <f>'Cash Flow %s Yr3'!R60</f>
        <v>0</v>
      </c>
      <c r="S60" s="105">
        <f t="shared" si="4"/>
        <v>1</v>
      </c>
    </row>
    <row r="61" spans="1:19" x14ac:dyDescent="0.3">
      <c r="A61" s="35"/>
      <c r="B61" s="63" t="str">
        <f>'Expenses Summary'!B15</f>
        <v>1900</v>
      </c>
      <c r="C61" s="63" t="str">
        <f>'Expenses Summary'!C15</f>
        <v>Other Certificated Salaries</v>
      </c>
      <c r="D61" s="106">
        <f>'Cash Flow %s Yr3'!D61</f>
        <v>0</v>
      </c>
      <c r="E61" s="106">
        <f>'Cash Flow %s Yr3'!E61</f>
        <v>9.1666666666666702E-2</v>
      </c>
      <c r="F61" s="106">
        <f>'Cash Flow %s Yr3'!F61</f>
        <v>9.1666666666666702E-2</v>
      </c>
      <c r="G61" s="106">
        <f>'Cash Flow %s Yr3'!G61</f>
        <v>9.1666666666666702E-2</v>
      </c>
      <c r="H61" s="106">
        <f>'Cash Flow %s Yr3'!H61</f>
        <v>9.1666666666666702E-2</v>
      </c>
      <c r="I61" s="106">
        <f>'Cash Flow %s Yr3'!I61</f>
        <v>9.1666666666666702E-2</v>
      </c>
      <c r="J61" s="106">
        <f>'Cash Flow %s Yr3'!J61</f>
        <v>9.1666666666666702E-2</v>
      </c>
      <c r="K61" s="106">
        <f>'Cash Flow %s Yr3'!K61</f>
        <v>9.1666666666666702E-2</v>
      </c>
      <c r="L61" s="106">
        <f>'Cash Flow %s Yr3'!L61</f>
        <v>9.1666666666666702E-2</v>
      </c>
      <c r="M61" s="106">
        <f>'Cash Flow %s Yr3'!M61</f>
        <v>9.1666666666666702E-2</v>
      </c>
      <c r="N61" s="106">
        <f>'Cash Flow %s Yr3'!N61</f>
        <v>9.1666666666666702E-2</v>
      </c>
      <c r="O61" s="106">
        <f>'Cash Flow %s Yr3'!O61</f>
        <v>8.3333333332999998E-2</v>
      </c>
      <c r="P61" s="106">
        <f>'Cash Flow %s Yr3'!P61</f>
        <v>0</v>
      </c>
      <c r="Q61" s="106">
        <f>'Cash Flow %s Yr3'!Q61</f>
        <v>0</v>
      </c>
      <c r="R61" s="106">
        <f>'Cash Flow %s Yr3'!R61</f>
        <v>0</v>
      </c>
      <c r="S61" s="105">
        <f t="shared" si="4"/>
        <v>0.99999999999966682</v>
      </c>
    </row>
    <row r="62" spans="1:19" x14ac:dyDescent="0.3">
      <c r="A62" s="35"/>
      <c r="B62" s="63" t="str">
        <f>'Expenses Summary'!B16</f>
        <v>1910</v>
      </c>
      <c r="C62" s="63" t="str">
        <f>'Expenses Summary'!C16</f>
        <v>Other Certificated Overtime</v>
      </c>
      <c r="D62" s="106">
        <f>'Cash Flow %s Yr3'!D62</f>
        <v>0</v>
      </c>
      <c r="E62" s="106">
        <f>'Cash Flow %s Yr3'!E62</f>
        <v>9.1666666666666702E-2</v>
      </c>
      <c r="F62" s="106">
        <f>'Cash Flow %s Yr3'!F62</f>
        <v>9.1666666666666702E-2</v>
      </c>
      <c r="G62" s="106">
        <f>'Cash Flow %s Yr3'!G62</f>
        <v>9.1666666666666702E-2</v>
      </c>
      <c r="H62" s="106">
        <f>'Cash Flow %s Yr3'!H62</f>
        <v>9.1666666666666702E-2</v>
      </c>
      <c r="I62" s="106">
        <f>'Cash Flow %s Yr3'!I62</f>
        <v>9.1666666666666702E-2</v>
      </c>
      <c r="J62" s="106">
        <f>'Cash Flow %s Yr3'!J62</f>
        <v>9.1666666666666702E-2</v>
      </c>
      <c r="K62" s="106">
        <f>'Cash Flow %s Yr3'!K62</f>
        <v>9.1666666666666702E-2</v>
      </c>
      <c r="L62" s="106">
        <f>'Cash Flow %s Yr3'!L62</f>
        <v>9.1666666666666702E-2</v>
      </c>
      <c r="M62" s="106">
        <f>'Cash Flow %s Yr3'!M62</f>
        <v>9.1666666666666702E-2</v>
      </c>
      <c r="N62" s="106">
        <f>'Cash Flow %s Yr3'!N62</f>
        <v>9.1666666666666702E-2</v>
      </c>
      <c r="O62" s="106">
        <f>'Cash Flow %s Yr3'!O62</f>
        <v>8.3333333332999998E-2</v>
      </c>
      <c r="P62" s="106">
        <f>'Cash Flow %s Yr3'!P62</f>
        <v>0</v>
      </c>
      <c r="Q62" s="106">
        <f>'Cash Flow %s Yr3'!Q62</f>
        <v>0</v>
      </c>
      <c r="R62" s="106">
        <f>'Cash Flow %s Yr3'!R62</f>
        <v>0</v>
      </c>
      <c r="S62" s="105">
        <f t="shared" si="4"/>
        <v>0.99999999999966682</v>
      </c>
    </row>
    <row r="63" spans="1:19" x14ac:dyDescent="0.3">
      <c r="A63" s="35"/>
      <c r="B63" s="82"/>
      <c r="C63" s="87"/>
      <c r="D63" s="94"/>
      <c r="E63" s="94"/>
      <c r="F63" s="113"/>
      <c r="G63" s="113"/>
      <c r="H63" s="113"/>
      <c r="I63" s="113"/>
      <c r="J63" s="113"/>
      <c r="K63" s="113"/>
      <c r="L63" s="113"/>
      <c r="M63" s="113"/>
      <c r="N63" s="113"/>
      <c r="O63" s="113"/>
      <c r="P63" s="94"/>
      <c r="Q63" s="94"/>
      <c r="R63" s="94"/>
      <c r="S63" s="105"/>
    </row>
    <row r="64" spans="1:19" s="30" customFormat="1" x14ac:dyDescent="0.3">
      <c r="A64" s="35"/>
      <c r="B64" s="39"/>
      <c r="C64" s="3"/>
      <c r="D64" s="96"/>
      <c r="E64" s="96"/>
      <c r="F64" s="96"/>
      <c r="G64" s="96"/>
      <c r="H64" s="96"/>
      <c r="I64" s="96"/>
      <c r="J64" s="96"/>
      <c r="K64" s="96"/>
      <c r="L64" s="96"/>
      <c r="M64" s="96"/>
      <c r="N64" s="96"/>
      <c r="O64" s="96"/>
      <c r="P64" s="96"/>
      <c r="Q64" s="96"/>
      <c r="R64" s="96"/>
      <c r="S64" s="105"/>
    </row>
    <row r="65" spans="1:19" s="30" customFormat="1" x14ac:dyDescent="0.3">
      <c r="B65" s="5" t="s">
        <v>733</v>
      </c>
      <c r="C65" s="3"/>
      <c r="D65" s="96"/>
      <c r="E65" s="96"/>
      <c r="F65" s="96"/>
      <c r="G65" s="96"/>
      <c r="H65" s="96"/>
      <c r="I65" s="96"/>
      <c r="J65" s="96"/>
      <c r="K65" s="96"/>
      <c r="L65" s="96"/>
      <c r="M65" s="96"/>
      <c r="N65" s="96"/>
      <c r="O65" s="96"/>
      <c r="P65" s="96"/>
      <c r="Q65" s="96"/>
      <c r="R65" s="96"/>
      <c r="S65" s="105"/>
    </row>
    <row r="66" spans="1:19" s="30" customFormat="1" x14ac:dyDescent="0.3">
      <c r="A66" s="35"/>
      <c r="B66" s="63" t="str">
        <f>'Expenses Summary'!B20</f>
        <v>2100</v>
      </c>
      <c r="C66" s="63" t="str">
        <f>'Expenses Summary'!C20</f>
        <v>Instructional Aide Salaries</v>
      </c>
      <c r="D66" s="106">
        <f>'Cash Flow %s Yr3'!D66</f>
        <v>0</v>
      </c>
      <c r="E66" s="106">
        <f>'Cash Flow %s Yr3'!E66</f>
        <v>0.05</v>
      </c>
      <c r="F66" s="106">
        <f>'Cash Flow %s Yr3'!F66</f>
        <v>0.1</v>
      </c>
      <c r="G66" s="106">
        <f>'Cash Flow %s Yr3'!G66</f>
        <v>0.1</v>
      </c>
      <c r="H66" s="106">
        <f>'Cash Flow %s Yr3'!H66</f>
        <v>0.1</v>
      </c>
      <c r="I66" s="106">
        <f>'Cash Flow %s Yr3'!I66</f>
        <v>0.1</v>
      </c>
      <c r="J66" s="106">
        <f>'Cash Flow %s Yr3'!J66</f>
        <v>0.1</v>
      </c>
      <c r="K66" s="106">
        <f>'Cash Flow %s Yr3'!K66</f>
        <v>0.1</v>
      </c>
      <c r="L66" s="106">
        <f>'Cash Flow %s Yr3'!L66</f>
        <v>0.1</v>
      </c>
      <c r="M66" s="106">
        <f>'Cash Flow %s Yr3'!M66</f>
        <v>0.1</v>
      </c>
      <c r="N66" s="106">
        <f>'Cash Flow %s Yr3'!N66</f>
        <v>0.1</v>
      </c>
      <c r="O66" s="106">
        <f>'Cash Flow %s Yr3'!O66</f>
        <v>0.05</v>
      </c>
      <c r="P66" s="106">
        <f>'Cash Flow %s Yr3'!P66</f>
        <v>0</v>
      </c>
      <c r="Q66" s="106">
        <f>'Cash Flow %s Yr3'!Q66</f>
        <v>0</v>
      </c>
      <c r="R66" s="106">
        <f>'Cash Flow %s Yr3'!R66</f>
        <v>0</v>
      </c>
      <c r="S66" s="105">
        <f t="shared" ref="S66:S75" si="5">SUM(D66:R66)</f>
        <v>0.99999999999999989</v>
      </c>
    </row>
    <row r="67" spans="1:19" s="30" customFormat="1" x14ac:dyDescent="0.3">
      <c r="A67" s="35"/>
      <c r="B67" s="63" t="str">
        <f>'Expenses Summary'!B21</f>
        <v>2110</v>
      </c>
      <c r="C67" s="63" t="str">
        <f>'Expenses Summary'!C21</f>
        <v>Instructional Aide Overtime</v>
      </c>
      <c r="D67" s="106">
        <f>'Cash Flow %s Yr3'!D67</f>
        <v>0</v>
      </c>
      <c r="E67" s="106">
        <f>'Cash Flow %s Yr3'!E67</f>
        <v>0</v>
      </c>
      <c r="F67" s="106">
        <f>'Cash Flow %s Yr3'!F67</f>
        <v>0.1</v>
      </c>
      <c r="G67" s="106">
        <f>'Cash Flow %s Yr3'!G67</f>
        <v>0.1</v>
      </c>
      <c r="H67" s="106">
        <f>'Cash Flow %s Yr3'!H67</f>
        <v>0.1</v>
      </c>
      <c r="I67" s="106">
        <f>'Cash Flow %s Yr3'!I67</f>
        <v>0.1</v>
      </c>
      <c r="J67" s="106">
        <f>'Cash Flow %s Yr3'!J67</f>
        <v>0.1</v>
      </c>
      <c r="K67" s="106">
        <f>'Cash Flow %s Yr3'!K67</f>
        <v>0.1</v>
      </c>
      <c r="L67" s="106">
        <f>'Cash Flow %s Yr3'!L67</f>
        <v>0.1</v>
      </c>
      <c r="M67" s="106">
        <f>'Cash Flow %s Yr3'!M67</f>
        <v>0.1</v>
      </c>
      <c r="N67" s="106">
        <f>'Cash Flow %s Yr3'!N67</f>
        <v>0.1</v>
      </c>
      <c r="O67" s="106">
        <f>'Cash Flow %s Yr3'!O67</f>
        <v>0.1</v>
      </c>
      <c r="P67" s="106">
        <f>'Cash Flow %s Yr3'!P67</f>
        <v>0</v>
      </c>
      <c r="Q67" s="106">
        <f>'Cash Flow %s Yr3'!Q67</f>
        <v>0</v>
      </c>
      <c r="R67" s="106">
        <f>'Cash Flow %s Yr3'!R67</f>
        <v>0</v>
      </c>
      <c r="S67" s="105">
        <f t="shared" si="5"/>
        <v>0.99999999999999989</v>
      </c>
    </row>
    <row r="68" spans="1:19" s="30" customFormat="1" x14ac:dyDescent="0.3">
      <c r="A68" s="35"/>
      <c r="B68" s="63" t="str">
        <f>'Expenses Summary'!B22</f>
        <v>2200</v>
      </c>
      <c r="C68" s="63" t="str">
        <f>'Expenses Summary'!C22</f>
        <v>Classified Support Salaries</v>
      </c>
      <c r="D68" s="106">
        <f>'Cash Flow %s Yr3'!D68</f>
        <v>0</v>
      </c>
      <c r="E68" s="106">
        <f>'Cash Flow %s Yr3'!E68</f>
        <v>0.05</v>
      </c>
      <c r="F68" s="106">
        <f>'Cash Flow %s Yr3'!F68</f>
        <v>0.1</v>
      </c>
      <c r="G68" s="106">
        <f>'Cash Flow %s Yr3'!G68</f>
        <v>0.1</v>
      </c>
      <c r="H68" s="106">
        <f>'Cash Flow %s Yr3'!H68</f>
        <v>0.1</v>
      </c>
      <c r="I68" s="106">
        <f>'Cash Flow %s Yr3'!I68</f>
        <v>0.1</v>
      </c>
      <c r="J68" s="106">
        <f>'Cash Flow %s Yr3'!J68</f>
        <v>0.1</v>
      </c>
      <c r="K68" s="106">
        <f>'Cash Flow %s Yr3'!K68</f>
        <v>0.1</v>
      </c>
      <c r="L68" s="106">
        <f>'Cash Flow %s Yr3'!L68</f>
        <v>0.1</v>
      </c>
      <c r="M68" s="106">
        <f>'Cash Flow %s Yr3'!M68</f>
        <v>0.1</v>
      </c>
      <c r="N68" s="106">
        <f>'Cash Flow %s Yr3'!N68</f>
        <v>0.1</v>
      </c>
      <c r="O68" s="106">
        <f>'Cash Flow %s Yr3'!O68</f>
        <v>0.05</v>
      </c>
      <c r="P68" s="106">
        <f>'Cash Flow %s Yr3'!P68</f>
        <v>0</v>
      </c>
      <c r="Q68" s="106">
        <f>'Cash Flow %s Yr3'!Q68</f>
        <v>0</v>
      </c>
      <c r="R68" s="106">
        <f>'Cash Flow %s Yr3'!R68</f>
        <v>0</v>
      </c>
      <c r="S68" s="105">
        <f t="shared" si="5"/>
        <v>0.99999999999999989</v>
      </c>
    </row>
    <row r="69" spans="1:19" s="30" customFormat="1" x14ac:dyDescent="0.3">
      <c r="A69" s="35"/>
      <c r="B69" s="63" t="str">
        <f>'Expenses Summary'!B23</f>
        <v>2210</v>
      </c>
      <c r="C69" s="63" t="str">
        <f>'Expenses Summary'!C23</f>
        <v>Classified Support Overtime</v>
      </c>
      <c r="D69" s="106">
        <f>'Cash Flow %s Yr3'!D69</f>
        <v>0</v>
      </c>
      <c r="E69" s="106">
        <f>'Cash Flow %s Yr3'!E69</f>
        <v>0</v>
      </c>
      <c r="F69" s="106">
        <f>'Cash Flow %s Yr3'!F69</f>
        <v>0.1</v>
      </c>
      <c r="G69" s="106">
        <f>'Cash Flow %s Yr3'!G69</f>
        <v>0.1</v>
      </c>
      <c r="H69" s="106">
        <f>'Cash Flow %s Yr3'!H69</f>
        <v>0.1</v>
      </c>
      <c r="I69" s="106">
        <f>'Cash Flow %s Yr3'!I69</f>
        <v>0.1</v>
      </c>
      <c r="J69" s="106">
        <f>'Cash Flow %s Yr3'!J69</f>
        <v>0.1</v>
      </c>
      <c r="K69" s="106">
        <f>'Cash Flow %s Yr3'!K69</f>
        <v>0.1</v>
      </c>
      <c r="L69" s="106">
        <f>'Cash Flow %s Yr3'!L69</f>
        <v>0.1</v>
      </c>
      <c r="M69" s="106">
        <f>'Cash Flow %s Yr3'!M69</f>
        <v>0.1</v>
      </c>
      <c r="N69" s="106">
        <f>'Cash Flow %s Yr3'!N69</f>
        <v>0.1</v>
      </c>
      <c r="O69" s="106">
        <f>'Cash Flow %s Yr3'!O69</f>
        <v>0.1</v>
      </c>
      <c r="P69" s="106">
        <f>'Cash Flow %s Yr3'!P69</f>
        <v>0</v>
      </c>
      <c r="Q69" s="106">
        <f>'Cash Flow %s Yr3'!Q69</f>
        <v>0</v>
      </c>
      <c r="R69" s="106">
        <f>'Cash Flow %s Yr3'!R69</f>
        <v>0</v>
      </c>
      <c r="S69" s="105">
        <f t="shared" si="5"/>
        <v>0.99999999999999989</v>
      </c>
    </row>
    <row r="70" spans="1:19" s="30" customFormat="1" x14ac:dyDescent="0.3">
      <c r="A70" s="35"/>
      <c r="B70" s="63" t="str">
        <f>'Expenses Summary'!B24</f>
        <v>2300</v>
      </c>
      <c r="C70" s="63" t="str">
        <f>'Expenses Summary'!C24</f>
        <v>Classified Supervisor and Administrator Salaries</v>
      </c>
      <c r="D70" s="106">
        <f>'Cash Flow %s Yr3'!D70</f>
        <v>8.3000000000000004E-2</v>
      </c>
      <c r="E70" s="106">
        <f>'Cash Flow %s Yr3'!E70</f>
        <v>8.3000000000000004E-2</v>
      </c>
      <c r="F70" s="106">
        <f>'Cash Flow %s Yr3'!F70</f>
        <v>8.3000000000000004E-2</v>
      </c>
      <c r="G70" s="106">
        <f>'Cash Flow %s Yr3'!G70</f>
        <v>8.3000000000000004E-2</v>
      </c>
      <c r="H70" s="106">
        <f>'Cash Flow %s Yr3'!H70</f>
        <v>8.3000000000000004E-2</v>
      </c>
      <c r="I70" s="106">
        <f>'Cash Flow %s Yr3'!I70</f>
        <v>8.3000000000000004E-2</v>
      </c>
      <c r="J70" s="106">
        <f>'Cash Flow %s Yr3'!J70</f>
        <v>8.3000000000000004E-2</v>
      </c>
      <c r="K70" s="106">
        <f>'Cash Flow %s Yr3'!K70</f>
        <v>8.3000000000000004E-2</v>
      </c>
      <c r="L70" s="106">
        <f>'Cash Flow %s Yr3'!L70</f>
        <v>8.4000000000000005E-2</v>
      </c>
      <c r="M70" s="106">
        <f>'Cash Flow %s Yr3'!M70</f>
        <v>8.4000000000000005E-2</v>
      </c>
      <c r="N70" s="106">
        <f>'Cash Flow %s Yr3'!N70</f>
        <v>8.4000000000000005E-2</v>
      </c>
      <c r="O70" s="106">
        <f>'Cash Flow %s Yr3'!O70</f>
        <v>8.4000000000000005E-2</v>
      </c>
      <c r="P70" s="106">
        <f>'Cash Flow %s Yr3'!P70</f>
        <v>0</v>
      </c>
      <c r="Q70" s="106">
        <f>'Cash Flow %s Yr3'!Q70</f>
        <v>0</v>
      </c>
      <c r="R70" s="106">
        <f>'Cash Flow %s Yr3'!R70</f>
        <v>0</v>
      </c>
      <c r="S70" s="105">
        <f t="shared" si="5"/>
        <v>0.99999999999999989</v>
      </c>
    </row>
    <row r="71" spans="1:19" s="30" customFormat="1" x14ac:dyDescent="0.3">
      <c r="A71" s="35"/>
      <c r="B71" s="63" t="str">
        <f>'Expenses Summary'!B25</f>
        <v>2400</v>
      </c>
      <c r="C71" s="63" t="str">
        <f>'Expenses Summary'!C25</f>
        <v>Clerical, Technical, and Office Staff Salaries</v>
      </c>
      <c r="D71" s="106">
        <f>'Cash Flow %s Yr3'!D71</f>
        <v>8.3000000000000004E-2</v>
      </c>
      <c r="E71" s="106">
        <f>'Cash Flow %s Yr3'!E71</f>
        <v>8.3000000000000004E-2</v>
      </c>
      <c r="F71" s="106">
        <f>'Cash Flow %s Yr3'!F71</f>
        <v>8.3000000000000004E-2</v>
      </c>
      <c r="G71" s="106">
        <f>'Cash Flow %s Yr3'!G71</f>
        <v>8.3000000000000004E-2</v>
      </c>
      <c r="H71" s="106">
        <f>'Cash Flow %s Yr3'!H71</f>
        <v>8.3000000000000004E-2</v>
      </c>
      <c r="I71" s="106">
        <f>'Cash Flow %s Yr3'!I71</f>
        <v>8.3000000000000004E-2</v>
      </c>
      <c r="J71" s="106">
        <f>'Cash Flow %s Yr3'!J71</f>
        <v>8.3000000000000004E-2</v>
      </c>
      <c r="K71" s="106">
        <f>'Cash Flow %s Yr3'!K71</f>
        <v>8.3000000000000004E-2</v>
      </c>
      <c r="L71" s="106">
        <f>'Cash Flow %s Yr3'!L71</f>
        <v>8.4000000000000005E-2</v>
      </c>
      <c r="M71" s="106">
        <f>'Cash Flow %s Yr3'!M71</f>
        <v>8.4000000000000005E-2</v>
      </c>
      <c r="N71" s="106">
        <f>'Cash Flow %s Yr3'!N71</f>
        <v>8.4000000000000005E-2</v>
      </c>
      <c r="O71" s="106">
        <f>'Cash Flow %s Yr3'!O71</f>
        <v>8.4000000000000005E-2</v>
      </c>
      <c r="P71" s="106">
        <f>'Cash Flow %s Yr3'!P71</f>
        <v>0</v>
      </c>
      <c r="Q71" s="106">
        <f>'Cash Flow %s Yr3'!Q71</f>
        <v>0</v>
      </c>
      <c r="R71" s="106">
        <f>'Cash Flow %s Yr3'!R71</f>
        <v>0</v>
      </c>
      <c r="S71" s="105">
        <f t="shared" si="5"/>
        <v>0.99999999999999989</v>
      </c>
    </row>
    <row r="72" spans="1:19" s="30" customFormat="1" x14ac:dyDescent="0.3">
      <c r="A72" s="35"/>
      <c r="B72" s="63" t="str">
        <f>'Expenses Summary'!B26</f>
        <v>2410</v>
      </c>
      <c r="C72" s="63" t="str">
        <f>'Expenses Summary'!C26</f>
        <v>Clerical, Technical, and Office Staff Overtime</v>
      </c>
      <c r="D72" s="106">
        <f>'Cash Flow %s Yr3'!D72</f>
        <v>8.3000000000000004E-2</v>
      </c>
      <c r="E72" s="106">
        <f>'Cash Flow %s Yr3'!E72</f>
        <v>8.3000000000000004E-2</v>
      </c>
      <c r="F72" s="106">
        <f>'Cash Flow %s Yr3'!F72</f>
        <v>8.3000000000000004E-2</v>
      </c>
      <c r="G72" s="106">
        <f>'Cash Flow %s Yr3'!G72</f>
        <v>8.3000000000000004E-2</v>
      </c>
      <c r="H72" s="106">
        <f>'Cash Flow %s Yr3'!H72</f>
        <v>8.3000000000000004E-2</v>
      </c>
      <c r="I72" s="106">
        <f>'Cash Flow %s Yr3'!I72</f>
        <v>8.3000000000000004E-2</v>
      </c>
      <c r="J72" s="106">
        <f>'Cash Flow %s Yr3'!J72</f>
        <v>8.3000000000000004E-2</v>
      </c>
      <c r="K72" s="106">
        <f>'Cash Flow %s Yr3'!K72</f>
        <v>8.3000000000000004E-2</v>
      </c>
      <c r="L72" s="106">
        <f>'Cash Flow %s Yr3'!L72</f>
        <v>8.4000000000000005E-2</v>
      </c>
      <c r="M72" s="106">
        <f>'Cash Flow %s Yr3'!M72</f>
        <v>8.4000000000000005E-2</v>
      </c>
      <c r="N72" s="106">
        <f>'Cash Flow %s Yr3'!N72</f>
        <v>8.4000000000000005E-2</v>
      </c>
      <c r="O72" s="106">
        <f>'Cash Flow %s Yr3'!O72</f>
        <v>8.4000000000000005E-2</v>
      </c>
      <c r="P72" s="106">
        <f>'Cash Flow %s Yr3'!P72</f>
        <v>0</v>
      </c>
      <c r="Q72" s="106">
        <f>'Cash Flow %s Yr3'!Q72</f>
        <v>0</v>
      </c>
      <c r="R72" s="106">
        <f>'Cash Flow %s Yr3'!R72</f>
        <v>0</v>
      </c>
      <c r="S72" s="105">
        <f t="shared" si="5"/>
        <v>0.99999999999999989</v>
      </c>
    </row>
    <row r="73" spans="1:19" s="30" customFormat="1" x14ac:dyDescent="0.3">
      <c r="A73" s="35"/>
      <c r="B73" s="63" t="str">
        <f>'Expenses Summary'!B27</f>
        <v>2900</v>
      </c>
      <c r="C73" s="63" t="str">
        <f>'Expenses Summary'!C27</f>
        <v>Other Classified Salaries</v>
      </c>
      <c r="D73" s="106">
        <f>'Cash Flow %s Yr3'!D73</f>
        <v>0</v>
      </c>
      <c r="E73" s="106">
        <f>'Cash Flow %s Yr3'!E73</f>
        <v>0.05</v>
      </c>
      <c r="F73" s="106">
        <f>'Cash Flow %s Yr3'!F73</f>
        <v>0.1</v>
      </c>
      <c r="G73" s="106">
        <f>'Cash Flow %s Yr3'!G73</f>
        <v>0.1</v>
      </c>
      <c r="H73" s="106">
        <f>'Cash Flow %s Yr3'!H73</f>
        <v>0.1</v>
      </c>
      <c r="I73" s="106">
        <f>'Cash Flow %s Yr3'!I73</f>
        <v>0.1</v>
      </c>
      <c r="J73" s="106">
        <f>'Cash Flow %s Yr3'!J73</f>
        <v>0.1</v>
      </c>
      <c r="K73" s="106">
        <f>'Cash Flow %s Yr3'!K73</f>
        <v>0.1</v>
      </c>
      <c r="L73" s="106">
        <f>'Cash Flow %s Yr3'!L73</f>
        <v>0.1</v>
      </c>
      <c r="M73" s="106">
        <f>'Cash Flow %s Yr3'!M73</f>
        <v>0.1</v>
      </c>
      <c r="N73" s="106">
        <f>'Cash Flow %s Yr3'!N73</f>
        <v>0.1</v>
      </c>
      <c r="O73" s="106">
        <f>'Cash Flow %s Yr3'!O73</f>
        <v>0.05</v>
      </c>
      <c r="P73" s="106">
        <f>'Cash Flow %s Yr3'!P73</f>
        <v>0</v>
      </c>
      <c r="Q73" s="106">
        <f>'Cash Flow %s Yr3'!Q73</f>
        <v>0</v>
      </c>
      <c r="R73" s="106">
        <f>'Cash Flow %s Yr3'!R73</f>
        <v>0</v>
      </c>
      <c r="S73" s="105">
        <f t="shared" si="5"/>
        <v>0.99999999999999989</v>
      </c>
    </row>
    <row r="74" spans="1:19" s="30" customFormat="1" x14ac:dyDescent="0.3">
      <c r="A74" s="35"/>
      <c r="B74" s="63" t="str">
        <f>'Expenses Summary'!B28</f>
        <v>2905</v>
      </c>
      <c r="C74" s="63" t="str">
        <f>'Expenses Summary'!C28</f>
        <v>Other Stipends</v>
      </c>
      <c r="D74" s="106">
        <f>'Cash Flow %s Yr3'!D74</f>
        <v>0</v>
      </c>
      <c r="E74" s="106">
        <f>'Cash Flow %s Yr3'!E74</f>
        <v>0</v>
      </c>
      <c r="F74" s="106">
        <f>'Cash Flow %s Yr3'!F74</f>
        <v>0.1</v>
      </c>
      <c r="G74" s="106">
        <f>'Cash Flow %s Yr3'!G74</f>
        <v>0.1</v>
      </c>
      <c r="H74" s="106">
        <f>'Cash Flow %s Yr3'!H74</f>
        <v>0.1</v>
      </c>
      <c r="I74" s="106">
        <f>'Cash Flow %s Yr3'!I74</f>
        <v>0.1</v>
      </c>
      <c r="J74" s="106">
        <f>'Cash Flow %s Yr3'!J74</f>
        <v>0.1</v>
      </c>
      <c r="K74" s="106">
        <f>'Cash Flow %s Yr3'!K74</f>
        <v>0.1</v>
      </c>
      <c r="L74" s="106">
        <f>'Cash Flow %s Yr3'!L74</f>
        <v>0.1</v>
      </c>
      <c r="M74" s="106">
        <f>'Cash Flow %s Yr3'!M74</f>
        <v>0.1</v>
      </c>
      <c r="N74" s="106">
        <f>'Cash Flow %s Yr3'!N74</f>
        <v>0.1</v>
      </c>
      <c r="O74" s="106">
        <f>'Cash Flow %s Yr3'!O74</f>
        <v>0.1</v>
      </c>
      <c r="P74" s="106">
        <f>'Cash Flow %s Yr3'!P74</f>
        <v>0</v>
      </c>
      <c r="Q74" s="106">
        <f>'Cash Flow %s Yr3'!Q74</f>
        <v>0</v>
      </c>
      <c r="R74" s="106">
        <f>'Cash Flow %s Yr3'!R74</f>
        <v>0</v>
      </c>
      <c r="S74" s="105">
        <f t="shared" si="5"/>
        <v>0.99999999999999989</v>
      </c>
    </row>
    <row r="75" spans="1:19" s="30" customFormat="1" x14ac:dyDescent="0.3">
      <c r="A75" s="35"/>
      <c r="B75" s="63" t="str">
        <f>'Expenses Summary'!B29</f>
        <v>2910</v>
      </c>
      <c r="C75" s="63" t="str">
        <f>'Expenses Summary'!C29</f>
        <v>Other Classified Overtime</v>
      </c>
      <c r="D75" s="106">
        <f>'Cash Flow %s Yr3'!D75</f>
        <v>0</v>
      </c>
      <c r="E75" s="106">
        <f>'Cash Flow %s Yr3'!E75</f>
        <v>0</v>
      </c>
      <c r="F75" s="106">
        <f>'Cash Flow %s Yr3'!F75</f>
        <v>0.1</v>
      </c>
      <c r="G75" s="106">
        <f>'Cash Flow %s Yr3'!G75</f>
        <v>0.1</v>
      </c>
      <c r="H75" s="106">
        <f>'Cash Flow %s Yr3'!H75</f>
        <v>0.1</v>
      </c>
      <c r="I75" s="106">
        <f>'Cash Flow %s Yr3'!I75</f>
        <v>0.1</v>
      </c>
      <c r="J75" s="106">
        <f>'Cash Flow %s Yr3'!J75</f>
        <v>0.1</v>
      </c>
      <c r="K75" s="106">
        <f>'Cash Flow %s Yr3'!K75</f>
        <v>0.1</v>
      </c>
      <c r="L75" s="106">
        <f>'Cash Flow %s Yr3'!L75</f>
        <v>0.1</v>
      </c>
      <c r="M75" s="106">
        <f>'Cash Flow %s Yr3'!M75</f>
        <v>0.1</v>
      </c>
      <c r="N75" s="106">
        <f>'Cash Flow %s Yr3'!N75</f>
        <v>0.1</v>
      </c>
      <c r="O75" s="106">
        <f>'Cash Flow %s Yr3'!O75</f>
        <v>0.1</v>
      </c>
      <c r="P75" s="106">
        <f>'Cash Flow %s Yr3'!P75</f>
        <v>0</v>
      </c>
      <c r="Q75" s="106">
        <f>'Cash Flow %s Yr3'!Q75</f>
        <v>0</v>
      </c>
      <c r="R75" s="106">
        <f>'Cash Flow %s Yr3'!R75</f>
        <v>0</v>
      </c>
      <c r="S75" s="105">
        <f t="shared" si="5"/>
        <v>0.99999999999999989</v>
      </c>
    </row>
    <row r="76" spans="1:19" s="30" customFormat="1" x14ac:dyDescent="0.3">
      <c r="A76" s="35"/>
      <c r="B76" s="82"/>
      <c r="C76" s="87"/>
      <c r="D76" s="94"/>
      <c r="E76" s="94"/>
      <c r="F76" s="113"/>
      <c r="G76" s="113"/>
      <c r="H76" s="113"/>
      <c r="I76" s="113"/>
      <c r="J76" s="113"/>
      <c r="K76" s="113"/>
      <c r="L76" s="113"/>
      <c r="M76" s="113"/>
      <c r="N76" s="113"/>
      <c r="O76" s="113"/>
      <c r="P76" s="94"/>
      <c r="Q76" s="94"/>
      <c r="R76" s="94"/>
      <c r="S76" s="105"/>
    </row>
    <row r="77" spans="1:19" s="30" customFormat="1" x14ac:dyDescent="0.3">
      <c r="A77" s="35"/>
      <c r="B77" s="39"/>
      <c r="C77" s="3"/>
      <c r="D77" s="96"/>
      <c r="E77" s="96"/>
      <c r="F77" s="96"/>
      <c r="G77" s="96"/>
      <c r="H77" s="96"/>
      <c r="I77" s="96"/>
      <c r="J77" s="96"/>
      <c r="K77" s="96"/>
      <c r="L77" s="96"/>
      <c r="M77" s="96"/>
      <c r="N77" s="96"/>
      <c r="O77" s="96"/>
      <c r="P77" s="96"/>
      <c r="Q77" s="96"/>
      <c r="R77" s="96"/>
      <c r="S77" s="105"/>
    </row>
    <row r="78" spans="1:19" s="30" customFormat="1" x14ac:dyDescent="0.3">
      <c r="B78" s="33" t="s">
        <v>734</v>
      </c>
      <c r="C78" s="3"/>
      <c r="D78" s="96"/>
      <c r="E78" s="96"/>
      <c r="F78" s="96"/>
      <c r="G78" s="96"/>
      <c r="H78" s="96"/>
      <c r="I78" s="96"/>
      <c r="J78" s="96"/>
      <c r="K78" s="96"/>
      <c r="L78" s="96"/>
      <c r="M78" s="96"/>
      <c r="N78" s="96"/>
      <c r="O78" s="96"/>
      <c r="P78" s="96"/>
      <c r="Q78" s="96"/>
      <c r="R78" s="96"/>
      <c r="S78" s="105"/>
    </row>
    <row r="79" spans="1:19" s="30" customFormat="1" x14ac:dyDescent="0.3">
      <c r="A79" s="35"/>
      <c r="B79" s="63" t="str">
        <f>'Expenses Summary'!B33</f>
        <v>3101</v>
      </c>
      <c r="C79" s="63" t="str">
        <f>'Expenses Summary'!C33</f>
        <v>State Teachers' Retirement System, certificated positions</v>
      </c>
      <c r="D79" s="106">
        <f>'Cash Flow %s Yr3'!D79</f>
        <v>0.02</v>
      </c>
      <c r="E79" s="106">
        <f>'Cash Flow %s Yr3'!E79</f>
        <v>0.05</v>
      </c>
      <c r="F79" s="106">
        <f>'Cash Flow %s Yr3'!F79</f>
        <v>0.1</v>
      </c>
      <c r="G79" s="106">
        <f>'Cash Flow %s Yr3'!G79</f>
        <v>0.1</v>
      </c>
      <c r="H79" s="106">
        <f>'Cash Flow %s Yr3'!H79</f>
        <v>0.1</v>
      </c>
      <c r="I79" s="106">
        <f>'Cash Flow %s Yr3'!I79</f>
        <v>0.1</v>
      </c>
      <c r="J79" s="106">
        <f>'Cash Flow %s Yr3'!J79</f>
        <v>0.1</v>
      </c>
      <c r="K79" s="106">
        <f>'Cash Flow %s Yr3'!K79</f>
        <v>0.1</v>
      </c>
      <c r="L79" s="106">
        <f>'Cash Flow %s Yr3'!L79</f>
        <v>0.1</v>
      </c>
      <c r="M79" s="106">
        <f>'Cash Flow %s Yr3'!M79</f>
        <v>0.1</v>
      </c>
      <c r="N79" s="106">
        <f>'Cash Flow %s Yr3'!N79</f>
        <v>0.1</v>
      </c>
      <c r="O79" s="106">
        <f>'Cash Flow %s Yr3'!O79</f>
        <v>0.03</v>
      </c>
      <c r="P79" s="106">
        <f>'Cash Flow %s Yr3'!P79</f>
        <v>0</v>
      </c>
      <c r="Q79" s="106">
        <f>'Cash Flow %s Yr3'!Q79</f>
        <v>0</v>
      </c>
      <c r="R79" s="106">
        <f>'Cash Flow %s Yr3'!R79</f>
        <v>0</v>
      </c>
      <c r="S79" s="105">
        <f t="shared" ref="S79:S87" si="6">SUM(D79:R79)</f>
        <v>0.99999999999999989</v>
      </c>
    </row>
    <row r="80" spans="1:19" s="30" customFormat="1" x14ac:dyDescent="0.3">
      <c r="A80" s="35"/>
      <c r="B80" s="63" t="str">
        <f>'Expenses Summary'!B34</f>
        <v>3202</v>
      </c>
      <c r="C80" s="63" t="str">
        <f>'Expenses Summary'!C34</f>
        <v>Public Employees' Retirement System, classified positions</v>
      </c>
      <c r="D80" s="106">
        <f>'Cash Flow %s Yr3'!D80</f>
        <v>0.02</v>
      </c>
      <c r="E80" s="106">
        <f>'Cash Flow %s Yr3'!E80</f>
        <v>0.05</v>
      </c>
      <c r="F80" s="106">
        <f>'Cash Flow %s Yr3'!F80</f>
        <v>0.1</v>
      </c>
      <c r="G80" s="106">
        <f>'Cash Flow %s Yr3'!G80</f>
        <v>0.1</v>
      </c>
      <c r="H80" s="106">
        <f>'Cash Flow %s Yr3'!H80</f>
        <v>0.1</v>
      </c>
      <c r="I80" s="106">
        <f>'Cash Flow %s Yr3'!I80</f>
        <v>0.1</v>
      </c>
      <c r="J80" s="106">
        <f>'Cash Flow %s Yr3'!J80</f>
        <v>0.1</v>
      </c>
      <c r="K80" s="106">
        <f>'Cash Flow %s Yr3'!K80</f>
        <v>0.1</v>
      </c>
      <c r="L80" s="106">
        <f>'Cash Flow %s Yr3'!L80</f>
        <v>0.1</v>
      </c>
      <c r="M80" s="106">
        <f>'Cash Flow %s Yr3'!M80</f>
        <v>0.1</v>
      </c>
      <c r="N80" s="106">
        <f>'Cash Flow %s Yr3'!N80</f>
        <v>0.1</v>
      </c>
      <c r="O80" s="106">
        <f>'Cash Flow %s Yr3'!O80</f>
        <v>0.03</v>
      </c>
      <c r="P80" s="106">
        <f>'Cash Flow %s Yr3'!P80</f>
        <v>0</v>
      </c>
      <c r="Q80" s="106">
        <f>'Cash Flow %s Yr3'!Q80</f>
        <v>0</v>
      </c>
      <c r="R80" s="106">
        <f>'Cash Flow %s Yr3'!R80</f>
        <v>0</v>
      </c>
      <c r="S80" s="105">
        <f t="shared" si="6"/>
        <v>0.99999999999999989</v>
      </c>
    </row>
    <row r="81" spans="1:19" s="30" customFormat="1" x14ac:dyDescent="0.3">
      <c r="A81" s="35"/>
      <c r="B81" s="63" t="str">
        <f>'Expenses Summary'!B35</f>
        <v>3313</v>
      </c>
      <c r="C81" s="63" t="str">
        <f>'Expenses Summary'!C35</f>
        <v>OASDI</v>
      </c>
      <c r="D81" s="106">
        <f>'Cash Flow %s Yr3'!D81</f>
        <v>8.3000000000000004E-2</v>
      </c>
      <c r="E81" s="106">
        <f>'Cash Flow %s Yr3'!E81</f>
        <v>8.3000000000000004E-2</v>
      </c>
      <c r="F81" s="106">
        <f>'Cash Flow %s Yr3'!F81</f>
        <v>8.3000000000000004E-2</v>
      </c>
      <c r="G81" s="106">
        <f>'Cash Flow %s Yr3'!G81</f>
        <v>8.3000000000000004E-2</v>
      </c>
      <c r="H81" s="106">
        <f>'Cash Flow %s Yr3'!H81</f>
        <v>8.3000000000000004E-2</v>
      </c>
      <c r="I81" s="106">
        <f>'Cash Flow %s Yr3'!I81</f>
        <v>8.3000000000000004E-2</v>
      </c>
      <c r="J81" s="106">
        <f>'Cash Flow %s Yr3'!J81</f>
        <v>8.3000000000000004E-2</v>
      </c>
      <c r="K81" s="106">
        <f>'Cash Flow %s Yr3'!K81</f>
        <v>8.3000000000000004E-2</v>
      </c>
      <c r="L81" s="106">
        <f>'Cash Flow %s Yr3'!L81</f>
        <v>8.4000000000000005E-2</v>
      </c>
      <c r="M81" s="106">
        <f>'Cash Flow %s Yr3'!M81</f>
        <v>8.4000000000000005E-2</v>
      </c>
      <c r="N81" s="106">
        <f>'Cash Flow %s Yr3'!N81</f>
        <v>8.4000000000000005E-2</v>
      </c>
      <c r="O81" s="106">
        <f>'Cash Flow %s Yr3'!O81</f>
        <v>8.4000000000000005E-2</v>
      </c>
      <c r="P81" s="106">
        <f>'Cash Flow %s Yr3'!P81</f>
        <v>0</v>
      </c>
      <c r="Q81" s="106">
        <f>'Cash Flow %s Yr3'!Q81</f>
        <v>0</v>
      </c>
      <c r="R81" s="106">
        <f>'Cash Flow %s Yr3'!R81</f>
        <v>0</v>
      </c>
      <c r="S81" s="105">
        <f t="shared" si="6"/>
        <v>0.99999999999999989</v>
      </c>
    </row>
    <row r="82" spans="1:19" s="30" customFormat="1" x14ac:dyDescent="0.3">
      <c r="A82" s="35"/>
      <c r="B82" s="63" t="str">
        <f>'Expenses Summary'!B36</f>
        <v>3323</v>
      </c>
      <c r="C82" s="63" t="str">
        <f>'Expenses Summary'!C36</f>
        <v>Medicare</v>
      </c>
      <c r="D82" s="106">
        <f>'Cash Flow %s Yr3'!D82</f>
        <v>8.3000000000000004E-2</v>
      </c>
      <c r="E82" s="106">
        <f>'Cash Flow %s Yr3'!E82</f>
        <v>8.3000000000000004E-2</v>
      </c>
      <c r="F82" s="106">
        <f>'Cash Flow %s Yr3'!F82</f>
        <v>8.3000000000000004E-2</v>
      </c>
      <c r="G82" s="106">
        <f>'Cash Flow %s Yr3'!G82</f>
        <v>8.3000000000000004E-2</v>
      </c>
      <c r="H82" s="106">
        <f>'Cash Flow %s Yr3'!H82</f>
        <v>8.3000000000000004E-2</v>
      </c>
      <c r="I82" s="106">
        <f>'Cash Flow %s Yr3'!I82</f>
        <v>8.3000000000000004E-2</v>
      </c>
      <c r="J82" s="106">
        <f>'Cash Flow %s Yr3'!J82</f>
        <v>8.3000000000000004E-2</v>
      </c>
      <c r="K82" s="106">
        <f>'Cash Flow %s Yr3'!K82</f>
        <v>8.3000000000000004E-2</v>
      </c>
      <c r="L82" s="106">
        <f>'Cash Flow %s Yr3'!L82</f>
        <v>8.4000000000000005E-2</v>
      </c>
      <c r="M82" s="106">
        <f>'Cash Flow %s Yr3'!M82</f>
        <v>8.4000000000000005E-2</v>
      </c>
      <c r="N82" s="106">
        <f>'Cash Flow %s Yr3'!N82</f>
        <v>8.4000000000000005E-2</v>
      </c>
      <c r="O82" s="106">
        <f>'Cash Flow %s Yr3'!O82</f>
        <v>8.4000000000000005E-2</v>
      </c>
      <c r="P82" s="106">
        <f>'Cash Flow %s Yr3'!P82</f>
        <v>0</v>
      </c>
      <c r="Q82" s="106">
        <f>'Cash Flow %s Yr3'!Q82</f>
        <v>0</v>
      </c>
      <c r="R82" s="106">
        <f>'Cash Flow %s Yr3'!R82</f>
        <v>0</v>
      </c>
      <c r="S82" s="105">
        <f t="shared" si="6"/>
        <v>0.99999999999999989</v>
      </c>
    </row>
    <row r="83" spans="1:19" s="30" customFormat="1" x14ac:dyDescent="0.3">
      <c r="A83" s="35"/>
      <c r="B83" s="63" t="str">
        <f>'Expenses Summary'!B37</f>
        <v>3403</v>
      </c>
      <c r="C83" s="63" t="str">
        <f>'Expenses Summary'!C37</f>
        <v>Health &amp; Welfare Benefits</v>
      </c>
      <c r="D83" s="106">
        <f>'Cash Flow %s Yr3'!D83</f>
        <v>8.3000000000000004E-2</v>
      </c>
      <c r="E83" s="106">
        <f>'Cash Flow %s Yr3'!E83</f>
        <v>8.3000000000000004E-2</v>
      </c>
      <c r="F83" s="106">
        <f>'Cash Flow %s Yr3'!F83</f>
        <v>8.3000000000000004E-2</v>
      </c>
      <c r="G83" s="106">
        <f>'Cash Flow %s Yr3'!G83</f>
        <v>8.3000000000000004E-2</v>
      </c>
      <c r="H83" s="106">
        <f>'Cash Flow %s Yr3'!H83</f>
        <v>8.3000000000000004E-2</v>
      </c>
      <c r="I83" s="106">
        <f>'Cash Flow %s Yr3'!I83</f>
        <v>8.3000000000000004E-2</v>
      </c>
      <c r="J83" s="106">
        <f>'Cash Flow %s Yr3'!J83</f>
        <v>8.3000000000000004E-2</v>
      </c>
      <c r="K83" s="106">
        <f>'Cash Flow %s Yr3'!K83</f>
        <v>8.3000000000000004E-2</v>
      </c>
      <c r="L83" s="106">
        <f>'Cash Flow %s Yr3'!L83</f>
        <v>8.4000000000000005E-2</v>
      </c>
      <c r="M83" s="106">
        <f>'Cash Flow %s Yr3'!M83</f>
        <v>8.4000000000000005E-2</v>
      </c>
      <c r="N83" s="106">
        <f>'Cash Flow %s Yr3'!N83</f>
        <v>8.4000000000000005E-2</v>
      </c>
      <c r="O83" s="106">
        <f>'Cash Flow %s Yr3'!O83</f>
        <v>8.4000000000000005E-2</v>
      </c>
      <c r="P83" s="106">
        <f>'Cash Flow %s Yr3'!P83</f>
        <v>0</v>
      </c>
      <c r="Q83" s="106">
        <f>'Cash Flow %s Yr3'!Q83</f>
        <v>0</v>
      </c>
      <c r="R83" s="106">
        <f>'Cash Flow %s Yr3'!R83</f>
        <v>0</v>
      </c>
      <c r="S83" s="105">
        <f t="shared" si="6"/>
        <v>0.99999999999999989</v>
      </c>
    </row>
    <row r="84" spans="1:19" s="30" customFormat="1" x14ac:dyDescent="0.3">
      <c r="A84" s="35"/>
      <c r="B84" s="63" t="str">
        <f>'Expenses Summary'!B38</f>
        <v>3503</v>
      </c>
      <c r="C84" s="63" t="str">
        <f>'Expenses Summary'!C38</f>
        <v>State Unemployment Insurance</v>
      </c>
      <c r="D84" s="106">
        <f>'Cash Flow %s Yr3'!D84</f>
        <v>8.3000000000000004E-2</v>
      </c>
      <c r="E84" s="106">
        <f>'Cash Flow %s Yr3'!E84</f>
        <v>8.3000000000000004E-2</v>
      </c>
      <c r="F84" s="106">
        <f>'Cash Flow %s Yr3'!F84</f>
        <v>8.3000000000000004E-2</v>
      </c>
      <c r="G84" s="106">
        <f>'Cash Flow %s Yr3'!G84</f>
        <v>8.3000000000000004E-2</v>
      </c>
      <c r="H84" s="106">
        <f>'Cash Flow %s Yr3'!H84</f>
        <v>8.3000000000000004E-2</v>
      </c>
      <c r="I84" s="106">
        <f>'Cash Flow %s Yr3'!I84</f>
        <v>8.3000000000000004E-2</v>
      </c>
      <c r="J84" s="106">
        <f>'Cash Flow %s Yr3'!J84</f>
        <v>8.3000000000000004E-2</v>
      </c>
      <c r="K84" s="106">
        <f>'Cash Flow %s Yr3'!K84</f>
        <v>8.3000000000000004E-2</v>
      </c>
      <c r="L84" s="106">
        <f>'Cash Flow %s Yr3'!L84</f>
        <v>8.4000000000000005E-2</v>
      </c>
      <c r="M84" s="106">
        <f>'Cash Flow %s Yr3'!M84</f>
        <v>8.4000000000000005E-2</v>
      </c>
      <c r="N84" s="106">
        <f>'Cash Flow %s Yr3'!N84</f>
        <v>8.4000000000000005E-2</v>
      </c>
      <c r="O84" s="106">
        <f>'Cash Flow %s Yr3'!O84</f>
        <v>8.4000000000000005E-2</v>
      </c>
      <c r="P84" s="106">
        <f>'Cash Flow %s Yr3'!P84</f>
        <v>0</v>
      </c>
      <c r="Q84" s="106">
        <f>'Cash Flow %s Yr3'!Q84</f>
        <v>0</v>
      </c>
      <c r="R84" s="106">
        <f>'Cash Flow %s Yr3'!R84</f>
        <v>0</v>
      </c>
      <c r="S84" s="105">
        <f t="shared" si="6"/>
        <v>0.99999999999999989</v>
      </c>
    </row>
    <row r="85" spans="1:19" s="30" customFormat="1" x14ac:dyDescent="0.3">
      <c r="A85" s="35"/>
      <c r="B85" s="63" t="str">
        <f>'Expenses Summary'!B39</f>
        <v>3603</v>
      </c>
      <c r="C85" s="63" t="str">
        <f>'Expenses Summary'!C39</f>
        <v>Worker Compensation Insurance</v>
      </c>
      <c r="D85" s="106">
        <f>'Cash Flow %s Yr3'!D85</f>
        <v>8.3000000000000004E-2</v>
      </c>
      <c r="E85" s="106">
        <f>'Cash Flow %s Yr3'!E85</f>
        <v>8.3000000000000004E-2</v>
      </c>
      <c r="F85" s="106">
        <f>'Cash Flow %s Yr3'!F85</f>
        <v>8.3000000000000004E-2</v>
      </c>
      <c r="G85" s="106">
        <f>'Cash Flow %s Yr3'!G85</f>
        <v>8.3000000000000004E-2</v>
      </c>
      <c r="H85" s="106">
        <f>'Cash Flow %s Yr3'!H85</f>
        <v>8.3000000000000004E-2</v>
      </c>
      <c r="I85" s="106">
        <f>'Cash Flow %s Yr3'!I85</f>
        <v>8.3000000000000004E-2</v>
      </c>
      <c r="J85" s="106">
        <f>'Cash Flow %s Yr3'!J85</f>
        <v>8.3000000000000004E-2</v>
      </c>
      <c r="K85" s="106">
        <f>'Cash Flow %s Yr3'!K85</f>
        <v>8.3000000000000004E-2</v>
      </c>
      <c r="L85" s="106">
        <f>'Cash Flow %s Yr3'!L85</f>
        <v>8.4000000000000005E-2</v>
      </c>
      <c r="M85" s="106">
        <f>'Cash Flow %s Yr3'!M85</f>
        <v>8.4000000000000005E-2</v>
      </c>
      <c r="N85" s="106">
        <f>'Cash Flow %s Yr3'!N85</f>
        <v>8.4000000000000005E-2</v>
      </c>
      <c r="O85" s="106">
        <f>'Cash Flow %s Yr3'!O85</f>
        <v>8.4000000000000005E-2</v>
      </c>
      <c r="P85" s="106">
        <f>'Cash Flow %s Yr3'!P85</f>
        <v>0</v>
      </c>
      <c r="Q85" s="106">
        <f>'Cash Flow %s Yr3'!Q85</f>
        <v>0</v>
      </c>
      <c r="R85" s="106">
        <f>'Cash Flow %s Yr3'!R85</f>
        <v>0</v>
      </c>
      <c r="S85" s="105">
        <f t="shared" si="6"/>
        <v>0.99999999999999989</v>
      </c>
    </row>
    <row r="86" spans="1:19" s="30" customFormat="1" x14ac:dyDescent="0.3">
      <c r="A86" s="35"/>
      <c r="B86" s="63" t="str">
        <f>'Expenses Summary'!B40</f>
        <v>3703</v>
      </c>
      <c r="C86" s="63" t="str">
        <f>'Expenses Summary'!C40</f>
        <v>Other Post Employement Benefits</v>
      </c>
      <c r="D86" s="106">
        <f>'Cash Flow %s Yr3'!D86</f>
        <v>8.3000000000000004E-2</v>
      </c>
      <c r="E86" s="106">
        <f>'Cash Flow %s Yr3'!E86</f>
        <v>8.3000000000000004E-2</v>
      </c>
      <c r="F86" s="106">
        <f>'Cash Flow %s Yr3'!F86</f>
        <v>8.3000000000000004E-2</v>
      </c>
      <c r="G86" s="106">
        <f>'Cash Flow %s Yr3'!G86</f>
        <v>8.3000000000000004E-2</v>
      </c>
      <c r="H86" s="106">
        <f>'Cash Flow %s Yr3'!H86</f>
        <v>8.3000000000000004E-2</v>
      </c>
      <c r="I86" s="106">
        <f>'Cash Flow %s Yr3'!I86</f>
        <v>8.3000000000000004E-2</v>
      </c>
      <c r="J86" s="106">
        <f>'Cash Flow %s Yr3'!J86</f>
        <v>8.3000000000000004E-2</v>
      </c>
      <c r="K86" s="106">
        <f>'Cash Flow %s Yr3'!K86</f>
        <v>8.3000000000000004E-2</v>
      </c>
      <c r="L86" s="106">
        <f>'Cash Flow %s Yr3'!L86</f>
        <v>8.4000000000000005E-2</v>
      </c>
      <c r="M86" s="106">
        <f>'Cash Flow %s Yr3'!M86</f>
        <v>8.4000000000000005E-2</v>
      </c>
      <c r="N86" s="106">
        <f>'Cash Flow %s Yr3'!N86</f>
        <v>8.4000000000000005E-2</v>
      </c>
      <c r="O86" s="106">
        <f>'Cash Flow %s Yr3'!O86</f>
        <v>8.4000000000000005E-2</v>
      </c>
      <c r="P86" s="106">
        <f>'Cash Flow %s Yr3'!P86</f>
        <v>0</v>
      </c>
      <c r="Q86" s="106">
        <f>'Cash Flow %s Yr3'!Q86</f>
        <v>0</v>
      </c>
      <c r="R86" s="106">
        <f>'Cash Flow %s Yr3'!R86</f>
        <v>0</v>
      </c>
      <c r="S86" s="105">
        <f t="shared" si="6"/>
        <v>0.99999999999999989</v>
      </c>
    </row>
    <row r="87" spans="1:19" s="30" customFormat="1" x14ac:dyDescent="0.3">
      <c r="A87" s="35"/>
      <c r="B87" s="63" t="str">
        <f>'Expenses Summary'!B41</f>
        <v>3903</v>
      </c>
      <c r="C87" s="63" t="str">
        <f>'Expenses Summary'!C41</f>
        <v>Other Benefits</v>
      </c>
      <c r="D87" s="106">
        <f>'Cash Flow %s Yr3'!D87</f>
        <v>8.3000000000000004E-2</v>
      </c>
      <c r="E87" s="106">
        <f>'Cash Flow %s Yr3'!E87</f>
        <v>8.3000000000000004E-2</v>
      </c>
      <c r="F87" s="106">
        <f>'Cash Flow %s Yr3'!F87</f>
        <v>8.3000000000000004E-2</v>
      </c>
      <c r="G87" s="106">
        <f>'Cash Flow %s Yr3'!G87</f>
        <v>8.3000000000000004E-2</v>
      </c>
      <c r="H87" s="106">
        <f>'Cash Flow %s Yr3'!H87</f>
        <v>8.3000000000000004E-2</v>
      </c>
      <c r="I87" s="106">
        <f>'Cash Flow %s Yr3'!I87</f>
        <v>8.3000000000000004E-2</v>
      </c>
      <c r="J87" s="106">
        <f>'Cash Flow %s Yr3'!J87</f>
        <v>8.3000000000000004E-2</v>
      </c>
      <c r="K87" s="106">
        <f>'Cash Flow %s Yr3'!K87</f>
        <v>8.3000000000000004E-2</v>
      </c>
      <c r="L87" s="106">
        <f>'Cash Flow %s Yr3'!L87</f>
        <v>8.4000000000000005E-2</v>
      </c>
      <c r="M87" s="106">
        <f>'Cash Flow %s Yr3'!M87</f>
        <v>8.4000000000000005E-2</v>
      </c>
      <c r="N87" s="106">
        <f>'Cash Flow %s Yr3'!N87</f>
        <v>8.4000000000000005E-2</v>
      </c>
      <c r="O87" s="106">
        <f>'Cash Flow %s Yr3'!O87</f>
        <v>8.4000000000000005E-2</v>
      </c>
      <c r="P87" s="106">
        <f>'Cash Flow %s Yr3'!P87</f>
        <v>0</v>
      </c>
      <c r="Q87" s="106">
        <f>'Cash Flow %s Yr3'!Q87</f>
        <v>0</v>
      </c>
      <c r="R87" s="106">
        <f>'Cash Flow %s Yr3'!R87</f>
        <v>0</v>
      </c>
      <c r="S87" s="105">
        <f t="shared" si="6"/>
        <v>0.99999999999999989</v>
      </c>
    </row>
    <row r="88" spans="1:19" s="30" customFormat="1" x14ac:dyDescent="0.3">
      <c r="A88" s="35"/>
      <c r="B88" s="116"/>
      <c r="C88" s="116"/>
      <c r="D88" s="117"/>
      <c r="E88" s="117"/>
      <c r="F88" s="117"/>
      <c r="G88" s="117"/>
      <c r="H88" s="117"/>
      <c r="I88" s="117"/>
      <c r="J88" s="117"/>
      <c r="K88" s="117"/>
      <c r="L88" s="117"/>
      <c r="M88" s="117"/>
      <c r="N88" s="117"/>
      <c r="O88" s="117"/>
      <c r="P88" s="94"/>
      <c r="Q88" s="94"/>
      <c r="R88" s="94"/>
      <c r="S88" s="105"/>
    </row>
    <row r="89" spans="1:19" s="30" customFormat="1" x14ac:dyDescent="0.3">
      <c r="A89" s="35"/>
      <c r="B89" s="39"/>
      <c r="C89" s="1"/>
      <c r="D89" s="89"/>
      <c r="E89" s="89"/>
      <c r="F89" s="89"/>
      <c r="G89" s="89"/>
      <c r="H89" s="89"/>
      <c r="I89" s="89"/>
      <c r="J89" s="89"/>
      <c r="K89" s="89"/>
      <c r="L89" s="89"/>
      <c r="M89" s="89"/>
      <c r="N89" s="89"/>
      <c r="O89" s="89"/>
      <c r="P89" s="89"/>
      <c r="Q89" s="89"/>
      <c r="R89" s="89"/>
      <c r="S89" s="105"/>
    </row>
    <row r="90" spans="1:19" s="30" customFormat="1" x14ac:dyDescent="0.3">
      <c r="B90" s="33" t="s">
        <v>677</v>
      </c>
      <c r="C90" s="3"/>
      <c r="D90" s="89"/>
      <c r="E90" s="89"/>
      <c r="F90" s="89"/>
      <c r="G90" s="89"/>
      <c r="H90" s="89"/>
      <c r="I90" s="89"/>
      <c r="J90" s="89"/>
      <c r="K90" s="89"/>
      <c r="L90" s="89"/>
      <c r="M90" s="89"/>
      <c r="N90" s="89"/>
      <c r="O90" s="89"/>
      <c r="P90" s="89"/>
      <c r="Q90" s="89"/>
      <c r="R90" s="89"/>
      <c r="S90" s="105"/>
    </row>
    <row r="91" spans="1:19" s="30" customFormat="1" x14ac:dyDescent="0.3">
      <c r="A91" s="35"/>
      <c r="B91" s="62" t="str">
        <f>'Expenses Summary'!B47</f>
        <v>4100</v>
      </c>
      <c r="C91" s="62" t="str">
        <f>'Expenses Summary'!C47</f>
        <v>Approved Textbooks and Core Curricula Materials</v>
      </c>
      <c r="D91" s="106">
        <f>'Cash Flow %s Yr3'!D91</f>
        <v>0.1</v>
      </c>
      <c r="E91" s="106">
        <f>'Cash Flow %s Yr3'!E91</f>
        <v>0.1</v>
      </c>
      <c r="F91" s="106">
        <f>'Cash Flow %s Yr3'!F91</f>
        <v>0.1</v>
      </c>
      <c r="G91" s="106">
        <f>'Cash Flow %s Yr3'!G91</f>
        <v>0.1</v>
      </c>
      <c r="H91" s="106">
        <f>'Cash Flow %s Yr3'!H91</f>
        <v>0.1</v>
      </c>
      <c r="I91" s="106">
        <f>'Cash Flow %s Yr3'!I91</f>
        <v>0.1</v>
      </c>
      <c r="J91" s="106">
        <f>'Cash Flow %s Yr3'!J91</f>
        <v>0.1</v>
      </c>
      <c r="K91" s="106">
        <f>'Cash Flow %s Yr3'!K91</f>
        <v>0.1</v>
      </c>
      <c r="L91" s="106">
        <f>'Cash Flow %s Yr3'!L91</f>
        <v>0.1</v>
      </c>
      <c r="M91" s="106">
        <f>'Cash Flow %s Yr3'!M91</f>
        <v>0.1</v>
      </c>
      <c r="N91" s="106">
        <f>'Cash Flow %s Yr3'!N91</f>
        <v>0</v>
      </c>
      <c r="O91" s="106">
        <f>'Cash Flow %s Yr3'!O91</f>
        <v>0</v>
      </c>
      <c r="P91" s="106">
        <f>'Cash Flow %s Yr3'!P91</f>
        <v>0</v>
      </c>
      <c r="Q91" s="106">
        <f>'Cash Flow %s Yr3'!Q91</f>
        <v>0</v>
      </c>
      <c r="R91" s="106">
        <f>'Cash Flow %s Yr3'!R91</f>
        <v>0</v>
      </c>
      <c r="S91" s="105">
        <f t="shared" ref="S91:S96" si="7">SUM(D91:R91)</f>
        <v>0.99999999999999989</v>
      </c>
    </row>
    <row r="92" spans="1:19" x14ac:dyDescent="0.3">
      <c r="A92" s="35"/>
      <c r="B92" s="62" t="str">
        <f>'Expenses Summary'!B48</f>
        <v>4200</v>
      </c>
      <c r="C92" s="62" t="str">
        <f>'Expenses Summary'!C48</f>
        <v>Books and Other Reference Materials</v>
      </c>
      <c r="D92" s="106">
        <f>'Cash Flow %s Yr3'!D92</f>
        <v>0.05</v>
      </c>
      <c r="E92" s="106">
        <f>'Cash Flow %s Yr3'!E92</f>
        <v>0.1</v>
      </c>
      <c r="F92" s="106">
        <f>'Cash Flow %s Yr3'!F92</f>
        <v>0.1</v>
      </c>
      <c r="G92" s="106">
        <f>'Cash Flow %s Yr3'!G92</f>
        <v>0.1</v>
      </c>
      <c r="H92" s="106">
        <f>'Cash Flow %s Yr3'!H92</f>
        <v>0.1</v>
      </c>
      <c r="I92" s="106">
        <f>'Cash Flow %s Yr3'!I92</f>
        <v>0.1</v>
      </c>
      <c r="J92" s="106">
        <f>'Cash Flow %s Yr3'!J92</f>
        <v>0.1</v>
      </c>
      <c r="K92" s="106">
        <f>'Cash Flow %s Yr3'!K92</f>
        <v>0.1</v>
      </c>
      <c r="L92" s="106">
        <f>'Cash Flow %s Yr3'!L92</f>
        <v>0.1</v>
      </c>
      <c r="M92" s="106">
        <f>'Cash Flow %s Yr3'!M92</f>
        <v>0.1</v>
      </c>
      <c r="N92" s="106">
        <f>'Cash Flow %s Yr3'!N92</f>
        <v>0.05</v>
      </c>
      <c r="O92" s="106">
        <f>'Cash Flow %s Yr3'!O92</f>
        <v>0</v>
      </c>
      <c r="P92" s="106">
        <f>'Cash Flow %s Yr3'!P92</f>
        <v>0</v>
      </c>
      <c r="Q92" s="106">
        <f>'Cash Flow %s Yr3'!Q92</f>
        <v>0</v>
      </c>
      <c r="R92" s="106">
        <f>'Cash Flow %s Yr3'!R92</f>
        <v>0</v>
      </c>
      <c r="S92" s="105">
        <f t="shared" si="7"/>
        <v>0.99999999999999989</v>
      </c>
    </row>
    <row r="93" spans="1:19" x14ac:dyDescent="0.3">
      <c r="A93" s="35"/>
      <c r="B93" s="62" t="str">
        <f>'Expenses Summary'!B49</f>
        <v>4300</v>
      </c>
      <c r="C93" s="62" t="str">
        <f>'Expenses Summary'!C49</f>
        <v>Materials and Supplies</v>
      </c>
      <c r="D93" s="106">
        <f>'Cash Flow %s Yr3'!D93</f>
        <v>8.3000000000000004E-2</v>
      </c>
      <c r="E93" s="106">
        <f>'Cash Flow %s Yr3'!E93</f>
        <v>8.3000000000000004E-2</v>
      </c>
      <c r="F93" s="106">
        <f>'Cash Flow %s Yr3'!F93</f>
        <v>8.3000000000000004E-2</v>
      </c>
      <c r="G93" s="106">
        <f>'Cash Flow %s Yr3'!G93</f>
        <v>8.3000000000000004E-2</v>
      </c>
      <c r="H93" s="106">
        <f>'Cash Flow %s Yr3'!H93</f>
        <v>8.3000000000000004E-2</v>
      </c>
      <c r="I93" s="106">
        <f>'Cash Flow %s Yr3'!I93</f>
        <v>8.3000000000000004E-2</v>
      </c>
      <c r="J93" s="106">
        <f>'Cash Flow %s Yr3'!J93</f>
        <v>8.3000000000000004E-2</v>
      </c>
      <c r="K93" s="106">
        <f>'Cash Flow %s Yr3'!K93</f>
        <v>8.3000000000000004E-2</v>
      </c>
      <c r="L93" s="106">
        <f>'Cash Flow %s Yr3'!L93</f>
        <v>8.4000000000000005E-2</v>
      </c>
      <c r="M93" s="106">
        <f>'Cash Flow %s Yr3'!M93</f>
        <v>8.4000000000000005E-2</v>
      </c>
      <c r="N93" s="106">
        <f>'Cash Flow %s Yr3'!N93</f>
        <v>8.4000000000000005E-2</v>
      </c>
      <c r="O93" s="106">
        <f>'Cash Flow %s Yr3'!O93</f>
        <v>8.4000000000000005E-2</v>
      </c>
      <c r="P93" s="106">
        <f>'Cash Flow %s Yr3'!P93</f>
        <v>0</v>
      </c>
      <c r="Q93" s="106">
        <f>'Cash Flow %s Yr3'!Q93</f>
        <v>0</v>
      </c>
      <c r="R93" s="106">
        <f>'Cash Flow %s Yr3'!R93</f>
        <v>0</v>
      </c>
      <c r="S93" s="105">
        <f t="shared" si="7"/>
        <v>0.99999999999999989</v>
      </c>
    </row>
    <row r="94" spans="1:19" x14ac:dyDescent="0.3">
      <c r="A94" s="35"/>
      <c r="B94" s="62" t="str">
        <f>'Expenses Summary'!B50</f>
        <v>4315</v>
      </c>
      <c r="C94" s="62" t="str">
        <f>'Expenses Summary'!C50</f>
        <v>Classroom Materials and Supplies</v>
      </c>
      <c r="D94" s="106">
        <f>'Cash Flow %s Yr3'!D94</f>
        <v>8.3000000000000004E-2</v>
      </c>
      <c r="E94" s="106">
        <f>'Cash Flow %s Yr3'!E94</f>
        <v>8.3000000000000004E-2</v>
      </c>
      <c r="F94" s="106">
        <f>'Cash Flow %s Yr3'!F94</f>
        <v>8.3000000000000004E-2</v>
      </c>
      <c r="G94" s="106">
        <f>'Cash Flow %s Yr3'!G94</f>
        <v>8.3000000000000004E-2</v>
      </c>
      <c r="H94" s="106">
        <f>'Cash Flow %s Yr3'!H94</f>
        <v>8.3000000000000004E-2</v>
      </c>
      <c r="I94" s="106">
        <f>'Cash Flow %s Yr3'!I94</f>
        <v>8.3000000000000004E-2</v>
      </c>
      <c r="J94" s="106">
        <f>'Cash Flow %s Yr3'!J94</f>
        <v>8.3000000000000004E-2</v>
      </c>
      <c r="K94" s="106">
        <f>'Cash Flow %s Yr3'!K94</f>
        <v>8.3000000000000004E-2</v>
      </c>
      <c r="L94" s="106">
        <f>'Cash Flow %s Yr3'!L94</f>
        <v>8.3000000000000004E-2</v>
      </c>
      <c r="M94" s="106">
        <f>'Cash Flow %s Yr3'!M94</f>
        <v>8.3000000000000004E-2</v>
      </c>
      <c r="N94" s="106">
        <f>'Cash Flow %s Yr3'!N94</f>
        <v>8.3000000000000004E-2</v>
      </c>
      <c r="O94" s="106">
        <f>'Cash Flow %s Yr3'!O94</f>
        <v>8.3000000000000004E-2</v>
      </c>
      <c r="P94" s="106">
        <f>'Cash Flow %s Yr3'!P94</f>
        <v>0</v>
      </c>
      <c r="Q94" s="106">
        <f>'Cash Flow %s Yr3'!Q94</f>
        <v>0</v>
      </c>
      <c r="R94" s="106">
        <f>'Cash Flow %s Yr3'!R94</f>
        <v>0</v>
      </c>
      <c r="S94" s="105">
        <f t="shared" si="7"/>
        <v>0.99599999999999989</v>
      </c>
    </row>
    <row r="95" spans="1:19" x14ac:dyDescent="0.3">
      <c r="A95" s="35"/>
      <c r="B95" s="62" t="str">
        <f>'Expenses Summary'!B51</f>
        <v>4342</v>
      </c>
      <c r="C95" s="62" t="str">
        <f>'Expenses Summary'!C51</f>
        <v>Materials for Athletics</v>
      </c>
      <c r="D95" s="106">
        <f>'Cash Flow %s Yr3'!D95</f>
        <v>8.3000000000000004E-2</v>
      </c>
      <c r="E95" s="106">
        <f>'Cash Flow %s Yr3'!E95</f>
        <v>8.3000000000000004E-2</v>
      </c>
      <c r="F95" s="106">
        <f>'Cash Flow %s Yr3'!F95</f>
        <v>8.3000000000000004E-2</v>
      </c>
      <c r="G95" s="106">
        <f>'Cash Flow %s Yr3'!G95</f>
        <v>8.3000000000000004E-2</v>
      </c>
      <c r="H95" s="106">
        <f>'Cash Flow %s Yr3'!H95</f>
        <v>8.3000000000000004E-2</v>
      </c>
      <c r="I95" s="106">
        <f>'Cash Flow %s Yr3'!I95</f>
        <v>8.3000000000000004E-2</v>
      </c>
      <c r="J95" s="106">
        <f>'Cash Flow %s Yr3'!J95</f>
        <v>8.3000000000000004E-2</v>
      </c>
      <c r="K95" s="106">
        <f>'Cash Flow %s Yr3'!K95</f>
        <v>8.3000000000000004E-2</v>
      </c>
      <c r="L95" s="106">
        <f>'Cash Flow %s Yr3'!L95</f>
        <v>8.4000000000000005E-2</v>
      </c>
      <c r="M95" s="106">
        <f>'Cash Flow %s Yr3'!M95</f>
        <v>8.4000000000000005E-2</v>
      </c>
      <c r="N95" s="106">
        <f>'Cash Flow %s Yr3'!N95</f>
        <v>8.4000000000000005E-2</v>
      </c>
      <c r="O95" s="106">
        <f>'Cash Flow %s Yr3'!O95</f>
        <v>8.4000000000000005E-2</v>
      </c>
      <c r="P95" s="106">
        <f>'Cash Flow %s Yr3'!P95</f>
        <v>0</v>
      </c>
      <c r="Q95" s="106">
        <f>'Cash Flow %s Yr3'!Q95</f>
        <v>0</v>
      </c>
      <c r="R95" s="106">
        <f>'Cash Flow %s Yr3'!R95</f>
        <v>0</v>
      </c>
      <c r="S95" s="105">
        <f t="shared" si="7"/>
        <v>0.99999999999999989</v>
      </c>
    </row>
    <row r="96" spans="1:19" x14ac:dyDescent="0.3">
      <c r="A96" s="35"/>
      <c r="B96" s="62" t="str">
        <f>'Expenses Summary'!B52</f>
        <v>4381</v>
      </c>
      <c r="C96" s="62" t="str">
        <f>'Expenses Summary'!C52</f>
        <v>Materials for Plant Maintenance</v>
      </c>
      <c r="D96" s="106">
        <f>'Cash Flow %s Yr3'!D96</f>
        <v>8.3000000000000004E-2</v>
      </c>
      <c r="E96" s="106">
        <f>'Cash Flow %s Yr3'!E96</f>
        <v>8.3000000000000004E-2</v>
      </c>
      <c r="F96" s="106">
        <f>'Cash Flow %s Yr3'!F96</f>
        <v>8.3000000000000004E-2</v>
      </c>
      <c r="G96" s="106">
        <f>'Cash Flow %s Yr3'!G96</f>
        <v>8.3000000000000004E-2</v>
      </c>
      <c r="H96" s="106">
        <f>'Cash Flow %s Yr3'!H96</f>
        <v>8.3000000000000004E-2</v>
      </c>
      <c r="I96" s="106">
        <f>'Cash Flow %s Yr3'!I96</f>
        <v>8.3000000000000004E-2</v>
      </c>
      <c r="J96" s="106">
        <f>'Cash Flow %s Yr3'!J96</f>
        <v>8.3000000000000004E-2</v>
      </c>
      <c r="K96" s="106">
        <f>'Cash Flow %s Yr3'!K96</f>
        <v>8.3000000000000004E-2</v>
      </c>
      <c r="L96" s="106">
        <f>'Cash Flow %s Yr3'!L96</f>
        <v>8.3000000000000004E-2</v>
      </c>
      <c r="M96" s="106">
        <f>'Cash Flow %s Yr3'!M96</f>
        <v>8.3000000000000004E-2</v>
      </c>
      <c r="N96" s="106">
        <f>'Cash Flow %s Yr3'!N96</f>
        <v>8.3000000000000004E-2</v>
      </c>
      <c r="O96" s="106">
        <f>'Cash Flow %s Yr3'!O96</f>
        <v>8.3000000000000004E-2</v>
      </c>
      <c r="P96" s="106">
        <f>'Cash Flow %s Yr3'!P96</f>
        <v>0</v>
      </c>
      <c r="Q96" s="106">
        <f>'Cash Flow %s Yr3'!Q96</f>
        <v>0</v>
      </c>
      <c r="R96" s="106">
        <f>'Cash Flow %s Yr3'!R96</f>
        <v>0</v>
      </c>
      <c r="S96" s="105">
        <f t="shared" si="7"/>
        <v>0.99599999999999989</v>
      </c>
    </row>
    <row r="97" spans="1:19" hidden="1" outlineLevel="1" x14ac:dyDescent="0.3">
      <c r="A97" s="35"/>
      <c r="B97" s="62" t="str">
        <f>'Expenses Summary'!B53</f>
        <v>4400</v>
      </c>
      <c r="C97" s="62" t="str">
        <f>'Expenses Summary'!C53</f>
        <v>Noncapitalized Equipment</v>
      </c>
      <c r="D97" s="106">
        <f>'Cash Flow %s Yr3'!D97</f>
        <v>0</v>
      </c>
      <c r="E97" s="106">
        <f>'Cash Flow %s Yr3'!E97</f>
        <v>0</v>
      </c>
      <c r="F97" s="106">
        <f>'Cash Flow %s Yr3'!F97</f>
        <v>0.1</v>
      </c>
      <c r="G97" s="106">
        <f>'Cash Flow %s Yr3'!G97</f>
        <v>0.1</v>
      </c>
      <c r="H97" s="106">
        <f>'Cash Flow %s Yr3'!H97</f>
        <v>0.1</v>
      </c>
      <c r="I97" s="106">
        <f>'Cash Flow %s Yr3'!I97</f>
        <v>0.1</v>
      </c>
      <c r="J97" s="106">
        <f>'Cash Flow %s Yr3'!J97</f>
        <v>0.1</v>
      </c>
      <c r="K97" s="106">
        <f>'Cash Flow %s Yr3'!K97</f>
        <v>0.1</v>
      </c>
      <c r="L97" s="106">
        <f>'Cash Flow %s Yr3'!L97</f>
        <v>0.1</v>
      </c>
      <c r="M97" s="106">
        <f>'Cash Flow %s Yr3'!M97</f>
        <v>0.1</v>
      </c>
      <c r="N97" s="106">
        <f>'Cash Flow %s Yr3'!N97</f>
        <v>0.1</v>
      </c>
      <c r="O97" s="106">
        <f>'Cash Flow %s Yr3'!O97</f>
        <v>0.1</v>
      </c>
      <c r="P97" s="106">
        <f>'Cash Flow %s Yr3'!P97</f>
        <v>0</v>
      </c>
      <c r="Q97" s="106">
        <f>'Cash Flow %s Yr3'!Q97</f>
        <v>0</v>
      </c>
      <c r="R97" s="106">
        <f>'Cash Flow %s Yr3'!R97</f>
        <v>0</v>
      </c>
      <c r="S97" s="105">
        <f t="shared" ref="S97:S106" si="8">SUM(D97:R97)</f>
        <v>0.99999999999999989</v>
      </c>
    </row>
    <row r="98" spans="1:19" hidden="1" outlineLevel="1" x14ac:dyDescent="0.3">
      <c r="A98" s="35"/>
      <c r="B98" s="62" t="str">
        <f>'Expenses Summary'!B55</f>
        <v>4430</v>
      </c>
      <c r="C98" s="62" t="str">
        <f>'Expenses Summary'!C55</f>
        <v>General Student Equipment</v>
      </c>
      <c r="D98" s="106">
        <f>'Cash Flow %s Yr3'!D98</f>
        <v>0</v>
      </c>
      <c r="E98" s="106">
        <f>'Cash Flow %s Yr3'!E98</f>
        <v>0</v>
      </c>
      <c r="F98" s="106">
        <f>'Cash Flow %s Yr3'!F98</f>
        <v>0.1</v>
      </c>
      <c r="G98" s="106">
        <f>'Cash Flow %s Yr3'!G98</f>
        <v>0.1</v>
      </c>
      <c r="H98" s="106">
        <f>'Cash Flow %s Yr3'!H98</f>
        <v>0.1</v>
      </c>
      <c r="I98" s="106">
        <f>'Cash Flow %s Yr3'!I98</f>
        <v>0.1</v>
      </c>
      <c r="J98" s="106">
        <f>'Cash Flow %s Yr3'!J98</f>
        <v>0.1</v>
      </c>
      <c r="K98" s="106">
        <f>'Cash Flow %s Yr3'!K98</f>
        <v>0.1</v>
      </c>
      <c r="L98" s="106">
        <f>'Cash Flow %s Yr3'!L98</f>
        <v>0.1</v>
      </c>
      <c r="M98" s="106">
        <f>'Cash Flow %s Yr3'!M98</f>
        <v>0.1</v>
      </c>
      <c r="N98" s="106">
        <f>'Cash Flow %s Yr3'!N98</f>
        <v>0.1</v>
      </c>
      <c r="O98" s="106">
        <f>'Cash Flow %s Yr3'!O98</f>
        <v>0.1</v>
      </c>
      <c r="P98" s="106">
        <f>'Cash Flow %s Yr3'!P98</f>
        <v>0</v>
      </c>
      <c r="Q98" s="106">
        <f>'Cash Flow %s Yr3'!Q98</f>
        <v>0</v>
      </c>
      <c r="R98" s="106">
        <f>'Cash Flow %s Yr3'!R98</f>
        <v>0</v>
      </c>
      <c r="S98" s="105">
        <f t="shared" si="8"/>
        <v>0.99999999999999989</v>
      </c>
    </row>
    <row r="99" spans="1:19" hidden="1" outlineLevel="1" x14ac:dyDescent="0.3">
      <c r="A99" s="35"/>
      <c r="B99" s="62">
        <f>'Expenses Summary'!B56</f>
        <v>0</v>
      </c>
      <c r="C99" s="62">
        <f>'Expenses Summary'!C56</f>
        <v>0</v>
      </c>
      <c r="D99" s="106">
        <f>'Cash Flow %s Yr3'!D99</f>
        <v>0</v>
      </c>
      <c r="E99" s="106">
        <f>'Cash Flow %s Yr3'!E99</f>
        <v>0</v>
      </c>
      <c r="F99" s="106">
        <f>'Cash Flow %s Yr3'!F99</f>
        <v>0.1</v>
      </c>
      <c r="G99" s="106">
        <f>'Cash Flow %s Yr3'!G99</f>
        <v>0.1</v>
      </c>
      <c r="H99" s="106">
        <f>'Cash Flow %s Yr3'!H99</f>
        <v>0.1</v>
      </c>
      <c r="I99" s="106">
        <f>'Cash Flow %s Yr3'!I99</f>
        <v>0.1</v>
      </c>
      <c r="J99" s="106">
        <f>'Cash Flow %s Yr3'!J99</f>
        <v>0.1</v>
      </c>
      <c r="K99" s="106">
        <f>'Cash Flow %s Yr3'!K99</f>
        <v>0.1</v>
      </c>
      <c r="L99" s="106">
        <f>'Cash Flow %s Yr3'!L99</f>
        <v>0.1</v>
      </c>
      <c r="M99" s="106">
        <f>'Cash Flow %s Yr3'!M99</f>
        <v>0.1</v>
      </c>
      <c r="N99" s="106">
        <f>'Cash Flow %s Yr3'!N99</f>
        <v>0.1</v>
      </c>
      <c r="O99" s="106">
        <f>'Cash Flow %s Yr3'!O99</f>
        <v>0.1</v>
      </c>
      <c r="P99" s="106">
        <f>'Cash Flow %s Yr3'!P99</f>
        <v>0</v>
      </c>
      <c r="Q99" s="106">
        <f>'Cash Flow %s Yr3'!Q99</f>
        <v>0</v>
      </c>
      <c r="R99" s="106">
        <f>'Cash Flow %s Yr3'!R99</f>
        <v>0</v>
      </c>
      <c r="S99" s="105">
        <f t="shared" si="8"/>
        <v>0.99999999999999989</v>
      </c>
    </row>
    <row r="100" spans="1:19" hidden="1" outlineLevel="1" x14ac:dyDescent="0.3">
      <c r="A100" s="35"/>
      <c r="B100" s="62">
        <f>'Expenses Summary'!B57</f>
        <v>0</v>
      </c>
      <c r="C100" s="62">
        <f>'Expenses Summary'!C57</f>
        <v>0</v>
      </c>
      <c r="D100" s="106">
        <f>'Cash Flow %s Yr3'!D100</f>
        <v>0</v>
      </c>
      <c r="E100" s="106">
        <f>'Cash Flow %s Yr3'!E100</f>
        <v>0</v>
      </c>
      <c r="F100" s="106">
        <f>'Cash Flow %s Yr3'!F100</f>
        <v>0.1</v>
      </c>
      <c r="G100" s="106">
        <f>'Cash Flow %s Yr3'!G100</f>
        <v>0.1</v>
      </c>
      <c r="H100" s="106">
        <f>'Cash Flow %s Yr3'!H100</f>
        <v>0.1</v>
      </c>
      <c r="I100" s="106">
        <f>'Cash Flow %s Yr3'!I100</f>
        <v>0.1</v>
      </c>
      <c r="J100" s="106">
        <f>'Cash Flow %s Yr3'!J100</f>
        <v>0.1</v>
      </c>
      <c r="K100" s="106">
        <f>'Cash Flow %s Yr3'!K100</f>
        <v>0.1</v>
      </c>
      <c r="L100" s="106">
        <f>'Cash Flow %s Yr3'!L100</f>
        <v>0.1</v>
      </c>
      <c r="M100" s="106">
        <f>'Cash Flow %s Yr3'!M100</f>
        <v>0.1</v>
      </c>
      <c r="N100" s="106">
        <f>'Cash Flow %s Yr3'!N100</f>
        <v>0.1</v>
      </c>
      <c r="O100" s="106">
        <f>'Cash Flow %s Yr3'!O100</f>
        <v>0.1</v>
      </c>
      <c r="P100" s="106">
        <f>'Cash Flow %s Yr3'!P100</f>
        <v>0</v>
      </c>
      <c r="Q100" s="106">
        <f>'Cash Flow %s Yr3'!Q100</f>
        <v>0</v>
      </c>
      <c r="R100" s="106">
        <f>'Cash Flow %s Yr3'!R100</f>
        <v>0</v>
      </c>
      <c r="S100" s="105">
        <f t="shared" si="8"/>
        <v>0.99999999999999989</v>
      </c>
    </row>
    <row r="101" spans="1:19" hidden="1" outlineLevel="1" x14ac:dyDescent="0.3">
      <c r="A101" s="35"/>
      <c r="B101" s="62">
        <f>'Expenses Summary'!B58</f>
        <v>0</v>
      </c>
      <c r="C101" s="62">
        <f>'Expenses Summary'!C58</f>
        <v>0</v>
      </c>
      <c r="D101" s="106">
        <f>'Cash Flow %s Yr3'!D101</f>
        <v>0</v>
      </c>
      <c r="E101" s="106">
        <f>'Cash Flow %s Yr3'!E101</f>
        <v>0</v>
      </c>
      <c r="F101" s="106">
        <f>'Cash Flow %s Yr3'!F101</f>
        <v>0.1</v>
      </c>
      <c r="G101" s="106">
        <f>'Cash Flow %s Yr3'!G101</f>
        <v>0.1</v>
      </c>
      <c r="H101" s="106">
        <f>'Cash Flow %s Yr3'!H101</f>
        <v>0.1</v>
      </c>
      <c r="I101" s="106">
        <f>'Cash Flow %s Yr3'!I101</f>
        <v>0.1</v>
      </c>
      <c r="J101" s="106">
        <f>'Cash Flow %s Yr3'!J101</f>
        <v>0.1</v>
      </c>
      <c r="K101" s="106">
        <f>'Cash Flow %s Yr3'!K101</f>
        <v>0.1</v>
      </c>
      <c r="L101" s="106">
        <f>'Cash Flow %s Yr3'!L101</f>
        <v>0.1</v>
      </c>
      <c r="M101" s="106">
        <f>'Cash Flow %s Yr3'!M101</f>
        <v>0.1</v>
      </c>
      <c r="N101" s="106">
        <f>'Cash Flow %s Yr3'!N101</f>
        <v>0.1</v>
      </c>
      <c r="O101" s="106">
        <f>'Cash Flow %s Yr3'!O101</f>
        <v>0.1</v>
      </c>
      <c r="P101" s="106">
        <f>'Cash Flow %s Yr3'!P101</f>
        <v>0</v>
      </c>
      <c r="Q101" s="106">
        <f>'Cash Flow %s Yr3'!Q101</f>
        <v>0</v>
      </c>
      <c r="R101" s="106">
        <f>'Cash Flow %s Yr3'!R101</f>
        <v>0</v>
      </c>
      <c r="S101" s="105">
        <f t="shared" si="8"/>
        <v>0.99999999999999989</v>
      </c>
    </row>
    <row r="102" spans="1:19" hidden="1" outlineLevel="1" x14ac:dyDescent="0.3">
      <c r="A102" s="35"/>
      <c r="B102" s="62">
        <f>'Expenses Summary'!B59</f>
        <v>0</v>
      </c>
      <c r="C102" s="62">
        <f>'Expenses Summary'!C59</f>
        <v>0</v>
      </c>
      <c r="D102" s="106">
        <f>'Cash Flow %s Yr3'!D102</f>
        <v>0</v>
      </c>
      <c r="E102" s="106">
        <f>'Cash Flow %s Yr3'!E102</f>
        <v>0</v>
      </c>
      <c r="F102" s="106">
        <f>'Cash Flow %s Yr3'!F102</f>
        <v>0.1</v>
      </c>
      <c r="G102" s="106">
        <f>'Cash Flow %s Yr3'!G102</f>
        <v>0.1</v>
      </c>
      <c r="H102" s="106">
        <f>'Cash Flow %s Yr3'!H102</f>
        <v>0.1</v>
      </c>
      <c r="I102" s="106">
        <f>'Cash Flow %s Yr3'!I102</f>
        <v>0.1</v>
      </c>
      <c r="J102" s="106">
        <f>'Cash Flow %s Yr3'!J102</f>
        <v>0.1</v>
      </c>
      <c r="K102" s="106">
        <f>'Cash Flow %s Yr3'!K102</f>
        <v>0.1</v>
      </c>
      <c r="L102" s="106">
        <f>'Cash Flow %s Yr3'!L102</f>
        <v>0.1</v>
      </c>
      <c r="M102" s="106">
        <f>'Cash Flow %s Yr3'!M102</f>
        <v>0.1</v>
      </c>
      <c r="N102" s="106">
        <f>'Cash Flow %s Yr3'!N102</f>
        <v>0.1</v>
      </c>
      <c r="O102" s="106">
        <f>'Cash Flow %s Yr3'!O102</f>
        <v>0.1</v>
      </c>
      <c r="P102" s="106">
        <f>'Cash Flow %s Yr3'!P102</f>
        <v>0</v>
      </c>
      <c r="Q102" s="106">
        <f>'Cash Flow %s Yr3'!Q102</f>
        <v>0</v>
      </c>
      <c r="R102" s="106">
        <f>'Cash Flow %s Yr3'!R102</f>
        <v>0</v>
      </c>
      <c r="S102" s="105">
        <f t="shared" si="8"/>
        <v>0.99999999999999989</v>
      </c>
    </row>
    <row r="103" spans="1:19" hidden="1" outlineLevel="1" x14ac:dyDescent="0.3">
      <c r="A103" s="35"/>
      <c r="B103" s="62">
        <f>'Expenses Summary'!B60</f>
        <v>0</v>
      </c>
      <c r="C103" s="62">
        <f>'Expenses Summary'!C60</f>
        <v>0</v>
      </c>
      <c r="D103" s="106">
        <f>'Cash Flow %s Yr3'!D103</f>
        <v>0</v>
      </c>
      <c r="E103" s="106">
        <f>'Cash Flow %s Yr3'!E103</f>
        <v>0</v>
      </c>
      <c r="F103" s="106">
        <f>'Cash Flow %s Yr3'!F103</f>
        <v>0.1</v>
      </c>
      <c r="G103" s="106">
        <f>'Cash Flow %s Yr3'!G103</f>
        <v>0.1</v>
      </c>
      <c r="H103" s="106">
        <f>'Cash Flow %s Yr3'!H103</f>
        <v>0.1</v>
      </c>
      <c r="I103" s="106">
        <f>'Cash Flow %s Yr3'!I103</f>
        <v>0.1</v>
      </c>
      <c r="J103" s="106">
        <f>'Cash Flow %s Yr3'!J103</f>
        <v>0.1</v>
      </c>
      <c r="K103" s="106">
        <f>'Cash Flow %s Yr3'!K103</f>
        <v>0.1</v>
      </c>
      <c r="L103" s="106">
        <f>'Cash Flow %s Yr3'!L103</f>
        <v>0.1</v>
      </c>
      <c r="M103" s="106">
        <f>'Cash Flow %s Yr3'!M103</f>
        <v>0.1</v>
      </c>
      <c r="N103" s="106">
        <f>'Cash Flow %s Yr3'!N103</f>
        <v>0.1</v>
      </c>
      <c r="O103" s="106">
        <f>'Cash Flow %s Yr3'!O103</f>
        <v>0.1</v>
      </c>
      <c r="P103" s="106">
        <f>'Cash Flow %s Yr3'!P103</f>
        <v>0</v>
      </c>
      <c r="Q103" s="106">
        <f>'Cash Flow %s Yr3'!Q103</f>
        <v>0</v>
      </c>
      <c r="R103" s="106">
        <f>'Cash Flow %s Yr3'!R103</f>
        <v>0</v>
      </c>
      <c r="S103" s="105">
        <f t="shared" si="8"/>
        <v>0.99999999999999989</v>
      </c>
    </row>
    <row r="104" spans="1:19" hidden="1" outlineLevel="1" x14ac:dyDescent="0.3">
      <c r="A104" s="35"/>
      <c r="B104" s="62">
        <f>'Expenses Summary'!B61</f>
        <v>0</v>
      </c>
      <c r="C104" s="62">
        <f>'Expenses Summary'!C61</f>
        <v>0</v>
      </c>
      <c r="D104" s="106">
        <f>'Cash Flow %s Yr3'!D104</f>
        <v>0</v>
      </c>
      <c r="E104" s="106">
        <f>'Cash Flow %s Yr3'!E104</f>
        <v>0</v>
      </c>
      <c r="F104" s="106">
        <f>'Cash Flow %s Yr3'!F104</f>
        <v>0.1</v>
      </c>
      <c r="G104" s="106">
        <f>'Cash Flow %s Yr3'!G104</f>
        <v>0.1</v>
      </c>
      <c r="H104" s="106">
        <f>'Cash Flow %s Yr3'!H104</f>
        <v>0.1</v>
      </c>
      <c r="I104" s="106">
        <f>'Cash Flow %s Yr3'!I104</f>
        <v>0.1</v>
      </c>
      <c r="J104" s="106">
        <f>'Cash Flow %s Yr3'!J104</f>
        <v>0.1</v>
      </c>
      <c r="K104" s="106">
        <f>'Cash Flow %s Yr3'!K104</f>
        <v>0.1</v>
      </c>
      <c r="L104" s="106">
        <f>'Cash Flow %s Yr3'!L104</f>
        <v>0.1</v>
      </c>
      <c r="M104" s="106">
        <f>'Cash Flow %s Yr3'!M104</f>
        <v>0.1</v>
      </c>
      <c r="N104" s="106">
        <f>'Cash Flow %s Yr3'!N104</f>
        <v>0.1</v>
      </c>
      <c r="O104" s="106">
        <f>'Cash Flow %s Yr3'!O104</f>
        <v>0.1</v>
      </c>
      <c r="P104" s="106">
        <f>'Cash Flow %s Yr3'!P104</f>
        <v>0</v>
      </c>
      <c r="Q104" s="106">
        <f>'Cash Flow %s Yr3'!Q104</f>
        <v>0</v>
      </c>
      <c r="R104" s="106">
        <f>'Cash Flow %s Yr3'!R104</f>
        <v>0</v>
      </c>
      <c r="S104" s="105">
        <f t="shared" si="8"/>
        <v>0.99999999999999989</v>
      </c>
    </row>
    <row r="105" spans="1:19" hidden="1" outlineLevel="1" x14ac:dyDescent="0.3">
      <c r="A105" s="35"/>
      <c r="B105" s="62">
        <f>'Expenses Summary'!B62</f>
        <v>0</v>
      </c>
      <c r="C105" s="62">
        <f>'Expenses Summary'!C62</f>
        <v>0</v>
      </c>
      <c r="D105" s="106">
        <f>'Cash Flow %s Yr3'!D105</f>
        <v>0</v>
      </c>
      <c r="E105" s="106">
        <f>'Cash Flow %s Yr3'!E105</f>
        <v>0</v>
      </c>
      <c r="F105" s="106">
        <f>'Cash Flow %s Yr3'!F105</f>
        <v>0.1</v>
      </c>
      <c r="G105" s="106">
        <f>'Cash Flow %s Yr3'!G105</f>
        <v>0.1</v>
      </c>
      <c r="H105" s="106">
        <f>'Cash Flow %s Yr3'!H105</f>
        <v>0.1</v>
      </c>
      <c r="I105" s="106">
        <f>'Cash Flow %s Yr3'!I105</f>
        <v>0.1</v>
      </c>
      <c r="J105" s="106">
        <f>'Cash Flow %s Yr3'!J105</f>
        <v>0.1</v>
      </c>
      <c r="K105" s="106">
        <f>'Cash Flow %s Yr3'!K105</f>
        <v>0.1</v>
      </c>
      <c r="L105" s="106">
        <f>'Cash Flow %s Yr3'!L105</f>
        <v>0.1</v>
      </c>
      <c r="M105" s="106">
        <f>'Cash Flow %s Yr3'!M105</f>
        <v>0.1</v>
      </c>
      <c r="N105" s="106">
        <f>'Cash Flow %s Yr3'!N105</f>
        <v>0.1</v>
      </c>
      <c r="O105" s="106">
        <f>'Cash Flow %s Yr3'!O105</f>
        <v>0.1</v>
      </c>
      <c r="P105" s="106">
        <f>'Cash Flow %s Yr3'!P105</f>
        <v>0</v>
      </c>
      <c r="Q105" s="106">
        <f>'Cash Flow %s Yr3'!Q105</f>
        <v>0</v>
      </c>
      <c r="R105" s="106">
        <f>'Cash Flow %s Yr3'!R105</f>
        <v>0</v>
      </c>
      <c r="S105" s="105">
        <f t="shared" si="8"/>
        <v>0.99999999999999989</v>
      </c>
    </row>
    <row r="106" spans="1:19" hidden="1" outlineLevel="1" x14ac:dyDescent="0.3">
      <c r="A106" s="35"/>
      <c r="B106" s="62">
        <f>'Expenses Summary'!B63</f>
        <v>0</v>
      </c>
      <c r="C106" s="62">
        <f>'Expenses Summary'!C63</f>
        <v>0</v>
      </c>
      <c r="D106" s="106">
        <f>'Cash Flow %s Yr3'!D106</f>
        <v>0</v>
      </c>
      <c r="E106" s="106">
        <f>'Cash Flow %s Yr3'!E106</f>
        <v>0</v>
      </c>
      <c r="F106" s="106">
        <f>'Cash Flow %s Yr3'!F106</f>
        <v>0.1</v>
      </c>
      <c r="G106" s="106">
        <f>'Cash Flow %s Yr3'!G106</f>
        <v>0.1</v>
      </c>
      <c r="H106" s="106">
        <f>'Cash Flow %s Yr3'!H106</f>
        <v>0.1</v>
      </c>
      <c r="I106" s="106">
        <f>'Cash Flow %s Yr3'!I106</f>
        <v>0.1</v>
      </c>
      <c r="J106" s="106">
        <f>'Cash Flow %s Yr3'!J106</f>
        <v>0.1</v>
      </c>
      <c r="K106" s="106">
        <f>'Cash Flow %s Yr3'!K106</f>
        <v>0.1</v>
      </c>
      <c r="L106" s="106">
        <f>'Cash Flow %s Yr3'!L106</f>
        <v>0.1</v>
      </c>
      <c r="M106" s="106">
        <f>'Cash Flow %s Yr3'!M106</f>
        <v>0.1</v>
      </c>
      <c r="N106" s="106">
        <f>'Cash Flow %s Yr3'!N106</f>
        <v>0.1</v>
      </c>
      <c r="O106" s="106">
        <f>'Cash Flow %s Yr3'!O106</f>
        <v>0.1</v>
      </c>
      <c r="P106" s="106">
        <f>'Cash Flow %s Yr3'!P106</f>
        <v>0</v>
      </c>
      <c r="Q106" s="106">
        <f>'Cash Flow %s Yr3'!Q106</f>
        <v>0</v>
      </c>
      <c r="R106" s="106">
        <f>'Cash Flow %s Yr3'!R106</f>
        <v>0</v>
      </c>
      <c r="S106" s="105">
        <f t="shared" si="8"/>
        <v>0.99999999999999989</v>
      </c>
    </row>
    <row r="107" spans="1:19" s="30" customFormat="1" collapsed="1" x14ac:dyDescent="0.3">
      <c r="A107" s="35"/>
      <c r="B107" s="62" t="str">
        <f>'Expenses Summary'!B64</f>
        <v>4700</v>
      </c>
      <c r="C107" s="62" t="str">
        <f>'Expenses Summary'!C64</f>
        <v>Food and Food Supplies</v>
      </c>
      <c r="D107" s="106">
        <f>'Cash Flow %s Yr3'!D107</f>
        <v>0</v>
      </c>
      <c r="E107" s="106">
        <f>'Cash Flow %s Yr3'!E107</f>
        <v>0</v>
      </c>
      <c r="F107" s="106">
        <f>'Cash Flow %s Yr3'!F107</f>
        <v>0.1</v>
      </c>
      <c r="G107" s="106">
        <f>'Cash Flow %s Yr3'!G107</f>
        <v>0.1</v>
      </c>
      <c r="H107" s="106">
        <f>'Cash Flow %s Yr3'!H107</f>
        <v>0.1</v>
      </c>
      <c r="I107" s="106">
        <f>'Cash Flow %s Yr3'!I107</f>
        <v>0.1</v>
      </c>
      <c r="J107" s="106">
        <f>'Cash Flow %s Yr3'!J107</f>
        <v>0.1</v>
      </c>
      <c r="K107" s="106">
        <f>'Cash Flow %s Yr3'!K107</f>
        <v>0.1</v>
      </c>
      <c r="L107" s="106">
        <f>'Cash Flow %s Yr3'!L107</f>
        <v>0.1</v>
      </c>
      <c r="M107" s="106">
        <f>'Cash Flow %s Yr3'!M107</f>
        <v>0.1</v>
      </c>
      <c r="N107" s="106">
        <f>'Cash Flow %s Yr3'!N107</f>
        <v>0.1</v>
      </c>
      <c r="O107" s="106">
        <f>'Cash Flow %s Yr3'!O107</f>
        <v>0.1</v>
      </c>
      <c r="P107" s="106">
        <f>'Cash Flow %s Yr3'!P107</f>
        <v>0</v>
      </c>
      <c r="Q107" s="106">
        <f>'Cash Flow %s Yr3'!Q107</f>
        <v>0</v>
      </c>
      <c r="R107" s="106">
        <f>'Cash Flow %s Yr3'!R107</f>
        <v>0</v>
      </c>
      <c r="S107" s="105">
        <f>SUM(D107:R107)</f>
        <v>0.99999999999999989</v>
      </c>
    </row>
    <row r="108" spans="1:19" s="30" customFormat="1" x14ac:dyDescent="0.3">
      <c r="A108" s="35"/>
      <c r="B108" s="118"/>
      <c r="C108" s="87"/>
      <c r="D108" s="94"/>
      <c r="E108" s="94"/>
      <c r="F108" s="113"/>
      <c r="G108" s="113"/>
      <c r="H108" s="113"/>
      <c r="I108" s="113"/>
      <c r="J108" s="113"/>
      <c r="K108" s="113"/>
      <c r="L108" s="113"/>
      <c r="M108" s="113"/>
      <c r="N108" s="113"/>
      <c r="O108" s="113"/>
      <c r="P108" s="102"/>
      <c r="Q108" s="102"/>
      <c r="R108" s="102"/>
      <c r="S108" s="105"/>
    </row>
    <row r="109" spans="1:19" s="30" customFormat="1" x14ac:dyDescent="0.3">
      <c r="A109" s="35"/>
      <c r="B109" s="4"/>
      <c r="C109" s="3"/>
      <c r="D109" s="89"/>
      <c r="E109" s="89"/>
      <c r="F109" s="89"/>
      <c r="G109" s="89"/>
      <c r="H109" s="89"/>
      <c r="I109" s="89"/>
      <c r="J109" s="89"/>
      <c r="K109" s="89"/>
      <c r="L109" s="89"/>
      <c r="M109" s="89"/>
      <c r="N109" s="89"/>
      <c r="O109" s="89"/>
      <c r="P109" s="89"/>
      <c r="Q109" s="89"/>
      <c r="R109" s="89"/>
      <c r="S109" s="105"/>
    </row>
    <row r="110" spans="1:19" s="30" customFormat="1" x14ac:dyDescent="0.3">
      <c r="B110" s="5" t="s">
        <v>721</v>
      </c>
      <c r="C110" s="3"/>
      <c r="D110" s="89"/>
      <c r="E110" s="89"/>
      <c r="F110" s="89"/>
      <c r="G110" s="89"/>
      <c r="H110" s="89"/>
      <c r="I110" s="89"/>
      <c r="J110" s="89"/>
      <c r="K110" s="89"/>
      <c r="L110" s="89"/>
      <c r="M110" s="89"/>
      <c r="N110" s="89"/>
      <c r="O110" s="89"/>
      <c r="P110" s="89"/>
      <c r="Q110" s="89"/>
      <c r="R110" s="89"/>
      <c r="S110" s="105"/>
    </row>
    <row r="111" spans="1:19" s="30" customFormat="1" x14ac:dyDescent="0.3">
      <c r="A111" s="35"/>
      <c r="B111" s="62" t="str">
        <f>'Expenses Summary'!B68</f>
        <v>5200</v>
      </c>
      <c r="C111" s="62" t="str">
        <f>'Expenses Summary'!C68</f>
        <v>Travel and Conferences</v>
      </c>
      <c r="D111" s="106">
        <f>'Cash Flow %s Yr3'!D111</f>
        <v>0</v>
      </c>
      <c r="E111" s="106">
        <f>'Cash Flow %s Yr3'!E111</f>
        <v>0</v>
      </c>
      <c r="F111" s="106">
        <f>'Cash Flow %s Yr3'!F111</f>
        <v>0.3</v>
      </c>
      <c r="G111" s="106">
        <f>'Cash Flow %s Yr3'!G111</f>
        <v>0.1</v>
      </c>
      <c r="H111" s="106">
        <f>'Cash Flow %s Yr3'!H111</f>
        <v>0.1</v>
      </c>
      <c r="I111" s="106">
        <f>'Cash Flow %s Yr3'!I111</f>
        <v>0.1</v>
      </c>
      <c r="J111" s="106">
        <f>'Cash Flow %s Yr3'!J111</f>
        <v>0.1</v>
      </c>
      <c r="K111" s="106">
        <f>'Cash Flow %s Yr3'!K111</f>
        <v>0.1</v>
      </c>
      <c r="L111" s="106">
        <f>'Cash Flow %s Yr3'!L111</f>
        <v>0.1</v>
      </c>
      <c r="M111" s="106">
        <f>'Cash Flow %s Yr3'!M111</f>
        <v>0.1</v>
      </c>
      <c r="N111" s="106">
        <f>'Cash Flow %s Yr3'!N111</f>
        <v>0</v>
      </c>
      <c r="O111" s="106">
        <f>'Cash Flow %s Yr3'!O111</f>
        <v>0</v>
      </c>
      <c r="P111" s="106">
        <f>'Cash Flow %s Yr3'!P111</f>
        <v>0</v>
      </c>
      <c r="Q111" s="106">
        <f>'Cash Flow %s Yr3'!Q111</f>
        <v>0</v>
      </c>
      <c r="R111" s="106">
        <f>'Cash Flow %s Yr3'!R111</f>
        <v>0</v>
      </c>
      <c r="S111" s="105">
        <f t="shared" ref="S111:S141" si="9">SUM(D111:R111)</f>
        <v>0.99999999999999989</v>
      </c>
    </row>
    <row r="112" spans="1:19" s="30" customFormat="1" x14ac:dyDescent="0.3">
      <c r="A112" s="35"/>
      <c r="B112" s="62" t="str">
        <f>'Expenses Summary'!B69</f>
        <v>5210</v>
      </c>
      <c r="C112" s="62" t="str">
        <f>'Expenses Summary'!C69</f>
        <v>Training and Development Expense</v>
      </c>
      <c r="D112" s="106">
        <f>'Cash Flow %s Yr3'!D112</f>
        <v>0</v>
      </c>
      <c r="E112" s="106">
        <f>'Cash Flow %s Yr3'!E112</f>
        <v>0</v>
      </c>
      <c r="F112" s="106">
        <f>'Cash Flow %s Yr3'!F112</f>
        <v>0.3</v>
      </c>
      <c r="G112" s="106">
        <f>'Cash Flow %s Yr3'!G112</f>
        <v>0.1</v>
      </c>
      <c r="H112" s="106">
        <f>'Cash Flow %s Yr3'!H112</f>
        <v>0.1</v>
      </c>
      <c r="I112" s="106">
        <f>'Cash Flow %s Yr3'!I112</f>
        <v>0.1</v>
      </c>
      <c r="J112" s="106">
        <f>'Cash Flow %s Yr3'!J112</f>
        <v>0.1</v>
      </c>
      <c r="K112" s="106">
        <f>'Cash Flow %s Yr3'!K112</f>
        <v>0.1</v>
      </c>
      <c r="L112" s="106">
        <f>'Cash Flow %s Yr3'!L112</f>
        <v>0.1</v>
      </c>
      <c r="M112" s="106">
        <f>'Cash Flow %s Yr3'!M112</f>
        <v>0.1</v>
      </c>
      <c r="N112" s="106">
        <f>'Cash Flow %s Yr3'!N112</f>
        <v>0</v>
      </c>
      <c r="O112" s="106">
        <f>'Cash Flow %s Yr3'!O112</f>
        <v>0</v>
      </c>
      <c r="P112" s="106">
        <f>'Cash Flow %s Yr3'!P112</f>
        <v>0</v>
      </c>
      <c r="Q112" s="106">
        <f>'Cash Flow %s Yr3'!Q112</f>
        <v>0</v>
      </c>
      <c r="R112" s="106">
        <f>'Cash Flow %s Yr3'!R112</f>
        <v>0</v>
      </c>
      <c r="S112" s="105">
        <f t="shared" si="9"/>
        <v>0.99999999999999989</v>
      </c>
    </row>
    <row r="113" spans="1:19" s="30" customFormat="1" x14ac:dyDescent="0.3">
      <c r="A113" s="35"/>
      <c r="B113" s="62" t="str">
        <f>'Expenses Summary'!B70</f>
        <v>5300</v>
      </c>
      <c r="C113" s="62" t="str">
        <f>'Expenses Summary'!C70</f>
        <v>Dues and Memberships</v>
      </c>
      <c r="D113" s="106">
        <f>'Cash Flow %s Yr3'!D113</f>
        <v>0</v>
      </c>
      <c r="E113" s="106">
        <f>'Cash Flow %s Yr3'!E113</f>
        <v>0</v>
      </c>
      <c r="F113" s="106">
        <f>'Cash Flow %s Yr3'!F113</f>
        <v>0.3</v>
      </c>
      <c r="G113" s="106">
        <f>'Cash Flow %s Yr3'!G113</f>
        <v>0.1</v>
      </c>
      <c r="H113" s="106">
        <f>'Cash Flow %s Yr3'!H113</f>
        <v>0.1</v>
      </c>
      <c r="I113" s="106">
        <f>'Cash Flow %s Yr3'!I113</f>
        <v>0.1</v>
      </c>
      <c r="J113" s="106">
        <f>'Cash Flow %s Yr3'!J113</f>
        <v>0.1</v>
      </c>
      <c r="K113" s="106">
        <f>'Cash Flow %s Yr3'!K113</f>
        <v>0.1</v>
      </c>
      <c r="L113" s="106">
        <f>'Cash Flow %s Yr3'!L113</f>
        <v>0.1</v>
      </c>
      <c r="M113" s="106">
        <f>'Cash Flow %s Yr3'!M113</f>
        <v>0.1</v>
      </c>
      <c r="N113" s="106">
        <f>'Cash Flow %s Yr3'!N113</f>
        <v>0</v>
      </c>
      <c r="O113" s="106">
        <f>'Cash Flow %s Yr3'!O113</f>
        <v>0</v>
      </c>
      <c r="P113" s="106">
        <f>'Cash Flow %s Yr3'!P113</f>
        <v>0</v>
      </c>
      <c r="Q113" s="106">
        <f>'Cash Flow %s Yr3'!Q113</f>
        <v>0</v>
      </c>
      <c r="R113" s="106">
        <f>'Cash Flow %s Yr3'!R113</f>
        <v>0</v>
      </c>
      <c r="S113" s="105">
        <f t="shared" si="9"/>
        <v>0.99999999999999989</v>
      </c>
    </row>
    <row r="114" spans="1:19" s="30" customFormat="1" x14ac:dyDescent="0.3">
      <c r="A114" s="35"/>
      <c r="B114" s="62" t="str">
        <f>'Expenses Summary'!B71</f>
        <v>5400</v>
      </c>
      <c r="C114" s="62" t="str">
        <f>'Expenses Summary'!C71</f>
        <v>Insurance</v>
      </c>
      <c r="D114" s="106">
        <f>'Cash Flow %s Yr3'!D114</f>
        <v>0</v>
      </c>
      <c r="E114" s="106">
        <f>'Cash Flow %s Yr3'!E114</f>
        <v>0</v>
      </c>
      <c r="F114" s="106">
        <f>'Cash Flow %s Yr3'!F114</f>
        <v>0.3</v>
      </c>
      <c r="G114" s="106">
        <f>'Cash Flow %s Yr3'!G114</f>
        <v>0.1</v>
      </c>
      <c r="H114" s="106">
        <f>'Cash Flow %s Yr3'!H114</f>
        <v>0.1</v>
      </c>
      <c r="I114" s="106">
        <f>'Cash Flow %s Yr3'!I114</f>
        <v>0.1</v>
      </c>
      <c r="J114" s="106">
        <f>'Cash Flow %s Yr3'!J114</f>
        <v>0.1</v>
      </c>
      <c r="K114" s="106">
        <f>'Cash Flow %s Yr3'!K114</f>
        <v>0.1</v>
      </c>
      <c r="L114" s="106">
        <f>'Cash Flow %s Yr3'!L114</f>
        <v>0.1</v>
      </c>
      <c r="M114" s="106">
        <f>'Cash Flow %s Yr3'!M114</f>
        <v>0.1</v>
      </c>
      <c r="N114" s="106">
        <f>'Cash Flow %s Yr3'!N114</f>
        <v>0</v>
      </c>
      <c r="O114" s="106">
        <f>'Cash Flow %s Yr3'!O114</f>
        <v>0</v>
      </c>
      <c r="P114" s="106">
        <f>'Cash Flow %s Yr3'!P114</f>
        <v>0</v>
      </c>
      <c r="Q114" s="106">
        <f>'Cash Flow %s Yr3'!Q114</f>
        <v>0</v>
      </c>
      <c r="R114" s="106">
        <f>'Cash Flow %s Yr3'!R114</f>
        <v>0</v>
      </c>
      <c r="S114" s="105">
        <f t="shared" si="9"/>
        <v>0.99999999999999989</v>
      </c>
    </row>
    <row r="115" spans="1:19" s="30" customFormat="1" x14ac:dyDescent="0.3">
      <c r="A115" s="35"/>
      <c r="B115" s="62" t="str">
        <f>'Expenses Summary'!B72</f>
        <v>5450</v>
      </c>
      <c r="C115" s="62" t="str">
        <f>'Expenses Summary'!C72</f>
        <v>Property Tax</v>
      </c>
      <c r="D115" s="106">
        <f>'Cash Flow %s Yr3'!D115</f>
        <v>0</v>
      </c>
      <c r="E115" s="106">
        <f>'Cash Flow %s Yr3'!E115</f>
        <v>0</v>
      </c>
      <c r="F115" s="106">
        <f>'Cash Flow %s Yr3'!F115</f>
        <v>0.6</v>
      </c>
      <c r="G115" s="106">
        <f>'Cash Flow %s Yr3'!G115</f>
        <v>0</v>
      </c>
      <c r="H115" s="106">
        <f>'Cash Flow %s Yr3'!H115</f>
        <v>0</v>
      </c>
      <c r="I115" s="106">
        <f>'Cash Flow %s Yr3'!I115</f>
        <v>0</v>
      </c>
      <c r="J115" s="106">
        <f>'Cash Flow %s Yr3'!J115</f>
        <v>0.4</v>
      </c>
      <c r="K115" s="106">
        <f>'Cash Flow %s Yr3'!K115</f>
        <v>0</v>
      </c>
      <c r="L115" s="106">
        <f>'Cash Flow %s Yr3'!L115</f>
        <v>0</v>
      </c>
      <c r="M115" s="106">
        <f>'Cash Flow %s Yr3'!M115</f>
        <v>0</v>
      </c>
      <c r="N115" s="106">
        <f>'Cash Flow %s Yr3'!N115</f>
        <v>0</v>
      </c>
      <c r="O115" s="106">
        <f>'Cash Flow %s Yr3'!O115</f>
        <v>0</v>
      </c>
      <c r="P115" s="106">
        <f>'Cash Flow %s Yr3'!P115</f>
        <v>0</v>
      </c>
      <c r="Q115" s="106">
        <f>'Cash Flow %s Yr3'!Q115</f>
        <v>0</v>
      </c>
      <c r="R115" s="106">
        <f>'Cash Flow %s Yr3'!R115</f>
        <v>0</v>
      </c>
      <c r="S115" s="105">
        <f t="shared" si="9"/>
        <v>1</v>
      </c>
    </row>
    <row r="116" spans="1:19" s="30" customFormat="1" x14ac:dyDescent="0.3">
      <c r="A116" s="35"/>
      <c r="B116" s="62" t="str">
        <f>'Expenses Summary'!B73</f>
        <v>5500</v>
      </c>
      <c r="C116" s="62" t="str">
        <f>'Expenses Summary'!C73</f>
        <v>Operation and Housekeeping Services/Supplies</v>
      </c>
      <c r="D116" s="106">
        <f>'Cash Flow %s Yr3'!D116</f>
        <v>8.3000000000000004E-2</v>
      </c>
      <c r="E116" s="106">
        <f>'Cash Flow %s Yr3'!E116</f>
        <v>8.3000000000000004E-2</v>
      </c>
      <c r="F116" s="106">
        <f>'Cash Flow %s Yr3'!F116</f>
        <v>8.3000000000000004E-2</v>
      </c>
      <c r="G116" s="106">
        <f>'Cash Flow %s Yr3'!G116</f>
        <v>8.3000000000000004E-2</v>
      </c>
      <c r="H116" s="106">
        <f>'Cash Flow %s Yr3'!H116</f>
        <v>8.3000000000000004E-2</v>
      </c>
      <c r="I116" s="106">
        <f>'Cash Flow %s Yr3'!I116</f>
        <v>8.3000000000000004E-2</v>
      </c>
      <c r="J116" s="106">
        <f>'Cash Flow %s Yr3'!J116</f>
        <v>8.3000000000000004E-2</v>
      </c>
      <c r="K116" s="106">
        <f>'Cash Flow %s Yr3'!K116</f>
        <v>8.3000000000000004E-2</v>
      </c>
      <c r="L116" s="106">
        <f>'Cash Flow %s Yr3'!L116</f>
        <v>8.4000000000000005E-2</v>
      </c>
      <c r="M116" s="106">
        <f>'Cash Flow %s Yr3'!M116</f>
        <v>8.4000000000000005E-2</v>
      </c>
      <c r="N116" s="106">
        <f>'Cash Flow %s Yr3'!N116</f>
        <v>8.4000000000000005E-2</v>
      </c>
      <c r="O116" s="106">
        <f>'Cash Flow %s Yr3'!O116</f>
        <v>8.4000000000000005E-2</v>
      </c>
      <c r="P116" s="106">
        <f>'Cash Flow %s Yr3'!P116</f>
        <v>0</v>
      </c>
      <c r="Q116" s="106">
        <f>'Cash Flow %s Yr3'!Q116</f>
        <v>0</v>
      </c>
      <c r="R116" s="106">
        <f>'Cash Flow %s Yr3'!R116</f>
        <v>0</v>
      </c>
      <c r="S116" s="105">
        <f t="shared" si="9"/>
        <v>0.99999999999999989</v>
      </c>
    </row>
    <row r="117" spans="1:19" s="30" customFormat="1" x14ac:dyDescent="0.3">
      <c r="A117" s="35"/>
      <c r="B117" s="62" t="str">
        <f>'Expenses Summary'!B74</f>
        <v>5501</v>
      </c>
      <c r="C117" s="62" t="str">
        <f>'Expenses Summary'!C74</f>
        <v>Utilities</v>
      </c>
      <c r="D117" s="106">
        <f>'Cash Flow %s Yr3'!D117</f>
        <v>8.3000000000000004E-2</v>
      </c>
      <c r="E117" s="106">
        <f>'Cash Flow %s Yr3'!E117</f>
        <v>8.3000000000000004E-2</v>
      </c>
      <c r="F117" s="106">
        <f>'Cash Flow %s Yr3'!F117</f>
        <v>8.3000000000000004E-2</v>
      </c>
      <c r="G117" s="106">
        <f>'Cash Flow %s Yr3'!G117</f>
        <v>8.3000000000000004E-2</v>
      </c>
      <c r="H117" s="106">
        <f>'Cash Flow %s Yr3'!H117</f>
        <v>8.3000000000000004E-2</v>
      </c>
      <c r="I117" s="106">
        <f>'Cash Flow %s Yr3'!I117</f>
        <v>8.3000000000000004E-2</v>
      </c>
      <c r="J117" s="106">
        <f>'Cash Flow %s Yr3'!J117</f>
        <v>8.3000000000000004E-2</v>
      </c>
      <c r="K117" s="106">
        <f>'Cash Flow %s Yr3'!K117</f>
        <v>8.3000000000000004E-2</v>
      </c>
      <c r="L117" s="106">
        <f>'Cash Flow %s Yr3'!L117</f>
        <v>8.4000000000000005E-2</v>
      </c>
      <c r="M117" s="106">
        <f>'Cash Flow %s Yr3'!M117</f>
        <v>8.4000000000000005E-2</v>
      </c>
      <c r="N117" s="106">
        <f>'Cash Flow %s Yr3'!N117</f>
        <v>8.4000000000000005E-2</v>
      </c>
      <c r="O117" s="106">
        <f>'Cash Flow %s Yr3'!O117</f>
        <v>8.4000000000000005E-2</v>
      </c>
      <c r="P117" s="106">
        <f>'Cash Flow %s Yr3'!P117</f>
        <v>0</v>
      </c>
      <c r="Q117" s="106">
        <f>'Cash Flow %s Yr3'!Q117</f>
        <v>0</v>
      </c>
      <c r="R117" s="106">
        <f>'Cash Flow %s Yr3'!R117</f>
        <v>0</v>
      </c>
      <c r="S117" s="105">
        <f t="shared" si="9"/>
        <v>0.99999999999999989</v>
      </c>
    </row>
    <row r="118" spans="1:19" s="30" customFormat="1" x14ac:dyDescent="0.3">
      <c r="A118" s="35"/>
      <c r="B118" s="62" t="str">
        <f>'Expenses Summary'!B75</f>
        <v>5505</v>
      </c>
      <c r="C118" s="62" t="str">
        <f>'Expenses Summary'!C75</f>
        <v>Student Transportation / Field Trips</v>
      </c>
      <c r="D118" s="106">
        <f>'Cash Flow %s Yr3'!D118</f>
        <v>0</v>
      </c>
      <c r="E118" s="106">
        <f>'Cash Flow %s Yr3'!E118</f>
        <v>0</v>
      </c>
      <c r="F118" s="106">
        <f>'Cash Flow %s Yr3'!F118</f>
        <v>0.1</v>
      </c>
      <c r="G118" s="106">
        <f>'Cash Flow %s Yr3'!G118</f>
        <v>0.1</v>
      </c>
      <c r="H118" s="106">
        <f>'Cash Flow %s Yr3'!H118</f>
        <v>0.1</v>
      </c>
      <c r="I118" s="106">
        <f>'Cash Flow %s Yr3'!I118</f>
        <v>0.1</v>
      </c>
      <c r="J118" s="106">
        <f>'Cash Flow %s Yr3'!J118</f>
        <v>0.1</v>
      </c>
      <c r="K118" s="106">
        <f>'Cash Flow %s Yr3'!K118</f>
        <v>0.1</v>
      </c>
      <c r="L118" s="106">
        <f>'Cash Flow %s Yr3'!L118</f>
        <v>0.1</v>
      </c>
      <c r="M118" s="106">
        <f>'Cash Flow %s Yr3'!M118</f>
        <v>0.1</v>
      </c>
      <c r="N118" s="106">
        <f>'Cash Flow %s Yr3'!N118</f>
        <v>0.1</v>
      </c>
      <c r="O118" s="106">
        <f>'Cash Flow %s Yr3'!O118</f>
        <v>0.1</v>
      </c>
      <c r="P118" s="106">
        <f>'Cash Flow %s Yr3'!P118</f>
        <v>0</v>
      </c>
      <c r="Q118" s="106">
        <f>'Cash Flow %s Yr3'!Q118</f>
        <v>0</v>
      </c>
      <c r="R118" s="106">
        <f>'Cash Flow %s Yr3'!R118</f>
        <v>0</v>
      </c>
      <c r="S118" s="105">
        <f t="shared" si="9"/>
        <v>0.99999999999999989</v>
      </c>
    </row>
    <row r="119" spans="1:19" s="30" customFormat="1" x14ac:dyDescent="0.3">
      <c r="A119" s="35"/>
      <c r="B119" s="62" t="str">
        <f>'Expenses Summary'!B76</f>
        <v>5600</v>
      </c>
      <c r="C119" s="62" t="str">
        <f>'Expenses Summary'!C76</f>
        <v>Space Rental/Leases Expense</v>
      </c>
      <c r="D119" s="106">
        <f>'Cash Flow %s Yr3'!D119</f>
        <v>8.3000000000000004E-2</v>
      </c>
      <c r="E119" s="106">
        <f>'Cash Flow %s Yr3'!E119</f>
        <v>8.3000000000000004E-2</v>
      </c>
      <c r="F119" s="106">
        <f>'Cash Flow %s Yr3'!F119</f>
        <v>8.3000000000000004E-2</v>
      </c>
      <c r="G119" s="106">
        <f>'Cash Flow %s Yr3'!G119</f>
        <v>8.3000000000000004E-2</v>
      </c>
      <c r="H119" s="106">
        <f>'Cash Flow %s Yr3'!H119</f>
        <v>8.3000000000000004E-2</v>
      </c>
      <c r="I119" s="106">
        <f>'Cash Flow %s Yr3'!I119</f>
        <v>8.3000000000000004E-2</v>
      </c>
      <c r="J119" s="106">
        <f>'Cash Flow %s Yr3'!J119</f>
        <v>8.3000000000000004E-2</v>
      </c>
      <c r="K119" s="106">
        <f>'Cash Flow %s Yr3'!K119</f>
        <v>8.3000000000000004E-2</v>
      </c>
      <c r="L119" s="106">
        <f>'Cash Flow %s Yr3'!L119</f>
        <v>8.4000000000000005E-2</v>
      </c>
      <c r="M119" s="106">
        <f>'Cash Flow %s Yr3'!M119</f>
        <v>8.4000000000000005E-2</v>
      </c>
      <c r="N119" s="106">
        <f>'Cash Flow %s Yr3'!N119</f>
        <v>8.4000000000000005E-2</v>
      </c>
      <c r="O119" s="106">
        <f>'Cash Flow %s Yr3'!O119</f>
        <v>8.4000000000000005E-2</v>
      </c>
      <c r="P119" s="106">
        <f>'Cash Flow %s Yr3'!P119</f>
        <v>0</v>
      </c>
      <c r="Q119" s="106">
        <f>'Cash Flow %s Yr3'!Q119</f>
        <v>0</v>
      </c>
      <c r="R119" s="106">
        <f>'Cash Flow %s Yr3'!R119</f>
        <v>0</v>
      </c>
      <c r="S119" s="105">
        <f t="shared" si="9"/>
        <v>0.99999999999999989</v>
      </c>
    </row>
    <row r="120" spans="1:19" s="30" customFormat="1" x14ac:dyDescent="0.3">
      <c r="A120" s="35"/>
      <c r="B120" s="62" t="str">
        <f>'Expenses Summary'!B77</f>
        <v>5601</v>
      </c>
      <c r="C120" s="62" t="str">
        <f>'Expenses Summary'!C77</f>
        <v>Building Maintenance</v>
      </c>
      <c r="D120" s="106">
        <f>'Cash Flow %s Yr3'!D120</f>
        <v>8.3000000000000004E-2</v>
      </c>
      <c r="E120" s="106">
        <f>'Cash Flow %s Yr3'!E120</f>
        <v>8.3000000000000004E-2</v>
      </c>
      <c r="F120" s="106">
        <f>'Cash Flow %s Yr3'!F120</f>
        <v>8.3000000000000004E-2</v>
      </c>
      <c r="G120" s="106">
        <f>'Cash Flow %s Yr3'!G120</f>
        <v>8.3000000000000004E-2</v>
      </c>
      <c r="H120" s="106">
        <f>'Cash Flow %s Yr3'!H120</f>
        <v>8.3000000000000004E-2</v>
      </c>
      <c r="I120" s="106">
        <f>'Cash Flow %s Yr3'!I120</f>
        <v>8.3000000000000004E-2</v>
      </c>
      <c r="J120" s="106">
        <f>'Cash Flow %s Yr3'!J120</f>
        <v>8.3000000000000004E-2</v>
      </c>
      <c r="K120" s="106">
        <f>'Cash Flow %s Yr3'!K120</f>
        <v>8.3000000000000004E-2</v>
      </c>
      <c r="L120" s="106">
        <f>'Cash Flow %s Yr3'!L120</f>
        <v>8.4000000000000005E-2</v>
      </c>
      <c r="M120" s="106">
        <f>'Cash Flow %s Yr3'!M120</f>
        <v>8.4000000000000005E-2</v>
      </c>
      <c r="N120" s="106">
        <f>'Cash Flow %s Yr3'!N120</f>
        <v>8.4000000000000005E-2</v>
      </c>
      <c r="O120" s="106">
        <f>'Cash Flow %s Yr3'!O120</f>
        <v>8.4000000000000005E-2</v>
      </c>
      <c r="P120" s="106">
        <f>'Cash Flow %s Yr3'!P120</f>
        <v>0</v>
      </c>
      <c r="Q120" s="106">
        <f>'Cash Flow %s Yr3'!Q120</f>
        <v>0</v>
      </c>
      <c r="R120" s="106">
        <f>'Cash Flow %s Yr3'!R120</f>
        <v>0</v>
      </c>
      <c r="S120" s="105">
        <f t="shared" si="9"/>
        <v>0.99999999999999989</v>
      </c>
    </row>
    <row r="121" spans="1:19" s="30" customFormat="1" x14ac:dyDescent="0.3">
      <c r="A121" s="35"/>
      <c r="B121" s="62" t="str">
        <f>'Expenses Summary'!B78</f>
        <v>5602</v>
      </c>
      <c r="C121" s="62" t="str">
        <f>'Expenses Summary'!C78</f>
        <v>Other Space Rental</v>
      </c>
      <c r="D121" s="106">
        <f>'Cash Flow %s Yr3'!D121</f>
        <v>8.3000000000000004E-2</v>
      </c>
      <c r="E121" s="106">
        <f>'Cash Flow %s Yr3'!E121</f>
        <v>8.3000000000000004E-2</v>
      </c>
      <c r="F121" s="106">
        <f>'Cash Flow %s Yr3'!F121</f>
        <v>8.3000000000000004E-2</v>
      </c>
      <c r="G121" s="106">
        <f>'Cash Flow %s Yr3'!G121</f>
        <v>8.3000000000000004E-2</v>
      </c>
      <c r="H121" s="106">
        <f>'Cash Flow %s Yr3'!H121</f>
        <v>8.3000000000000004E-2</v>
      </c>
      <c r="I121" s="106">
        <f>'Cash Flow %s Yr3'!I121</f>
        <v>8.3000000000000004E-2</v>
      </c>
      <c r="J121" s="106">
        <f>'Cash Flow %s Yr3'!J121</f>
        <v>8.3000000000000004E-2</v>
      </c>
      <c r="K121" s="106">
        <f>'Cash Flow %s Yr3'!K121</f>
        <v>8.3000000000000004E-2</v>
      </c>
      <c r="L121" s="106">
        <f>'Cash Flow %s Yr3'!L121</f>
        <v>8.4000000000000005E-2</v>
      </c>
      <c r="M121" s="106">
        <f>'Cash Flow %s Yr3'!M121</f>
        <v>8.4000000000000005E-2</v>
      </c>
      <c r="N121" s="106">
        <f>'Cash Flow %s Yr3'!N121</f>
        <v>8.4000000000000005E-2</v>
      </c>
      <c r="O121" s="106">
        <f>'Cash Flow %s Yr3'!O121</f>
        <v>8.4000000000000005E-2</v>
      </c>
      <c r="P121" s="106">
        <f>'Cash Flow %s Yr3'!P121</f>
        <v>0</v>
      </c>
      <c r="Q121" s="106">
        <f>'Cash Flow %s Yr3'!Q121</f>
        <v>0</v>
      </c>
      <c r="R121" s="106">
        <f>'Cash Flow %s Yr3'!R121</f>
        <v>0</v>
      </c>
      <c r="S121" s="105">
        <f t="shared" si="9"/>
        <v>0.99999999999999989</v>
      </c>
    </row>
    <row r="122" spans="1:19" s="30" customFormat="1" x14ac:dyDescent="0.3">
      <c r="A122" s="35"/>
      <c r="B122" s="62" t="str">
        <f>'Expenses Summary'!B79</f>
        <v>5605</v>
      </c>
      <c r="C122" s="62" t="str">
        <f>'Expenses Summary'!C79</f>
        <v>Equipment Rental/Lease Expense</v>
      </c>
      <c r="D122" s="106">
        <f>'Cash Flow %s Yr3'!D122</f>
        <v>8.3000000000000004E-2</v>
      </c>
      <c r="E122" s="106">
        <f>'Cash Flow %s Yr3'!E122</f>
        <v>8.3000000000000004E-2</v>
      </c>
      <c r="F122" s="106">
        <f>'Cash Flow %s Yr3'!F122</f>
        <v>8.3000000000000004E-2</v>
      </c>
      <c r="G122" s="106">
        <f>'Cash Flow %s Yr3'!G122</f>
        <v>8.3000000000000004E-2</v>
      </c>
      <c r="H122" s="106">
        <f>'Cash Flow %s Yr3'!H122</f>
        <v>8.3000000000000004E-2</v>
      </c>
      <c r="I122" s="106">
        <f>'Cash Flow %s Yr3'!I122</f>
        <v>8.3000000000000004E-2</v>
      </c>
      <c r="J122" s="106">
        <f>'Cash Flow %s Yr3'!J122</f>
        <v>8.3000000000000004E-2</v>
      </c>
      <c r="K122" s="106">
        <f>'Cash Flow %s Yr3'!K122</f>
        <v>8.3000000000000004E-2</v>
      </c>
      <c r="L122" s="106">
        <f>'Cash Flow %s Yr3'!L122</f>
        <v>8.4000000000000005E-2</v>
      </c>
      <c r="M122" s="106">
        <f>'Cash Flow %s Yr3'!M122</f>
        <v>8.4000000000000005E-2</v>
      </c>
      <c r="N122" s="106">
        <f>'Cash Flow %s Yr3'!N122</f>
        <v>8.4000000000000005E-2</v>
      </c>
      <c r="O122" s="106">
        <f>'Cash Flow %s Yr3'!O122</f>
        <v>8.4000000000000005E-2</v>
      </c>
      <c r="P122" s="106">
        <f>'Cash Flow %s Yr3'!P122</f>
        <v>0</v>
      </c>
      <c r="Q122" s="106">
        <f>'Cash Flow %s Yr3'!Q122</f>
        <v>0</v>
      </c>
      <c r="R122" s="106">
        <f>'Cash Flow %s Yr3'!R122</f>
        <v>0</v>
      </c>
      <c r="S122" s="105">
        <f t="shared" si="9"/>
        <v>0.99999999999999989</v>
      </c>
    </row>
    <row r="123" spans="1:19" s="30" customFormat="1" x14ac:dyDescent="0.3">
      <c r="A123" s="35"/>
      <c r="B123" s="62" t="str">
        <f>'Expenses Summary'!B80</f>
        <v>5610</v>
      </c>
      <c r="C123" s="62" t="str">
        <f>'Expenses Summary'!C80</f>
        <v>Equipment Repair</v>
      </c>
      <c r="D123" s="106">
        <f>'Cash Flow %s Yr3'!D123</f>
        <v>8.3000000000000004E-2</v>
      </c>
      <c r="E123" s="106">
        <f>'Cash Flow %s Yr3'!E123</f>
        <v>8.3000000000000004E-2</v>
      </c>
      <c r="F123" s="106">
        <f>'Cash Flow %s Yr3'!F123</f>
        <v>8.3000000000000004E-2</v>
      </c>
      <c r="G123" s="106">
        <f>'Cash Flow %s Yr3'!G123</f>
        <v>8.3000000000000004E-2</v>
      </c>
      <c r="H123" s="106">
        <f>'Cash Flow %s Yr3'!H123</f>
        <v>8.3000000000000004E-2</v>
      </c>
      <c r="I123" s="106">
        <f>'Cash Flow %s Yr3'!I123</f>
        <v>8.3000000000000004E-2</v>
      </c>
      <c r="J123" s="106">
        <f>'Cash Flow %s Yr3'!J123</f>
        <v>8.3000000000000004E-2</v>
      </c>
      <c r="K123" s="106">
        <f>'Cash Flow %s Yr3'!K123</f>
        <v>8.3000000000000004E-2</v>
      </c>
      <c r="L123" s="106">
        <f>'Cash Flow %s Yr3'!L123</f>
        <v>8.4000000000000005E-2</v>
      </c>
      <c r="M123" s="106">
        <f>'Cash Flow %s Yr3'!M123</f>
        <v>8.4000000000000005E-2</v>
      </c>
      <c r="N123" s="106">
        <f>'Cash Flow %s Yr3'!N123</f>
        <v>8.4000000000000005E-2</v>
      </c>
      <c r="O123" s="106">
        <f>'Cash Flow %s Yr3'!O123</f>
        <v>8.4000000000000005E-2</v>
      </c>
      <c r="P123" s="106">
        <f>'Cash Flow %s Yr3'!P123</f>
        <v>0</v>
      </c>
      <c r="Q123" s="106">
        <f>'Cash Flow %s Yr3'!Q123</f>
        <v>0</v>
      </c>
      <c r="R123" s="106">
        <f>'Cash Flow %s Yr3'!R123</f>
        <v>0</v>
      </c>
      <c r="S123" s="105">
        <f t="shared" si="9"/>
        <v>0.99999999999999989</v>
      </c>
    </row>
    <row r="124" spans="1:19" s="30" customFormat="1" x14ac:dyDescent="0.3">
      <c r="A124" s="35"/>
      <c r="B124" s="62" t="str">
        <f>'Expenses Summary'!B81</f>
        <v>5800</v>
      </c>
      <c r="C124" s="62" t="str">
        <f>'Expenses Summary'!C81</f>
        <v>Professional/Consulting Services and Operating Expenditures</v>
      </c>
      <c r="D124" s="106">
        <f>'Cash Flow %s Yr3'!D124</f>
        <v>8.3000000000000004E-2</v>
      </c>
      <c r="E124" s="106">
        <f>'Cash Flow %s Yr3'!E124</f>
        <v>8.3000000000000004E-2</v>
      </c>
      <c r="F124" s="106">
        <f>'Cash Flow %s Yr3'!F124</f>
        <v>8.3000000000000004E-2</v>
      </c>
      <c r="G124" s="106">
        <f>'Cash Flow %s Yr3'!G124</f>
        <v>8.3000000000000004E-2</v>
      </c>
      <c r="H124" s="106">
        <f>'Cash Flow %s Yr3'!H124</f>
        <v>8.3000000000000004E-2</v>
      </c>
      <c r="I124" s="106">
        <f>'Cash Flow %s Yr3'!I124</f>
        <v>8.3000000000000004E-2</v>
      </c>
      <c r="J124" s="106">
        <f>'Cash Flow %s Yr3'!J124</f>
        <v>8.3000000000000004E-2</v>
      </c>
      <c r="K124" s="106">
        <f>'Cash Flow %s Yr3'!K124</f>
        <v>8.3000000000000004E-2</v>
      </c>
      <c r="L124" s="106">
        <f>'Cash Flow %s Yr3'!L124</f>
        <v>8.4000000000000005E-2</v>
      </c>
      <c r="M124" s="106">
        <f>'Cash Flow %s Yr3'!M124</f>
        <v>8.4000000000000005E-2</v>
      </c>
      <c r="N124" s="106">
        <f>'Cash Flow %s Yr3'!N124</f>
        <v>8.4000000000000005E-2</v>
      </c>
      <c r="O124" s="106">
        <f>'Cash Flow %s Yr3'!O124</f>
        <v>8.4000000000000005E-2</v>
      </c>
      <c r="P124" s="106">
        <f>'Cash Flow %s Yr3'!P124</f>
        <v>0</v>
      </c>
      <c r="Q124" s="106">
        <f>'Cash Flow %s Yr3'!Q124</f>
        <v>0</v>
      </c>
      <c r="R124" s="106">
        <f>'Cash Flow %s Yr3'!R124</f>
        <v>0</v>
      </c>
      <c r="S124" s="105">
        <f t="shared" si="9"/>
        <v>0.99999999999999989</v>
      </c>
    </row>
    <row r="125" spans="1:19" s="30" customFormat="1" x14ac:dyDescent="0.3">
      <c r="A125" s="35"/>
      <c r="B125" s="62" t="str">
        <f>'Expenses Summary'!B82</f>
        <v>5803</v>
      </c>
      <c r="C125" s="62" t="str">
        <f>'Expenses Summary'!C82</f>
        <v>Banking and Payroll Service Fees</v>
      </c>
      <c r="D125" s="106">
        <f>'Cash Flow %s Yr3'!D125</f>
        <v>8.3000000000000004E-2</v>
      </c>
      <c r="E125" s="106">
        <f>'Cash Flow %s Yr3'!E125</f>
        <v>8.3000000000000004E-2</v>
      </c>
      <c r="F125" s="106">
        <f>'Cash Flow %s Yr3'!F125</f>
        <v>8.3000000000000004E-2</v>
      </c>
      <c r="G125" s="106">
        <f>'Cash Flow %s Yr3'!G125</f>
        <v>8.3000000000000004E-2</v>
      </c>
      <c r="H125" s="106">
        <f>'Cash Flow %s Yr3'!H125</f>
        <v>8.3000000000000004E-2</v>
      </c>
      <c r="I125" s="106">
        <f>'Cash Flow %s Yr3'!I125</f>
        <v>8.3000000000000004E-2</v>
      </c>
      <c r="J125" s="106">
        <f>'Cash Flow %s Yr3'!J125</f>
        <v>8.3000000000000004E-2</v>
      </c>
      <c r="K125" s="106">
        <f>'Cash Flow %s Yr3'!K125</f>
        <v>8.3000000000000004E-2</v>
      </c>
      <c r="L125" s="106">
        <f>'Cash Flow %s Yr3'!L125</f>
        <v>8.4000000000000005E-2</v>
      </c>
      <c r="M125" s="106">
        <f>'Cash Flow %s Yr3'!M125</f>
        <v>8.4000000000000005E-2</v>
      </c>
      <c r="N125" s="106">
        <f>'Cash Flow %s Yr3'!N125</f>
        <v>8.4000000000000005E-2</v>
      </c>
      <c r="O125" s="106">
        <f>'Cash Flow %s Yr3'!O125</f>
        <v>8.4000000000000005E-2</v>
      </c>
      <c r="P125" s="106">
        <f>'Cash Flow %s Yr3'!P125</f>
        <v>0</v>
      </c>
      <c r="Q125" s="106">
        <f>'Cash Flow %s Yr3'!Q125</f>
        <v>0</v>
      </c>
      <c r="R125" s="106">
        <f>'Cash Flow %s Yr3'!R125</f>
        <v>0</v>
      </c>
      <c r="S125" s="105">
        <f t="shared" si="9"/>
        <v>0.99999999999999989</v>
      </c>
    </row>
    <row r="126" spans="1:19" s="30" customFormat="1" x14ac:dyDescent="0.3">
      <c r="A126" s="35"/>
      <c r="B126" s="62" t="str">
        <f>'Expenses Summary'!B83</f>
        <v>5805</v>
      </c>
      <c r="C126" s="62" t="str">
        <f>'Expenses Summary'!C83</f>
        <v xml:space="preserve">Legal Services </v>
      </c>
      <c r="D126" s="106">
        <f>'Cash Flow %s Yr3'!D126</f>
        <v>8.3000000000000004E-2</v>
      </c>
      <c r="E126" s="106">
        <f>'Cash Flow %s Yr3'!E126</f>
        <v>8.3000000000000004E-2</v>
      </c>
      <c r="F126" s="106">
        <f>'Cash Flow %s Yr3'!F126</f>
        <v>8.3000000000000004E-2</v>
      </c>
      <c r="G126" s="106">
        <f>'Cash Flow %s Yr3'!G126</f>
        <v>8.3000000000000004E-2</v>
      </c>
      <c r="H126" s="106">
        <f>'Cash Flow %s Yr3'!H126</f>
        <v>8.3000000000000004E-2</v>
      </c>
      <c r="I126" s="106">
        <f>'Cash Flow %s Yr3'!I126</f>
        <v>8.3000000000000004E-2</v>
      </c>
      <c r="J126" s="106">
        <f>'Cash Flow %s Yr3'!J126</f>
        <v>8.3000000000000004E-2</v>
      </c>
      <c r="K126" s="106">
        <f>'Cash Flow %s Yr3'!K126</f>
        <v>8.3000000000000004E-2</v>
      </c>
      <c r="L126" s="106">
        <f>'Cash Flow %s Yr3'!L126</f>
        <v>8.4000000000000005E-2</v>
      </c>
      <c r="M126" s="106">
        <f>'Cash Flow %s Yr3'!M126</f>
        <v>8.4000000000000005E-2</v>
      </c>
      <c r="N126" s="106">
        <f>'Cash Flow %s Yr3'!N126</f>
        <v>8.4000000000000005E-2</v>
      </c>
      <c r="O126" s="106">
        <f>'Cash Flow %s Yr3'!O126</f>
        <v>8.4000000000000005E-2</v>
      </c>
      <c r="P126" s="106">
        <f>'Cash Flow %s Yr3'!P126</f>
        <v>0</v>
      </c>
      <c r="Q126" s="106">
        <f>'Cash Flow %s Yr3'!Q126</f>
        <v>0</v>
      </c>
      <c r="R126" s="106">
        <f>'Cash Flow %s Yr3'!R126</f>
        <v>0</v>
      </c>
      <c r="S126" s="105">
        <f t="shared" si="9"/>
        <v>0.99999999999999989</v>
      </c>
    </row>
    <row r="127" spans="1:19" s="30" customFormat="1" x14ac:dyDescent="0.3">
      <c r="A127" s="35"/>
      <c r="B127" s="62" t="str">
        <f>'Expenses Summary'!B84</f>
        <v>5806</v>
      </c>
      <c r="C127" s="62" t="str">
        <f>'Expenses Summary'!C84</f>
        <v>Audit Services</v>
      </c>
      <c r="D127" s="106">
        <f>'Cash Flow %s Yr3'!D127</f>
        <v>0</v>
      </c>
      <c r="E127" s="106">
        <f>'Cash Flow %s Yr3'!E127</f>
        <v>0</v>
      </c>
      <c r="F127" s="106">
        <f>'Cash Flow %s Yr3'!F127</f>
        <v>0</v>
      </c>
      <c r="G127" s="106">
        <f>'Cash Flow %s Yr3'!G127</f>
        <v>0</v>
      </c>
      <c r="H127" s="106">
        <f>'Cash Flow %s Yr3'!H127</f>
        <v>0.5</v>
      </c>
      <c r="I127" s="106">
        <f>'Cash Flow %s Yr3'!I127</f>
        <v>0</v>
      </c>
      <c r="J127" s="106">
        <f>'Cash Flow %s Yr3'!J127</f>
        <v>0</v>
      </c>
      <c r="K127" s="106">
        <f>'Cash Flow %s Yr3'!K127</f>
        <v>0</v>
      </c>
      <c r="L127" s="106">
        <f>'Cash Flow %s Yr3'!L127</f>
        <v>0</v>
      </c>
      <c r="M127" s="106">
        <f>'Cash Flow %s Yr3'!M127</f>
        <v>0</v>
      </c>
      <c r="N127" s="106">
        <f>'Cash Flow %s Yr3'!N127</f>
        <v>0.5</v>
      </c>
      <c r="O127" s="106">
        <f>'Cash Flow %s Yr3'!O127</f>
        <v>0</v>
      </c>
      <c r="P127" s="106">
        <f>'Cash Flow %s Yr3'!P127</f>
        <v>0</v>
      </c>
      <c r="Q127" s="106">
        <f>'Cash Flow %s Yr3'!Q127</f>
        <v>0</v>
      </c>
      <c r="R127" s="106">
        <f>'Cash Flow %s Yr3'!R127</f>
        <v>0</v>
      </c>
      <c r="S127" s="105">
        <f t="shared" si="9"/>
        <v>1</v>
      </c>
    </row>
    <row r="128" spans="1:19" s="30" customFormat="1" x14ac:dyDescent="0.3">
      <c r="A128" s="35"/>
      <c r="B128" s="62" t="str">
        <f>'Expenses Summary'!B85</f>
        <v>5810</v>
      </c>
      <c r="C128" s="62" t="str">
        <f>'Expenses Summary'!C85</f>
        <v>Educational Consultants</v>
      </c>
      <c r="D128" s="106">
        <f>'Cash Flow %s Yr3'!D128</f>
        <v>8.3000000000000004E-2</v>
      </c>
      <c r="E128" s="106">
        <f>'Cash Flow %s Yr3'!E128</f>
        <v>8.3000000000000004E-2</v>
      </c>
      <c r="F128" s="106">
        <f>'Cash Flow %s Yr3'!F128</f>
        <v>8.3000000000000004E-2</v>
      </c>
      <c r="G128" s="106">
        <f>'Cash Flow %s Yr3'!G128</f>
        <v>8.3000000000000004E-2</v>
      </c>
      <c r="H128" s="106">
        <f>'Cash Flow %s Yr3'!H128</f>
        <v>8.3000000000000004E-2</v>
      </c>
      <c r="I128" s="106">
        <f>'Cash Flow %s Yr3'!I128</f>
        <v>8.3000000000000004E-2</v>
      </c>
      <c r="J128" s="106">
        <f>'Cash Flow %s Yr3'!J128</f>
        <v>8.3000000000000004E-2</v>
      </c>
      <c r="K128" s="106">
        <f>'Cash Flow %s Yr3'!K128</f>
        <v>8.3000000000000004E-2</v>
      </c>
      <c r="L128" s="106">
        <f>'Cash Flow %s Yr3'!L128</f>
        <v>8.4000000000000005E-2</v>
      </c>
      <c r="M128" s="106">
        <f>'Cash Flow %s Yr3'!M128</f>
        <v>8.4000000000000005E-2</v>
      </c>
      <c r="N128" s="106">
        <f>'Cash Flow %s Yr3'!N128</f>
        <v>8.4000000000000005E-2</v>
      </c>
      <c r="O128" s="106">
        <f>'Cash Flow %s Yr3'!O128</f>
        <v>8.4000000000000005E-2</v>
      </c>
      <c r="P128" s="106">
        <f>'Cash Flow %s Yr3'!P128</f>
        <v>0</v>
      </c>
      <c r="Q128" s="106">
        <f>'Cash Flow %s Yr3'!Q128</f>
        <v>0</v>
      </c>
      <c r="R128" s="106">
        <f>'Cash Flow %s Yr3'!R128</f>
        <v>0</v>
      </c>
      <c r="S128" s="105">
        <f t="shared" si="9"/>
        <v>0.99999999999999989</v>
      </c>
    </row>
    <row r="129" spans="1:19" s="30" customFormat="1" x14ac:dyDescent="0.3">
      <c r="A129" s="35"/>
      <c r="B129" s="62" t="str">
        <f>'Expenses Summary'!B86</f>
        <v>5811</v>
      </c>
      <c r="C129" s="62" t="str">
        <f>'Expenses Summary'!C86</f>
        <v>Student Transportation / Events</v>
      </c>
      <c r="D129" s="106">
        <f>'Cash Flow %s Yr3'!D129</f>
        <v>0</v>
      </c>
      <c r="E129" s="106">
        <f>'Cash Flow %s Yr3'!E129</f>
        <v>0</v>
      </c>
      <c r="F129" s="106">
        <f>'Cash Flow %s Yr3'!F129</f>
        <v>0.1</v>
      </c>
      <c r="G129" s="106">
        <f>'Cash Flow %s Yr3'!G129</f>
        <v>0.1</v>
      </c>
      <c r="H129" s="106">
        <f>'Cash Flow %s Yr3'!H129</f>
        <v>0.1</v>
      </c>
      <c r="I129" s="106">
        <f>'Cash Flow %s Yr3'!I129</f>
        <v>0.1</v>
      </c>
      <c r="J129" s="106">
        <f>'Cash Flow %s Yr3'!J129</f>
        <v>0.1</v>
      </c>
      <c r="K129" s="106">
        <f>'Cash Flow %s Yr3'!K129</f>
        <v>0.1</v>
      </c>
      <c r="L129" s="106">
        <f>'Cash Flow %s Yr3'!L129</f>
        <v>0.1</v>
      </c>
      <c r="M129" s="106">
        <f>'Cash Flow %s Yr3'!M129</f>
        <v>0.1</v>
      </c>
      <c r="N129" s="106">
        <f>'Cash Flow %s Yr3'!N129</f>
        <v>0.1</v>
      </c>
      <c r="O129" s="106">
        <f>'Cash Flow %s Yr3'!O129</f>
        <v>0.1</v>
      </c>
      <c r="P129" s="106">
        <f>'Cash Flow %s Yr3'!P129</f>
        <v>0</v>
      </c>
      <c r="Q129" s="106">
        <f>'Cash Flow %s Yr3'!Q129</f>
        <v>0</v>
      </c>
      <c r="R129" s="106">
        <f>'Cash Flow %s Yr3'!R129</f>
        <v>0</v>
      </c>
      <c r="S129" s="105">
        <f t="shared" si="9"/>
        <v>0.99999999999999989</v>
      </c>
    </row>
    <row r="130" spans="1:19" s="30" customFormat="1" x14ac:dyDescent="0.3">
      <c r="A130" s="35"/>
      <c r="B130" s="62" t="str">
        <f>'Expenses Summary'!B88</f>
        <v>5815</v>
      </c>
      <c r="C130" s="62" t="str">
        <f>'Expenses Summary'!C88</f>
        <v>Advertising / Recruiting</v>
      </c>
      <c r="D130" s="106">
        <f>'Cash Flow %s Yr3'!D130</f>
        <v>8.33285E-2</v>
      </c>
      <c r="E130" s="106">
        <f>'Cash Flow %s Yr3'!E130</f>
        <v>8.33285E-2</v>
      </c>
      <c r="F130" s="106">
        <f>'Cash Flow %s Yr3'!F130</f>
        <v>8.33285E-2</v>
      </c>
      <c r="G130" s="106">
        <f>'Cash Flow %s Yr3'!G130</f>
        <v>8.33285E-2</v>
      </c>
      <c r="H130" s="106">
        <f>'Cash Flow %s Yr3'!H130</f>
        <v>8.33285E-2</v>
      </c>
      <c r="I130" s="106">
        <f>'Cash Flow %s Yr3'!I130</f>
        <v>8.33285E-2</v>
      </c>
      <c r="J130" s="106">
        <f>'Cash Flow %s Yr3'!J130</f>
        <v>8.33285E-2</v>
      </c>
      <c r="K130" s="106">
        <f>'Cash Flow %s Yr3'!K130</f>
        <v>8.33285E-2</v>
      </c>
      <c r="L130" s="106">
        <f>'Cash Flow %s Yr3'!L130</f>
        <v>8.33285E-2</v>
      </c>
      <c r="M130" s="106">
        <f>'Cash Flow %s Yr3'!M130</f>
        <v>8.33285E-2</v>
      </c>
      <c r="N130" s="106">
        <f>'Cash Flow %s Yr3'!N130</f>
        <v>8.33285E-2</v>
      </c>
      <c r="O130" s="106">
        <f>'Cash Flow %s Yr3'!O130</f>
        <v>8.3386000000000002E-2</v>
      </c>
      <c r="P130" s="106">
        <f>'Cash Flow %s Yr3'!P130</f>
        <v>0</v>
      </c>
      <c r="Q130" s="106">
        <f>'Cash Flow %s Yr3'!Q130</f>
        <v>0</v>
      </c>
      <c r="R130" s="106">
        <f>'Cash Flow %s Yr3'!R130</f>
        <v>0</v>
      </c>
      <c r="S130" s="105">
        <f t="shared" si="9"/>
        <v>0.99999950000000015</v>
      </c>
    </row>
    <row r="131" spans="1:19" s="30" customFormat="1" x14ac:dyDescent="0.3">
      <c r="A131" s="35"/>
      <c r="B131" s="62" t="str">
        <f>'Expenses Summary'!B89</f>
        <v>5820</v>
      </c>
      <c r="C131" s="62" t="str">
        <f>'Expenses Summary'!C89</f>
        <v>Fundraising Expense</v>
      </c>
      <c r="D131" s="106">
        <f>'Cash Flow %s Yr3'!D131</f>
        <v>8.33285E-2</v>
      </c>
      <c r="E131" s="106">
        <f>'Cash Flow %s Yr3'!E131</f>
        <v>8.33285E-2</v>
      </c>
      <c r="F131" s="106">
        <f>'Cash Flow %s Yr3'!F131</f>
        <v>8.33285E-2</v>
      </c>
      <c r="G131" s="106">
        <f>'Cash Flow %s Yr3'!G131</f>
        <v>8.33285E-2</v>
      </c>
      <c r="H131" s="106">
        <f>'Cash Flow %s Yr3'!H131</f>
        <v>8.33285E-2</v>
      </c>
      <c r="I131" s="106">
        <f>'Cash Flow %s Yr3'!I131</f>
        <v>8.33285E-2</v>
      </c>
      <c r="J131" s="106">
        <f>'Cash Flow %s Yr3'!J131</f>
        <v>8.33285E-2</v>
      </c>
      <c r="K131" s="106">
        <f>'Cash Flow %s Yr3'!K131</f>
        <v>8.33285E-2</v>
      </c>
      <c r="L131" s="106">
        <f>'Cash Flow %s Yr3'!L131</f>
        <v>8.33285E-2</v>
      </c>
      <c r="M131" s="106">
        <f>'Cash Flow %s Yr3'!M131</f>
        <v>8.33285E-2</v>
      </c>
      <c r="N131" s="106">
        <f>'Cash Flow %s Yr3'!N131</f>
        <v>8.33285E-2</v>
      </c>
      <c r="O131" s="106">
        <f>'Cash Flow %s Yr3'!O131</f>
        <v>8.3386000000000002E-2</v>
      </c>
      <c r="P131" s="106">
        <f>'Cash Flow %s Yr3'!P131</f>
        <v>0</v>
      </c>
      <c r="Q131" s="106">
        <f>'Cash Flow %s Yr3'!Q131</f>
        <v>0</v>
      </c>
      <c r="R131" s="106">
        <f>'Cash Flow %s Yr3'!R131</f>
        <v>0</v>
      </c>
      <c r="S131" s="105">
        <f t="shared" si="9"/>
        <v>0.99999950000000015</v>
      </c>
    </row>
    <row r="132" spans="1:19" s="30" customFormat="1" x14ac:dyDescent="0.3">
      <c r="A132" s="35"/>
      <c r="B132" s="62" t="str">
        <f>'Expenses Summary'!B91</f>
        <v>5836</v>
      </c>
      <c r="C132" s="62" t="str">
        <f>'Expenses Summary'!C91</f>
        <v>Transportation Services</v>
      </c>
      <c r="D132" s="106">
        <f>'Cash Flow %s Yr3'!D132</f>
        <v>8.3000000000000004E-2</v>
      </c>
      <c r="E132" s="106">
        <f>'Cash Flow %s Yr3'!E132</f>
        <v>8.3000000000000004E-2</v>
      </c>
      <c r="F132" s="106">
        <f>'Cash Flow %s Yr3'!F132</f>
        <v>8.3000000000000004E-2</v>
      </c>
      <c r="G132" s="106">
        <f>'Cash Flow %s Yr3'!G132</f>
        <v>8.3000000000000004E-2</v>
      </c>
      <c r="H132" s="106">
        <f>'Cash Flow %s Yr3'!H132</f>
        <v>8.3000000000000004E-2</v>
      </c>
      <c r="I132" s="106">
        <f>'Cash Flow %s Yr3'!I132</f>
        <v>8.3000000000000004E-2</v>
      </c>
      <c r="J132" s="106">
        <f>'Cash Flow %s Yr3'!J132</f>
        <v>8.3000000000000004E-2</v>
      </c>
      <c r="K132" s="106">
        <f>'Cash Flow %s Yr3'!K132</f>
        <v>8.3000000000000004E-2</v>
      </c>
      <c r="L132" s="106">
        <f>'Cash Flow %s Yr3'!L132</f>
        <v>8.4000000000000005E-2</v>
      </c>
      <c r="M132" s="106">
        <f>'Cash Flow %s Yr3'!M132</f>
        <v>8.4000000000000005E-2</v>
      </c>
      <c r="N132" s="106">
        <f>'Cash Flow %s Yr3'!N132</f>
        <v>8.4000000000000005E-2</v>
      </c>
      <c r="O132" s="106">
        <f>'Cash Flow %s Yr3'!O132</f>
        <v>8.4000000000000005E-2</v>
      </c>
      <c r="P132" s="106">
        <f>'Cash Flow %s Yr3'!P132</f>
        <v>0</v>
      </c>
      <c r="Q132" s="106">
        <f>'Cash Flow %s Yr3'!Q132</f>
        <v>0</v>
      </c>
      <c r="R132" s="106">
        <f>'Cash Flow %s Yr3'!R132</f>
        <v>0</v>
      </c>
      <c r="S132" s="105">
        <f t="shared" si="9"/>
        <v>0.99999999999999989</v>
      </c>
    </row>
    <row r="133" spans="1:19" s="30" customFormat="1" hidden="1" outlineLevel="1" x14ac:dyDescent="0.3">
      <c r="A133" s="35"/>
      <c r="B133" s="62" t="str">
        <f>'Expenses Summary'!B92</f>
        <v>5842</v>
      </c>
      <c r="C133" s="62" t="str">
        <f>'Expenses Summary'!C92</f>
        <v>Services Student Athletics</v>
      </c>
      <c r="D133" s="106">
        <f>'Cash Flow %s Yr3'!D133</f>
        <v>0</v>
      </c>
      <c r="E133" s="106">
        <f>'Cash Flow %s Yr3'!E133</f>
        <v>0</v>
      </c>
      <c r="F133" s="106">
        <f>'Cash Flow %s Yr3'!F133</f>
        <v>0.1</v>
      </c>
      <c r="G133" s="106">
        <f>'Cash Flow %s Yr3'!G133</f>
        <v>0.1</v>
      </c>
      <c r="H133" s="106">
        <f>'Cash Flow %s Yr3'!H133</f>
        <v>0.1</v>
      </c>
      <c r="I133" s="106">
        <f>'Cash Flow %s Yr3'!I133</f>
        <v>0.1</v>
      </c>
      <c r="J133" s="106">
        <f>'Cash Flow %s Yr3'!J133</f>
        <v>0.1</v>
      </c>
      <c r="K133" s="106">
        <f>'Cash Flow %s Yr3'!K133</f>
        <v>0.1</v>
      </c>
      <c r="L133" s="106">
        <f>'Cash Flow %s Yr3'!L133</f>
        <v>0.1</v>
      </c>
      <c r="M133" s="106">
        <f>'Cash Flow %s Yr3'!M133</f>
        <v>0.1</v>
      </c>
      <c r="N133" s="106">
        <f>'Cash Flow %s Yr3'!N133</f>
        <v>0.1</v>
      </c>
      <c r="O133" s="106">
        <f>'Cash Flow %s Yr3'!O133</f>
        <v>0.1</v>
      </c>
      <c r="P133" s="106">
        <f>'Cash Flow %s Yr3'!P133</f>
        <v>0</v>
      </c>
      <c r="Q133" s="106">
        <f>'Cash Flow %s Yr3'!Q133</f>
        <v>0</v>
      </c>
      <c r="R133" s="106">
        <f>'Cash Flow %s Yr3'!R133</f>
        <v>0</v>
      </c>
      <c r="S133" s="105">
        <f t="shared" si="9"/>
        <v>0.99999999999999989</v>
      </c>
    </row>
    <row r="134" spans="1:19" s="30" customFormat="1" hidden="1" outlineLevel="1" x14ac:dyDescent="0.3">
      <c r="A134" s="35"/>
      <c r="B134" s="62" t="str">
        <f>'Expenses Summary'!B93</f>
        <v>5850</v>
      </c>
      <c r="C134" s="62" t="str">
        <f>'Expenses Summary'!C93</f>
        <v>Scholarships</v>
      </c>
      <c r="D134" s="106">
        <f>'Cash Flow %s Yr3'!D134</f>
        <v>0</v>
      </c>
      <c r="E134" s="106">
        <f>'Cash Flow %s Yr3'!E134</f>
        <v>0</v>
      </c>
      <c r="F134" s="106">
        <f>'Cash Flow %s Yr3'!F134</f>
        <v>0.1</v>
      </c>
      <c r="G134" s="106">
        <f>'Cash Flow %s Yr3'!G134</f>
        <v>0.1</v>
      </c>
      <c r="H134" s="106">
        <f>'Cash Flow %s Yr3'!H134</f>
        <v>0.1</v>
      </c>
      <c r="I134" s="106">
        <f>'Cash Flow %s Yr3'!I134</f>
        <v>0.1</v>
      </c>
      <c r="J134" s="106">
        <f>'Cash Flow %s Yr3'!J134</f>
        <v>0.1</v>
      </c>
      <c r="K134" s="106">
        <f>'Cash Flow %s Yr3'!K134</f>
        <v>0.1</v>
      </c>
      <c r="L134" s="106">
        <f>'Cash Flow %s Yr3'!L134</f>
        <v>0.1</v>
      </c>
      <c r="M134" s="106">
        <f>'Cash Flow %s Yr3'!M134</f>
        <v>0.1</v>
      </c>
      <c r="N134" s="106">
        <f>'Cash Flow %s Yr3'!N134</f>
        <v>0.1</v>
      </c>
      <c r="O134" s="106">
        <f>'Cash Flow %s Yr3'!O134</f>
        <v>0.1</v>
      </c>
      <c r="P134" s="106">
        <f>'Cash Flow %s Yr3'!P134</f>
        <v>0</v>
      </c>
      <c r="Q134" s="106">
        <f>'Cash Flow %s Yr3'!Q134</f>
        <v>0</v>
      </c>
      <c r="R134" s="106">
        <f>'Cash Flow %s Yr3'!R134</f>
        <v>0</v>
      </c>
      <c r="S134" s="105">
        <f t="shared" si="9"/>
        <v>0.99999999999999989</v>
      </c>
    </row>
    <row r="135" spans="1:19" s="30" customFormat="1" hidden="1" outlineLevel="1" x14ac:dyDescent="0.3">
      <c r="A135" s="35"/>
      <c r="B135" s="62" t="str">
        <f>'Expenses Summary'!B94</f>
        <v>5873</v>
      </c>
      <c r="C135" s="62" t="str">
        <f>'Expenses Summary'!C94</f>
        <v>Financial Services</v>
      </c>
      <c r="D135" s="106">
        <f>'Cash Flow %s Yr3'!D135</f>
        <v>0</v>
      </c>
      <c r="E135" s="106">
        <f>'Cash Flow %s Yr3'!E135</f>
        <v>0</v>
      </c>
      <c r="F135" s="106">
        <f>'Cash Flow %s Yr3'!F135</f>
        <v>0.1</v>
      </c>
      <c r="G135" s="106">
        <f>'Cash Flow %s Yr3'!G135</f>
        <v>0.1</v>
      </c>
      <c r="H135" s="106">
        <f>'Cash Flow %s Yr3'!H135</f>
        <v>0.1</v>
      </c>
      <c r="I135" s="106">
        <f>'Cash Flow %s Yr3'!I135</f>
        <v>0.1</v>
      </c>
      <c r="J135" s="106">
        <f>'Cash Flow %s Yr3'!J135</f>
        <v>0.1</v>
      </c>
      <c r="K135" s="106">
        <f>'Cash Flow %s Yr3'!K135</f>
        <v>0.1</v>
      </c>
      <c r="L135" s="106">
        <f>'Cash Flow %s Yr3'!L135</f>
        <v>0.1</v>
      </c>
      <c r="M135" s="106">
        <f>'Cash Flow %s Yr3'!M135</f>
        <v>0.1</v>
      </c>
      <c r="N135" s="106">
        <f>'Cash Flow %s Yr3'!N135</f>
        <v>0.1</v>
      </c>
      <c r="O135" s="106">
        <f>'Cash Flow %s Yr3'!O135</f>
        <v>0.1</v>
      </c>
      <c r="P135" s="106">
        <f>'Cash Flow %s Yr3'!P135</f>
        <v>0</v>
      </c>
      <c r="Q135" s="106">
        <f>'Cash Flow %s Yr3'!Q135</f>
        <v>0</v>
      </c>
      <c r="R135" s="106">
        <f>'Cash Flow %s Yr3'!R135</f>
        <v>0</v>
      </c>
      <c r="S135" s="105">
        <f t="shared" si="9"/>
        <v>0.99999999999999989</v>
      </c>
    </row>
    <row r="136" spans="1:19" s="30" customFormat="1" hidden="1" outlineLevel="1" x14ac:dyDescent="0.3">
      <c r="A136" s="35"/>
      <c r="B136" s="62" t="str">
        <f>'Expenses Summary'!B96</f>
        <v>5875</v>
      </c>
      <c r="C136" s="62" t="str">
        <f>'Expenses Summary'!C96</f>
        <v>District Oversight Fee</v>
      </c>
      <c r="D136" s="106">
        <f>'Cash Flow %s Yr3'!D136</f>
        <v>0</v>
      </c>
      <c r="E136" s="106">
        <f>'Cash Flow %s Yr3'!E136</f>
        <v>0</v>
      </c>
      <c r="F136" s="106">
        <f>'Cash Flow %s Yr3'!F136</f>
        <v>0.1</v>
      </c>
      <c r="G136" s="106">
        <f>'Cash Flow %s Yr3'!G136</f>
        <v>0.1</v>
      </c>
      <c r="H136" s="106">
        <f>'Cash Flow %s Yr3'!H136</f>
        <v>0.1</v>
      </c>
      <c r="I136" s="106">
        <f>'Cash Flow %s Yr3'!I136</f>
        <v>0.1</v>
      </c>
      <c r="J136" s="106">
        <f>'Cash Flow %s Yr3'!J136</f>
        <v>0.1</v>
      </c>
      <c r="K136" s="106">
        <f>'Cash Flow %s Yr3'!K136</f>
        <v>0.1</v>
      </c>
      <c r="L136" s="106">
        <f>'Cash Flow %s Yr3'!L136</f>
        <v>0.1</v>
      </c>
      <c r="M136" s="106">
        <f>'Cash Flow %s Yr3'!M136</f>
        <v>0.1</v>
      </c>
      <c r="N136" s="106">
        <f>'Cash Flow %s Yr3'!N136</f>
        <v>0.1</v>
      </c>
      <c r="O136" s="106">
        <f>'Cash Flow %s Yr3'!O136</f>
        <v>0.1</v>
      </c>
      <c r="P136" s="106">
        <f>'Cash Flow %s Yr3'!P136</f>
        <v>0</v>
      </c>
      <c r="Q136" s="106">
        <f>'Cash Flow %s Yr3'!Q136</f>
        <v>0</v>
      </c>
      <c r="R136" s="106">
        <f>'Cash Flow %s Yr3'!R136</f>
        <v>0</v>
      </c>
      <c r="S136" s="105">
        <f t="shared" si="9"/>
        <v>0.99999999999999989</v>
      </c>
    </row>
    <row r="137" spans="1:19" s="30" customFormat="1" hidden="1" outlineLevel="1" x14ac:dyDescent="0.3">
      <c r="A137" s="35"/>
      <c r="B137" s="62" t="str">
        <f>'Expenses Summary'!B97</f>
        <v>5877</v>
      </c>
      <c r="C137" s="62" t="str">
        <f>'Expenses Summary'!C97</f>
        <v>IT Services</v>
      </c>
      <c r="D137" s="106">
        <f>'Cash Flow %s Yr3'!D137</f>
        <v>0</v>
      </c>
      <c r="E137" s="106">
        <f>'Cash Flow %s Yr3'!E137</f>
        <v>0</v>
      </c>
      <c r="F137" s="106">
        <f>'Cash Flow %s Yr3'!F137</f>
        <v>0.1</v>
      </c>
      <c r="G137" s="106">
        <f>'Cash Flow %s Yr3'!G137</f>
        <v>0.1</v>
      </c>
      <c r="H137" s="106">
        <f>'Cash Flow %s Yr3'!H137</f>
        <v>0.1</v>
      </c>
      <c r="I137" s="106">
        <f>'Cash Flow %s Yr3'!I137</f>
        <v>0.1</v>
      </c>
      <c r="J137" s="106">
        <f>'Cash Flow %s Yr3'!J137</f>
        <v>0.1</v>
      </c>
      <c r="K137" s="106">
        <f>'Cash Flow %s Yr3'!K137</f>
        <v>0.1</v>
      </c>
      <c r="L137" s="106">
        <f>'Cash Flow %s Yr3'!L137</f>
        <v>0.1</v>
      </c>
      <c r="M137" s="106">
        <f>'Cash Flow %s Yr3'!M137</f>
        <v>0.1</v>
      </c>
      <c r="N137" s="106">
        <f>'Cash Flow %s Yr3'!N137</f>
        <v>0.1</v>
      </c>
      <c r="O137" s="106">
        <f>'Cash Flow %s Yr3'!O137</f>
        <v>0.1</v>
      </c>
      <c r="P137" s="106">
        <f>'Cash Flow %s Yr3'!P137</f>
        <v>0</v>
      </c>
      <c r="Q137" s="106">
        <f>'Cash Flow %s Yr3'!Q137</f>
        <v>0</v>
      </c>
      <c r="R137" s="106">
        <f>'Cash Flow %s Yr3'!R137</f>
        <v>0</v>
      </c>
      <c r="S137" s="105">
        <f t="shared" si="9"/>
        <v>0.99999999999999989</v>
      </c>
    </row>
    <row r="138" spans="1:19" s="30" customFormat="1" hidden="1" outlineLevel="1" x14ac:dyDescent="0.3">
      <c r="A138" s="35"/>
      <c r="B138" s="62" t="str">
        <f>'Expenses Summary'!B98</f>
        <v>5885</v>
      </c>
      <c r="C138" s="62" t="str">
        <f>'Expenses Summary'!C98</f>
        <v>Summer School Program</v>
      </c>
      <c r="D138" s="106">
        <f>'Cash Flow %s Yr3'!D138</f>
        <v>0</v>
      </c>
      <c r="E138" s="106">
        <f>'Cash Flow %s Yr3'!E138</f>
        <v>0</v>
      </c>
      <c r="F138" s="106">
        <f>'Cash Flow %s Yr3'!F138</f>
        <v>0.1</v>
      </c>
      <c r="G138" s="106">
        <f>'Cash Flow %s Yr3'!G138</f>
        <v>0.1</v>
      </c>
      <c r="H138" s="106">
        <f>'Cash Flow %s Yr3'!H138</f>
        <v>0.1</v>
      </c>
      <c r="I138" s="106">
        <f>'Cash Flow %s Yr3'!I138</f>
        <v>0.1</v>
      </c>
      <c r="J138" s="106">
        <f>'Cash Flow %s Yr3'!J138</f>
        <v>0.1</v>
      </c>
      <c r="K138" s="106">
        <f>'Cash Flow %s Yr3'!K138</f>
        <v>0.1</v>
      </c>
      <c r="L138" s="106">
        <f>'Cash Flow %s Yr3'!L138</f>
        <v>0.1</v>
      </c>
      <c r="M138" s="106">
        <f>'Cash Flow %s Yr3'!M138</f>
        <v>0.1</v>
      </c>
      <c r="N138" s="106">
        <f>'Cash Flow %s Yr3'!N138</f>
        <v>0.1</v>
      </c>
      <c r="O138" s="106">
        <f>'Cash Flow %s Yr3'!O138</f>
        <v>0.1</v>
      </c>
      <c r="P138" s="106">
        <f>'Cash Flow %s Yr3'!P138</f>
        <v>0</v>
      </c>
      <c r="Q138" s="106">
        <f>'Cash Flow %s Yr3'!Q138</f>
        <v>0</v>
      </c>
      <c r="R138" s="106">
        <f>'Cash Flow %s Yr3'!R138</f>
        <v>0</v>
      </c>
      <c r="S138" s="105">
        <f t="shared" si="9"/>
        <v>0.99999999999999989</v>
      </c>
    </row>
    <row r="139" spans="1:19" s="30" customFormat="1" hidden="1" outlineLevel="1" x14ac:dyDescent="0.3">
      <c r="A139" s="35"/>
      <c r="B139" s="62" t="str">
        <f>'Expenses Summary'!B99</f>
        <v>5890</v>
      </c>
      <c r="C139" s="62" t="str">
        <f>'Expenses Summary'!C99</f>
        <v>Interest Expense / Misc. Fees</v>
      </c>
      <c r="D139" s="106">
        <f>'Cash Flow %s Yr3'!D139</f>
        <v>0</v>
      </c>
      <c r="E139" s="106">
        <f>'Cash Flow %s Yr3'!E139</f>
        <v>0</v>
      </c>
      <c r="F139" s="106">
        <f>'Cash Flow %s Yr3'!F139</f>
        <v>0.1</v>
      </c>
      <c r="G139" s="106">
        <f>'Cash Flow %s Yr3'!G139</f>
        <v>0.1</v>
      </c>
      <c r="H139" s="106">
        <f>'Cash Flow %s Yr3'!H139</f>
        <v>0.1</v>
      </c>
      <c r="I139" s="106">
        <f>'Cash Flow %s Yr3'!I139</f>
        <v>0.1</v>
      </c>
      <c r="J139" s="106">
        <f>'Cash Flow %s Yr3'!J139</f>
        <v>0.1</v>
      </c>
      <c r="K139" s="106">
        <f>'Cash Flow %s Yr3'!K139</f>
        <v>0.1</v>
      </c>
      <c r="L139" s="106">
        <f>'Cash Flow %s Yr3'!L139</f>
        <v>0.1</v>
      </c>
      <c r="M139" s="106">
        <f>'Cash Flow %s Yr3'!M139</f>
        <v>0.1</v>
      </c>
      <c r="N139" s="106">
        <f>'Cash Flow %s Yr3'!N139</f>
        <v>0.1</v>
      </c>
      <c r="O139" s="106">
        <f>'Cash Flow %s Yr3'!O139</f>
        <v>0.1</v>
      </c>
      <c r="P139" s="106">
        <f>'Cash Flow %s Yr3'!P139</f>
        <v>0</v>
      </c>
      <c r="Q139" s="106">
        <f>'Cash Flow %s Yr3'!Q139</f>
        <v>0</v>
      </c>
      <c r="R139" s="106">
        <f>'Cash Flow %s Yr3'!R139</f>
        <v>0</v>
      </c>
      <c r="S139" s="105">
        <f t="shared" si="9"/>
        <v>0.99999999999999989</v>
      </c>
    </row>
    <row r="140" spans="1:19" s="30" customFormat="1" hidden="1" outlineLevel="1" x14ac:dyDescent="0.3">
      <c r="A140" s="35"/>
      <c r="B140" s="62" t="str">
        <f>'Expenses Summary'!B100</f>
        <v>5900</v>
      </c>
      <c r="C140" s="62" t="str">
        <f>'Expenses Summary'!C100</f>
        <v>Communications</v>
      </c>
      <c r="D140" s="106">
        <f>'Cash Flow %s Yr3'!D140</f>
        <v>0</v>
      </c>
      <c r="E140" s="106">
        <f>'Cash Flow %s Yr3'!E140</f>
        <v>0</v>
      </c>
      <c r="F140" s="106">
        <f>'Cash Flow %s Yr3'!F140</f>
        <v>0.1</v>
      </c>
      <c r="G140" s="106">
        <f>'Cash Flow %s Yr3'!G140</f>
        <v>0.1</v>
      </c>
      <c r="H140" s="106">
        <f>'Cash Flow %s Yr3'!H140</f>
        <v>0.1</v>
      </c>
      <c r="I140" s="106">
        <f>'Cash Flow %s Yr3'!I140</f>
        <v>0.1</v>
      </c>
      <c r="J140" s="106">
        <f>'Cash Flow %s Yr3'!J140</f>
        <v>0.1</v>
      </c>
      <c r="K140" s="106">
        <f>'Cash Flow %s Yr3'!K140</f>
        <v>0.1</v>
      </c>
      <c r="L140" s="106">
        <f>'Cash Flow %s Yr3'!L140</f>
        <v>0.1</v>
      </c>
      <c r="M140" s="106">
        <f>'Cash Flow %s Yr3'!M140</f>
        <v>0.1</v>
      </c>
      <c r="N140" s="106">
        <f>'Cash Flow %s Yr3'!N140</f>
        <v>0.1</v>
      </c>
      <c r="O140" s="106">
        <f>'Cash Flow %s Yr3'!O140</f>
        <v>0.1</v>
      </c>
      <c r="P140" s="106">
        <f>'Cash Flow %s Yr3'!P140</f>
        <v>0</v>
      </c>
      <c r="Q140" s="106">
        <f>'Cash Flow %s Yr3'!Q140</f>
        <v>0</v>
      </c>
      <c r="R140" s="106">
        <f>'Cash Flow %s Yr3'!R140</f>
        <v>0</v>
      </c>
      <c r="S140" s="105">
        <f t="shared" si="9"/>
        <v>0.99999999999999989</v>
      </c>
    </row>
    <row r="141" spans="1:19" s="30" customFormat="1" hidden="1" outlineLevel="1" x14ac:dyDescent="0.3">
      <c r="A141" s="35"/>
      <c r="B141" s="62" t="str">
        <f>'Expenses Summary'!B101</f>
        <v>7010</v>
      </c>
      <c r="C141" s="62" t="str">
        <f>'Expenses Summary'!C101</f>
        <v>Special Education Encroachment</v>
      </c>
      <c r="D141" s="106">
        <f>'Cash Flow %s Yr3'!D141</f>
        <v>0</v>
      </c>
      <c r="E141" s="106">
        <f>'Cash Flow %s Yr3'!E141</f>
        <v>0</v>
      </c>
      <c r="F141" s="106">
        <f>'Cash Flow %s Yr3'!F141</f>
        <v>0.1</v>
      </c>
      <c r="G141" s="106">
        <f>'Cash Flow %s Yr3'!G141</f>
        <v>0.1</v>
      </c>
      <c r="H141" s="106">
        <f>'Cash Flow %s Yr3'!H141</f>
        <v>0.1</v>
      </c>
      <c r="I141" s="106">
        <f>'Cash Flow %s Yr3'!I141</f>
        <v>0.1</v>
      </c>
      <c r="J141" s="106">
        <f>'Cash Flow %s Yr3'!J141</f>
        <v>0.1</v>
      </c>
      <c r="K141" s="106">
        <f>'Cash Flow %s Yr3'!K141</f>
        <v>0.1</v>
      </c>
      <c r="L141" s="106">
        <f>'Cash Flow %s Yr3'!L141</f>
        <v>0.1</v>
      </c>
      <c r="M141" s="106">
        <f>'Cash Flow %s Yr3'!M141</f>
        <v>0.1</v>
      </c>
      <c r="N141" s="106">
        <f>'Cash Flow %s Yr3'!N141</f>
        <v>0.1</v>
      </c>
      <c r="O141" s="106">
        <f>'Cash Flow %s Yr3'!O141</f>
        <v>0.1</v>
      </c>
      <c r="P141" s="106">
        <f>'Cash Flow %s Yr3'!P141</f>
        <v>0</v>
      </c>
      <c r="Q141" s="106">
        <f>'Cash Flow %s Yr3'!Q141</f>
        <v>0</v>
      </c>
      <c r="R141" s="106">
        <f>'Cash Flow %s Yr3'!R141</f>
        <v>0</v>
      </c>
      <c r="S141" s="105">
        <f t="shared" si="9"/>
        <v>0.99999999999999989</v>
      </c>
    </row>
    <row r="142" spans="1:19" s="30" customFormat="1" hidden="1" outlineLevel="1" x14ac:dyDescent="0.3">
      <c r="A142" s="35"/>
      <c r="B142" s="62" t="e">
        <f>'Expenses Summary'!#REF!</f>
        <v>#REF!</v>
      </c>
      <c r="C142" s="62" t="e">
        <f>'Expenses Summary'!#REF!</f>
        <v>#REF!</v>
      </c>
      <c r="D142" s="106">
        <f>'Cash Flow %s Yr3'!D142</f>
        <v>0</v>
      </c>
      <c r="E142" s="106">
        <f>'Cash Flow %s Yr3'!E142</f>
        <v>0</v>
      </c>
      <c r="F142" s="106">
        <f>'Cash Flow %s Yr3'!F142</f>
        <v>0.1</v>
      </c>
      <c r="G142" s="106">
        <f>'Cash Flow %s Yr3'!G142</f>
        <v>0.1</v>
      </c>
      <c r="H142" s="106">
        <f>'Cash Flow %s Yr3'!H142</f>
        <v>0.1</v>
      </c>
      <c r="I142" s="106">
        <f>'Cash Flow %s Yr3'!I142</f>
        <v>0.1</v>
      </c>
      <c r="J142" s="106">
        <f>'Cash Flow %s Yr3'!J142</f>
        <v>0.1</v>
      </c>
      <c r="K142" s="106">
        <f>'Cash Flow %s Yr3'!K142</f>
        <v>0.1</v>
      </c>
      <c r="L142" s="106">
        <f>'Cash Flow %s Yr3'!L142</f>
        <v>0.1</v>
      </c>
      <c r="M142" s="106">
        <f>'Cash Flow %s Yr3'!M142</f>
        <v>0.1</v>
      </c>
      <c r="N142" s="106">
        <f>'Cash Flow %s Yr3'!N142</f>
        <v>0.1</v>
      </c>
      <c r="O142" s="106">
        <f>'Cash Flow %s Yr3'!O142</f>
        <v>0.1</v>
      </c>
      <c r="P142" s="106">
        <f>'Cash Flow %s Yr3'!P142</f>
        <v>0</v>
      </c>
      <c r="Q142" s="106">
        <f>'Cash Flow %s Yr3'!Q142</f>
        <v>0</v>
      </c>
      <c r="R142" s="106">
        <f>'Cash Flow %s Yr3'!R142</f>
        <v>0</v>
      </c>
      <c r="S142" s="105">
        <f>SUM(D142:R142)</f>
        <v>0.99999999999999989</v>
      </c>
    </row>
    <row r="143" spans="1:19" s="30" customFormat="1" collapsed="1" x14ac:dyDescent="0.3">
      <c r="A143" s="35"/>
      <c r="B143" s="62" t="str">
        <f>'Expenses Summary'!B102</f>
        <v>5999</v>
      </c>
      <c r="C143" s="62" t="str">
        <f>'Expenses Summary'!C102</f>
        <v>Expense Suspense</v>
      </c>
      <c r="D143" s="106">
        <f>'Cash Flow %s Yr3'!D143</f>
        <v>0.05</v>
      </c>
      <c r="E143" s="106">
        <f>'Cash Flow %s Yr3'!E143</f>
        <v>0.05</v>
      </c>
      <c r="F143" s="106">
        <f>'Cash Flow %s Yr3'!F143</f>
        <v>0.09</v>
      </c>
      <c r="G143" s="106">
        <f>'Cash Flow %s Yr3'!G143</f>
        <v>0.09</v>
      </c>
      <c r="H143" s="106">
        <f>'Cash Flow %s Yr3'!H143</f>
        <v>0.09</v>
      </c>
      <c r="I143" s="106">
        <f>'Cash Flow %s Yr3'!I143</f>
        <v>0.09</v>
      </c>
      <c r="J143" s="106">
        <f>'Cash Flow %s Yr3'!J143</f>
        <v>0.09</v>
      </c>
      <c r="K143" s="106">
        <f>'Cash Flow %s Yr3'!K143</f>
        <v>0.09</v>
      </c>
      <c r="L143" s="106">
        <f>'Cash Flow %s Yr3'!L143</f>
        <v>0.09</v>
      </c>
      <c r="M143" s="106">
        <f>'Cash Flow %s Yr3'!M143</f>
        <v>0.09</v>
      </c>
      <c r="N143" s="106">
        <f>'Cash Flow %s Yr3'!N143</f>
        <v>0.09</v>
      </c>
      <c r="O143" s="106">
        <f>'Cash Flow %s Yr3'!O143</f>
        <v>0.09</v>
      </c>
      <c r="P143" s="106">
        <f>'Cash Flow %s Yr3'!P143</f>
        <v>0</v>
      </c>
      <c r="Q143" s="106">
        <f>'Cash Flow %s Yr3'!Q143</f>
        <v>0</v>
      </c>
      <c r="R143" s="106">
        <f>'Cash Flow %s Yr3'!R143</f>
        <v>0</v>
      </c>
      <c r="S143" s="105">
        <f>SUM(D143:R143)</f>
        <v>0.99999999999999978</v>
      </c>
    </row>
    <row r="144" spans="1:19" s="30" customFormat="1" x14ac:dyDescent="0.3">
      <c r="A144" s="35"/>
      <c r="B144" s="118"/>
      <c r="C144" s="87"/>
      <c r="D144" s="94"/>
      <c r="E144" s="94"/>
      <c r="F144" s="94"/>
      <c r="G144" s="94"/>
      <c r="H144" s="94"/>
      <c r="I144" s="94"/>
      <c r="J144" s="94"/>
      <c r="K144" s="94"/>
      <c r="L144" s="94"/>
      <c r="M144" s="94"/>
      <c r="N144" s="94"/>
      <c r="O144" s="94"/>
      <c r="P144" s="102"/>
      <c r="Q144" s="102"/>
      <c r="R144" s="102"/>
      <c r="S144" s="105"/>
    </row>
    <row r="145" spans="1:24" s="30" customFormat="1" x14ac:dyDescent="0.3">
      <c r="A145" s="35"/>
      <c r="B145" s="4"/>
      <c r="C145" s="3"/>
      <c r="D145" s="89"/>
      <c r="E145" s="89"/>
      <c r="F145" s="89"/>
      <c r="G145" s="89"/>
      <c r="H145" s="89"/>
      <c r="I145" s="89"/>
      <c r="J145" s="89"/>
      <c r="K145" s="89"/>
      <c r="L145" s="89"/>
      <c r="M145" s="89"/>
      <c r="N145" s="89"/>
      <c r="O145" s="89"/>
      <c r="P145" s="89"/>
      <c r="Q145" s="89"/>
      <c r="R145" s="89"/>
      <c r="S145" s="105"/>
    </row>
    <row r="146" spans="1:24" s="30" customFormat="1" x14ac:dyDescent="0.3">
      <c r="B146" s="33" t="s">
        <v>722</v>
      </c>
      <c r="C146" s="3"/>
      <c r="D146" s="89"/>
      <c r="E146" s="89"/>
      <c r="F146" s="89"/>
      <c r="G146" s="89"/>
      <c r="H146" s="89"/>
      <c r="I146" s="89"/>
      <c r="J146" s="89"/>
      <c r="K146" s="89"/>
      <c r="L146" s="89"/>
      <c r="M146" s="89"/>
      <c r="N146" s="89"/>
      <c r="O146" s="89"/>
      <c r="P146" s="89"/>
      <c r="Q146" s="89"/>
      <c r="R146" s="89"/>
      <c r="S146" s="105"/>
    </row>
    <row r="147" spans="1:24" s="30" customFormat="1" x14ac:dyDescent="0.3">
      <c r="A147" s="35"/>
      <c r="B147" s="62" t="str">
        <f>'Expenses Summary'!B106</f>
        <v>6900</v>
      </c>
      <c r="C147" s="62" t="str">
        <f>'Expenses Summary'!C106</f>
        <v xml:space="preserve">Depreciation Expense      </v>
      </c>
      <c r="D147" s="106">
        <f>'Cash Flow %s Yr3'!D147</f>
        <v>0</v>
      </c>
      <c r="E147" s="106">
        <f>'Cash Flow %s Yr3'!E147</f>
        <v>0</v>
      </c>
      <c r="F147" s="106">
        <f>'Cash Flow %s Yr3'!F147</f>
        <v>0</v>
      </c>
      <c r="G147" s="106">
        <f>'Cash Flow %s Yr3'!G147</f>
        <v>0</v>
      </c>
      <c r="H147" s="106">
        <f>'Cash Flow %s Yr3'!H147</f>
        <v>0</v>
      </c>
      <c r="I147" s="106">
        <f>'Cash Flow %s Yr3'!I147</f>
        <v>0</v>
      </c>
      <c r="J147" s="106">
        <f>'Cash Flow %s Yr3'!J147</f>
        <v>0</v>
      </c>
      <c r="K147" s="106">
        <f>'Cash Flow %s Yr3'!K147</f>
        <v>0</v>
      </c>
      <c r="L147" s="106">
        <f>'Cash Flow %s Yr3'!L147</f>
        <v>0</v>
      </c>
      <c r="M147" s="106">
        <f>'Cash Flow %s Yr3'!M147</f>
        <v>0</v>
      </c>
      <c r="N147" s="106">
        <f>'Cash Flow %s Yr3'!N147</f>
        <v>0</v>
      </c>
      <c r="O147" s="106">
        <f>'Cash Flow %s Yr3'!O147</f>
        <v>1</v>
      </c>
      <c r="P147" s="106">
        <f>'Cash Flow %s Yr3'!P147</f>
        <v>0</v>
      </c>
      <c r="Q147" s="106">
        <f>'Cash Flow %s Yr3'!Q147</f>
        <v>0</v>
      </c>
      <c r="R147" s="106">
        <f>'Cash Flow %s Yr3'!R147</f>
        <v>0</v>
      </c>
      <c r="S147" s="105">
        <f>SUM(D147:R147)</f>
        <v>1</v>
      </c>
    </row>
    <row r="148" spans="1:24" s="30" customFormat="1" x14ac:dyDescent="0.3">
      <c r="A148" s="35"/>
      <c r="B148" s="118"/>
      <c r="C148" s="87"/>
      <c r="D148" s="94"/>
      <c r="E148" s="94"/>
      <c r="F148" s="94"/>
      <c r="G148" s="94"/>
      <c r="H148" s="94"/>
      <c r="I148" s="102"/>
      <c r="J148" s="102"/>
      <c r="K148" s="102"/>
      <c r="L148" s="102"/>
      <c r="M148" s="102"/>
      <c r="N148" s="102"/>
      <c r="O148" s="102"/>
      <c r="P148" s="102"/>
      <c r="Q148" s="102"/>
      <c r="R148" s="102"/>
      <c r="S148" s="105"/>
    </row>
    <row r="149" spans="1:24" s="30" customFormat="1" x14ac:dyDescent="0.3">
      <c r="A149" s="35"/>
      <c r="B149" s="4"/>
      <c r="C149" s="3"/>
      <c r="D149" s="89"/>
      <c r="E149" s="98"/>
      <c r="F149" s="98"/>
      <c r="G149" s="89"/>
      <c r="H149" s="89"/>
      <c r="I149" s="89"/>
      <c r="J149" s="89"/>
      <c r="K149" s="89"/>
      <c r="L149" s="89"/>
      <c r="M149" s="89"/>
      <c r="N149" s="89"/>
      <c r="O149" s="89"/>
      <c r="P149" s="89"/>
      <c r="Q149" s="89"/>
      <c r="R149" s="89"/>
      <c r="S149" s="105"/>
    </row>
    <row r="150" spans="1:24" s="30" customFormat="1" x14ac:dyDescent="0.3">
      <c r="B150" s="33" t="s">
        <v>723</v>
      </c>
      <c r="C150" s="3"/>
      <c r="D150" s="89"/>
      <c r="E150" s="98"/>
      <c r="F150" s="98"/>
      <c r="G150" s="89"/>
      <c r="H150" s="89"/>
      <c r="I150" s="89"/>
      <c r="J150" s="89"/>
      <c r="K150" s="89"/>
      <c r="L150" s="89"/>
      <c r="M150" s="89"/>
      <c r="N150" s="89"/>
      <c r="O150" s="89"/>
      <c r="P150" s="89"/>
      <c r="Q150" s="89"/>
      <c r="R150" s="89"/>
      <c r="S150" s="105"/>
    </row>
    <row r="151" spans="1:24" s="30" customFormat="1" x14ac:dyDescent="0.3">
      <c r="A151" s="35"/>
      <c r="B151" s="62" t="str">
        <f>'Expenses Summary'!B110</f>
        <v>7000</v>
      </c>
      <c r="C151" s="62" t="str">
        <f>'Expenses Summary'!C110</f>
        <v>Miscellaneous Expense</v>
      </c>
      <c r="D151" s="106">
        <f>'Cash Flow %s Yr3'!D151</f>
        <v>0.05</v>
      </c>
      <c r="E151" s="106">
        <f>'Cash Flow %s Yr3'!E151</f>
        <v>0.05</v>
      </c>
      <c r="F151" s="106">
        <f>'Cash Flow %s Yr3'!F151</f>
        <v>0.09</v>
      </c>
      <c r="G151" s="106">
        <f>'Cash Flow %s Yr3'!G151</f>
        <v>0.09</v>
      </c>
      <c r="H151" s="106">
        <f>'Cash Flow %s Yr3'!H151</f>
        <v>0.09</v>
      </c>
      <c r="I151" s="106">
        <f>'Cash Flow %s Yr3'!I151</f>
        <v>0.09</v>
      </c>
      <c r="J151" s="106">
        <f>'Cash Flow %s Yr3'!J151</f>
        <v>0.09</v>
      </c>
      <c r="K151" s="106">
        <f>'Cash Flow %s Yr3'!K151</f>
        <v>0.09</v>
      </c>
      <c r="L151" s="106">
        <f>'Cash Flow %s Yr3'!L151</f>
        <v>0.09</v>
      </c>
      <c r="M151" s="106">
        <f>'Cash Flow %s Yr3'!M151</f>
        <v>0.09</v>
      </c>
      <c r="N151" s="106">
        <f>'Cash Flow %s Yr3'!N151</f>
        <v>0.09</v>
      </c>
      <c r="O151" s="106">
        <f>'Cash Flow %s Yr3'!O151</f>
        <v>0.09</v>
      </c>
      <c r="P151" s="106">
        <f>'Cash Flow %s Yr3'!P151</f>
        <v>0</v>
      </c>
      <c r="Q151" s="106">
        <f>'Cash Flow %s Yr3'!Q151</f>
        <v>0</v>
      </c>
      <c r="R151" s="106">
        <f>'Cash Flow %s Yr3'!R151</f>
        <v>0</v>
      </c>
      <c r="S151" s="105">
        <f>SUM(D151:R151)</f>
        <v>0.99999999999999978</v>
      </c>
    </row>
    <row r="152" spans="1:24" s="30" customFormat="1" x14ac:dyDescent="0.3">
      <c r="A152" s="35"/>
      <c r="B152" s="62" t="e">
        <f>'Expenses Summary'!#REF!</f>
        <v>#REF!</v>
      </c>
      <c r="C152" s="62" t="e">
        <f>'Expenses Summary'!#REF!</f>
        <v>#REF!</v>
      </c>
      <c r="D152" s="106">
        <f>'Cash Flow %s Yr3'!D152</f>
        <v>0</v>
      </c>
      <c r="E152" s="106">
        <f>'Cash Flow %s Yr3'!E152</f>
        <v>0</v>
      </c>
      <c r="F152" s="106">
        <f>'Cash Flow %s Yr3'!F152</f>
        <v>0.1</v>
      </c>
      <c r="G152" s="106">
        <f>'Cash Flow %s Yr3'!G152</f>
        <v>0.1</v>
      </c>
      <c r="H152" s="106">
        <f>'Cash Flow %s Yr3'!H152</f>
        <v>0.1</v>
      </c>
      <c r="I152" s="106">
        <f>'Cash Flow %s Yr3'!I152</f>
        <v>0.1</v>
      </c>
      <c r="J152" s="106">
        <f>'Cash Flow %s Yr3'!J152</f>
        <v>0.1</v>
      </c>
      <c r="K152" s="106">
        <f>'Cash Flow %s Yr3'!K152</f>
        <v>0.1</v>
      </c>
      <c r="L152" s="106">
        <f>'Cash Flow %s Yr3'!L152</f>
        <v>0.1</v>
      </c>
      <c r="M152" s="106">
        <f>'Cash Flow %s Yr3'!M152</f>
        <v>0.1</v>
      </c>
      <c r="N152" s="106">
        <f>'Cash Flow %s Yr3'!N152</f>
        <v>0.1</v>
      </c>
      <c r="O152" s="106">
        <f>'Cash Flow %s Yr3'!O152</f>
        <v>0.1</v>
      </c>
      <c r="P152" s="106">
        <f>'Cash Flow %s Yr3'!P152</f>
        <v>0</v>
      </c>
      <c r="Q152" s="106">
        <f>'Cash Flow %s Yr3'!Q152</f>
        <v>0</v>
      </c>
      <c r="R152" s="106">
        <f>'Cash Flow %s Yr3'!R152</f>
        <v>0</v>
      </c>
      <c r="S152" s="105">
        <f>SUM(D152:R152)</f>
        <v>0.99999999999999989</v>
      </c>
    </row>
    <row r="153" spans="1:24" s="30" customFormat="1" x14ac:dyDescent="0.3">
      <c r="A153" s="35"/>
      <c r="B153" s="62" t="str">
        <f>'Expenses Summary'!B111</f>
        <v>7438</v>
      </c>
      <c r="C153" s="62" t="str">
        <f>'Expenses Summary'!C111</f>
        <v xml:space="preserve">Debt </v>
      </c>
      <c r="D153" s="106">
        <f>'Cash Flow %s Yr3'!D153</f>
        <v>0</v>
      </c>
      <c r="E153" s="106">
        <f>'Cash Flow %s Yr3'!E153</f>
        <v>0</v>
      </c>
      <c r="F153" s="106">
        <f>'Cash Flow %s Yr3'!F153</f>
        <v>0</v>
      </c>
      <c r="G153" s="106">
        <f>'Cash Flow %s Yr3'!G153</f>
        <v>0</v>
      </c>
      <c r="H153" s="106">
        <f>'Cash Flow %s Yr3'!H153</f>
        <v>0</v>
      </c>
      <c r="I153" s="106">
        <f>'Cash Flow %s Yr3'!I153</f>
        <v>0</v>
      </c>
      <c r="J153" s="106">
        <f>'Cash Flow %s Yr3'!J153</f>
        <v>0</v>
      </c>
      <c r="K153" s="106">
        <f>'Cash Flow %s Yr3'!K153</f>
        <v>0</v>
      </c>
      <c r="L153" s="106">
        <f>'Cash Flow %s Yr3'!L153</f>
        <v>0</v>
      </c>
      <c r="M153" s="106">
        <f>'Cash Flow %s Yr3'!M153</f>
        <v>0</v>
      </c>
      <c r="N153" s="106">
        <f>'Cash Flow %s Yr3'!N153</f>
        <v>0</v>
      </c>
      <c r="O153" s="106">
        <f>'Cash Flow %s Yr3'!O153</f>
        <v>1</v>
      </c>
      <c r="P153" s="106">
        <f>'Cash Flow %s Yr3'!P153</f>
        <v>0</v>
      </c>
      <c r="Q153" s="106">
        <f>'Cash Flow %s Yr3'!Q153</f>
        <v>0</v>
      </c>
      <c r="R153" s="106">
        <f>'Cash Flow %s Yr3'!R153</f>
        <v>0</v>
      </c>
      <c r="S153" s="105">
        <f>SUM(D153:R153)</f>
        <v>1</v>
      </c>
    </row>
    <row r="154" spans="1:24" s="30" customFormat="1" x14ac:dyDescent="0.3">
      <c r="A154" s="35"/>
      <c r="B154" s="62" t="str">
        <f>'Expenses Summary'!B112</f>
        <v>8910</v>
      </c>
      <c r="C154" s="62" t="str">
        <f>'Expenses Summary'!C112</f>
        <v>Transfer in From LLC</v>
      </c>
      <c r="D154" s="106">
        <f>'Cash Flow %s Yr3'!D154</f>
        <v>0</v>
      </c>
      <c r="E154" s="106">
        <f>'Cash Flow %s Yr3'!E154</f>
        <v>0</v>
      </c>
      <c r="F154" s="106">
        <f>'Cash Flow %s Yr3'!F154</f>
        <v>0</v>
      </c>
      <c r="G154" s="106">
        <f>'Cash Flow %s Yr3'!G154</f>
        <v>0</v>
      </c>
      <c r="H154" s="106">
        <f>'Cash Flow %s Yr3'!H154</f>
        <v>0</v>
      </c>
      <c r="I154" s="106">
        <f>'Cash Flow %s Yr3'!I154</f>
        <v>0</v>
      </c>
      <c r="J154" s="106">
        <f>'Cash Flow %s Yr3'!J154</f>
        <v>0</v>
      </c>
      <c r="K154" s="106">
        <f>'Cash Flow %s Yr3'!K154</f>
        <v>0</v>
      </c>
      <c r="L154" s="106">
        <f>'Cash Flow %s Yr3'!L154</f>
        <v>0</v>
      </c>
      <c r="M154" s="106">
        <f>'Cash Flow %s Yr3'!M154</f>
        <v>0</v>
      </c>
      <c r="N154" s="106">
        <f>'Cash Flow %s Yr3'!N154</f>
        <v>0</v>
      </c>
      <c r="O154" s="106">
        <f>'Cash Flow %s Yr3'!O154</f>
        <v>1</v>
      </c>
      <c r="P154" s="106">
        <f>'Cash Flow %s Yr3'!P154</f>
        <v>0</v>
      </c>
      <c r="Q154" s="106">
        <f>'Cash Flow %s Yr3'!Q154</f>
        <v>0</v>
      </c>
      <c r="R154" s="106">
        <f>'Cash Flow %s Yr3'!R154</f>
        <v>0</v>
      </c>
      <c r="S154" s="105">
        <f>SUM(D154:R154)</f>
        <v>1</v>
      </c>
    </row>
    <row r="155" spans="1:24" s="30" customFormat="1" x14ac:dyDescent="0.3">
      <c r="A155" s="35"/>
      <c r="B155" s="39"/>
      <c r="C155" s="1"/>
      <c r="D155" s="99"/>
      <c r="E155" s="99"/>
      <c r="F155" s="99"/>
      <c r="G155" s="99"/>
      <c r="H155" s="99"/>
      <c r="I155" s="99"/>
      <c r="J155" s="99"/>
      <c r="K155" s="99"/>
      <c r="L155" s="99"/>
      <c r="M155" s="99"/>
      <c r="N155" s="99"/>
      <c r="O155" s="99"/>
      <c r="P155" s="99"/>
      <c r="Q155" s="99"/>
      <c r="R155" s="99"/>
      <c r="S155" s="105"/>
    </row>
    <row r="156" spans="1:24" s="30" customFormat="1" x14ac:dyDescent="0.3">
      <c r="A156" s="35"/>
      <c r="B156" s="39"/>
      <c r="C156" s="1"/>
      <c r="D156" s="89"/>
      <c r="E156" s="89"/>
      <c r="F156" s="89"/>
      <c r="G156" s="89"/>
      <c r="H156" s="89"/>
      <c r="I156" s="89"/>
      <c r="J156" s="89"/>
      <c r="K156" s="89"/>
      <c r="L156" s="89"/>
      <c r="M156" s="89"/>
      <c r="N156" s="89"/>
      <c r="O156" s="89"/>
      <c r="P156" s="89"/>
      <c r="Q156" s="89"/>
      <c r="R156" s="89"/>
      <c r="S156" s="105"/>
      <c r="T156" s="148"/>
    </row>
    <row r="157" spans="1:24" s="30" customFormat="1" x14ac:dyDescent="0.3">
      <c r="A157" s="35"/>
      <c r="B157" s="33" t="s">
        <v>818</v>
      </c>
      <c r="C157" s="3"/>
      <c r="D157" s="89"/>
      <c r="E157" s="98"/>
      <c r="F157" s="98"/>
      <c r="G157" s="89"/>
      <c r="H157" s="89"/>
      <c r="I157" s="89"/>
      <c r="J157" s="89"/>
      <c r="K157" s="89"/>
      <c r="L157" s="89"/>
      <c r="M157" s="89"/>
      <c r="N157" s="89"/>
      <c r="O157" s="89"/>
      <c r="P157" s="89"/>
      <c r="Q157" s="89"/>
      <c r="R157" s="89"/>
      <c r="S157" s="105"/>
    </row>
    <row r="158" spans="1:24" s="30" customFormat="1" x14ac:dyDescent="0.3">
      <c r="A158" s="35"/>
      <c r="B158" s="62"/>
      <c r="C158" s="129" t="s">
        <v>819</v>
      </c>
      <c r="D158" s="106">
        <f>'Cash Flow %s Yr3'!D158</f>
        <v>1</v>
      </c>
      <c r="E158" s="106">
        <f>'Cash Flow %s Yr3'!E158</f>
        <v>0</v>
      </c>
      <c r="F158" s="106">
        <f>'Cash Flow %s Yr3'!F158</f>
        <v>0</v>
      </c>
      <c r="G158" s="106">
        <f>'Cash Flow %s Yr3'!G158</f>
        <v>0</v>
      </c>
      <c r="H158" s="106">
        <f>'Cash Flow %s Yr3'!H158</f>
        <v>0</v>
      </c>
      <c r="I158" s="106">
        <f>'Cash Flow %s Yr3'!I158</f>
        <v>0</v>
      </c>
      <c r="J158" s="106">
        <f>'Cash Flow %s Yr3'!J158</f>
        <v>0</v>
      </c>
      <c r="K158" s="106">
        <f>'Cash Flow %s Yr3'!K158</f>
        <v>0</v>
      </c>
      <c r="L158" s="106">
        <f>'Cash Flow %s Yr3'!L158</f>
        <v>0</v>
      </c>
      <c r="M158" s="106">
        <f>'Cash Flow %s Yr3'!M158</f>
        <v>0</v>
      </c>
      <c r="N158" s="106">
        <f>'Cash Flow %s Yr3'!N158</f>
        <v>0</v>
      </c>
      <c r="O158" s="106">
        <f>'Cash Flow %s Yr3'!O158</f>
        <v>0</v>
      </c>
      <c r="P158" s="106">
        <f>'Cash Flow %s Yr3'!P158</f>
        <v>0</v>
      </c>
      <c r="Q158" s="106">
        <f>'Cash Flow %s Yr3'!Q158</f>
        <v>0</v>
      </c>
      <c r="R158" s="106">
        <f>'Cash Flow %s Yr3'!R158</f>
        <v>0</v>
      </c>
      <c r="S158" s="105">
        <f>SUM(D158:R158)</f>
        <v>1</v>
      </c>
      <c r="T158" s="143"/>
      <c r="U158" s="143"/>
      <c r="V158" s="143"/>
      <c r="W158" s="143"/>
      <c r="X158" s="143"/>
    </row>
    <row r="159" spans="1:24" s="30" customFormat="1" x14ac:dyDescent="0.3">
      <c r="A159" s="35"/>
      <c r="B159" s="62"/>
      <c r="C159" s="129" t="s">
        <v>820</v>
      </c>
      <c r="D159" s="106">
        <f>'Cash Flow %s Yr3'!D159</f>
        <v>0.6</v>
      </c>
      <c r="E159" s="106">
        <f>'Cash Flow %s Yr3'!E159</f>
        <v>0.25</v>
      </c>
      <c r="F159" s="106">
        <f>'Cash Flow %s Yr3'!F159</f>
        <v>0.1</v>
      </c>
      <c r="G159" s="106">
        <f>'Cash Flow %s Yr3'!G159</f>
        <v>0.05</v>
      </c>
      <c r="H159" s="106">
        <f>'Cash Flow %s Yr3'!H159</f>
        <v>0</v>
      </c>
      <c r="I159" s="106">
        <f>'Cash Flow %s Yr3'!I159</f>
        <v>0</v>
      </c>
      <c r="J159" s="106">
        <f>'Cash Flow %s Yr3'!J159</f>
        <v>0</v>
      </c>
      <c r="K159" s="106">
        <f>'Cash Flow %s Yr3'!K159</f>
        <v>0</v>
      </c>
      <c r="L159" s="106">
        <f>'Cash Flow %s Yr3'!L159</f>
        <v>0</v>
      </c>
      <c r="M159" s="106">
        <f>'Cash Flow %s Yr3'!M159</f>
        <v>0</v>
      </c>
      <c r="N159" s="106">
        <f>'Cash Flow %s Yr3'!N159</f>
        <v>0</v>
      </c>
      <c r="O159" s="106">
        <f>'Cash Flow %s Yr3'!O159</f>
        <v>0</v>
      </c>
      <c r="P159" s="106">
        <f>'Cash Flow %s Yr3'!P159</f>
        <v>0</v>
      </c>
      <c r="Q159" s="106">
        <f>'Cash Flow %s Yr3'!Q159</f>
        <v>0</v>
      </c>
      <c r="R159" s="106">
        <f>'Cash Flow %s Yr3'!R159</f>
        <v>0</v>
      </c>
      <c r="S159" s="105">
        <f>SUM(D159:R159)</f>
        <v>1</v>
      </c>
      <c r="T159" s="143"/>
      <c r="U159" s="143"/>
      <c r="V159" s="143"/>
      <c r="W159" s="143"/>
      <c r="X159" s="143"/>
    </row>
    <row r="160" spans="1:24" s="30" customFormat="1" x14ac:dyDescent="0.3">
      <c r="A160" s="35"/>
      <c r="B160" s="62"/>
      <c r="C160" s="129" t="s">
        <v>821</v>
      </c>
      <c r="D160" s="106">
        <f>'Cash Flow %s Yr3'!D160</f>
        <v>0.5</v>
      </c>
      <c r="E160" s="106">
        <f>'Cash Flow %s Yr3'!E160</f>
        <v>0.3</v>
      </c>
      <c r="F160" s="106">
        <f>'Cash Flow %s Yr3'!F160</f>
        <v>0.2</v>
      </c>
      <c r="G160" s="106">
        <f>'Cash Flow %s Yr3'!G160</f>
        <v>0</v>
      </c>
      <c r="H160" s="106">
        <f>'Cash Flow %s Yr3'!H160</f>
        <v>0</v>
      </c>
      <c r="I160" s="106">
        <f>'Cash Flow %s Yr3'!I160</f>
        <v>0</v>
      </c>
      <c r="J160" s="106">
        <f>'Cash Flow %s Yr3'!J160</f>
        <v>0</v>
      </c>
      <c r="K160" s="106">
        <f>'Cash Flow %s Yr3'!K160</f>
        <v>0</v>
      </c>
      <c r="L160" s="106">
        <f>'Cash Flow %s Yr3'!L160</f>
        <v>0</v>
      </c>
      <c r="M160" s="106">
        <f>'Cash Flow %s Yr3'!M160</f>
        <v>0</v>
      </c>
      <c r="N160" s="106">
        <f>'Cash Flow %s Yr3'!N160</f>
        <v>0</v>
      </c>
      <c r="O160" s="106">
        <f>'Cash Flow %s Yr3'!O160</f>
        <v>0</v>
      </c>
      <c r="P160" s="106">
        <f>'Cash Flow %s Yr3'!P160</f>
        <v>0</v>
      </c>
      <c r="Q160" s="106">
        <f>'Cash Flow %s Yr3'!Q160</f>
        <v>0</v>
      </c>
      <c r="R160" s="106">
        <f>'Cash Flow %s Yr3'!R160</f>
        <v>0</v>
      </c>
      <c r="S160" s="105">
        <f>SUM(D160:R160)</f>
        <v>1</v>
      </c>
      <c r="T160" s="143"/>
      <c r="U160" s="143"/>
      <c r="V160" s="143"/>
      <c r="W160" s="143"/>
      <c r="X160" s="143"/>
    </row>
    <row r="161" spans="1:24" s="39" customFormat="1" x14ac:dyDescent="0.3">
      <c r="A161" s="35"/>
      <c r="B161" s="62"/>
      <c r="C161" s="129" t="s">
        <v>822</v>
      </c>
      <c r="D161" s="106">
        <f>'Cash Flow %s Yr3'!D161</f>
        <v>0</v>
      </c>
      <c r="E161" s="106">
        <f>'Cash Flow %s Yr3'!E161</f>
        <v>0</v>
      </c>
      <c r="F161" s="106">
        <f>'Cash Flow %s Yr3'!F161</f>
        <v>0</v>
      </c>
      <c r="G161" s="106">
        <f>'Cash Flow %s Yr3'!G161</f>
        <v>0</v>
      </c>
      <c r="H161" s="106">
        <f>'Cash Flow %s Yr3'!H161</f>
        <v>0</v>
      </c>
      <c r="I161" s="106">
        <f>'Cash Flow %s Yr3'!I161</f>
        <v>0</v>
      </c>
      <c r="J161" s="106">
        <f>'Cash Flow %s Yr3'!J161</f>
        <v>0</v>
      </c>
      <c r="K161" s="106">
        <f>'Cash Flow %s Yr3'!K161</f>
        <v>0</v>
      </c>
      <c r="L161" s="106">
        <f>'Cash Flow %s Yr3'!L161</f>
        <v>0</v>
      </c>
      <c r="M161" s="106">
        <f>'Cash Flow %s Yr3'!M161</f>
        <v>0</v>
      </c>
      <c r="N161" s="106">
        <f>'Cash Flow %s Yr3'!N161</f>
        <v>0</v>
      </c>
      <c r="O161" s="106">
        <f>'Cash Flow %s Yr3'!O161</f>
        <v>1</v>
      </c>
      <c r="P161" s="106">
        <f>'Cash Flow %s Yr3'!P161</f>
        <v>0</v>
      </c>
      <c r="Q161" s="106">
        <f>'Cash Flow %s Yr3'!Q161</f>
        <v>0</v>
      </c>
      <c r="R161" s="106">
        <f>'Cash Flow %s Yr3'!R161</f>
        <v>0</v>
      </c>
      <c r="S161" s="105">
        <f>SUM(D161:R161)</f>
        <v>1</v>
      </c>
      <c r="T161" s="143"/>
      <c r="U161" s="143"/>
      <c r="V161" s="143"/>
      <c r="W161" s="143"/>
      <c r="X161" s="143"/>
    </row>
    <row r="162" spans="1:24" s="39" customFormat="1" x14ac:dyDescent="0.3">
      <c r="A162" s="35"/>
      <c r="C162" s="1"/>
      <c r="D162" s="89"/>
      <c r="E162" s="89"/>
      <c r="F162" s="89"/>
      <c r="G162" s="89"/>
      <c r="H162" s="89"/>
      <c r="I162" s="89"/>
      <c r="J162" s="89"/>
      <c r="K162" s="89"/>
      <c r="L162" s="89"/>
      <c r="M162" s="89"/>
      <c r="N162" s="89"/>
      <c r="O162" s="89"/>
      <c r="P162" s="89"/>
      <c r="Q162" s="89"/>
      <c r="R162" s="89"/>
      <c r="S162" s="173"/>
    </row>
    <row r="163" spans="1:24" s="39" customFormat="1" x14ac:dyDescent="0.3">
      <c r="A163" s="35"/>
      <c r="C163" s="1"/>
      <c r="D163" s="89"/>
      <c r="E163" s="89"/>
      <c r="F163" s="89"/>
      <c r="G163" s="89"/>
      <c r="H163" s="89"/>
      <c r="I163" s="89"/>
      <c r="J163" s="89"/>
      <c r="K163" s="89"/>
      <c r="L163" s="89"/>
      <c r="M163" s="89"/>
      <c r="N163" s="89"/>
      <c r="O163" s="89"/>
      <c r="P163" s="89"/>
      <c r="Q163" s="89"/>
      <c r="R163" s="89"/>
      <c r="S163" s="173"/>
    </row>
    <row r="164" spans="1:24" s="39" customFormat="1" x14ac:dyDescent="0.3">
      <c r="A164" s="35"/>
      <c r="C164" s="1"/>
      <c r="D164" s="89"/>
      <c r="E164" s="89"/>
      <c r="F164" s="89"/>
      <c r="G164" s="89"/>
      <c r="H164" s="89"/>
      <c r="I164" s="89"/>
      <c r="J164" s="89"/>
      <c r="K164" s="89"/>
      <c r="L164" s="89"/>
      <c r="M164" s="89"/>
      <c r="N164" s="89"/>
      <c r="O164" s="89"/>
      <c r="P164" s="89"/>
      <c r="Q164" s="89"/>
      <c r="R164" s="89"/>
      <c r="S164" s="173"/>
    </row>
    <row r="165" spans="1:24" s="39" customFormat="1" x14ac:dyDescent="0.3">
      <c r="A165" s="35"/>
      <c r="C165" s="1"/>
      <c r="D165" s="89"/>
      <c r="E165" s="89"/>
      <c r="F165" s="89"/>
      <c r="G165" s="89"/>
      <c r="H165" s="89"/>
      <c r="I165" s="89"/>
      <c r="J165" s="89"/>
      <c r="K165" s="89"/>
      <c r="L165" s="89"/>
      <c r="M165" s="89"/>
      <c r="N165" s="89"/>
      <c r="O165" s="89"/>
      <c r="P165" s="89"/>
      <c r="Q165" s="89"/>
      <c r="R165" s="89"/>
      <c r="S165" s="173"/>
    </row>
    <row r="166" spans="1:24" s="39" customFormat="1" x14ac:dyDescent="0.3">
      <c r="A166" s="35"/>
      <c r="C166" s="1"/>
      <c r="D166" s="89"/>
      <c r="E166" s="89"/>
      <c r="F166" s="89"/>
      <c r="G166" s="89"/>
      <c r="H166" s="89"/>
      <c r="I166" s="89"/>
      <c r="J166" s="89"/>
      <c r="K166" s="89"/>
      <c r="L166" s="89"/>
      <c r="M166" s="89"/>
      <c r="N166" s="89"/>
      <c r="O166" s="89"/>
      <c r="P166" s="89"/>
      <c r="Q166" s="89"/>
      <c r="R166" s="89"/>
      <c r="S166" s="173"/>
    </row>
    <row r="167" spans="1:24" s="39" customFormat="1" x14ac:dyDescent="0.3">
      <c r="A167" s="35"/>
      <c r="C167" s="1"/>
      <c r="D167" s="89"/>
      <c r="E167" s="89"/>
      <c r="F167" s="89"/>
      <c r="G167" s="89"/>
      <c r="H167" s="89"/>
      <c r="I167" s="89"/>
      <c r="J167" s="89"/>
      <c r="K167" s="89"/>
      <c r="L167" s="89"/>
      <c r="M167" s="89"/>
      <c r="N167" s="89"/>
      <c r="O167" s="89"/>
      <c r="P167" s="89"/>
      <c r="Q167" s="89"/>
      <c r="R167" s="89"/>
      <c r="S167" s="173"/>
    </row>
    <row r="168" spans="1:24" s="39" customFormat="1" x14ac:dyDescent="0.3">
      <c r="A168" s="35"/>
      <c r="C168" s="1"/>
      <c r="D168" s="89"/>
      <c r="E168" s="89"/>
      <c r="F168" s="89"/>
      <c r="G168" s="89"/>
      <c r="H168" s="89"/>
      <c r="I168" s="89"/>
      <c r="J168" s="89"/>
      <c r="K168" s="89"/>
      <c r="L168" s="89"/>
      <c r="M168" s="89"/>
      <c r="N168" s="89"/>
      <c r="O168" s="89"/>
      <c r="P168" s="89"/>
      <c r="Q168" s="89"/>
      <c r="R168" s="89"/>
      <c r="S168" s="173"/>
    </row>
    <row r="169" spans="1:24" s="39" customFormat="1" x14ac:dyDescent="0.3">
      <c r="A169" s="35"/>
      <c r="C169" s="1"/>
      <c r="D169" s="89"/>
      <c r="E169" s="89"/>
      <c r="F169" s="89"/>
      <c r="G169" s="89"/>
      <c r="H169" s="89"/>
      <c r="I169" s="89"/>
      <c r="J169" s="89"/>
      <c r="K169" s="89"/>
      <c r="L169" s="89"/>
      <c r="M169" s="89"/>
      <c r="N169" s="89"/>
      <c r="O169" s="89"/>
      <c r="P169" s="89"/>
      <c r="Q169" s="89"/>
      <c r="R169" s="89"/>
      <c r="S169" s="173"/>
    </row>
    <row r="170" spans="1:24" x14ac:dyDescent="0.3">
      <c r="S170" s="173"/>
    </row>
    <row r="171" spans="1:24" x14ac:dyDescent="0.3">
      <c r="S171" s="173"/>
    </row>
    <row r="172" spans="1:24" x14ac:dyDescent="0.3">
      <c r="S172" s="173"/>
    </row>
    <row r="173" spans="1:24" x14ac:dyDescent="0.3">
      <c r="S173" s="173"/>
    </row>
  </sheetData>
  <pageMargins left="0.25" right="0.25" top="0.5" bottom="0.5" header="0.25" footer="0.25"/>
  <pageSetup scale="59" fitToHeight="3" orientation="landscape" r:id="rId1"/>
  <headerFooter alignWithMargins="0">
    <oddHeader>&amp;A</oddHeader>
    <oddFooter>Page &amp;P</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Z89"/>
  <sheetViews>
    <sheetView zoomScale="80" zoomScaleNormal="80" workbookViewId="0">
      <pane xSplit="3" ySplit="6" topLeftCell="D13" activePane="bottomRight" state="frozen"/>
      <selection activeCell="S20" sqref="S20"/>
      <selection pane="topRight" activeCell="S20" sqref="S20"/>
      <selection pane="bottomLeft" activeCell="S20" sqref="S20"/>
      <selection pane="bottomRight" activeCell="I26" sqref="I26"/>
    </sheetView>
  </sheetViews>
  <sheetFormatPr defaultColWidth="9.109375" defaultRowHeight="15.6" outlineLevelRow="2" x14ac:dyDescent="0.3"/>
  <cols>
    <col min="1" max="1" width="7.33203125" style="6" customWidth="1"/>
    <col min="2" max="2" width="6.6640625" style="7" bestFit="1" customWidth="1"/>
    <col min="3" max="3" width="24.88671875" style="217" hidden="1" customWidth="1"/>
    <col min="4" max="4" width="24.5546875" style="217" customWidth="1"/>
    <col min="5" max="5" width="16.109375" style="217" customWidth="1"/>
    <col min="6" max="8" width="9.109375" style="7"/>
    <col min="9" max="10" width="14.5546875" style="7" bestFit="1" customWidth="1"/>
    <col min="11" max="11" width="11.5546875" style="7" bestFit="1" customWidth="1"/>
    <col min="12" max="12" width="11.5546875" style="7" customWidth="1"/>
    <col min="13" max="13" width="14.6640625" style="6" bestFit="1" customWidth="1"/>
    <col min="14" max="14" width="17.44140625" style="7" bestFit="1" customWidth="1"/>
    <col min="15" max="15" width="17" style="6" bestFit="1" customWidth="1"/>
    <col min="16" max="18" width="12.109375" style="6" customWidth="1"/>
    <col min="19" max="19" width="12.109375" style="7" customWidth="1"/>
    <col min="20" max="21" width="15.5546875" style="6" customWidth="1"/>
    <col min="22" max="22" width="19.44140625" style="6" customWidth="1"/>
    <col min="23" max="23" width="18.44140625" style="6" customWidth="1"/>
    <col min="24" max="24" width="19.6640625" style="6" customWidth="1"/>
    <col min="25" max="26" width="15.5546875" style="6" customWidth="1"/>
    <col min="27" max="16384" width="9.109375" style="6"/>
  </cols>
  <sheetData>
    <row r="1" spans="1:26" ht="20.399999999999999" x14ac:dyDescent="0.35">
      <c r="A1" s="21" t="str">
        <f>'Student Info'!$A$1</f>
        <v>Three Rivers - 23-65565-0123737</v>
      </c>
    </row>
    <row r="2" spans="1:26" ht="17.399999999999999" x14ac:dyDescent="0.3">
      <c r="A2" s="20" t="s">
        <v>725</v>
      </c>
      <c r="I2" s="180">
        <v>0.03</v>
      </c>
      <c r="J2" s="181" t="s">
        <v>1013</v>
      </c>
      <c r="O2" s="8">
        <v>0.18099999999999999</v>
      </c>
      <c r="P2" s="8">
        <v>0.26200000000000001</v>
      </c>
      <c r="Q2" s="8">
        <f>'Employee Input 23-24'!Q2</f>
        <v>6.25E-2</v>
      </c>
      <c r="R2" s="8">
        <f>'Employee Input 23-24'!R2</f>
        <v>1.4500000000000001E-2</v>
      </c>
      <c r="S2" s="277">
        <f>+'Employee Input 20-21'!S2</f>
        <v>500</v>
      </c>
      <c r="U2" s="277">
        <v>400</v>
      </c>
      <c r="V2" s="8">
        <f>'Employee Input 23-24'!V2</f>
        <v>1.2999999999999999E-2</v>
      </c>
      <c r="X2" s="12">
        <f>(0.08*$M2/1000)+(0.025*$M2/1000)+(0.14%*$M2)+(0.05*$M2/10)</f>
        <v>0</v>
      </c>
    </row>
    <row r="3" spans="1:26" ht="17.399999999999999" x14ac:dyDescent="0.3">
      <c r="A3" s="20" t="str">
        <f>'Student Info'!H6</f>
        <v>2024-25</v>
      </c>
      <c r="O3" s="9" t="s">
        <v>562</v>
      </c>
      <c r="P3" s="9" t="s">
        <v>563</v>
      </c>
      <c r="Q3" s="9" t="s">
        <v>1018</v>
      </c>
      <c r="R3" s="9" t="s">
        <v>671</v>
      </c>
      <c r="S3" s="9" t="s">
        <v>566</v>
      </c>
      <c r="T3" s="9"/>
      <c r="U3" s="9" t="s">
        <v>669</v>
      </c>
      <c r="V3" s="9" t="s">
        <v>670</v>
      </c>
      <c r="W3" s="9"/>
      <c r="X3" s="9" t="s">
        <v>1025</v>
      </c>
    </row>
    <row r="4" spans="1:26" ht="27" customHeight="1" x14ac:dyDescent="0.3"/>
    <row r="5" spans="1:26" x14ac:dyDescent="0.3">
      <c r="B5" s="13" t="s">
        <v>0</v>
      </c>
      <c r="J5" s="17" t="s">
        <v>676</v>
      </c>
      <c r="K5" s="13" t="s">
        <v>742</v>
      </c>
      <c r="L5" s="18"/>
      <c r="M5" s="17" t="s">
        <v>674</v>
      </c>
      <c r="N5" s="13" t="s">
        <v>729</v>
      </c>
      <c r="O5" s="284" t="s">
        <v>30</v>
      </c>
      <c r="P5" s="284" t="s">
        <v>38</v>
      </c>
      <c r="Q5" s="284" t="s">
        <v>1014</v>
      </c>
      <c r="R5" s="284" t="s">
        <v>1016</v>
      </c>
      <c r="S5" s="43" t="s">
        <v>564</v>
      </c>
      <c r="T5" s="284" t="s">
        <v>717</v>
      </c>
      <c r="U5" s="284" t="s">
        <v>718</v>
      </c>
      <c r="V5" s="284" t="s">
        <v>719</v>
      </c>
      <c r="W5" s="284" t="s">
        <v>1023</v>
      </c>
      <c r="X5" s="284" t="s">
        <v>1022</v>
      </c>
      <c r="Y5" s="19" t="s">
        <v>672</v>
      </c>
      <c r="Z5" s="17" t="s">
        <v>676</v>
      </c>
    </row>
    <row r="6" spans="1:26" ht="16.2" thickBot="1" x14ac:dyDescent="0.35">
      <c r="A6" s="22"/>
      <c r="B6" s="23"/>
      <c r="C6" s="24" t="s">
        <v>1</v>
      </c>
      <c r="D6" s="24" t="s">
        <v>2</v>
      </c>
      <c r="E6" s="24" t="s">
        <v>4</v>
      </c>
      <c r="F6" s="23" t="s">
        <v>3</v>
      </c>
      <c r="G6" s="23"/>
      <c r="H6" s="23"/>
      <c r="I6" s="23" t="s">
        <v>5</v>
      </c>
      <c r="J6" s="25" t="s">
        <v>739</v>
      </c>
      <c r="K6" s="23" t="s">
        <v>743</v>
      </c>
      <c r="L6" s="23" t="s">
        <v>741</v>
      </c>
      <c r="M6" s="25" t="s">
        <v>675</v>
      </c>
      <c r="N6" s="23" t="s">
        <v>730</v>
      </c>
      <c r="O6" s="26" t="s">
        <v>6</v>
      </c>
      <c r="P6" s="26" t="s">
        <v>7</v>
      </c>
      <c r="Q6" s="190" t="s">
        <v>1015</v>
      </c>
      <c r="R6" s="190" t="s">
        <v>1017</v>
      </c>
      <c r="S6" s="24" t="s">
        <v>565</v>
      </c>
      <c r="T6" s="26" t="s">
        <v>1019</v>
      </c>
      <c r="U6" s="190" t="s">
        <v>1020</v>
      </c>
      <c r="V6" s="190" t="s">
        <v>1021</v>
      </c>
      <c r="W6" s="26" t="s">
        <v>1024</v>
      </c>
      <c r="X6" s="190" t="s">
        <v>1027</v>
      </c>
      <c r="Y6" s="27" t="s">
        <v>673</v>
      </c>
      <c r="Z6" s="25" t="s">
        <v>675</v>
      </c>
    </row>
    <row r="7" spans="1:26" x14ac:dyDescent="0.3">
      <c r="B7" s="14">
        <f>IF('Employee Input 23-24'!B7="","",'Employee Input 23-24'!B7)</f>
        <v>0</v>
      </c>
      <c r="C7" s="216" t="str">
        <f>IF('Employee Input 23-24'!C7="","",'Employee Input 23-24'!C7)</f>
        <v/>
      </c>
      <c r="D7" s="216"/>
      <c r="E7" s="14">
        <f>IF('Employee Input 23-24'!E7="","",'Employee Input 23-24'!E7)</f>
        <v>0</v>
      </c>
      <c r="F7" s="14" t="str">
        <f>IF('Employee Input 23-24'!F7="","",'Employee Input 23-24'!F7)</f>
        <v/>
      </c>
      <c r="G7" s="14"/>
      <c r="H7" s="14"/>
      <c r="I7" s="230">
        <f>IF('Employee Input 23-24'!I7="","",'Employee Input 23-24'!I7*(1+$I$2))</f>
        <v>0</v>
      </c>
      <c r="J7" s="10">
        <f>+I7</f>
        <v>0</v>
      </c>
      <c r="K7" s="11">
        <f>IF('Employee Input 23-24'!K7="","",'Employee Input 23-24'!K7)</f>
        <v>0</v>
      </c>
      <c r="L7" s="11">
        <f>IF('Employee Input 23-24'!L7="","",'Employee Input 23-24'!L7)</f>
        <v>0</v>
      </c>
      <c r="M7" s="10">
        <f>SUM(J7:L7)</f>
        <v>0</v>
      </c>
      <c r="N7" s="16">
        <f>IF('Employee Input 23-24'!N7="","",'Employee Input 23-24'!N7)</f>
        <v>0</v>
      </c>
      <c r="O7" s="10" t="str">
        <f t="shared" ref="O7:O13" si="0">IF($N7="STRS",$O$2*$M7,"")</f>
        <v/>
      </c>
      <c r="P7" s="10" t="str">
        <f t="shared" ref="P7:P13" si="1">IF($N7="PERS",$P$2*$M7,"")</f>
        <v/>
      </c>
      <c r="Q7" s="10">
        <f t="shared" ref="Q7:Q13" si="2">IF($N7="STRS","",$Q$2*$M7)</f>
        <v>0</v>
      </c>
      <c r="R7" s="10">
        <f t="shared" ref="R7:R13" si="3">$R$2*M7</f>
        <v>0</v>
      </c>
      <c r="S7" s="279"/>
      <c r="T7" s="12"/>
      <c r="U7" s="12"/>
      <c r="V7" s="12">
        <f t="shared" ref="V7:V13" si="4">$V$2*$M7</f>
        <v>0</v>
      </c>
      <c r="W7" s="12"/>
      <c r="X7" s="12"/>
      <c r="Y7" s="12">
        <f>SUM(T7:X7,O7:R7)</f>
        <v>0</v>
      </c>
      <c r="Z7" s="12">
        <f>Y7+M7</f>
        <v>0</v>
      </c>
    </row>
    <row r="8" spans="1:26" x14ac:dyDescent="0.3">
      <c r="B8" s="14" t="str">
        <f>IF('Employee Input 23-24'!B8="","",'Employee Input 23-24'!B8)</f>
        <v/>
      </c>
      <c r="C8" s="216" t="str">
        <f>IF('Employee Input 23-24'!C8="","",'Employee Input 23-24'!C8)</f>
        <v/>
      </c>
      <c r="D8" s="216" t="str">
        <f>IF('Employee Input 23-24'!D8="","",'Employee Input 23-24'!D8)</f>
        <v/>
      </c>
      <c r="E8" s="14" t="str">
        <f>IF('Employee Input 23-24'!E8="","",'Employee Input 23-24'!E8)</f>
        <v/>
      </c>
      <c r="F8" s="14" t="str">
        <f>IF('Employee Input 23-24'!F8="","",'Employee Input 23-24'!F8)</f>
        <v/>
      </c>
      <c r="G8" s="14"/>
      <c r="H8" s="14"/>
      <c r="I8" s="230" t="str">
        <f>IF('Employee Input 23-24'!I8="","",'Employee Input 23-24'!I8*(1+$I$2))</f>
        <v/>
      </c>
      <c r="J8" s="10" t="str">
        <f>+I8</f>
        <v/>
      </c>
      <c r="K8" s="11" t="str">
        <f>IF('Employee Input 23-24'!K8="","",'Employee Input 23-24'!K8)</f>
        <v/>
      </c>
      <c r="L8" s="11" t="str">
        <f>IF('Employee Input 23-24'!L8="","",'Employee Input 23-24'!L8)</f>
        <v/>
      </c>
      <c r="M8" s="10">
        <f>SUM(J8:L8)</f>
        <v>0</v>
      </c>
      <c r="N8" s="16" t="str">
        <f>IF('Employee Input 23-24'!N8="","",'Employee Input 23-24'!N8)</f>
        <v/>
      </c>
      <c r="O8" s="10" t="str">
        <f t="shared" si="0"/>
        <v/>
      </c>
      <c r="P8" s="10" t="str">
        <f t="shared" si="1"/>
        <v/>
      </c>
      <c r="Q8" s="10">
        <f t="shared" si="2"/>
        <v>0</v>
      </c>
      <c r="R8" s="10">
        <f t="shared" si="3"/>
        <v>0</v>
      </c>
      <c r="S8" s="279"/>
      <c r="T8" s="261"/>
      <c r="U8" s="12"/>
      <c r="V8" s="12">
        <f t="shared" si="4"/>
        <v>0</v>
      </c>
      <c r="W8" s="12"/>
      <c r="X8" s="12"/>
      <c r="Y8" s="12">
        <f>SUM(T8:X8,O8:R8)</f>
        <v>0</v>
      </c>
      <c r="Z8" s="12">
        <f>Y8+M8</f>
        <v>0</v>
      </c>
    </row>
    <row r="9" spans="1:26" x14ac:dyDescent="0.3">
      <c r="B9" s="14">
        <f>IF('Employee Input 23-24'!B9="","",'Employee Input 23-24'!B9)</f>
        <v>1100</v>
      </c>
      <c r="C9" s="216" t="str">
        <f>IF('Employee Input 23-24'!C9="","",'Employee Input 23-24'!C9)</f>
        <v/>
      </c>
      <c r="D9" s="216" t="str">
        <f>IF('Employee Input 23-24'!D9="","",'Employee Input 23-24'!D9)</f>
        <v>Natalie Shoptaw</v>
      </c>
      <c r="E9" s="14" t="str">
        <f>IF('Employee Input 23-24'!E9="","",'Employee Input 23-24'!E9)</f>
        <v>Teacher</v>
      </c>
      <c r="F9" s="14">
        <f>IF('Employee Input 23-24'!F9="","",'Employee Input 23-24'!F9)</f>
        <v>1</v>
      </c>
      <c r="G9" s="14"/>
      <c r="H9" s="14"/>
      <c r="I9" s="230">
        <f>IF('Employee Input 23-24'!I9="","",'Employee Input 23-24'!I9*(1+$I$2))</f>
        <v>55789.176985000006</v>
      </c>
      <c r="J9" s="10">
        <f t="shared" ref="J9:J23" si="5">+I9</f>
        <v>55789.176985000006</v>
      </c>
      <c r="K9" s="11">
        <f>IF('Employee Input 23-24'!K9="","",'Employee Input 23-24'!K9)</f>
        <v>1250</v>
      </c>
      <c r="L9" s="11">
        <f>IF('Employee Input 23-24'!L9="","",'Employee Input 23-24'!L9)</f>
        <v>0</v>
      </c>
      <c r="M9" s="10">
        <f t="shared" ref="M9:M23" si="6">SUM(J9:L9)</f>
        <v>57039.176985000006</v>
      </c>
      <c r="N9" s="16" t="str">
        <f>IF('Employee Input 23-24'!N9="","",'Employee Input 23-24'!N9)</f>
        <v>STRS</v>
      </c>
      <c r="O9" s="10">
        <f t="shared" si="0"/>
        <v>10324.091034285</v>
      </c>
      <c r="P9" s="10" t="str">
        <f t="shared" si="1"/>
        <v/>
      </c>
      <c r="Q9" s="10" t="str">
        <f t="shared" si="2"/>
        <v/>
      </c>
      <c r="R9" s="10">
        <f t="shared" si="3"/>
        <v>827.06806628250013</v>
      </c>
      <c r="S9" s="279"/>
      <c r="T9" s="261">
        <v>11464</v>
      </c>
      <c r="U9" s="12">
        <f>$U$2*F9</f>
        <v>400</v>
      </c>
      <c r="V9" s="12">
        <f t="shared" si="4"/>
        <v>741.50930080500007</v>
      </c>
      <c r="W9" s="12"/>
      <c r="X9" s="12"/>
      <c r="Y9" s="12">
        <f t="shared" ref="Y9:Y23" si="7">SUM(T9:X9,O9:R9)</f>
        <v>23756.668401372499</v>
      </c>
      <c r="Z9" s="12">
        <f t="shared" ref="Z9:Z23" si="8">Y9+M9</f>
        <v>80795.845386372501</v>
      </c>
    </row>
    <row r="10" spans="1:26" x14ac:dyDescent="0.3">
      <c r="B10" s="14">
        <f>IF('Employee Input 23-24'!B10="","",'Employee Input 23-24'!B10)</f>
        <v>1100</v>
      </c>
      <c r="C10" s="216" t="str">
        <f>IF('Employee Input 23-24'!C10="","",'Employee Input 23-24'!C10)</f>
        <v/>
      </c>
      <c r="D10" s="216" t="str">
        <f>IF('Employee Input 23-24'!D10="","",'Employee Input 23-24'!D10)</f>
        <v>Dani Krebs</v>
      </c>
      <c r="E10" s="14" t="str">
        <f>IF('Employee Input 23-24'!E10="","",'Employee Input 23-24'!E10)</f>
        <v>Teacher</v>
      </c>
      <c r="F10" s="14">
        <f>IF('Employee Input 23-24'!F10="","",'Employee Input 23-24'!F10)</f>
        <v>1</v>
      </c>
      <c r="G10" s="14"/>
      <c r="H10" s="14"/>
      <c r="I10" s="230">
        <f>IF('Employee Input 23-24'!I10="","",'Employee Input 23-24'!I10*(1+$I$2))</f>
        <v>49194.569540000004</v>
      </c>
      <c r="J10" s="10">
        <f t="shared" si="5"/>
        <v>49194.569540000004</v>
      </c>
      <c r="K10" s="11" t="str">
        <f>IF('Employee Input 23-24'!K10="","",'Employee Input 23-24'!K10)</f>
        <v/>
      </c>
      <c r="L10" s="11">
        <f>IF('Employee Input 23-24'!L10="","",'Employee Input 23-24'!L10)</f>
        <v>0</v>
      </c>
      <c r="M10" s="10">
        <f t="shared" si="6"/>
        <v>49194.569540000004</v>
      </c>
      <c r="N10" s="16" t="str">
        <f>IF('Employee Input 23-24'!N10="","",'Employee Input 23-24'!N10)</f>
        <v>STRS</v>
      </c>
      <c r="O10" s="10">
        <f t="shared" si="0"/>
        <v>8904.21708674</v>
      </c>
      <c r="P10" s="10" t="str">
        <f t="shared" si="1"/>
        <v/>
      </c>
      <c r="Q10" s="10" t="str">
        <f t="shared" si="2"/>
        <v/>
      </c>
      <c r="R10" s="10">
        <f t="shared" si="3"/>
        <v>713.32125833000009</v>
      </c>
      <c r="S10" s="279"/>
      <c r="T10" s="261">
        <v>9514</v>
      </c>
      <c r="U10" s="12">
        <f>$U$2*F10</f>
        <v>400</v>
      </c>
      <c r="V10" s="12">
        <f t="shared" si="4"/>
        <v>639.52940402000002</v>
      </c>
      <c r="W10" s="12"/>
      <c r="X10" s="12"/>
      <c r="Y10" s="12">
        <f t="shared" si="7"/>
        <v>20171.067749090002</v>
      </c>
      <c r="Z10" s="12">
        <f t="shared" si="8"/>
        <v>69365.637289090009</v>
      </c>
    </row>
    <row r="11" spans="1:26" x14ac:dyDescent="0.3">
      <c r="B11" s="14">
        <f>IF('Employee Input 23-24'!B11="","",'Employee Input 23-24'!B11)</f>
        <v>1100</v>
      </c>
      <c r="C11" s="216" t="str">
        <f>IF('Employee Input 23-24'!C11="","",'Employee Input 23-24'!C11)</f>
        <v/>
      </c>
      <c r="D11" s="216" t="str">
        <f>IF('Employee Input 23-24'!D11="","",'Employee Input 23-24'!D11)</f>
        <v>Michael Lang</v>
      </c>
      <c r="E11" s="14" t="str">
        <f>IF('Employee Input 23-24'!E11="","",'Employee Input 23-24'!E11)</f>
        <v>Teacher</v>
      </c>
      <c r="F11" s="14">
        <f>IF('Employee Input 23-24'!F11="","",'Employee Input 23-24'!F11)</f>
        <v>1</v>
      </c>
      <c r="G11" s="14"/>
      <c r="H11" s="14"/>
      <c r="I11" s="230">
        <f>IF('Employee Input 23-24'!I11="","",'Employee Input 23-24'!I11*(1+$I$2))</f>
        <v>49672.091239000001</v>
      </c>
      <c r="J11" s="10">
        <f t="shared" si="5"/>
        <v>49672.091239000001</v>
      </c>
      <c r="K11" s="11" t="str">
        <f>IF('Employee Input 23-24'!K11="","",'Employee Input 23-24'!K11)</f>
        <v/>
      </c>
      <c r="L11" s="11">
        <f>IF('Employee Input 23-24'!L11="","",'Employee Input 23-24'!L11)</f>
        <v>0</v>
      </c>
      <c r="M11" s="10">
        <f t="shared" si="6"/>
        <v>49672.091239000001</v>
      </c>
      <c r="N11" s="16" t="str">
        <f>IF('Employee Input 23-24'!N11="","",'Employee Input 23-24'!N11)</f>
        <v>STRS</v>
      </c>
      <c r="O11" s="10">
        <f t="shared" si="0"/>
        <v>8990.6485142589991</v>
      </c>
      <c r="P11" s="10" t="str">
        <f t="shared" si="1"/>
        <v/>
      </c>
      <c r="Q11" s="10" t="str">
        <f t="shared" si="2"/>
        <v/>
      </c>
      <c r="R11" s="10">
        <f t="shared" si="3"/>
        <v>720.24532296550001</v>
      </c>
      <c r="S11" s="279"/>
      <c r="T11" s="261">
        <v>0</v>
      </c>
      <c r="U11" s="12">
        <f>$U$2*F11</f>
        <v>400</v>
      </c>
      <c r="V11" s="12">
        <f t="shared" si="4"/>
        <v>645.73718610699996</v>
      </c>
      <c r="W11" s="12"/>
      <c r="X11" s="12"/>
      <c r="Y11" s="12">
        <f t="shared" si="7"/>
        <v>10756.6310233315</v>
      </c>
      <c r="Z11" s="12">
        <f t="shared" si="8"/>
        <v>60428.722262331503</v>
      </c>
    </row>
    <row r="12" spans="1:26" x14ac:dyDescent="0.3">
      <c r="B12" s="14">
        <f>IF('Employee Input 23-24'!B12="","",'Employee Input 23-24'!B12)</f>
        <v>1100</v>
      </c>
      <c r="C12" s="216" t="str">
        <f>IF('Employee Input 23-24'!C12="","",'Employee Input 23-24'!C12)</f>
        <v/>
      </c>
      <c r="D12" s="216" t="str">
        <f>IF('Employee Input 23-24'!D12="","",'Employee Input 23-24'!D12)</f>
        <v>maria Gibson</v>
      </c>
      <c r="E12" s="14" t="str">
        <f>IF('Employee Input 23-24'!E12="","",'Employee Input 23-24'!E12)</f>
        <v>Teacher</v>
      </c>
      <c r="F12" s="14">
        <f>IF('Employee Input 23-24'!F12="","",'Employee Input 23-24'!F12)</f>
        <v>1</v>
      </c>
      <c r="G12" s="14"/>
      <c r="H12" s="14"/>
      <c r="I12" s="230">
        <f>IF('Employee Input 23-24'!I12="","",'Employee Input 23-24'!I12*(1+$I$2))</f>
        <v>50532.067387999996</v>
      </c>
      <c r="J12" s="10">
        <f t="shared" si="5"/>
        <v>50532.067387999996</v>
      </c>
      <c r="K12" s="11" t="str">
        <f>IF('Employee Input 23-24'!K12="","",'Employee Input 23-24'!K12)</f>
        <v/>
      </c>
      <c r="L12" s="11">
        <f>IF('Employee Input 23-24'!L12="","",'Employee Input 23-24'!L12)</f>
        <v>750</v>
      </c>
      <c r="M12" s="10">
        <f t="shared" si="6"/>
        <v>51282.067387999996</v>
      </c>
      <c r="N12" s="16" t="str">
        <f>IF('Employee Input 23-24'!N12="","",'Employee Input 23-24'!N12)</f>
        <v>STRS</v>
      </c>
      <c r="O12" s="10">
        <f t="shared" si="0"/>
        <v>9282.0541972279989</v>
      </c>
      <c r="P12" s="10" t="str">
        <f t="shared" si="1"/>
        <v/>
      </c>
      <c r="Q12" s="10" t="str">
        <f t="shared" si="2"/>
        <v/>
      </c>
      <c r="R12" s="10">
        <f t="shared" si="3"/>
        <v>743.58997712600001</v>
      </c>
      <c r="S12" s="279"/>
      <c r="T12" s="261">
        <v>11464</v>
      </c>
      <c r="U12" s="12">
        <f>$U$2*F12</f>
        <v>400</v>
      </c>
      <c r="V12" s="12">
        <f t="shared" si="4"/>
        <v>666.66687604399988</v>
      </c>
      <c r="W12" s="12"/>
      <c r="X12" s="12"/>
      <c r="Y12" s="12">
        <f t="shared" si="7"/>
        <v>22556.311050397999</v>
      </c>
      <c r="Z12" s="12">
        <f t="shared" si="8"/>
        <v>73838.378438397995</v>
      </c>
    </row>
    <row r="13" spans="1:26" x14ac:dyDescent="0.3">
      <c r="B13" s="14">
        <f>IF('Employee Input 23-24'!B13="","",'Employee Input 23-24'!B13)</f>
        <v>1100</v>
      </c>
      <c r="C13" s="216" t="str">
        <f>IF('Employee Input 23-24'!C13="","",'Employee Input 23-24'!C13)</f>
        <v/>
      </c>
      <c r="D13" s="216" t="str">
        <f>IF('Employee Input 23-24'!D13="","",'Employee Input 23-24'!D13)</f>
        <v>Virginia Varnum</v>
      </c>
      <c r="E13" s="14" t="str">
        <f>IF('Employee Input 23-24'!E13="","",'Employee Input 23-24'!E13)</f>
        <v>Reading Specialist</v>
      </c>
      <c r="F13" s="14">
        <f>IF('Employee Input 23-24'!F13="","",'Employee Input 23-24'!F13)</f>
        <v>37</v>
      </c>
      <c r="G13" s="14">
        <f>IF('Employee Input 23-24'!G13="","",'Employee Input 23-24'!G13)</f>
        <v>15</v>
      </c>
      <c r="H13" s="14">
        <f>IF('Employee Input 23-24'!H13="","",'Employee Input 23-24'!H13)</f>
        <v>36</v>
      </c>
      <c r="I13" s="230">
        <f>IF('Employee Input 23-24'!I13="","",'Employee Input 23-24'!I13*(1+$I$2))</f>
        <v>21832.685460000004</v>
      </c>
      <c r="J13" s="10">
        <f t="shared" si="5"/>
        <v>21832.685460000004</v>
      </c>
      <c r="K13" s="11">
        <f>IF('Employee Input 23-24'!K13="","",'Employee Input 23-24'!K13)</f>
        <v>0</v>
      </c>
      <c r="L13" s="11">
        <f>IF('Employee Input 23-24'!L13="","",'Employee Input 23-24'!L13)</f>
        <v>0</v>
      </c>
      <c r="M13" s="10">
        <f t="shared" si="6"/>
        <v>21832.685460000004</v>
      </c>
      <c r="N13" s="16">
        <f>IF('Employee Input 23-24'!N13="","",'Employee Input 23-24'!N13)</f>
        <v>0</v>
      </c>
      <c r="O13" s="10" t="str">
        <f t="shared" si="0"/>
        <v/>
      </c>
      <c r="P13" s="10" t="str">
        <f t="shared" si="1"/>
        <v/>
      </c>
      <c r="Q13" s="10">
        <f t="shared" si="2"/>
        <v>1364.5428412500003</v>
      </c>
      <c r="R13" s="10">
        <f t="shared" si="3"/>
        <v>316.57393917000007</v>
      </c>
      <c r="S13" s="279"/>
      <c r="T13" s="261">
        <v>0</v>
      </c>
      <c r="U13" s="12">
        <v>400</v>
      </c>
      <c r="V13" s="12">
        <f t="shared" si="4"/>
        <v>283.82491098000003</v>
      </c>
      <c r="W13" s="12"/>
      <c r="X13" s="12"/>
      <c r="Y13" s="12">
        <f t="shared" si="7"/>
        <v>2364.9416914000003</v>
      </c>
      <c r="Z13" s="12">
        <f t="shared" si="8"/>
        <v>24197.627151400004</v>
      </c>
    </row>
    <row r="14" spans="1:26" hidden="1" x14ac:dyDescent="0.3">
      <c r="B14" s="14"/>
      <c r="C14" s="216"/>
      <c r="D14" s="216"/>
      <c r="E14" s="14"/>
      <c r="F14" s="14"/>
      <c r="G14" s="14"/>
      <c r="H14" s="14"/>
      <c r="I14" s="230"/>
      <c r="J14" s="10"/>
      <c r="K14" s="11"/>
      <c r="L14" s="11"/>
      <c r="M14" s="10"/>
      <c r="N14" s="16"/>
      <c r="O14" s="10"/>
      <c r="P14" s="10"/>
      <c r="Q14" s="10"/>
      <c r="R14" s="10"/>
      <c r="S14" s="279"/>
      <c r="T14" s="261"/>
      <c r="U14" s="12"/>
      <c r="V14" s="12"/>
      <c r="W14" s="12"/>
      <c r="X14" s="12"/>
      <c r="Y14" s="12"/>
      <c r="Z14" s="12"/>
    </row>
    <row r="15" spans="1:26" hidden="1" x14ac:dyDescent="0.3">
      <c r="B15" s="14"/>
      <c r="C15" s="216"/>
      <c r="D15" s="216"/>
      <c r="E15" s="14"/>
      <c r="F15" s="14"/>
      <c r="G15" s="14"/>
      <c r="H15" s="14"/>
      <c r="I15" s="230"/>
      <c r="J15" s="10"/>
      <c r="K15" s="11"/>
      <c r="L15" s="11"/>
      <c r="M15" s="10"/>
      <c r="N15" s="16"/>
      <c r="O15" s="10"/>
      <c r="P15" s="10"/>
      <c r="Q15" s="10"/>
      <c r="R15" s="10"/>
      <c r="S15" s="279"/>
      <c r="T15" s="261"/>
      <c r="U15" s="12"/>
      <c r="V15" s="12"/>
      <c r="W15" s="12"/>
      <c r="X15" s="12"/>
      <c r="Y15" s="12"/>
      <c r="Z15" s="12"/>
    </row>
    <row r="16" spans="1:26" hidden="1" x14ac:dyDescent="0.3">
      <c r="B16" s="14"/>
      <c r="C16" s="216"/>
      <c r="D16" s="216"/>
      <c r="E16" s="14"/>
      <c r="F16" s="14"/>
      <c r="G16" s="14"/>
      <c r="H16" s="14"/>
      <c r="I16" s="230"/>
      <c r="J16" s="10"/>
      <c r="K16" s="11"/>
      <c r="L16" s="11"/>
      <c r="M16" s="10"/>
      <c r="N16" s="16"/>
      <c r="O16" s="10"/>
      <c r="P16" s="10"/>
      <c r="Q16" s="10"/>
      <c r="R16" s="10"/>
      <c r="S16" s="279"/>
      <c r="T16" s="261"/>
      <c r="U16" s="12"/>
      <c r="V16" s="12"/>
      <c r="W16" s="12"/>
      <c r="X16" s="12"/>
      <c r="Y16" s="12"/>
      <c r="Z16" s="12"/>
    </row>
    <row r="17" spans="2:26" hidden="1" x14ac:dyDescent="0.3">
      <c r="B17" s="14"/>
      <c r="C17" s="216"/>
      <c r="D17" s="216"/>
      <c r="E17" s="14"/>
      <c r="F17" s="14"/>
      <c r="G17" s="14"/>
      <c r="H17" s="14"/>
      <c r="I17" s="230"/>
      <c r="J17" s="10"/>
      <c r="K17" s="11"/>
      <c r="L17" s="11"/>
      <c r="M17" s="10"/>
      <c r="N17" s="16"/>
      <c r="O17" s="10"/>
      <c r="P17" s="10"/>
      <c r="Q17" s="10"/>
      <c r="R17" s="10"/>
      <c r="S17" s="279"/>
      <c r="T17" s="261"/>
      <c r="U17" s="12"/>
      <c r="V17" s="12"/>
      <c r="W17" s="12"/>
      <c r="X17" s="12"/>
      <c r="Y17" s="12"/>
      <c r="Z17" s="12"/>
    </row>
    <row r="18" spans="2:26" hidden="1" x14ac:dyDescent="0.3">
      <c r="B18" s="14"/>
      <c r="C18" s="216"/>
      <c r="D18" s="216"/>
      <c r="E18" s="14"/>
      <c r="F18" s="14"/>
      <c r="G18" s="14"/>
      <c r="H18" s="14"/>
      <c r="I18" s="230"/>
      <c r="J18" s="10"/>
      <c r="K18" s="11"/>
      <c r="L18" s="11"/>
      <c r="M18" s="10"/>
      <c r="N18" s="16"/>
      <c r="O18" s="10"/>
      <c r="P18" s="10"/>
      <c r="Q18" s="10"/>
      <c r="R18" s="10"/>
      <c r="S18" s="279"/>
      <c r="T18" s="261"/>
      <c r="U18" s="12"/>
      <c r="V18" s="12"/>
      <c r="W18" s="12"/>
      <c r="X18" s="12"/>
      <c r="Y18" s="12"/>
      <c r="Z18" s="12"/>
    </row>
    <row r="19" spans="2:26" hidden="1" x14ac:dyDescent="0.3">
      <c r="B19" s="14"/>
      <c r="C19" s="216"/>
      <c r="D19" s="216"/>
      <c r="E19" s="14"/>
      <c r="F19" s="14"/>
      <c r="G19" s="14"/>
      <c r="H19" s="14"/>
      <c r="I19" s="230"/>
      <c r="J19" s="10"/>
      <c r="K19" s="11"/>
      <c r="L19" s="11"/>
      <c r="M19" s="10"/>
      <c r="N19" s="16"/>
      <c r="O19" s="10"/>
      <c r="P19" s="10"/>
      <c r="Q19" s="10"/>
      <c r="R19" s="10"/>
      <c r="S19" s="279"/>
      <c r="T19" s="261"/>
      <c r="U19" s="12"/>
      <c r="V19" s="12"/>
      <c r="W19" s="12"/>
      <c r="X19" s="12"/>
      <c r="Y19" s="12"/>
      <c r="Z19" s="12"/>
    </row>
    <row r="20" spans="2:26" x14ac:dyDescent="0.3">
      <c r="B20" s="14"/>
      <c r="C20" s="216"/>
      <c r="D20" s="216"/>
      <c r="E20" s="14"/>
      <c r="F20" s="14"/>
      <c r="G20" s="14" t="str">
        <f>IF('Employee Input 23-24'!G20="","",'Employee Input 23-24'!G20)</f>
        <v/>
      </c>
      <c r="H20" s="14" t="str">
        <f>IF('Employee Input 23-24'!H20="","",'Employee Input 23-24'!H20)</f>
        <v/>
      </c>
      <c r="I20" s="230"/>
      <c r="J20" s="10"/>
      <c r="K20" s="11"/>
      <c r="L20" s="11"/>
      <c r="M20" s="10"/>
      <c r="N20" s="16"/>
      <c r="O20" s="10"/>
      <c r="P20" s="10"/>
      <c r="Q20" s="10"/>
      <c r="R20" s="10"/>
      <c r="S20" s="279"/>
      <c r="T20" s="261"/>
      <c r="U20" s="12"/>
      <c r="V20" s="12"/>
      <c r="W20" s="12"/>
      <c r="X20" s="12"/>
      <c r="Y20" s="12"/>
      <c r="Z20" s="12"/>
    </row>
    <row r="21" spans="2:26" x14ac:dyDescent="0.3">
      <c r="B21" s="14">
        <f>IF('Employee Input 23-24'!B21="","",'Employee Input 23-24'!B21)</f>
        <v>1300</v>
      </c>
      <c r="C21" s="216" t="str">
        <f>IF('Employee Input 23-24'!C21="","",'Employee Input 23-24'!C21)</f>
        <v/>
      </c>
      <c r="D21" s="216" t="str">
        <f>IF('Employee Input 23-24'!D21="","",'Employee Input 23-24'!D21)</f>
        <v>Kim Morgan</v>
      </c>
      <c r="E21" s="14" t="str">
        <f>IF('Employee Input 23-24'!E21="","",'Employee Input 23-24'!E21)</f>
        <v>Principal</v>
      </c>
      <c r="F21" s="14">
        <f>IF('Employee Input 23-24'!F21="","",'Employee Input 23-24'!F21)</f>
        <v>1</v>
      </c>
      <c r="G21" s="14" t="str">
        <f>IF('Employee Input 23-24'!G21="","",'Employee Input 23-24'!G21)</f>
        <v/>
      </c>
      <c r="H21" s="14" t="str">
        <f>IF('Employee Input 23-24'!H21="","",'Employee Input 23-24'!H21)</f>
        <v/>
      </c>
      <c r="I21" s="230">
        <f>IF('Employee Input 23-24'!I21="","",'Employee Input 23-24'!I21*(1+$I$2))</f>
        <v>73759.072499999995</v>
      </c>
      <c r="J21" s="10">
        <f t="shared" si="5"/>
        <v>73759.072499999995</v>
      </c>
      <c r="K21" s="11" t="str">
        <f>IF('Employee Input 23-24'!K21="","",'Employee Input 23-24'!K21)</f>
        <v/>
      </c>
      <c r="L21" s="11">
        <f>IF('Employee Input 23-24'!L21="","",'Employee Input 23-24'!L21)</f>
        <v>0</v>
      </c>
      <c r="M21" s="10">
        <f t="shared" si="6"/>
        <v>73759.072499999995</v>
      </c>
      <c r="N21" s="16" t="str">
        <f>IF('Employee Input 23-24'!N21="","",'Employee Input 23-24'!N21)</f>
        <v>STRS</v>
      </c>
      <c r="O21" s="10">
        <f>IF($N21="STRS",$O$2*$M21,"")</f>
        <v>13350.392122499999</v>
      </c>
      <c r="P21" s="10" t="str">
        <f>IF($N21="PERS",$P$2*$M21,"")</f>
        <v/>
      </c>
      <c r="Q21" s="10" t="str">
        <f>IF($N21="STRS","",$Q$2*$M21)</f>
        <v/>
      </c>
      <c r="R21" s="10">
        <f>$R$2*M21</f>
        <v>1069.50655125</v>
      </c>
      <c r="S21" s="279"/>
      <c r="T21" s="261">
        <v>11464</v>
      </c>
      <c r="U21" s="12">
        <f>$U$2*F21</f>
        <v>400</v>
      </c>
      <c r="V21" s="12">
        <f>$V$2*$M21</f>
        <v>958.86794249999991</v>
      </c>
      <c r="W21" s="12"/>
      <c r="X21" s="12"/>
      <c r="Y21" s="12">
        <f t="shared" si="7"/>
        <v>27242.766616249999</v>
      </c>
      <c r="Z21" s="12">
        <f t="shared" si="8"/>
        <v>101001.83911624999</v>
      </c>
    </row>
    <row r="22" spans="2:26" x14ac:dyDescent="0.3">
      <c r="B22" s="14"/>
      <c r="C22" s="216"/>
      <c r="D22" s="216"/>
      <c r="E22" s="14"/>
      <c r="F22" s="14"/>
      <c r="G22" s="14" t="str">
        <f>IF('Employee Input 23-24'!G22="","",'Employee Input 23-24'!G22)</f>
        <v/>
      </c>
      <c r="H22" s="14" t="str">
        <f>IF('Employee Input 23-24'!H22="","",'Employee Input 23-24'!H22)</f>
        <v/>
      </c>
      <c r="I22" s="230"/>
      <c r="J22" s="10"/>
      <c r="K22" s="11"/>
      <c r="L22" s="11"/>
      <c r="M22" s="10"/>
      <c r="N22" s="16"/>
      <c r="O22" s="10"/>
      <c r="P22" s="10"/>
      <c r="Q22" s="10"/>
      <c r="R22" s="10"/>
      <c r="S22" s="279"/>
      <c r="T22" s="261"/>
      <c r="U22" s="12"/>
      <c r="V22" s="12"/>
      <c r="W22" s="12"/>
      <c r="X22" s="12"/>
      <c r="Y22" s="12"/>
      <c r="Z22" s="12"/>
    </row>
    <row r="23" spans="2:26" x14ac:dyDescent="0.3">
      <c r="B23" s="14">
        <f>IF('Employee Input 23-24'!B23="","",'Employee Input 23-24'!B23)</f>
        <v>2100</v>
      </c>
      <c r="C23" s="216" t="str">
        <f>IF('Employee Input 23-24'!C23="","",'Employee Input 23-24'!C23)</f>
        <v/>
      </c>
      <c r="D23" s="216" t="str">
        <f>IF('Employee Input 23-24'!D23="","",'Employee Input 23-24'!D23)</f>
        <v>Yesenia Huerta</v>
      </c>
      <c r="E23" s="14" t="str">
        <f>IF('Employee Input 23-24'!E23="","",'Employee Input 23-24'!E23)</f>
        <v>Instructional Aide</v>
      </c>
      <c r="F23" s="14">
        <f>IF('Employee Input 23-24'!F23="","",'Employee Input 23-24'!F23)</f>
        <v>18</v>
      </c>
      <c r="G23" s="14">
        <f>IF('Employee Input 23-24'!G23="","",'Employee Input 23-24'!G23)</f>
        <v>32</v>
      </c>
      <c r="H23" s="14">
        <f>IF('Employee Input 23-24'!H23="","",'Employee Input 23-24'!H23)</f>
        <v>36</v>
      </c>
      <c r="I23" s="230">
        <f>IF('Employee Input 23-24'!I23="","",'Employee Input 23-24'!I23*(1+$I$2))</f>
        <v>22658.787072000003</v>
      </c>
      <c r="J23" s="10">
        <f t="shared" si="5"/>
        <v>22658.787072000003</v>
      </c>
      <c r="K23" s="11">
        <f>IF('Employee Input 23-24'!K23="","",'Employee Input 23-24'!K23)</f>
        <v>0</v>
      </c>
      <c r="L23" s="11">
        <f>IF('Employee Input 23-24'!L23="","",'Employee Input 23-24'!L23)</f>
        <v>0</v>
      </c>
      <c r="M23" s="10">
        <f t="shared" si="6"/>
        <v>22658.787072000003</v>
      </c>
      <c r="N23" s="16">
        <f>IF('Employee Input 23-24'!N23="","",'Employee Input 23-24'!N23)</f>
        <v>0</v>
      </c>
      <c r="O23" s="10" t="str">
        <f t="shared" ref="O23:O33" si="9">IF($N23="STRS",$O$2*$M23,"")</f>
        <v/>
      </c>
      <c r="P23" s="10" t="str">
        <f t="shared" ref="P23:P33" si="10">IF($N23="PERS",$P$2*$M23,"")</f>
        <v/>
      </c>
      <c r="Q23" s="10">
        <f t="shared" ref="Q23:Q33" si="11">IF($N23="STRS","",$Q$2*$M23)</f>
        <v>1416.1741920000002</v>
      </c>
      <c r="R23" s="10">
        <f>$R$2*M23</f>
        <v>328.55241254400005</v>
      </c>
      <c r="S23" s="279"/>
      <c r="T23" s="261">
        <v>0</v>
      </c>
      <c r="U23" s="12">
        <v>400</v>
      </c>
      <c r="V23" s="12">
        <f t="shared" ref="V23:V33" si="12">$V$2*$M23</f>
        <v>294.564231936</v>
      </c>
      <c r="W23" s="12"/>
      <c r="X23" s="12"/>
      <c r="Y23" s="12">
        <f t="shared" si="7"/>
        <v>2439.2908364800001</v>
      </c>
      <c r="Z23" s="12">
        <f t="shared" si="8"/>
        <v>25098.077908480001</v>
      </c>
    </row>
    <row r="24" spans="2:26" x14ac:dyDescent="0.3">
      <c r="B24" s="14">
        <f>IF('Employee Input 23-24'!B24="","",'Employee Input 23-24'!B24)</f>
        <v>2100</v>
      </c>
      <c r="C24" s="216" t="str">
        <f>IF('Employee Input 23-24'!C24="","",'Employee Input 23-24'!C24)</f>
        <v/>
      </c>
      <c r="D24" s="216" t="str">
        <f>IF('Employee Input 23-24'!D24="","",'Employee Input 23-24'!D24)</f>
        <v>Rebecca Deerwater</v>
      </c>
      <c r="E24" s="14" t="str">
        <f>IF('Employee Input 23-24'!E24="","",'Employee Input 23-24'!E24)</f>
        <v>Instructional Aide</v>
      </c>
      <c r="F24" s="14">
        <f>IF('Employee Input 23-24'!F24="","",'Employee Input 23-24'!F24)</f>
        <v>14.9</v>
      </c>
      <c r="G24" s="14">
        <f>IF('Employee Input 23-24'!G24="","",'Employee Input 23-24'!G24)</f>
        <v>30</v>
      </c>
      <c r="H24" s="14">
        <f>IF('Employee Input 23-24'!H24="","",'Employee Input 23-24'!H24)</f>
        <v>36</v>
      </c>
      <c r="I24" s="230">
        <f>IF('Employee Input 23-24'!I24="","",'Employee Input 23-24'!I24*(1+$I$2))</f>
        <v>17584.162884000001</v>
      </c>
      <c r="J24" s="10">
        <f t="shared" ref="J24:J33" si="13">+I24</f>
        <v>17584.162884000001</v>
      </c>
      <c r="K24" s="11" t="str">
        <f>IF('Employee Input 23-24'!K24="","",'Employee Input 23-24'!K24)</f>
        <v/>
      </c>
      <c r="L24" s="11">
        <f>IF('Employee Input 23-24'!L24="","",'Employee Input 23-24'!L24)</f>
        <v>0</v>
      </c>
      <c r="M24" s="10">
        <f t="shared" ref="M24:M33" si="14">SUM(J24:L24)</f>
        <v>17584.162884000001</v>
      </c>
      <c r="N24" s="16">
        <f>IF('Employee Input 23-24'!N24="","",'Employee Input 23-24'!N24)</f>
        <v>0</v>
      </c>
      <c r="O24" s="10" t="str">
        <f t="shared" si="9"/>
        <v/>
      </c>
      <c r="P24" s="10" t="str">
        <f t="shared" si="10"/>
        <v/>
      </c>
      <c r="Q24" s="10">
        <f t="shared" si="11"/>
        <v>1099.0101802500001</v>
      </c>
      <c r="R24" s="10">
        <f t="shared" ref="R24:R33" si="15">$R$2*M24</f>
        <v>254.97036181800004</v>
      </c>
      <c r="S24" s="279"/>
      <c r="T24" s="261"/>
      <c r="U24" s="12">
        <v>400</v>
      </c>
      <c r="V24" s="12">
        <f t="shared" si="12"/>
        <v>228.59411749200001</v>
      </c>
      <c r="W24" s="12"/>
      <c r="X24" s="12"/>
      <c r="Y24" s="12">
        <f t="shared" ref="Y24:Y33" si="16">SUM(T24:X24,O24:R24)</f>
        <v>1982.5746595600003</v>
      </c>
      <c r="Z24" s="12">
        <f t="shared" ref="Z24:Z33" si="17">Y24+M24</f>
        <v>19566.737543560001</v>
      </c>
    </row>
    <row r="25" spans="2:26" x14ac:dyDescent="0.3">
      <c r="B25" s="14">
        <f>IF('Employee Input 23-24'!B25="","",'Employee Input 23-24'!B25)</f>
        <v>2100</v>
      </c>
      <c r="C25" s="216" t="str">
        <f>IF('Employee Input 23-24'!C25="","",'Employee Input 23-24'!C25)</f>
        <v/>
      </c>
      <c r="D25" s="216" t="str">
        <f>IF('Employee Input 23-24'!D25="","",'Employee Input 23-24'!D25)</f>
        <v>Sofia Duran</v>
      </c>
      <c r="E25" s="14" t="str">
        <f>IF('Employee Input 23-24'!E25="","",'Employee Input 23-24'!E25)</f>
        <v>Instructional Aide</v>
      </c>
      <c r="F25" s="14">
        <f>IF('Employee Input 23-24'!F25="","",'Employee Input 23-24'!F25)</f>
        <v>14.9</v>
      </c>
      <c r="G25" s="14">
        <f>IF('Employee Input 23-24'!G25="","",'Employee Input 23-24'!G25)</f>
        <v>30</v>
      </c>
      <c r="H25" s="14">
        <f>IF('Employee Input 23-24'!H25="","",'Employee Input 23-24'!H25)</f>
        <v>36</v>
      </c>
      <c r="I25" s="230">
        <f>IF('Employee Input 23-24'!I25="","",'Employee Input 23-24'!I25*(1+$I$2))</f>
        <v>17584.162884000001</v>
      </c>
      <c r="J25" s="10">
        <f t="shared" si="13"/>
        <v>17584.162884000001</v>
      </c>
      <c r="K25" s="11">
        <f>IF('Employee Input 23-24'!K25="","",'Employee Input 23-24'!K25)</f>
        <v>0</v>
      </c>
      <c r="L25" s="11">
        <f>IF('Employee Input 23-24'!L25="","",'Employee Input 23-24'!L25)</f>
        <v>0</v>
      </c>
      <c r="M25" s="10">
        <f t="shared" si="14"/>
        <v>17584.162884000001</v>
      </c>
      <c r="N25" s="16">
        <f>IF('Employee Input 23-24'!N25="","",'Employee Input 23-24'!N25)</f>
        <v>0</v>
      </c>
      <c r="O25" s="10" t="str">
        <f t="shared" si="9"/>
        <v/>
      </c>
      <c r="P25" s="10" t="str">
        <f t="shared" si="10"/>
        <v/>
      </c>
      <c r="Q25" s="10">
        <f t="shared" si="11"/>
        <v>1099.0101802500001</v>
      </c>
      <c r="R25" s="10">
        <f t="shared" si="15"/>
        <v>254.97036181800004</v>
      </c>
      <c r="S25" s="279"/>
      <c r="T25" s="261"/>
      <c r="U25" s="12">
        <v>400</v>
      </c>
      <c r="V25" s="12">
        <f t="shared" si="12"/>
        <v>228.59411749200001</v>
      </c>
      <c r="W25" s="12"/>
      <c r="X25" s="12"/>
      <c r="Y25" s="12">
        <f t="shared" si="16"/>
        <v>1982.5746595600003</v>
      </c>
      <c r="Z25" s="12">
        <f t="shared" si="17"/>
        <v>19566.737543560001</v>
      </c>
    </row>
    <row r="26" spans="2:26" x14ac:dyDescent="0.3">
      <c r="B26" s="14">
        <f>IF('Employee Input 23-24'!B26="","",'Employee Input 23-24'!B26)</f>
        <v>2100</v>
      </c>
      <c r="C26" s="216" t="str">
        <f>IF('Employee Input 23-24'!C26="","",'Employee Input 23-24'!C26)</f>
        <v/>
      </c>
      <c r="D26" s="216" t="str">
        <f>IF('Employee Input 23-24'!D26="","",'Employee Input 23-24'!D26)</f>
        <v>Madeline Brink</v>
      </c>
      <c r="E26" s="14" t="str">
        <f>IF('Employee Input 23-24'!E26="","",'Employee Input 23-24'!E26)</f>
        <v>Instructional Aide</v>
      </c>
      <c r="F26" s="14">
        <f>IF('Employee Input 23-24'!F26="","",'Employee Input 23-24'!F26)</f>
        <v>15.15</v>
      </c>
      <c r="G26" s="14">
        <f>IF('Employee Input 23-24'!G26="","",'Employee Input 23-24'!G26)</f>
        <v>15</v>
      </c>
      <c r="H26" s="14">
        <f>IF('Employee Input 23-24'!H26="","",'Employee Input 23-24'!H26)</f>
        <v>36</v>
      </c>
      <c r="I26" s="230">
        <f>IF('Employee Input 23-24'!I26="","",'Employee Input 23-24'!I26*(1+$I$2))</f>
        <v>8939.5995870000006</v>
      </c>
      <c r="J26" s="10">
        <f t="shared" si="13"/>
        <v>8939.5995870000006</v>
      </c>
      <c r="K26" s="11">
        <f>IF('Employee Input 23-24'!K26="","",'Employee Input 23-24'!K26)</f>
        <v>0</v>
      </c>
      <c r="L26" s="11">
        <f>IF('Employee Input 23-24'!L26="","",'Employee Input 23-24'!L26)</f>
        <v>0</v>
      </c>
      <c r="M26" s="10">
        <f t="shared" si="14"/>
        <v>8939.5995870000006</v>
      </c>
      <c r="N26" s="16">
        <f>IF('Employee Input 23-24'!N26="","",'Employee Input 23-24'!N26)</f>
        <v>0</v>
      </c>
      <c r="O26" s="10" t="str">
        <f t="shared" si="9"/>
        <v/>
      </c>
      <c r="P26" s="10" t="str">
        <f t="shared" si="10"/>
        <v/>
      </c>
      <c r="Q26" s="10">
        <f t="shared" si="11"/>
        <v>558.72497418750004</v>
      </c>
      <c r="R26" s="10">
        <f t="shared" si="15"/>
        <v>129.62419401150001</v>
      </c>
      <c r="S26" s="279"/>
      <c r="T26" s="261"/>
      <c r="U26" s="12">
        <v>400</v>
      </c>
      <c r="V26" s="12">
        <f t="shared" si="12"/>
        <v>116.214794631</v>
      </c>
      <c r="W26" s="12"/>
      <c r="X26" s="12"/>
      <c r="Y26" s="12">
        <f t="shared" si="16"/>
        <v>1204.56396283</v>
      </c>
      <c r="Z26" s="12">
        <f t="shared" si="17"/>
        <v>10144.16354983</v>
      </c>
    </row>
    <row r="27" spans="2:26" x14ac:dyDescent="0.3">
      <c r="B27" s="14">
        <f>IF('Employee Input 23-24'!B27="","",'Employee Input 23-24'!B27)</f>
        <v>2100</v>
      </c>
      <c r="C27" s="216" t="str">
        <f>IF('Employee Input 23-24'!C27="","",'Employee Input 23-24'!C27)</f>
        <v/>
      </c>
      <c r="D27" s="216" t="str">
        <f>IF('Employee Input 23-24'!D27="","",'Employee Input 23-24'!D27)</f>
        <v>Rana Adams</v>
      </c>
      <c r="E27" s="14" t="str">
        <f>IF('Employee Input 23-24'!E27="","",'Employee Input 23-24'!E27)</f>
        <v>Utility</v>
      </c>
      <c r="F27" s="14">
        <f>IF('Employee Input 23-24'!F27="","",'Employee Input 23-24'!F27)</f>
        <v>22</v>
      </c>
      <c r="G27" s="14">
        <f>IF('Employee Input 23-24'!G27="","",'Employee Input 23-24'!G27)</f>
        <v>40</v>
      </c>
      <c r="H27" s="14">
        <f>IF('Employee Input 23-24'!H27="","",'Employee Input 23-24'!H27)</f>
        <v>36</v>
      </c>
      <c r="I27" s="230">
        <f>IF('Employee Input 23-24'!I27="","",'Employee Input 23-24'!I27*(1+$I$2))</f>
        <v>34617.591360000006</v>
      </c>
      <c r="J27" s="10">
        <f t="shared" si="13"/>
        <v>34617.591360000006</v>
      </c>
      <c r="K27" s="11">
        <f>IF('Employee Input 23-24'!K27="","",'Employee Input 23-24'!K27)</f>
        <v>0</v>
      </c>
      <c r="L27" s="11">
        <f>IF('Employee Input 23-24'!L27="","",'Employee Input 23-24'!L27)</f>
        <v>693</v>
      </c>
      <c r="M27" s="10">
        <f t="shared" si="14"/>
        <v>35310.591360000006</v>
      </c>
      <c r="N27" s="16">
        <f>IF('Employee Input 23-24'!N27="","",'Employee Input 23-24'!N27)</f>
        <v>0</v>
      </c>
      <c r="O27" s="10" t="str">
        <f t="shared" si="9"/>
        <v/>
      </c>
      <c r="P27" s="10" t="str">
        <f t="shared" si="10"/>
        <v/>
      </c>
      <c r="Q27" s="10">
        <f t="shared" si="11"/>
        <v>2206.9119600000004</v>
      </c>
      <c r="R27" s="10">
        <f t="shared" si="15"/>
        <v>512.00357472000007</v>
      </c>
      <c r="S27" s="279"/>
      <c r="T27" s="261">
        <v>9514</v>
      </c>
      <c r="U27" s="12">
        <v>400</v>
      </c>
      <c r="V27" s="12">
        <f t="shared" si="12"/>
        <v>459.03768768000003</v>
      </c>
      <c r="W27" s="12"/>
      <c r="X27" s="12"/>
      <c r="Y27" s="12">
        <f t="shared" si="16"/>
        <v>13091.953222400001</v>
      </c>
      <c r="Z27" s="12">
        <f t="shared" si="17"/>
        <v>48402.544582400005</v>
      </c>
    </row>
    <row r="28" spans="2:26" x14ac:dyDescent="0.3">
      <c r="B28" s="14">
        <f>IF('Employee Input 23-24'!B28="","",'Employee Input 23-24'!B28)</f>
        <v>2100</v>
      </c>
      <c r="C28" s="216" t="str">
        <f>IF('Employee Input 23-24'!C28="","",'Employee Input 23-24'!C28)</f>
        <v/>
      </c>
      <c r="D28" s="216" t="str">
        <f>IF('Employee Input 23-24'!D28="","",'Employee Input 23-24'!D28)</f>
        <v>W. Kimmelman</v>
      </c>
      <c r="E28" s="14" t="str">
        <f>IF('Employee Input 23-24'!E28="","",'Employee Input 23-24'!E28)</f>
        <v>Instructional Aide</v>
      </c>
      <c r="F28" s="14">
        <f>IF('Employee Input 23-24'!F28="","",'Employee Input 23-24'!F28)</f>
        <v>28</v>
      </c>
      <c r="G28" s="14">
        <f>IF('Employee Input 23-24'!G28="","",'Employee Input 23-24'!G28)</f>
        <v>14</v>
      </c>
      <c r="H28" s="14">
        <f>IF('Employee Input 23-24'!H28="","",'Employee Input 23-24'!H28)</f>
        <v>36</v>
      </c>
      <c r="I28" s="230">
        <f>IF('Employee Input 23-24'!I28="","",'Employee Input 23-24'!I28*(1+$I$2))</f>
        <v>15420.563424000002</v>
      </c>
      <c r="J28" s="10">
        <f t="shared" si="13"/>
        <v>15420.563424000002</v>
      </c>
      <c r="K28" s="11">
        <f>IF('Employee Input 23-24'!K28="","",'Employee Input 23-24'!K28)</f>
        <v>0</v>
      </c>
      <c r="L28" s="11">
        <f>IF('Employee Input 23-24'!L28="","",'Employee Input 23-24'!L28)</f>
        <v>0</v>
      </c>
      <c r="M28" s="10">
        <f t="shared" si="14"/>
        <v>15420.563424000002</v>
      </c>
      <c r="N28" s="16">
        <f>IF('Employee Input 23-24'!N28="","",'Employee Input 23-24'!N28)</f>
        <v>0</v>
      </c>
      <c r="O28" s="10" t="str">
        <f t="shared" si="9"/>
        <v/>
      </c>
      <c r="P28" s="10" t="str">
        <f t="shared" si="10"/>
        <v/>
      </c>
      <c r="Q28" s="10">
        <f t="shared" si="11"/>
        <v>963.78521400000011</v>
      </c>
      <c r="R28" s="10">
        <f t="shared" si="15"/>
        <v>223.59816964800004</v>
      </c>
      <c r="S28" s="279"/>
      <c r="T28" s="261">
        <v>0</v>
      </c>
      <c r="U28" s="12">
        <v>400</v>
      </c>
      <c r="V28" s="12">
        <f t="shared" si="12"/>
        <v>200.467324512</v>
      </c>
      <c r="W28" s="12"/>
      <c r="X28" s="12"/>
      <c r="Y28" s="12">
        <f t="shared" si="16"/>
        <v>1787.8507081600003</v>
      </c>
      <c r="Z28" s="12">
        <f t="shared" si="17"/>
        <v>17208.414132160004</v>
      </c>
    </row>
    <row r="29" spans="2:26" x14ac:dyDescent="0.3">
      <c r="B29" s="14">
        <f>IF('Employee Input 23-24'!B29="","",'Employee Input 23-24'!B29)</f>
        <v>2100</v>
      </c>
      <c r="C29" s="216" t="str">
        <f>IF('Employee Input 23-24'!C29="","",'Employee Input 23-24'!C29)</f>
        <v/>
      </c>
      <c r="D29" s="216" t="str">
        <f>IF('Employee Input 23-24'!D29="","",'Employee Input 23-24'!D29)</f>
        <v>Mindy Ballentine</v>
      </c>
      <c r="E29" s="14" t="str">
        <f>IF('Employee Input 23-24'!E29="","",'Employee Input 23-24'!E29)</f>
        <v>Instructional Aide</v>
      </c>
      <c r="F29" s="14">
        <f>IF('Employee Input 23-24'!F29="","",'Employee Input 23-24'!F29)</f>
        <v>14</v>
      </c>
      <c r="G29" s="14">
        <f>IF('Employee Input 23-24'!G29="","",'Employee Input 23-24'!G29)</f>
        <v>32</v>
      </c>
      <c r="H29" s="14">
        <f>IF('Employee Input 23-24'!H29="","",'Employee Input 23-24'!H29)</f>
        <v>36</v>
      </c>
      <c r="I29" s="230">
        <f>IF('Employee Input 23-24'!I29="","",'Employee Input 23-24'!I29*(1+$I$2))</f>
        <v>17623.501056000001</v>
      </c>
      <c r="J29" s="10">
        <f t="shared" si="13"/>
        <v>17623.501056000001</v>
      </c>
      <c r="K29" s="11" t="str">
        <f>IF('Employee Input 23-24'!K29="","",'Employee Input 23-24'!K29)</f>
        <v/>
      </c>
      <c r="L29" s="11">
        <f>IF('Employee Input 23-24'!L29="","",'Employee Input 23-24'!L29)</f>
        <v>0</v>
      </c>
      <c r="M29" s="10">
        <f t="shared" si="14"/>
        <v>17623.501056000001</v>
      </c>
      <c r="N29" s="16">
        <f>IF('Employee Input 23-24'!N29="","",'Employee Input 23-24'!N29)</f>
        <v>0</v>
      </c>
      <c r="O29" s="10" t="str">
        <f t="shared" si="9"/>
        <v/>
      </c>
      <c r="P29" s="10" t="str">
        <f t="shared" si="10"/>
        <v/>
      </c>
      <c r="Q29" s="10">
        <f t="shared" si="11"/>
        <v>1101.4688160000001</v>
      </c>
      <c r="R29" s="10">
        <f t="shared" si="15"/>
        <v>255.54076531200002</v>
      </c>
      <c r="S29" s="279"/>
      <c r="T29" s="261"/>
      <c r="U29" s="12">
        <v>400</v>
      </c>
      <c r="V29" s="12">
        <f t="shared" si="12"/>
        <v>229.10551372800001</v>
      </c>
      <c r="W29" s="12"/>
      <c r="X29" s="12"/>
      <c r="Y29" s="12">
        <f t="shared" si="16"/>
        <v>1986.1150950400001</v>
      </c>
      <c r="Z29" s="12">
        <f t="shared" si="17"/>
        <v>19609.616151040002</v>
      </c>
    </row>
    <row r="30" spans="2:26" x14ac:dyDescent="0.3">
      <c r="B30" s="14">
        <f>IF('Employee Input 23-24'!B30="","",'Employee Input 23-24'!B30)</f>
        <v>2200</v>
      </c>
      <c r="C30" s="216" t="str">
        <f>IF('Employee Input 23-24'!C30="","",'Employee Input 23-24'!C30)</f>
        <v/>
      </c>
      <c r="D30" s="216" t="str">
        <f>IF('Employee Input 23-24'!D30="","",'Employee Input 23-24'!D30)</f>
        <v>Marsha Bartholomay</v>
      </c>
      <c r="E30" s="14" t="str">
        <f>IF('Employee Input 23-24'!E30="","",'Employee Input 23-24'!E30)</f>
        <v>Counselor</v>
      </c>
      <c r="F30" s="14">
        <f>IF('Employee Input 23-24'!F30="","",'Employee Input 23-24'!F30)</f>
        <v>28.3</v>
      </c>
      <c r="G30" s="14">
        <f>IF('Employee Input 23-24'!G30="","",'Employee Input 23-24'!G30)</f>
        <v>25</v>
      </c>
      <c r="H30" s="14">
        <f>IF('Employee Input 23-24'!H30="","",'Employee Input 23-24'!H30)</f>
        <v>38</v>
      </c>
      <c r="I30" s="230">
        <f>IF('Employee Input 23-24'!I30="","",'Employee Input 23-24'!I30*(1+$I$2))</f>
        <v>29377.965395000003</v>
      </c>
      <c r="J30" s="10">
        <f t="shared" si="13"/>
        <v>29377.965395000003</v>
      </c>
      <c r="K30" s="11">
        <f>IF('Employee Input 23-24'!K30="","",'Employee Input 23-24'!K30)</f>
        <v>0</v>
      </c>
      <c r="L30" s="11">
        <f>IF('Employee Input 23-24'!L30="","",'Employee Input 23-24'!L30)</f>
        <v>0</v>
      </c>
      <c r="M30" s="10">
        <f t="shared" si="14"/>
        <v>29377.965395000003</v>
      </c>
      <c r="N30" s="16">
        <f>IF('Employee Input 23-24'!N30="","",'Employee Input 23-24'!N30)</f>
        <v>0</v>
      </c>
      <c r="O30" s="10" t="str">
        <f t="shared" si="9"/>
        <v/>
      </c>
      <c r="P30" s="10" t="str">
        <f t="shared" si="10"/>
        <v/>
      </c>
      <c r="Q30" s="10">
        <f t="shared" si="11"/>
        <v>1836.1228371875002</v>
      </c>
      <c r="R30" s="10">
        <f t="shared" si="15"/>
        <v>425.98049822750005</v>
      </c>
      <c r="S30" s="279"/>
      <c r="T30" s="261"/>
      <c r="U30" s="12">
        <v>400</v>
      </c>
      <c r="V30" s="12">
        <f t="shared" si="12"/>
        <v>381.91355013500004</v>
      </c>
      <c r="W30" s="12"/>
      <c r="X30" s="12"/>
      <c r="Y30" s="12">
        <f t="shared" si="16"/>
        <v>3044.0168855500001</v>
      </c>
      <c r="Z30" s="12">
        <f t="shared" si="17"/>
        <v>32421.982280550004</v>
      </c>
    </row>
    <row r="31" spans="2:26" x14ac:dyDescent="0.3">
      <c r="B31" s="14">
        <f>IF('Employee Input 23-24'!B31="","",'Employee Input 23-24'!B31)</f>
        <v>2400</v>
      </c>
      <c r="C31" s="216" t="str">
        <f>IF('Employee Input 23-24'!C31="","",'Employee Input 23-24'!C31)</f>
        <v/>
      </c>
      <c r="D31" s="216" t="str">
        <f>IF('Employee Input 23-24'!D31="","",'Employee Input 23-24'!D31)</f>
        <v>Marcia Mollett</v>
      </c>
      <c r="E31" s="14" t="str">
        <f>IF('Employee Input 23-24'!E31="","",'Employee Input 23-24'!E31)</f>
        <v>Support</v>
      </c>
      <c r="F31" s="14">
        <f>IF('Employee Input 23-24'!F31="","",'Employee Input 23-24'!F31)</f>
        <v>18.55</v>
      </c>
      <c r="G31" s="14">
        <f>IF('Employee Input 23-24'!G31="","",'Employee Input 23-24'!G31)</f>
        <v>38</v>
      </c>
      <c r="H31" s="14">
        <f>IF('Employee Input 23-24'!H31="","",'Employee Input 23-24'!H31)</f>
        <v>38</v>
      </c>
      <c r="I31" s="230">
        <f>IF('Employee Input 23-24'!I31="","",'Employee Input 23-24'!I31*(1+$I$2))</f>
        <v>29270.0039674</v>
      </c>
      <c r="J31" s="10">
        <f t="shared" si="13"/>
        <v>29270.0039674</v>
      </c>
      <c r="K31" s="11">
        <f>IF('Employee Input 23-24'!K31="","",'Employee Input 23-24'!K31)</f>
        <v>0</v>
      </c>
      <c r="L31" s="11">
        <f>IF('Employee Input 23-24'!L31="","",'Employee Input 23-24'!L31)</f>
        <v>0</v>
      </c>
      <c r="M31" s="10">
        <f t="shared" si="14"/>
        <v>29270.0039674</v>
      </c>
      <c r="N31" s="16">
        <f>IF('Employee Input 23-24'!N31="","",'Employee Input 23-24'!N31)</f>
        <v>0</v>
      </c>
      <c r="O31" s="10" t="str">
        <f t="shared" si="9"/>
        <v/>
      </c>
      <c r="P31" s="10" t="str">
        <f t="shared" si="10"/>
        <v/>
      </c>
      <c r="Q31" s="10">
        <f t="shared" si="11"/>
        <v>1829.3752479625</v>
      </c>
      <c r="R31" s="10">
        <f t="shared" si="15"/>
        <v>424.41505752730001</v>
      </c>
      <c r="S31" s="279"/>
      <c r="T31" s="261"/>
      <c r="U31" s="12">
        <v>400</v>
      </c>
      <c r="V31" s="12">
        <f t="shared" si="12"/>
        <v>380.5100515762</v>
      </c>
      <c r="W31" s="12"/>
      <c r="X31" s="12"/>
      <c r="Y31" s="12">
        <f t="shared" si="16"/>
        <v>3034.3003570660003</v>
      </c>
      <c r="Z31" s="12">
        <f t="shared" si="17"/>
        <v>32304.304324466</v>
      </c>
    </row>
    <row r="32" spans="2:26" x14ac:dyDescent="0.3">
      <c r="B32" s="14">
        <f>IF('Employee Input 23-24'!B32="","",'Employee Input 23-24'!B32)</f>
        <v>2900</v>
      </c>
      <c r="C32" s="216" t="str">
        <f>IF('Employee Input 23-24'!C32="","",'Employee Input 23-24'!C32)</f>
        <v/>
      </c>
      <c r="D32" s="216" t="str">
        <f>IF('Employee Input 23-24'!D32="","",'Employee Input 23-24'!D32)</f>
        <v>Vacant</v>
      </c>
      <c r="E32" s="14" t="str">
        <f>IF('Employee Input 23-24'!E32="","",'Employee Input 23-24'!E32)</f>
        <v>Lunch Aide</v>
      </c>
      <c r="F32" s="14">
        <f>IF('Employee Input 23-24'!F32="","",'Employee Input 23-24'!F32)</f>
        <v>0</v>
      </c>
      <c r="G32" s="14">
        <f>IF('Employee Input 23-24'!G32="","",'Employee Input 23-24'!G32)</f>
        <v>20</v>
      </c>
      <c r="H32" s="14">
        <f>IF('Employee Input 23-24'!H32="","",'Employee Input 23-24'!H32)</f>
        <v>36</v>
      </c>
      <c r="I32" s="230">
        <f>IF('Employee Input 23-24'!I32="","",'Employee Input 23-24'!I32*(1+$I$2))</f>
        <v>0</v>
      </c>
      <c r="J32" s="10">
        <f t="shared" si="13"/>
        <v>0</v>
      </c>
      <c r="K32" s="11">
        <f>IF('Employee Input 23-24'!K32="","",'Employee Input 23-24'!K32)</f>
        <v>0</v>
      </c>
      <c r="L32" s="11">
        <f>IF('Employee Input 23-24'!L32="","",'Employee Input 23-24'!L32)</f>
        <v>0</v>
      </c>
      <c r="M32" s="10">
        <f t="shared" si="14"/>
        <v>0</v>
      </c>
      <c r="N32" s="16">
        <f>IF('Employee Input 23-24'!N32="","",'Employee Input 23-24'!N32)</f>
        <v>0</v>
      </c>
      <c r="O32" s="10" t="str">
        <f t="shared" si="9"/>
        <v/>
      </c>
      <c r="P32" s="10" t="str">
        <f t="shared" si="10"/>
        <v/>
      </c>
      <c r="Q32" s="10">
        <f t="shared" si="11"/>
        <v>0</v>
      </c>
      <c r="R32" s="10">
        <f t="shared" si="15"/>
        <v>0</v>
      </c>
      <c r="S32" s="279"/>
      <c r="T32" s="261"/>
      <c r="U32" s="12">
        <v>400</v>
      </c>
      <c r="V32" s="12">
        <f t="shared" si="12"/>
        <v>0</v>
      </c>
      <c r="W32" s="12"/>
      <c r="X32" s="12"/>
      <c r="Y32" s="12">
        <f t="shared" si="16"/>
        <v>400</v>
      </c>
      <c r="Z32" s="12">
        <f t="shared" si="17"/>
        <v>400</v>
      </c>
    </row>
    <row r="33" spans="2:26" x14ac:dyDescent="0.3">
      <c r="B33" s="14" t="str">
        <f>IF('Employee Input 23-24'!B33="","",'Employee Input 23-24'!B33)</f>
        <v/>
      </c>
      <c r="C33" s="216" t="str">
        <f>IF('Employee Input 23-24'!C33="","",'Employee Input 23-24'!C33)</f>
        <v/>
      </c>
      <c r="D33" s="216" t="str">
        <f>IF('Employee Input 23-24'!D33="","",'Employee Input 23-24'!D33)</f>
        <v/>
      </c>
      <c r="E33" s="14" t="str">
        <f>IF('Employee Input 23-24'!E33="","",'Employee Input 23-24'!E33)</f>
        <v/>
      </c>
      <c r="F33" s="14" t="str">
        <f>IF('Employee Input 23-24'!F33="","",'Employee Input 23-24'!F33)</f>
        <v/>
      </c>
      <c r="G33" s="14"/>
      <c r="H33" s="14"/>
      <c r="I33" s="230" t="str">
        <f>IF('Employee Input 23-24'!I33="","",'Employee Input 23-24'!I33*(1+$I$2))</f>
        <v/>
      </c>
      <c r="J33" s="10" t="str">
        <f t="shared" si="13"/>
        <v/>
      </c>
      <c r="K33" s="11" t="str">
        <f>IF('Employee Input 23-24'!K33="","",'Employee Input 23-24'!K33)</f>
        <v/>
      </c>
      <c r="L33" s="11" t="str">
        <f>IF('Employee Input 23-24'!L33="","",'Employee Input 23-24'!L33)</f>
        <v/>
      </c>
      <c r="M33" s="10">
        <f t="shared" si="14"/>
        <v>0</v>
      </c>
      <c r="N33" s="16" t="str">
        <f>IF('Employee Input 23-24'!N33="","",'Employee Input 23-24'!N33)</f>
        <v/>
      </c>
      <c r="O33" s="10" t="str">
        <f t="shared" si="9"/>
        <v/>
      </c>
      <c r="P33" s="10" t="str">
        <f t="shared" si="10"/>
        <v/>
      </c>
      <c r="Q33" s="10">
        <f t="shared" si="11"/>
        <v>0</v>
      </c>
      <c r="R33" s="10">
        <f t="shared" si="15"/>
        <v>0</v>
      </c>
      <c r="S33" s="279"/>
      <c r="T33" s="261"/>
      <c r="U33" s="12"/>
      <c r="V33" s="12">
        <f t="shared" si="12"/>
        <v>0</v>
      </c>
      <c r="W33" s="12"/>
      <c r="X33" s="12"/>
      <c r="Y33" s="12">
        <f t="shared" si="16"/>
        <v>0</v>
      </c>
      <c r="Z33" s="12">
        <f t="shared" si="17"/>
        <v>0</v>
      </c>
    </row>
    <row r="34" spans="2:26" outlineLevel="1" x14ac:dyDescent="0.3">
      <c r="B34" s="14"/>
      <c r="C34" s="14"/>
      <c r="D34" s="14"/>
      <c r="E34" s="14"/>
      <c r="F34" s="14"/>
      <c r="G34" s="14"/>
      <c r="H34" s="14"/>
      <c r="I34" s="230"/>
      <c r="J34" s="10"/>
      <c r="K34" s="11"/>
      <c r="L34" s="11"/>
      <c r="M34" s="10"/>
      <c r="N34" s="16"/>
      <c r="O34" s="10"/>
      <c r="P34" s="10"/>
      <c r="Q34" s="10"/>
      <c r="R34" s="10"/>
      <c r="S34" s="279"/>
      <c r="T34" s="12"/>
      <c r="U34" s="12"/>
      <c r="V34" s="12"/>
      <c r="W34" s="12"/>
      <c r="X34" s="12"/>
      <c r="Y34" s="12"/>
      <c r="Z34" s="12"/>
    </row>
    <row r="35" spans="2:26" outlineLevel="1" x14ac:dyDescent="0.3">
      <c r="B35" s="14"/>
      <c r="C35" s="14"/>
      <c r="D35" s="14"/>
      <c r="E35" s="14"/>
      <c r="F35" s="14"/>
      <c r="G35" s="14"/>
      <c r="H35" s="14"/>
      <c r="I35" s="230"/>
      <c r="J35" s="10"/>
      <c r="K35" s="11"/>
      <c r="L35" s="11"/>
      <c r="M35" s="10"/>
      <c r="N35" s="16"/>
      <c r="O35" s="10"/>
      <c r="P35" s="10"/>
      <c r="Q35" s="10"/>
      <c r="R35" s="10"/>
      <c r="S35" s="279"/>
      <c r="T35" s="12"/>
      <c r="U35" s="12"/>
      <c r="V35" s="12"/>
      <c r="W35" s="12"/>
      <c r="X35" s="12"/>
      <c r="Y35" s="12"/>
      <c r="Z35" s="12"/>
    </row>
    <row r="36" spans="2:26" outlineLevel="1" x14ac:dyDescent="0.3">
      <c r="B36" s="14"/>
      <c r="C36" s="14"/>
      <c r="D36" s="14"/>
      <c r="E36" s="14"/>
      <c r="F36" s="14"/>
      <c r="G36" s="14"/>
      <c r="H36" s="14"/>
      <c r="I36" s="230"/>
      <c r="J36" s="10"/>
      <c r="K36" s="11"/>
      <c r="L36" s="11"/>
      <c r="M36" s="10"/>
      <c r="N36" s="16"/>
      <c r="O36" s="10"/>
      <c r="P36" s="10"/>
      <c r="Q36" s="10"/>
      <c r="R36" s="10"/>
      <c r="S36" s="279"/>
      <c r="T36" s="12"/>
      <c r="U36" s="12"/>
      <c r="V36" s="12"/>
      <c r="W36" s="12"/>
      <c r="X36" s="12"/>
      <c r="Y36" s="12"/>
      <c r="Z36" s="12"/>
    </row>
    <row r="37" spans="2:26" outlineLevel="1" x14ac:dyDescent="0.3">
      <c r="B37" s="14"/>
      <c r="C37" s="14"/>
      <c r="D37" s="14"/>
      <c r="E37" s="14"/>
      <c r="F37" s="14"/>
      <c r="G37" s="14"/>
      <c r="H37" s="14"/>
      <c r="I37" s="230"/>
      <c r="J37" s="10"/>
      <c r="K37" s="11"/>
      <c r="L37" s="11"/>
      <c r="M37" s="10"/>
      <c r="N37" s="16"/>
      <c r="O37" s="10"/>
      <c r="P37" s="10"/>
      <c r="Q37" s="10"/>
      <c r="R37" s="10"/>
      <c r="S37" s="279"/>
      <c r="T37" s="12"/>
      <c r="U37" s="12"/>
      <c r="V37" s="12"/>
      <c r="W37" s="12"/>
      <c r="X37" s="12"/>
      <c r="Y37" s="12"/>
      <c r="Z37" s="12"/>
    </row>
    <row r="38" spans="2:26" outlineLevel="1" x14ac:dyDescent="0.3">
      <c r="B38" s="14"/>
      <c r="C38" s="14"/>
      <c r="D38" s="14"/>
      <c r="E38" s="14"/>
      <c r="F38" s="14"/>
      <c r="G38" s="14"/>
      <c r="H38" s="14"/>
      <c r="I38" s="230"/>
      <c r="J38" s="10"/>
      <c r="K38" s="11"/>
      <c r="L38" s="11"/>
      <c r="M38" s="10"/>
      <c r="N38" s="16"/>
      <c r="O38" s="10"/>
      <c r="P38" s="10"/>
      <c r="Q38" s="10"/>
      <c r="R38" s="10"/>
      <c r="S38" s="279"/>
      <c r="T38" s="12"/>
      <c r="U38" s="12"/>
      <c r="V38" s="12"/>
      <c r="W38" s="12"/>
      <c r="X38" s="12"/>
      <c r="Y38" s="12"/>
      <c r="Z38" s="12"/>
    </row>
    <row r="39" spans="2:26" outlineLevel="1" x14ac:dyDescent="0.3">
      <c r="B39" s="14"/>
      <c r="C39" s="14"/>
      <c r="D39" s="14"/>
      <c r="E39" s="14"/>
      <c r="F39" s="14"/>
      <c r="G39" s="14"/>
      <c r="H39" s="14"/>
      <c r="I39" s="230"/>
      <c r="J39" s="10"/>
      <c r="K39" s="11"/>
      <c r="L39" s="11"/>
      <c r="M39" s="10"/>
      <c r="N39" s="16"/>
      <c r="O39" s="10"/>
      <c r="P39" s="10"/>
      <c r="Q39" s="10"/>
      <c r="R39" s="10"/>
      <c r="S39" s="279"/>
      <c r="T39" s="12"/>
      <c r="U39" s="12"/>
      <c r="V39" s="12"/>
      <c r="W39" s="12"/>
      <c r="X39" s="12"/>
      <c r="Y39" s="12"/>
      <c r="Z39" s="12"/>
    </row>
    <row r="40" spans="2:26" outlineLevel="1" x14ac:dyDescent="0.3">
      <c r="B40" s="14"/>
      <c r="C40" s="14"/>
      <c r="D40" s="14"/>
      <c r="E40" s="14"/>
      <c r="F40" s="14"/>
      <c r="G40" s="14"/>
      <c r="H40" s="14"/>
      <c r="I40" s="230"/>
      <c r="J40" s="10"/>
      <c r="K40" s="11"/>
      <c r="L40" s="11"/>
      <c r="M40" s="10"/>
      <c r="N40" s="16"/>
      <c r="O40" s="10"/>
      <c r="P40" s="10"/>
      <c r="Q40" s="10"/>
      <c r="R40" s="10"/>
      <c r="S40" s="279"/>
      <c r="T40" s="12"/>
      <c r="U40" s="12"/>
      <c r="V40" s="12"/>
      <c r="W40" s="12"/>
      <c r="X40" s="12"/>
      <c r="Y40" s="12"/>
      <c r="Z40" s="12"/>
    </row>
    <row r="41" spans="2:26" outlineLevel="1" x14ac:dyDescent="0.3">
      <c r="B41" s="14"/>
      <c r="C41" s="14"/>
      <c r="D41" s="14"/>
      <c r="E41" s="14"/>
      <c r="F41" s="14"/>
      <c r="G41" s="14"/>
      <c r="H41" s="14"/>
      <c r="I41" s="230"/>
      <c r="J41" s="10"/>
      <c r="K41" s="11"/>
      <c r="L41" s="11"/>
      <c r="M41" s="10"/>
      <c r="N41" s="16"/>
      <c r="O41" s="10"/>
      <c r="P41" s="10"/>
      <c r="Q41" s="10"/>
      <c r="R41" s="10"/>
      <c r="S41" s="279"/>
      <c r="T41" s="12"/>
      <c r="U41" s="12"/>
      <c r="V41" s="12"/>
      <c r="W41" s="12"/>
      <c r="X41" s="12"/>
      <c r="Y41" s="12"/>
      <c r="Z41" s="12"/>
    </row>
    <row r="42" spans="2:26" outlineLevel="1" x14ac:dyDescent="0.3">
      <c r="B42" s="14"/>
      <c r="C42" s="14"/>
      <c r="D42" s="14"/>
      <c r="E42" s="14"/>
      <c r="F42" s="14"/>
      <c r="G42" s="14"/>
      <c r="H42" s="14"/>
      <c r="I42" s="230"/>
      <c r="J42" s="10"/>
      <c r="K42" s="11"/>
      <c r="L42" s="11"/>
      <c r="M42" s="10"/>
      <c r="N42" s="16"/>
      <c r="O42" s="10"/>
      <c r="P42" s="10"/>
      <c r="Q42" s="10"/>
      <c r="R42" s="10"/>
      <c r="S42" s="279"/>
      <c r="T42" s="12"/>
      <c r="U42" s="12"/>
      <c r="V42" s="12"/>
      <c r="W42" s="12"/>
      <c r="X42" s="12"/>
      <c r="Y42" s="12"/>
      <c r="Z42" s="12"/>
    </row>
    <row r="43" spans="2:26" outlineLevel="1" x14ac:dyDescent="0.3">
      <c r="B43" s="14"/>
      <c r="C43" s="14"/>
      <c r="D43" s="14"/>
      <c r="E43" s="14"/>
      <c r="F43" s="14"/>
      <c r="G43" s="14"/>
      <c r="H43" s="14"/>
      <c r="I43" s="230"/>
      <c r="J43" s="10"/>
      <c r="K43" s="11"/>
      <c r="L43" s="11"/>
      <c r="M43" s="10"/>
      <c r="N43" s="16"/>
      <c r="O43" s="10"/>
      <c r="P43" s="10"/>
      <c r="Q43" s="10"/>
      <c r="R43" s="10"/>
      <c r="S43" s="279"/>
      <c r="T43" s="12"/>
      <c r="U43" s="12"/>
      <c r="V43" s="12"/>
      <c r="W43" s="12"/>
      <c r="X43" s="12"/>
      <c r="Y43" s="12"/>
      <c r="Z43" s="12"/>
    </row>
    <row r="44" spans="2:26" outlineLevel="1" x14ac:dyDescent="0.3">
      <c r="B44" s="14"/>
      <c r="C44" s="14"/>
      <c r="D44" s="14"/>
      <c r="E44" s="14"/>
      <c r="F44" s="14"/>
      <c r="G44" s="14"/>
      <c r="H44" s="14"/>
      <c r="I44" s="230"/>
      <c r="J44" s="10"/>
      <c r="K44" s="11"/>
      <c r="L44" s="11"/>
      <c r="M44" s="10"/>
      <c r="N44" s="16"/>
      <c r="O44" s="10"/>
      <c r="P44" s="10"/>
      <c r="Q44" s="10"/>
      <c r="R44" s="10"/>
      <c r="S44" s="279"/>
      <c r="T44" s="12"/>
      <c r="U44" s="12"/>
      <c r="V44" s="12"/>
      <c r="W44" s="12"/>
      <c r="X44" s="12"/>
      <c r="Y44" s="12"/>
      <c r="Z44" s="12"/>
    </row>
    <row r="45" spans="2:26" outlineLevel="1" x14ac:dyDescent="0.3">
      <c r="B45" s="14"/>
      <c r="C45" s="14"/>
      <c r="D45" s="14"/>
      <c r="E45" s="14"/>
      <c r="F45" s="14"/>
      <c r="G45" s="14"/>
      <c r="H45" s="14"/>
      <c r="I45" s="230"/>
      <c r="J45" s="10"/>
      <c r="K45" s="11"/>
      <c r="L45" s="11"/>
      <c r="M45" s="10"/>
      <c r="N45" s="16"/>
      <c r="O45" s="10"/>
      <c r="P45" s="10"/>
      <c r="Q45" s="10"/>
      <c r="R45" s="10"/>
      <c r="S45" s="279"/>
      <c r="T45" s="12"/>
      <c r="U45" s="12"/>
      <c r="V45" s="12"/>
      <c r="W45" s="12"/>
      <c r="X45" s="12"/>
      <c r="Y45" s="12"/>
      <c r="Z45" s="12"/>
    </row>
    <row r="46" spans="2:26" outlineLevel="1" x14ac:dyDescent="0.3">
      <c r="B46" s="14"/>
      <c r="C46" s="14"/>
      <c r="D46" s="14"/>
      <c r="E46" s="14"/>
      <c r="F46" s="14"/>
      <c r="G46" s="14"/>
      <c r="H46" s="14"/>
      <c r="I46" s="230"/>
      <c r="J46" s="10"/>
      <c r="K46" s="11"/>
      <c r="L46" s="11"/>
      <c r="M46" s="10"/>
      <c r="N46" s="16"/>
      <c r="O46" s="10"/>
      <c r="P46" s="10"/>
      <c r="Q46" s="10"/>
      <c r="R46" s="10"/>
      <c r="S46" s="279"/>
      <c r="T46" s="12"/>
      <c r="U46" s="12"/>
      <c r="V46" s="12"/>
      <c r="W46" s="12"/>
      <c r="X46" s="12"/>
      <c r="Y46" s="12"/>
      <c r="Z46" s="12"/>
    </row>
    <row r="47" spans="2:26" outlineLevel="1" x14ac:dyDescent="0.3">
      <c r="B47" s="14"/>
      <c r="C47" s="14"/>
      <c r="D47" s="14"/>
      <c r="E47" s="14"/>
      <c r="F47" s="14"/>
      <c r="G47" s="14"/>
      <c r="H47" s="14"/>
      <c r="I47" s="230"/>
      <c r="J47" s="10"/>
      <c r="K47" s="11"/>
      <c r="L47" s="11"/>
      <c r="M47" s="10"/>
      <c r="N47" s="16"/>
      <c r="O47" s="10"/>
      <c r="P47" s="10"/>
      <c r="Q47" s="10"/>
      <c r="R47" s="10"/>
      <c r="S47" s="279"/>
      <c r="T47" s="12"/>
      <c r="U47" s="12"/>
      <c r="V47" s="12"/>
      <c r="W47" s="12"/>
      <c r="X47" s="12"/>
      <c r="Y47" s="12"/>
      <c r="Z47" s="12"/>
    </row>
    <row r="48" spans="2:26" outlineLevel="1" x14ac:dyDescent="0.3">
      <c r="B48" s="14"/>
      <c r="C48" s="14"/>
      <c r="D48" s="14"/>
      <c r="E48" s="14"/>
      <c r="F48" s="14"/>
      <c r="G48" s="14"/>
      <c r="H48" s="14"/>
      <c r="I48" s="230"/>
      <c r="J48" s="10"/>
      <c r="K48" s="11"/>
      <c r="L48" s="11"/>
      <c r="M48" s="10"/>
      <c r="N48" s="16"/>
      <c r="O48" s="10"/>
      <c r="P48" s="10"/>
      <c r="Q48" s="10"/>
      <c r="R48" s="10"/>
      <c r="S48" s="279"/>
      <c r="T48" s="12"/>
      <c r="U48" s="12"/>
      <c r="V48" s="12"/>
      <c r="W48" s="12"/>
      <c r="X48" s="12"/>
      <c r="Y48" s="12"/>
      <c r="Z48" s="12"/>
    </row>
    <row r="49" spans="2:26" outlineLevel="1" x14ac:dyDescent="0.3">
      <c r="B49" s="14"/>
      <c r="C49" s="14"/>
      <c r="D49" s="14"/>
      <c r="E49" s="14"/>
      <c r="F49" s="14"/>
      <c r="G49" s="14"/>
      <c r="H49" s="14"/>
      <c r="I49" s="230"/>
      <c r="J49" s="10"/>
      <c r="K49" s="11"/>
      <c r="L49" s="11"/>
      <c r="M49" s="10"/>
      <c r="N49" s="16"/>
      <c r="O49" s="10"/>
      <c r="P49" s="10"/>
      <c r="Q49" s="10"/>
      <c r="R49" s="10"/>
      <c r="S49" s="279"/>
      <c r="T49" s="12"/>
      <c r="U49" s="12"/>
      <c r="V49" s="12"/>
      <c r="W49" s="12"/>
      <c r="X49" s="12"/>
      <c r="Y49" s="12"/>
      <c r="Z49" s="12"/>
    </row>
    <row r="50" spans="2:26" outlineLevel="1" x14ac:dyDescent="0.3">
      <c r="B50" s="14"/>
      <c r="C50" s="14"/>
      <c r="D50" s="14"/>
      <c r="E50" s="14"/>
      <c r="F50" s="14"/>
      <c r="G50" s="14"/>
      <c r="H50" s="14"/>
      <c r="I50" s="230"/>
      <c r="J50" s="10"/>
      <c r="K50" s="11"/>
      <c r="L50" s="11"/>
      <c r="M50" s="10"/>
      <c r="N50" s="16"/>
      <c r="O50" s="10"/>
      <c r="P50" s="10"/>
      <c r="Q50" s="10"/>
      <c r="R50" s="10"/>
      <c r="S50" s="279"/>
      <c r="T50" s="12"/>
      <c r="U50" s="12"/>
      <c r="V50" s="12"/>
      <c r="W50" s="12"/>
      <c r="X50" s="12"/>
      <c r="Y50" s="12"/>
      <c r="Z50" s="12"/>
    </row>
    <row r="51" spans="2:26" outlineLevel="1" x14ac:dyDescent="0.3">
      <c r="B51" s="14"/>
      <c r="C51" s="14"/>
      <c r="D51" s="14"/>
      <c r="E51" s="14"/>
      <c r="F51" s="14"/>
      <c r="G51" s="14"/>
      <c r="H51" s="14"/>
      <c r="I51" s="230"/>
      <c r="J51" s="10"/>
      <c r="K51" s="11"/>
      <c r="L51" s="11"/>
      <c r="M51" s="10"/>
      <c r="N51" s="16"/>
      <c r="O51" s="10"/>
      <c r="P51" s="10"/>
      <c r="Q51" s="10"/>
      <c r="R51" s="10"/>
      <c r="S51" s="279"/>
      <c r="T51" s="12"/>
      <c r="U51" s="12"/>
      <c r="V51" s="12"/>
      <c r="W51" s="12"/>
      <c r="X51" s="12"/>
      <c r="Y51" s="12"/>
      <c r="Z51" s="12"/>
    </row>
    <row r="52" spans="2:26" outlineLevel="1" x14ac:dyDescent="0.3">
      <c r="B52" s="14"/>
      <c r="C52" s="14"/>
      <c r="D52" s="14"/>
      <c r="E52" s="14"/>
      <c r="F52" s="14"/>
      <c r="G52" s="14"/>
      <c r="H52" s="14"/>
      <c r="I52" s="230"/>
      <c r="J52" s="10"/>
      <c r="K52" s="11"/>
      <c r="L52" s="11"/>
      <c r="M52" s="10"/>
      <c r="N52" s="16"/>
      <c r="O52" s="10"/>
      <c r="P52" s="10"/>
      <c r="Q52" s="10"/>
      <c r="R52" s="10"/>
      <c r="S52" s="279"/>
      <c r="T52" s="12"/>
      <c r="U52" s="12"/>
      <c r="V52" s="12"/>
      <c r="W52" s="12"/>
      <c r="X52" s="12"/>
      <c r="Y52" s="12"/>
      <c r="Z52" s="12"/>
    </row>
    <row r="53" spans="2:26" outlineLevel="1" x14ac:dyDescent="0.3">
      <c r="B53" s="14"/>
      <c r="C53" s="14"/>
      <c r="D53" s="14"/>
      <c r="E53" s="14"/>
      <c r="F53" s="14"/>
      <c r="G53" s="14"/>
      <c r="H53" s="14"/>
      <c r="I53" s="230"/>
      <c r="J53" s="10"/>
      <c r="K53" s="11"/>
      <c r="L53" s="11"/>
      <c r="M53" s="10"/>
      <c r="N53" s="16"/>
      <c r="O53" s="10"/>
      <c r="P53" s="10"/>
      <c r="Q53" s="10"/>
      <c r="R53" s="10"/>
      <c r="S53" s="279"/>
      <c r="T53" s="12"/>
      <c r="U53" s="12"/>
      <c r="V53" s="12"/>
      <c r="W53" s="12"/>
      <c r="X53" s="12"/>
      <c r="Y53" s="12"/>
      <c r="Z53" s="12"/>
    </row>
    <row r="54" spans="2:26" outlineLevel="1" x14ac:dyDescent="0.3">
      <c r="B54" s="14"/>
      <c r="C54" s="14"/>
      <c r="D54" s="14"/>
      <c r="E54" s="14"/>
      <c r="F54" s="14"/>
      <c r="G54" s="14"/>
      <c r="H54" s="14"/>
      <c r="I54" s="230"/>
      <c r="J54" s="10"/>
      <c r="K54" s="11"/>
      <c r="L54" s="11"/>
      <c r="M54" s="10"/>
      <c r="N54" s="16"/>
      <c r="O54" s="10"/>
      <c r="P54" s="10"/>
      <c r="Q54" s="10"/>
      <c r="R54" s="10"/>
      <c r="S54" s="279"/>
      <c r="T54" s="12"/>
      <c r="U54" s="12"/>
      <c r="V54" s="12"/>
      <c r="W54" s="12"/>
      <c r="X54" s="12"/>
      <c r="Y54" s="12"/>
      <c r="Z54" s="12"/>
    </row>
    <row r="55" spans="2:26" outlineLevel="1" x14ac:dyDescent="0.3">
      <c r="B55" s="14"/>
      <c r="C55" s="14"/>
      <c r="D55" s="14"/>
      <c r="E55" s="14"/>
      <c r="F55" s="14"/>
      <c r="G55" s="14"/>
      <c r="H55" s="14"/>
      <c r="I55" s="230"/>
      <c r="J55" s="10"/>
      <c r="K55" s="11"/>
      <c r="L55" s="11"/>
      <c r="M55" s="10"/>
      <c r="N55" s="16"/>
      <c r="O55" s="10"/>
      <c r="P55" s="10"/>
      <c r="Q55" s="10"/>
      <c r="R55" s="10"/>
      <c r="S55" s="279"/>
      <c r="T55" s="12"/>
      <c r="U55" s="12"/>
      <c r="V55" s="12"/>
      <c r="W55" s="12"/>
      <c r="X55" s="12"/>
      <c r="Y55" s="12"/>
      <c r="Z55" s="12"/>
    </row>
    <row r="56" spans="2:26" outlineLevel="1" x14ac:dyDescent="0.3">
      <c r="B56" s="14"/>
      <c r="C56" s="14"/>
      <c r="D56" s="14"/>
      <c r="E56" s="14"/>
      <c r="F56" s="14"/>
      <c r="G56" s="14"/>
      <c r="H56" s="14"/>
      <c r="I56" s="230"/>
      <c r="J56" s="10"/>
      <c r="K56" s="11"/>
      <c r="L56" s="11"/>
      <c r="M56" s="10"/>
      <c r="N56" s="16"/>
      <c r="O56" s="10"/>
      <c r="P56" s="10"/>
      <c r="Q56" s="10"/>
      <c r="R56" s="10"/>
      <c r="S56" s="279"/>
      <c r="T56" s="12"/>
      <c r="U56" s="12"/>
      <c r="V56" s="12"/>
      <c r="W56" s="12"/>
      <c r="X56" s="12"/>
      <c r="Y56" s="12"/>
      <c r="Z56" s="12"/>
    </row>
    <row r="57" spans="2:26" outlineLevel="1" x14ac:dyDescent="0.3">
      <c r="B57" s="14"/>
      <c r="C57" s="14"/>
      <c r="D57" s="14"/>
      <c r="E57" s="14"/>
      <c r="F57" s="14"/>
      <c r="G57" s="14"/>
      <c r="H57" s="14"/>
      <c r="I57" s="230"/>
      <c r="J57" s="10"/>
      <c r="K57" s="11"/>
      <c r="L57" s="11"/>
      <c r="M57" s="10"/>
      <c r="N57" s="16"/>
      <c r="O57" s="10"/>
      <c r="P57" s="10"/>
      <c r="Q57" s="10"/>
      <c r="R57" s="10"/>
      <c r="S57" s="279"/>
      <c r="T57" s="12"/>
      <c r="U57" s="12"/>
      <c r="V57" s="12"/>
      <c r="W57" s="12"/>
      <c r="X57" s="12"/>
      <c r="Y57" s="12"/>
      <c r="Z57" s="12"/>
    </row>
    <row r="58" spans="2:26" outlineLevel="1" x14ac:dyDescent="0.3">
      <c r="B58" s="14"/>
      <c r="C58" s="14"/>
      <c r="D58" s="14"/>
      <c r="E58" s="14"/>
      <c r="F58" s="14"/>
      <c r="G58" s="14"/>
      <c r="H58" s="14"/>
      <c r="I58" s="230"/>
      <c r="J58" s="10"/>
      <c r="K58" s="11"/>
      <c r="L58" s="11"/>
      <c r="M58" s="10"/>
      <c r="N58" s="16"/>
      <c r="O58" s="10"/>
      <c r="P58" s="10"/>
      <c r="Q58" s="10"/>
      <c r="R58" s="10"/>
      <c r="S58" s="279"/>
      <c r="T58" s="12"/>
      <c r="U58" s="12"/>
      <c r="V58" s="12"/>
      <c r="W58" s="12"/>
      <c r="X58" s="12"/>
      <c r="Y58" s="12"/>
      <c r="Z58" s="12"/>
    </row>
    <row r="59" spans="2:26" outlineLevel="1" x14ac:dyDescent="0.3">
      <c r="B59" s="14"/>
      <c r="C59" s="14"/>
      <c r="D59" s="14"/>
      <c r="E59" s="14"/>
      <c r="F59" s="14"/>
      <c r="G59" s="14"/>
      <c r="H59" s="14"/>
      <c r="I59" s="230"/>
      <c r="J59" s="10"/>
      <c r="K59" s="11"/>
      <c r="L59" s="11"/>
      <c r="M59" s="10"/>
      <c r="N59" s="16"/>
      <c r="O59" s="10"/>
      <c r="P59" s="10"/>
      <c r="Q59" s="10"/>
      <c r="R59" s="10"/>
      <c r="S59" s="279"/>
      <c r="T59" s="12"/>
      <c r="U59" s="12"/>
      <c r="V59" s="12"/>
      <c r="W59" s="12"/>
      <c r="X59" s="12"/>
      <c r="Y59" s="12"/>
      <c r="Z59" s="12"/>
    </row>
    <row r="60" spans="2:26" outlineLevel="1" x14ac:dyDescent="0.3">
      <c r="B60" s="14"/>
      <c r="C60" s="14"/>
      <c r="D60" s="14"/>
      <c r="E60" s="14"/>
      <c r="F60" s="14"/>
      <c r="G60" s="14"/>
      <c r="H60" s="14"/>
      <c r="I60" s="230"/>
      <c r="J60" s="10"/>
      <c r="K60" s="11"/>
      <c r="L60" s="11"/>
      <c r="M60" s="10"/>
      <c r="N60" s="16"/>
      <c r="O60" s="10"/>
      <c r="P60" s="10"/>
      <c r="Q60" s="10"/>
      <c r="R60" s="10"/>
      <c r="S60" s="279"/>
      <c r="T60" s="12"/>
      <c r="U60" s="12"/>
      <c r="V60" s="12"/>
      <c r="W60" s="12"/>
      <c r="X60" s="12"/>
      <c r="Y60" s="12"/>
      <c r="Z60" s="12"/>
    </row>
    <row r="61" spans="2:26" outlineLevel="1" x14ac:dyDescent="0.3">
      <c r="B61" s="14"/>
      <c r="C61" s="14"/>
      <c r="D61" s="14"/>
      <c r="E61" s="14"/>
      <c r="F61" s="14"/>
      <c r="G61" s="14"/>
      <c r="H61" s="14"/>
      <c r="I61" s="230"/>
      <c r="J61" s="10"/>
      <c r="K61" s="11"/>
      <c r="L61" s="11"/>
      <c r="M61" s="10"/>
      <c r="N61" s="16"/>
      <c r="O61" s="10"/>
      <c r="P61" s="10"/>
      <c r="Q61" s="10"/>
      <c r="R61" s="10"/>
      <c r="S61" s="279"/>
      <c r="T61" s="12"/>
      <c r="U61" s="12"/>
      <c r="V61" s="12"/>
      <c r="W61" s="12"/>
      <c r="X61" s="12"/>
      <c r="Y61" s="12"/>
      <c r="Z61" s="12"/>
    </row>
    <row r="62" spans="2:26" outlineLevel="1" x14ac:dyDescent="0.3">
      <c r="B62" s="14"/>
      <c r="C62" s="14"/>
      <c r="D62" s="14"/>
      <c r="E62" s="14"/>
      <c r="F62" s="14"/>
      <c r="G62" s="14"/>
      <c r="H62" s="14"/>
      <c r="I62" s="230"/>
      <c r="J62" s="10"/>
      <c r="K62" s="11"/>
      <c r="L62" s="11"/>
      <c r="M62" s="10"/>
      <c r="N62" s="16"/>
      <c r="O62" s="10"/>
      <c r="P62" s="10"/>
      <c r="Q62" s="10"/>
      <c r="R62" s="10"/>
      <c r="S62" s="279"/>
      <c r="T62" s="12"/>
      <c r="U62" s="12"/>
      <c r="V62" s="12"/>
      <c r="W62" s="12"/>
      <c r="X62" s="12"/>
      <c r="Y62" s="12"/>
      <c r="Z62" s="12"/>
    </row>
    <row r="63" spans="2:26" outlineLevel="1" x14ac:dyDescent="0.3">
      <c r="B63" s="14"/>
      <c r="C63" s="14"/>
      <c r="D63" s="14"/>
      <c r="E63" s="14"/>
      <c r="F63" s="14"/>
      <c r="G63" s="14"/>
      <c r="H63" s="14"/>
      <c r="I63" s="230"/>
      <c r="J63" s="10"/>
      <c r="K63" s="11"/>
      <c r="L63" s="11"/>
      <c r="M63" s="10"/>
      <c r="N63" s="16"/>
      <c r="O63" s="10"/>
      <c r="P63" s="10"/>
      <c r="Q63" s="10"/>
      <c r="R63" s="10"/>
      <c r="S63" s="279"/>
      <c r="T63" s="12"/>
      <c r="U63" s="12"/>
      <c r="V63" s="12"/>
      <c r="W63" s="12"/>
      <c r="X63" s="12"/>
      <c r="Y63" s="12"/>
      <c r="Z63" s="12"/>
    </row>
    <row r="64" spans="2:26" outlineLevel="1" x14ac:dyDescent="0.3">
      <c r="B64" s="14"/>
      <c r="C64" s="14"/>
      <c r="D64" s="14"/>
      <c r="E64" s="14"/>
      <c r="F64" s="14"/>
      <c r="G64" s="14"/>
      <c r="H64" s="14"/>
      <c r="I64" s="230"/>
      <c r="J64" s="10"/>
      <c r="K64" s="11"/>
      <c r="L64" s="11"/>
      <c r="M64" s="10"/>
      <c r="N64" s="16"/>
      <c r="O64" s="10"/>
      <c r="P64" s="10"/>
      <c r="Q64" s="10"/>
      <c r="R64" s="10"/>
      <c r="S64" s="279"/>
      <c r="T64" s="12"/>
      <c r="U64" s="12"/>
      <c r="V64" s="12"/>
      <c r="W64" s="12"/>
      <c r="X64" s="12"/>
      <c r="Y64" s="12"/>
      <c r="Z64" s="12"/>
    </row>
    <row r="65" spans="2:26" outlineLevel="1" x14ac:dyDescent="0.3">
      <c r="B65" s="14"/>
      <c r="C65" s="14"/>
      <c r="D65" s="14"/>
      <c r="E65" s="14"/>
      <c r="F65" s="14"/>
      <c r="G65" s="14"/>
      <c r="H65" s="14"/>
      <c r="I65" s="230"/>
      <c r="J65" s="10"/>
      <c r="K65" s="11"/>
      <c r="L65" s="11"/>
      <c r="M65" s="10"/>
      <c r="N65" s="16"/>
      <c r="O65" s="10"/>
      <c r="P65" s="10"/>
      <c r="Q65" s="10"/>
      <c r="R65" s="10"/>
      <c r="S65" s="279"/>
      <c r="T65" s="12"/>
      <c r="U65" s="12"/>
      <c r="V65" s="12"/>
      <c r="W65" s="12"/>
      <c r="X65" s="12"/>
      <c r="Y65" s="12"/>
      <c r="Z65" s="12"/>
    </row>
    <row r="66" spans="2:26" outlineLevel="1" x14ac:dyDescent="0.3">
      <c r="B66" s="14"/>
      <c r="C66" s="14"/>
      <c r="D66" s="14"/>
      <c r="E66" s="14"/>
      <c r="F66" s="14"/>
      <c r="G66" s="14"/>
      <c r="H66" s="14"/>
      <c r="I66" s="230"/>
      <c r="J66" s="10"/>
      <c r="K66" s="11"/>
      <c r="L66" s="11"/>
      <c r="M66" s="10"/>
      <c r="N66" s="16"/>
      <c r="O66" s="10"/>
      <c r="P66" s="10"/>
      <c r="Q66" s="10"/>
      <c r="R66" s="10"/>
      <c r="S66" s="279"/>
      <c r="T66" s="12"/>
      <c r="U66" s="12"/>
      <c r="V66" s="12"/>
      <c r="W66" s="12"/>
      <c r="X66" s="12"/>
      <c r="Y66" s="12"/>
      <c r="Z66" s="12"/>
    </row>
    <row r="67" spans="2:26" outlineLevel="1" x14ac:dyDescent="0.3">
      <c r="B67" s="14"/>
      <c r="C67" s="14"/>
      <c r="D67" s="14"/>
      <c r="E67" s="14"/>
      <c r="F67" s="14"/>
      <c r="G67" s="14"/>
      <c r="H67" s="14"/>
      <c r="I67" s="230"/>
      <c r="J67" s="10"/>
      <c r="K67" s="11"/>
      <c r="L67" s="11"/>
      <c r="M67" s="10"/>
      <c r="N67" s="16"/>
      <c r="O67" s="10"/>
      <c r="P67" s="10"/>
      <c r="Q67" s="10"/>
      <c r="R67" s="10"/>
      <c r="S67" s="279"/>
      <c r="T67" s="12"/>
      <c r="U67" s="12"/>
      <c r="V67" s="12"/>
      <c r="W67" s="12"/>
      <c r="X67" s="12"/>
      <c r="Y67" s="12"/>
      <c r="Z67" s="12"/>
    </row>
    <row r="68" spans="2:26" outlineLevel="1" x14ac:dyDescent="0.3">
      <c r="B68" s="14"/>
      <c r="C68" s="14"/>
      <c r="D68" s="14"/>
      <c r="E68" s="14"/>
      <c r="F68" s="14"/>
      <c r="G68" s="14"/>
      <c r="H68" s="14"/>
      <c r="I68" s="230"/>
      <c r="J68" s="10"/>
      <c r="K68" s="11"/>
      <c r="L68" s="11"/>
      <c r="M68" s="10"/>
      <c r="N68" s="16"/>
      <c r="O68" s="10"/>
      <c r="P68" s="10"/>
      <c r="Q68" s="10"/>
      <c r="R68" s="10"/>
      <c r="S68" s="279"/>
      <c r="T68" s="12"/>
      <c r="U68" s="12"/>
      <c r="V68" s="12"/>
      <c r="W68" s="12"/>
      <c r="X68" s="12"/>
      <c r="Y68" s="12"/>
      <c r="Z68" s="12"/>
    </row>
    <row r="69" spans="2:26" outlineLevel="1" x14ac:dyDescent="0.3">
      <c r="B69" s="14"/>
      <c r="C69" s="14"/>
      <c r="D69" s="14"/>
      <c r="E69" s="14"/>
      <c r="F69" s="14"/>
      <c r="G69" s="14"/>
      <c r="H69" s="14"/>
      <c r="I69" s="230"/>
      <c r="J69" s="10"/>
      <c r="K69" s="11"/>
      <c r="L69" s="11"/>
      <c r="M69" s="10"/>
      <c r="N69" s="16"/>
      <c r="O69" s="10"/>
      <c r="P69" s="10"/>
      <c r="Q69" s="10"/>
      <c r="R69" s="10"/>
      <c r="S69" s="279"/>
      <c r="T69" s="12"/>
      <c r="U69" s="12"/>
      <c r="V69" s="12"/>
      <c r="W69" s="12"/>
      <c r="X69" s="12"/>
      <c r="Y69" s="12"/>
      <c r="Z69" s="12"/>
    </row>
    <row r="70" spans="2:26" outlineLevel="1" x14ac:dyDescent="0.3">
      <c r="B70" s="14"/>
      <c r="C70" s="14"/>
      <c r="D70" s="14"/>
      <c r="E70" s="14"/>
      <c r="F70" s="14"/>
      <c r="G70" s="14"/>
      <c r="H70" s="14"/>
      <c r="I70" s="230"/>
      <c r="J70" s="10"/>
      <c r="K70" s="11"/>
      <c r="L70" s="11"/>
      <c r="M70" s="10"/>
      <c r="N70" s="16"/>
      <c r="O70" s="10"/>
      <c r="P70" s="10"/>
      <c r="Q70" s="10"/>
      <c r="R70" s="10"/>
      <c r="S70" s="279"/>
      <c r="T70" s="12"/>
      <c r="U70" s="12"/>
      <c r="V70" s="12"/>
      <c r="W70" s="12"/>
      <c r="X70" s="12"/>
      <c r="Y70" s="12"/>
      <c r="Z70" s="12"/>
    </row>
    <row r="71" spans="2:26" outlineLevel="1" x14ac:dyDescent="0.3">
      <c r="B71" s="14"/>
      <c r="C71" s="14"/>
      <c r="D71" s="14"/>
      <c r="E71" s="14"/>
      <c r="F71" s="14"/>
      <c r="G71" s="14"/>
      <c r="H71" s="14"/>
      <c r="I71" s="230"/>
      <c r="J71" s="10"/>
      <c r="K71" s="11"/>
      <c r="L71" s="11"/>
      <c r="M71" s="10"/>
      <c r="N71" s="16"/>
      <c r="O71" s="10"/>
      <c r="P71" s="10"/>
      <c r="Q71" s="10"/>
      <c r="R71" s="10"/>
      <c r="S71" s="279"/>
      <c r="T71" s="12"/>
      <c r="U71" s="12"/>
      <c r="V71" s="12"/>
      <c r="W71" s="12"/>
      <c r="X71" s="12"/>
      <c r="Y71" s="12"/>
      <c r="Z71" s="12"/>
    </row>
    <row r="72" spans="2:26" outlineLevel="1" x14ac:dyDescent="0.3">
      <c r="B72" s="14"/>
      <c r="C72" s="14"/>
      <c r="D72" s="14"/>
      <c r="E72" s="14"/>
      <c r="F72" s="14"/>
      <c r="G72" s="14"/>
      <c r="H72" s="14"/>
      <c r="I72" s="230"/>
      <c r="J72" s="10"/>
      <c r="K72" s="11"/>
      <c r="L72" s="11"/>
      <c r="M72" s="10"/>
      <c r="N72" s="16"/>
      <c r="O72" s="10"/>
      <c r="P72" s="10"/>
      <c r="Q72" s="10"/>
      <c r="R72" s="10"/>
      <c r="S72" s="279"/>
      <c r="T72" s="12"/>
      <c r="U72" s="12"/>
      <c r="V72" s="12"/>
      <c r="W72" s="12"/>
      <c r="X72" s="12"/>
      <c r="Y72" s="12"/>
      <c r="Z72" s="12"/>
    </row>
    <row r="73" spans="2:26" outlineLevel="1" x14ac:dyDescent="0.3">
      <c r="B73" s="14"/>
      <c r="C73" s="14"/>
      <c r="D73" s="14"/>
      <c r="E73" s="14"/>
      <c r="F73" s="14"/>
      <c r="G73" s="14"/>
      <c r="H73" s="14"/>
      <c r="I73" s="230"/>
      <c r="J73" s="10"/>
      <c r="K73" s="11"/>
      <c r="L73" s="11"/>
      <c r="M73" s="10"/>
      <c r="N73" s="16"/>
      <c r="O73" s="10"/>
      <c r="P73" s="10"/>
      <c r="Q73" s="10"/>
      <c r="R73" s="10"/>
      <c r="S73" s="279"/>
      <c r="T73" s="12"/>
      <c r="U73" s="12"/>
      <c r="V73" s="12"/>
      <c r="W73" s="12"/>
      <c r="X73" s="12"/>
      <c r="Y73" s="12"/>
      <c r="Z73" s="12"/>
    </row>
    <row r="74" spans="2:26" outlineLevel="1" x14ac:dyDescent="0.3">
      <c r="B74" s="14"/>
      <c r="C74" s="14"/>
      <c r="D74" s="14"/>
      <c r="E74" s="14"/>
      <c r="F74" s="14"/>
      <c r="G74" s="14"/>
      <c r="H74" s="14"/>
      <c r="I74" s="230"/>
      <c r="J74" s="10"/>
      <c r="K74" s="11"/>
      <c r="L74" s="11"/>
      <c r="M74" s="10"/>
      <c r="N74" s="16"/>
      <c r="O74" s="10"/>
      <c r="P74" s="10"/>
      <c r="Q74" s="10"/>
      <c r="R74" s="10"/>
      <c r="S74" s="279"/>
      <c r="T74" s="12"/>
      <c r="U74" s="12"/>
      <c r="V74" s="12"/>
      <c r="W74" s="12"/>
      <c r="X74" s="12"/>
      <c r="Y74" s="12"/>
      <c r="Z74" s="12"/>
    </row>
    <row r="75" spans="2:26" outlineLevel="1" x14ac:dyDescent="0.3">
      <c r="B75" s="14"/>
      <c r="C75" s="15"/>
      <c r="D75" s="15"/>
      <c r="E75" s="15"/>
      <c r="F75" s="14"/>
      <c r="G75" s="14"/>
      <c r="H75" s="14"/>
      <c r="I75" s="230"/>
      <c r="J75" s="10"/>
      <c r="K75" s="11"/>
      <c r="L75" s="11"/>
      <c r="M75" s="10"/>
      <c r="N75" s="16"/>
      <c r="O75" s="10"/>
      <c r="P75" s="10"/>
      <c r="Q75" s="10"/>
      <c r="R75" s="10"/>
      <c r="S75" s="233"/>
      <c r="T75" s="12"/>
      <c r="U75" s="12"/>
      <c r="V75" s="12"/>
      <c r="W75" s="12"/>
      <c r="X75" s="12"/>
      <c r="Y75" s="12"/>
      <c r="Z75" s="12"/>
    </row>
    <row r="76" spans="2:26" outlineLevel="1" x14ac:dyDescent="0.3">
      <c r="B76" s="14"/>
      <c r="C76" s="15"/>
      <c r="D76" s="15"/>
      <c r="E76" s="15"/>
      <c r="F76" s="14"/>
      <c r="G76" s="14"/>
      <c r="H76" s="14"/>
      <c r="I76" s="230"/>
      <c r="J76" s="10"/>
      <c r="K76" s="11"/>
      <c r="L76" s="11"/>
      <c r="M76" s="10"/>
      <c r="N76" s="16"/>
      <c r="O76" s="10"/>
      <c r="P76" s="10"/>
      <c r="Q76" s="10"/>
      <c r="R76" s="10"/>
      <c r="S76" s="233"/>
      <c r="T76" s="12"/>
      <c r="U76" s="12"/>
      <c r="V76" s="12"/>
      <c r="W76" s="12"/>
      <c r="X76" s="12"/>
      <c r="Y76" s="12"/>
      <c r="Z76" s="12"/>
    </row>
    <row r="77" spans="2:26" outlineLevel="1" x14ac:dyDescent="0.3">
      <c r="B77" s="14"/>
      <c r="C77" s="15"/>
      <c r="D77" s="15"/>
      <c r="E77" s="15"/>
      <c r="F77" s="14"/>
      <c r="G77" s="14"/>
      <c r="H77" s="14"/>
      <c r="I77" s="230"/>
      <c r="J77" s="10"/>
      <c r="K77" s="11"/>
      <c r="L77" s="11"/>
      <c r="M77" s="10"/>
      <c r="N77" s="16"/>
      <c r="O77" s="10"/>
      <c r="P77" s="10"/>
      <c r="Q77" s="10"/>
      <c r="R77" s="10"/>
      <c r="S77" s="233"/>
      <c r="T77" s="12"/>
      <c r="U77" s="12"/>
      <c r="V77" s="12"/>
      <c r="W77" s="12"/>
      <c r="X77" s="12"/>
      <c r="Y77" s="12"/>
      <c r="Z77" s="12"/>
    </row>
    <row r="78" spans="2:26" outlineLevel="1" x14ac:dyDescent="0.3">
      <c r="B78" s="14"/>
      <c r="C78" s="15"/>
      <c r="D78" s="15"/>
      <c r="E78" s="15"/>
      <c r="F78" s="14"/>
      <c r="G78" s="14"/>
      <c r="H78" s="14"/>
      <c r="I78" s="230"/>
      <c r="J78" s="10"/>
      <c r="K78" s="11"/>
      <c r="L78" s="11"/>
      <c r="M78" s="10"/>
      <c r="N78" s="16"/>
      <c r="O78" s="10"/>
      <c r="P78" s="10"/>
      <c r="Q78" s="10"/>
      <c r="R78" s="10"/>
      <c r="S78" s="233"/>
      <c r="T78" s="12"/>
      <c r="U78" s="12"/>
      <c r="V78" s="12"/>
      <c r="W78" s="12"/>
      <c r="X78" s="12"/>
      <c r="Y78" s="12"/>
      <c r="Z78" s="12"/>
    </row>
    <row r="79" spans="2:26" outlineLevel="1" x14ac:dyDescent="0.3">
      <c r="B79" s="14"/>
      <c r="C79" s="15"/>
      <c r="D79" s="15"/>
      <c r="E79" s="15"/>
      <c r="F79" s="14"/>
      <c r="G79" s="14"/>
      <c r="H79" s="14"/>
      <c r="I79" s="230"/>
      <c r="J79" s="10"/>
      <c r="K79" s="11"/>
      <c r="L79" s="11"/>
      <c r="M79" s="10"/>
      <c r="N79" s="16"/>
      <c r="O79" s="10"/>
      <c r="P79" s="10"/>
      <c r="Q79" s="10"/>
      <c r="R79" s="10"/>
      <c r="S79" s="233"/>
      <c r="T79" s="12"/>
      <c r="U79" s="12"/>
      <c r="V79" s="12"/>
      <c r="W79" s="12"/>
      <c r="X79" s="12"/>
      <c r="Y79" s="12"/>
      <c r="Z79" s="12"/>
    </row>
    <row r="80" spans="2:26" outlineLevel="1" x14ac:dyDescent="0.3">
      <c r="B80" s="14"/>
      <c r="C80" s="15"/>
      <c r="D80" s="15"/>
      <c r="E80" s="15"/>
      <c r="F80" s="14"/>
      <c r="G80" s="14"/>
      <c r="H80" s="14"/>
      <c r="I80" s="230"/>
      <c r="J80" s="10"/>
      <c r="K80" s="11"/>
      <c r="L80" s="11"/>
      <c r="M80" s="10"/>
      <c r="N80" s="16"/>
      <c r="O80" s="10"/>
      <c r="P80" s="10"/>
      <c r="Q80" s="10"/>
      <c r="R80" s="10"/>
      <c r="S80" s="233"/>
      <c r="T80" s="12"/>
      <c r="U80" s="12"/>
      <c r="V80" s="12"/>
      <c r="W80" s="12"/>
      <c r="X80" s="12"/>
      <c r="Y80" s="12"/>
      <c r="Z80" s="12"/>
    </row>
    <row r="81" spans="1:26" outlineLevel="1" x14ac:dyDescent="0.3">
      <c r="B81" s="14"/>
      <c r="C81" s="15"/>
      <c r="D81" s="15"/>
      <c r="E81" s="15"/>
      <c r="F81" s="14"/>
      <c r="G81" s="14"/>
      <c r="H81" s="14"/>
      <c r="I81" s="230"/>
      <c r="J81" s="10"/>
      <c r="K81" s="11"/>
      <c r="L81" s="11"/>
      <c r="M81" s="10"/>
      <c r="N81" s="16"/>
      <c r="O81" s="10"/>
      <c r="P81" s="10"/>
      <c r="Q81" s="10"/>
      <c r="R81" s="10"/>
      <c r="S81" s="233"/>
      <c r="T81" s="12"/>
      <c r="U81" s="12"/>
      <c r="V81" s="12"/>
      <c r="W81" s="12"/>
      <c r="X81" s="12"/>
      <c r="Y81" s="12"/>
      <c r="Z81" s="12"/>
    </row>
    <row r="82" spans="1:26" outlineLevel="1" x14ac:dyDescent="0.3">
      <c r="B82" s="14"/>
      <c r="C82" s="15"/>
      <c r="D82" s="15"/>
      <c r="E82" s="15"/>
      <c r="F82" s="14"/>
      <c r="G82" s="14"/>
      <c r="H82" s="14"/>
      <c r="I82" s="230"/>
      <c r="J82" s="10"/>
      <c r="K82" s="11"/>
      <c r="L82" s="11"/>
      <c r="M82" s="10"/>
      <c r="N82" s="16"/>
      <c r="O82" s="10"/>
      <c r="P82" s="10"/>
      <c r="Q82" s="10"/>
      <c r="R82" s="10"/>
      <c r="S82" s="233"/>
      <c r="T82" s="12"/>
      <c r="U82" s="12"/>
      <c r="V82" s="12"/>
      <c r="W82" s="12"/>
      <c r="X82" s="12"/>
      <c r="Y82" s="12"/>
      <c r="Z82" s="12"/>
    </row>
    <row r="83" spans="1:26" outlineLevel="1" x14ac:dyDescent="0.3">
      <c r="B83" s="14"/>
      <c r="C83" s="15"/>
      <c r="D83" s="15"/>
      <c r="E83" s="15"/>
      <c r="F83" s="14"/>
      <c r="G83" s="14"/>
      <c r="H83" s="14"/>
      <c r="I83" s="230"/>
      <c r="J83" s="10"/>
      <c r="K83" s="11"/>
      <c r="L83" s="11"/>
      <c r="M83" s="10"/>
      <c r="N83" s="16"/>
      <c r="O83" s="10"/>
      <c r="P83" s="10"/>
      <c r="Q83" s="10"/>
      <c r="R83" s="10"/>
      <c r="S83" s="233"/>
      <c r="T83" s="12"/>
      <c r="U83" s="12"/>
      <c r="V83" s="12"/>
      <c r="W83" s="12"/>
      <c r="X83" s="12"/>
      <c r="Y83" s="12"/>
      <c r="Z83" s="12"/>
    </row>
    <row r="84" spans="1:26" outlineLevel="1" x14ac:dyDescent="0.3">
      <c r="B84" s="14"/>
      <c r="C84" s="15"/>
      <c r="D84" s="15"/>
      <c r="E84" s="15"/>
      <c r="F84" s="14"/>
      <c r="G84" s="14"/>
      <c r="H84" s="14"/>
      <c r="I84" s="230"/>
      <c r="J84" s="10"/>
      <c r="K84" s="11"/>
      <c r="L84" s="11"/>
      <c r="M84" s="10"/>
      <c r="N84" s="16"/>
      <c r="O84" s="10"/>
      <c r="P84" s="10"/>
      <c r="Q84" s="10"/>
      <c r="R84" s="10"/>
      <c r="S84" s="233"/>
      <c r="T84" s="12"/>
      <c r="U84" s="12"/>
      <c r="V84" s="12"/>
      <c r="W84" s="12"/>
      <c r="X84" s="12"/>
      <c r="Y84" s="12"/>
      <c r="Z84" s="12"/>
    </row>
    <row r="85" spans="1:26" outlineLevel="2" x14ac:dyDescent="0.3">
      <c r="B85" s="14"/>
      <c r="C85" s="216"/>
      <c r="D85" s="216"/>
      <c r="E85" s="216"/>
      <c r="F85" s="14"/>
      <c r="G85" s="14"/>
      <c r="H85" s="14"/>
      <c r="I85" s="167"/>
      <c r="J85" s="10"/>
      <c r="K85" s="167"/>
      <c r="L85" s="167"/>
      <c r="M85" s="10"/>
      <c r="N85" s="14"/>
    </row>
    <row r="86" spans="1:26" ht="16.2" thickBot="1" x14ac:dyDescent="0.35">
      <c r="A86" s="22"/>
      <c r="B86" s="38"/>
      <c r="C86" s="24"/>
      <c r="D86" s="24"/>
      <c r="E86" s="24"/>
      <c r="F86" s="38"/>
      <c r="G86" s="38"/>
      <c r="H86" s="38"/>
      <c r="I86" s="38"/>
      <c r="J86" s="38"/>
      <c r="K86" s="38"/>
      <c r="L86" s="38"/>
      <c r="M86" s="22"/>
      <c r="N86" s="38"/>
      <c r="O86" s="22"/>
      <c r="P86" s="22"/>
      <c r="Q86" s="22"/>
      <c r="R86" s="22"/>
      <c r="S86" s="38"/>
      <c r="T86" s="22"/>
      <c r="U86" s="22"/>
      <c r="V86" s="22"/>
      <c r="W86" s="22"/>
      <c r="X86" s="22"/>
      <c r="Y86" s="22"/>
      <c r="Z86" s="22"/>
    </row>
    <row r="87" spans="1:26" x14ac:dyDescent="0.3">
      <c r="B87" s="33" t="s">
        <v>740</v>
      </c>
      <c r="C87" s="218"/>
      <c r="D87" s="219"/>
      <c r="E87" s="218" t="str">
        <f>IF(SUM(E17,E47,E85)&gt;0,SUM(E17,E47,E85),"")</f>
        <v/>
      </c>
      <c r="F87" s="37">
        <f>SUM(F7:F86)</f>
        <v>215.80000000000004</v>
      </c>
      <c r="G87" s="37"/>
      <c r="H87" s="37"/>
      <c r="I87" s="37"/>
      <c r="J87" s="37">
        <f>SUM(J7:J86)</f>
        <v>493856.00074139994</v>
      </c>
      <c r="K87" s="37">
        <f>SUM(K7:K86)</f>
        <v>1250</v>
      </c>
      <c r="L87" s="37">
        <f>SUM(L7:L86)</f>
        <v>1443</v>
      </c>
      <c r="M87" s="37">
        <f>SUM(M7:M86)</f>
        <v>496549.00074139994</v>
      </c>
      <c r="O87" s="37">
        <f t="shared" ref="O87:Z87" si="18">SUM(O7:O86)</f>
        <v>50851.402955012003</v>
      </c>
      <c r="P87" s="37">
        <f t="shared" si="18"/>
        <v>0</v>
      </c>
      <c r="Q87" s="37">
        <f t="shared" si="18"/>
        <v>13475.126443087502</v>
      </c>
      <c r="R87" s="37">
        <f t="shared" si="18"/>
        <v>7199.9605107502994</v>
      </c>
      <c r="S87" s="37">
        <f t="shared" si="18"/>
        <v>0</v>
      </c>
      <c r="T87" s="37">
        <f t="shared" si="18"/>
        <v>53420</v>
      </c>
      <c r="U87" s="37">
        <f t="shared" si="18"/>
        <v>6400</v>
      </c>
      <c r="V87" s="37">
        <f t="shared" si="18"/>
        <v>6455.1370096381997</v>
      </c>
      <c r="W87" s="37">
        <f t="shared" si="18"/>
        <v>0</v>
      </c>
      <c r="X87" s="37">
        <f t="shared" si="18"/>
        <v>0</v>
      </c>
      <c r="Y87" s="37">
        <f t="shared" si="18"/>
        <v>137801.62691848801</v>
      </c>
      <c r="Z87" s="37">
        <f t="shared" si="18"/>
        <v>634350.62765988812</v>
      </c>
    </row>
    <row r="89" spans="1:26" x14ac:dyDescent="0.3">
      <c r="B89" s="33" t="s">
        <v>744</v>
      </c>
      <c r="F89" s="37">
        <f>SUMIF($B:$B,1100,F:F)</f>
        <v>41</v>
      </c>
      <c r="G89" s="37"/>
      <c r="H89" s="37"/>
      <c r="I89" s="37"/>
      <c r="J89" s="37">
        <f>SUMIF($B:$B,1100,J:J)</f>
        <v>227020.590612</v>
      </c>
      <c r="K89" s="37">
        <f>SUMIF($B:$B,1100,K:K)</f>
        <v>1250</v>
      </c>
      <c r="L89" s="37">
        <f>SUMIF($B:$B,1100,L:L)</f>
        <v>750</v>
      </c>
      <c r="M89" s="37">
        <f>SUMIF($B:$B,1100,M:M)</f>
        <v>229020.590612</v>
      </c>
      <c r="O89" s="37">
        <f t="shared" ref="O89:Z89" si="19">SUMIF($B:$B,1100,O:O)</f>
        <v>37501.010832512002</v>
      </c>
      <c r="P89" s="37">
        <f t="shared" si="19"/>
        <v>0</v>
      </c>
      <c r="Q89" s="37">
        <f t="shared" si="19"/>
        <v>1364.5428412500003</v>
      </c>
      <c r="R89" s="37">
        <f t="shared" si="19"/>
        <v>3320.7985638740001</v>
      </c>
      <c r="S89" s="37">
        <f t="shared" si="19"/>
        <v>0</v>
      </c>
      <c r="T89" s="37">
        <f t="shared" si="19"/>
        <v>32442</v>
      </c>
      <c r="U89" s="37">
        <f t="shared" si="19"/>
        <v>2000</v>
      </c>
      <c r="V89" s="37">
        <f t="shared" si="19"/>
        <v>2977.2676779559997</v>
      </c>
      <c r="W89" s="37">
        <f t="shared" si="19"/>
        <v>0</v>
      </c>
      <c r="X89" s="37">
        <f t="shared" si="19"/>
        <v>0</v>
      </c>
      <c r="Y89" s="37">
        <f t="shared" si="19"/>
        <v>79605.619915592004</v>
      </c>
      <c r="Z89" s="37">
        <f t="shared" si="19"/>
        <v>308626.21052759205</v>
      </c>
    </row>
  </sheetData>
  <printOptions horizontalCentered="1" verticalCentered="1" gridLines="1"/>
  <pageMargins left="0.25" right="0.25" top="0.25" bottom="0.25" header="0.3" footer="0.3"/>
  <pageSetup paperSize="5" scale="97" fitToWidth="2"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pageSetUpPr fitToPage="1"/>
  </sheetPr>
  <dimension ref="A1:X173"/>
  <sheetViews>
    <sheetView workbookViewId="0">
      <pane xSplit="3" ySplit="6" topLeftCell="D7" activePane="bottomRight" state="frozen"/>
      <selection activeCell="L14" sqref="L14"/>
      <selection pane="topRight" activeCell="L14" sqref="L14"/>
      <selection pane="bottomLeft" activeCell="L14" sqref="L14"/>
      <selection pane="bottomRight" activeCell="L14" sqref="L14"/>
    </sheetView>
  </sheetViews>
  <sheetFormatPr defaultRowHeight="15.6" outlineLevelRow="1" x14ac:dyDescent="0.3"/>
  <cols>
    <col min="1" max="1" width="5.6640625" style="34" customWidth="1"/>
    <col min="2" max="2" width="5.109375" style="39" customWidth="1"/>
    <col min="3" max="3" width="42.5546875" style="1" customWidth="1"/>
    <col min="4" max="18" width="7.88671875" style="89" customWidth="1"/>
    <col min="19" max="19" width="10.33203125" style="1" bestFit="1" customWidth="1"/>
    <col min="20" max="24" width="11.5546875" style="1" customWidth="1"/>
    <col min="25" max="255" width="9.109375" style="1"/>
    <col min="256" max="256" width="22.88671875" style="1" customWidth="1"/>
    <col min="257" max="511" width="9.109375" style="1"/>
    <col min="512" max="512" width="22.88671875" style="1" customWidth="1"/>
    <col min="513" max="767" width="9.109375" style="1"/>
    <col min="768" max="768" width="22.88671875" style="1" customWidth="1"/>
    <col min="769" max="1023" width="9.109375" style="1"/>
    <col min="1024" max="1024" width="22.88671875" style="1" customWidth="1"/>
    <col min="1025" max="1279" width="9.109375" style="1"/>
    <col min="1280" max="1280" width="22.88671875" style="1" customWidth="1"/>
    <col min="1281" max="1535" width="9.109375" style="1"/>
    <col min="1536" max="1536" width="22.88671875" style="1" customWidth="1"/>
    <col min="1537" max="1791" width="9.109375" style="1"/>
    <col min="1792" max="1792" width="22.88671875" style="1" customWidth="1"/>
    <col min="1793" max="2047" width="9.109375" style="1"/>
    <col min="2048" max="2048" width="22.88671875" style="1" customWidth="1"/>
    <col min="2049" max="2303" width="9.109375" style="1"/>
    <col min="2304" max="2304" width="22.88671875" style="1" customWidth="1"/>
    <col min="2305" max="2559" width="9.109375" style="1"/>
    <col min="2560" max="2560" width="22.88671875" style="1" customWidth="1"/>
    <col min="2561" max="2815" width="9.109375" style="1"/>
    <col min="2816" max="2816" width="22.88671875" style="1" customWidth="1"/>
    <col min="2817" max="3071" width="9.109375" style="1"/>
    <col min="3072" max="3072" width="22.88671875" style="1" customWidth="1"/>
    <col min="3073" max="3327" width="9.109375" style="1"/>
    <col min="3328" max="3328" width="22.88671875" style="1" customWidth="1"/>
    <col min="3329" max="3583" width="9.109375" style="1"/>
    <col min="3584" max="3584" width="22.88671875" style="1" customWidth="1"/>
    <col min="3585" max="3839" width="9.109375" style="1"/>
    <col min="3840" max="3840" width="22.88671875" style="1" customWidth="1"/>
    <col min="3841" max="4095" width="9.109375" style="1"/>
    <col min="4096" max="4096" width="22.88671875" style="1" customWidth="1"/>
    <col min="4097" max="4351" width="9.109375" style="1"/>
    <col min="4352" max="4352" width="22.88671875" style="1" customWidth="1"/>
    <col min="4353" max="4607" width="9.109375" style="1"/>
    <col min="4608" max="4608" width="22.88671875" style="1" customWidth="1"/>
    <col min="4609" max="4863" width="9.109375" style="1"/>
    <col min="4864" max="4864" width="22.88671875" style="1" customWidth="1"/>
    <col min="4865" max="5119" width="9.109375" style="1"/>
    <col min="5120" max="5120" width="22.88671875" style="1" customWidth="1"/>
    <col min="5121" max="5375" width="9.109375" style="1"/>
    <col min="5376" max="5376" width="22.88671875" style="1" customWidth="1"/>
    <col min="5377" max="5631" width="9.109375" style="1"/>
    <col min="5632" max="5632" width="22.88671875" style="1" customWidth="1"/>
    <col min="5633" max="5887" width="9.109375" style="1"/>
    <col min="5888" max="5888" width="22.88671875" style="1" customWidth="1"/>
    <col min="5889" max="6143" width="9.109375" style="1"/>
    <col min="6144" max="6144" width="22.88671875" style="1" customWidth="1"/>
    <col min="6145" max="6399" width="9.109375" style="1"/>
    <col min="6400" max="6400" width="22.88671875" style="1" customWidth="1"/>
    <col min="6401" max="6655" width="9.109375" style="1"/>
    <col min="6656" max="6656" width="22.88671875" style="1" customWidth="1"/>
    <col min="6657" max="6911" width="9.109375" style="1"/>
    <col min="6912" max="6912" width="22.88671875" style="1" customWidth="1"/>
    <col min="6913" max="7167" width="9.109375" style="1"/>
    <col min="7168" max="7168" width="22.88671875" style="1" customWidth="1"/>
    <col min="7169" max="7423" width="9.109375" style="1"/>
    <col min="7424" max="7424" width="22.88671875" style="1" customWidth="1"/>
    <col min="7425" max="7679" width="9.109375" style="1"/>
    <col min="7680" max="7680" width="22.88671875" style="1" customWidth="1"/>
    <col min="7681" max="7935" width="9.109375" style="1"/>
    <col min="7936" max="7936" width="22.88671875" style="1" customWidth="1"/>
    <col min="7937" max="8191" width="9.109375" style="1"/>
    <col min="8192" max="8192" width="22.88671875" style="1" customWidth="1"/>
    <col min="8193" max="8447" width="9.109375" style="1"/>
    <col min="8448" max="8448" width="22.88671875" style="1" customWidth="1"/>
    <col min="8449" max="8703" width="9.109375" style="1"/>
    <col min="8704" max="8704" width="22.88671875" style="1" customWidth="1"/>
    <col min="8705" max="8959" width="9.109375" style="1"/>
    <col min="8960" max="8960" width="22.88671875" style="1" customWidth="1"/>
    <col min="8961" max="9215" width="9.109375" style="1"/>
    <col min="9216" max="9216" width="22.88671875" style="1" customWidth="1"/>
    <col min="9217" max="9471" width="9.109375" style="1"/>
    <col min="9472" max="9472" width="22.88671875" style="1" customWidth="1"/>
    <col min="9473" max="9727" width="9.109375" style="1"/>
    <col min="9728" max="9728" width="22.88671875" style="1" customWidth="1"/>
    <col min="9729" max="9983" width="9.109375" style="1"/>
    <col min="9984" max="9984" width="22.88671875" style="1" customWidth="1"/>
    <col min="9985" max="10239" width="9.109375" style="1"/>
    <col min="10240" max="10240" width="22.88671875" style="1" customWidth="1"/>
    <col min="10241" max="10495" width="9.109375" style="1"/>
    <col min="10496" max="10496" width="22.88671875" style="1" customWidth="1"/>
    <col min="10497" max="10751" width="9.109375" style="1"/>
    <col min="10752" max="10752" width="22.88671875" style="1" customWidth="1"/>
    <col min="10753" max="11007" width="9.109375" style="1"/>
    <col min="11008" max="11008" width="22.88671875" style="1" customWidth="1"/>
    <col min="11009" max="11263" width="9.109375" style="1"/>
    <col min="11264" max="11264" width="22.88671875" style="1" customWidth="1"/>
    <col min="11265" max="11519" width="9.109375" style="1"/>
    <col min="11520" max="11520" width="22.88671875" style="1" customWidth="1"/>
    <col min="11521" max="11775" width="9.109375" style="1"/>
    <col min="11776" max="11776" width="22.88671875" style="1" customWidth="1"/>
    <col min="11777" max="12031" width="9.109375" style="1"/>
    <col min="12032" max="12032" width="22.88671875" style="1" customWidth="1"/>
    <col min="12033" max="12287" width="9.109375" style="1"/>
    <col min="12288" max="12288" width="22.88671875" style="1" customWidth="1"/>
    <col min="12289" max="12543" width="9.109375" style="1"/>
    <col min="12544" max="12544" width="22.88671875" style="1" customWidth="1"/>
    <col min="12545" max="12799" width="9.109375" style="1"/>
    <col min="12800" max="12800" width="22.88671875" style="1" customWidth="1"/>
    <col min="12801" max="13055" width="9.109375" style="1"/>
    <col min="13056" max="13056" width="22.88671875" style="1" customWidth="1"/>
    <col min="13057" max="13311" width="9.109375" style="1"/>
    <col min="13312" max="13312" width="22.88671875" style="1" customWidth="1"/>
    <col min="13313" max="13567" width="9.109375" style="1"/>
    <col min="13568" max="13568" width="22.88671875" style="1" customWidth="1"/>
    <col min="13569" max="13823" width="9.109375" style="1"/>
    <col min="13824" max="13824" width="22.88671875" style="1" customWidth="1"/>
    <col min="13825" max="14079" width="9.109375" style="1"/>
    <col min="14080" max="14080" width="22.88671875" style="1" customWidth="1"/>
    <col min="14081" max="14335" width="9.109375" style="1"/>
    <col min="14336" max="14336" width="22.88671875" style="1" customWidth="1"/>
    <col min="14337" max="14591" width="9.109375" style="1"/>
    <col min="14592" max="14592" width="22.88671875" style="1" customWidth="1"/>
    <col min="14593" max="14847" width="9.109375" style="1"/>
    <col min="14848" max="14848" width="22.88671875" style="1" customWidth="1"/>
    <col min="14849" max="15103" width="9.109375" style="1"/>
    <col min="15104" max="15104" width="22.88671875" style="1" customWidth="1"/>
    <col min="15105" max="15359" width="9.109375" style="1"/>
    <col min="15360" max="15360" width="22.88671875" style="1" customWidth="1"/>
    <col min="15361" max="15615" width="9.109375" style="1"/>
    <col min="15616" max="15616" width="22.88671875" style="1" customWidth="1"/>
    <col min="15617" max="15871" width="9.109375" style="1"/>
    <col min="15872" max="15872" width="22.88671875" style="1" customWidth="1"/>
    <col min="15873" max="16127" width="9.109375" style="1"/>
    <col min="16128" max="16128" width="22.88671875" style="1" customWidth="1"/>
    <col min="16129" max="16384" width="9.109375" style="1"/>
  </cols>
  <sheetData>
    <row r="1" spans="1:20" ht="20.399999999999999" x14ac:dyDescent="0.35">
      <c r="A1" s="21" t="str">
        <f>'Student Info'!$A$1</f>
        <v>Three Rivers - 23-65565-0123737</v>
      </c>
      <c r="D1" s="172" t="s">
        <v>1011</v>
      </c>
    </row>
    <row r="2" spans="1:20" ht="17.399999999999999" x14ac:dyDescent="0.3">
      <c r="A2" s="20" t="s">
        <v>798</v>
      </c>
      <c r="D2" s="172" t="s">
        <v>1010</v>
      </c>
    </row>
    <row r="3" spans="1:20" ht="17.399999999999999" x14ac:dyDescent="0.3">
      <c r="A3" s="20" t="str">
        <f>'Cash Flow $s Yr5'!A3</f>
        <v>2024-25</v>
      </c>
    </row>
    <row r="5" spans="1:20" ht="17.399999999999999" x14ac:dyDescent="0.3">
      <c r="A5" s="28"/>
      <c r="B5" s="40"/>
      <c r="C5" s="28"/>
      <c r="D5" s="90"/>
      <c r="E5" s="90"/>
      <c r="F5" s="90"/>
      <c r="G5" s="90"/>
      <c r="H5" s="90"/>
      <c r="I5" s="90"/>
      <c r="J5" s="90"/>
      <c r="K5" s="90"/>
      <c r="L5" s="90"/>
      <c r="M5" s="90"/>
      <c r="N5" s="90"/>
      <c r="O5" s="90"/>
      <c r="P5" s="90"/>
      <c r="Q5" s="90"/>
      <c r="R5" s="90"/>
    </row>
    <row r="6" spans="1:20"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c r="S6" s="100" t="s">
        <v>676</v>
      </c>
    </row>
    <row r="7" spans="1:20" ht="17.399999999999999" x14ac:dyDescent="0.3">
      <c r="A7" s="45" t="s">
        <v>789</v>
      </c>
      <c r="B7" s="81"/>
      <c r="D7" s="30"/>
      <c r="F7" s="91"/>
      <c r="G7" s="91"/>
      <c r="H7" s="91"/>
      <c r="I7" s="30"/>
      <c r="J7" s="30"/>
      <c r="K7" s="91"/>
      <c r="L7" s="91"/>
      <c r="M7" s="91"/>
      <c r="N7" s="91"/>
      <c r="O7" s="91"/>
      <c r="P7" s="91"/>
      <c r="Q7" s="91"/>
      <c r="R7" s="91"/>
    </row>
    <row r="8" spans="1:20" ht="17.399999999999999" hidden="1" x14ac:dyDescent="0.3">
      <c r="A8" s="45"/>
      <c r="B8" s="81"/>
      <c r="C8" s="103" t="s">
        <v>811</v>
      </c>
      <c r="D8" s="104" t="s">
        <v>780</v>
      </c>
      <c r="F8" s="91"/>
      <c r="G8" s="91"/>
      <c r="H8" s="91"/>
      <c r="I8" s="30"/>
      <c r="J8" s="30"/>
      <c r="K8" s="91"/>
      <c r="L8" s="91"/>
      <c r="M8" s="91"/>
      <c r="N8" s="91"/>
      <c r="O8" s="91"/>
      <c r="P8" s="91"/>
      <c r="Q8" s="91"/>
      <c r="R8" s="91"/>
    </row>
    <row r="9" spans="1:20" ht="17.399999999999999" x14ac:dyDescent="0.3">
      <c r="A9" s="45"/>
      <c r="B9" s="81"/>
      <c r="C9" s="83" t="s">
        <v>812</v>
      </c>
      <c r="D9" s="109">
        <f>'Cash Flow %s Yr4'!D9</f>
        <v>0.05</v>
      </c>
      <c r="E9" s="109">
        <f>'Cash Flow %s Yr4'!E9</f>
        <v>0.05</v>
      </c>
      <c r="F9" s="109">
        <f>'Cash Flow %s Yr4'!F9</f>
        <v>0.09</v>
      </c>
      <c r="G9" s="109">
        <f>'Cash Flow %s Yr4'!G9</f>
        <v>0.09</v>
      </c>
      <c r="H9" s="109">
        <f>'Cash Flow %s Yr4'!H9</f>
        <v>0.09</v>
      </c>
      <c r="I9" s="109">
        <f>'Cash Flow %s Yr4'!I9</f>
        <v>0.09</v>
      </c>
      <c r="J9" s="109">
        <f>'Cash Flow %s Yr4'!J9</f>
        <v>0.09</v>
      </c>
      <c r="K9" s="109">
        <f>'Cash Flow %s Yr4'!K9</f>
        <v>0.09</v>
      </c>
      <c r="L9" s="109">
        <f>'Cash Flow %s Yr4'!L9</f>
        <v>0.09</v>
      </c>
      <c r="M9" s="109">
        <f>'Cash Flow %s Yr4'!M9</f>
        <v>0.09</v>
      </c>
      <c r="N9" s="109">
        <f>'Cash Flow %s Yr4'!N9</f>
        <v>0.09</v>
      </c>
      <c r="O9" s="109">
        <f>'Cash Flow %s Yr4'!O9</f>
        <v>0.09</v>
      </c>
      <c r="P9" s="109">
        <f>'Cash Flow %s Yr4'!P9</f>
        <v>0</v>
      </c>
      <c r="Q9" s="109">
        <f>'Cash Flow %s Yr4'!Q9</f>
        <v>0</v>
      </c>
      <c r="R9" s="109">
        <f>'Cash Flow %s Yr4'!R9</f>
        <v>0</v>
      </c>
      <c r="S9" s="105">
        <f>SUM(D9:R9)</f>
        <v>0.99999999999999978</v>
      </c>
      <c r="T9" s="1" t="str">
        <f>'Cash Flow %s Yr4'!T9</f>
        <v>estimate based on January 2013 Governor's budget</v>
      </c>
    </row>
    <row r="10" spans="1:20" ht="17.399999999999999" hidden="1" x14ac:dyDescent="0.3">
      <c r="A10" s="45"/>
      <c r="B10" s="81"/>
      <c r="C10" s="83" t="s">
        <v>813</v>
      </c>
      <c r="D10" s="109">
        <f>'Cash Flow %s Yr4'!D10</f>
        <v>0</v>
      </c>
      <c r="E10" s="109">
        <f>'Cash Flow %s Yr4'!E10</f>
        <v>0</v>
      </c>
      <c r="F10" s="109">
        <f>'Cash Flow %s Yr4'!F10</f>
        <v>0</v>
      </c>
      <c r="G10" s="109">
        <f>'Cash Flow %s Yr4'!G10</f>
        <v>0.37</v>
      </c>
      <c r="H10" s="109">
        <f>'Cash Flow %s Yr4'!H10</f>
        <v>0</v>
      </c>
      <c r="I10" s="109">
        <f>'Cash Flow %s Yr4'!I10</f>
        <v>0</v>
      </c>
      <c r="J10" s="109">
        <f>'Cash Flow %s Yr4'!J10</f>
        <v>0.18</v>
      </c>
      <c r="K10" s="109">
        <f>'Cash Flow %s Yr4'!K10</f>
        <v>0</v>
      </c>
      <c r="L10" s="109">
        <f>'Cash Flow %s Yr4'!L10</f>
        <v>0.09</v>
      </c>
      <c r="M10" s="109">
        <f>'Cash Flow %s Yr4'!M10</f>
        <v>0.09</v>
      </c>
      <c r="N10" s="109">
        <f>'Cash Flow %s Yr4'!N10</f>
        <v>0.09</v>
      </c>
      <c r="O10" s="109">
        <f>'Cash Flow %s Yr4'!O10</f>
        <v>0.09</v>
      </c>
      <c r="P10" s="109">
        <f>'Cash Flow %s Yr4'!P10</f>
        <v>0</v>
      </c>
      <c r="Q10" s="109">
        <f>'Cash Flow %s Yr4'!Q10</f>
        <v>0</v>
      </c>
      <c r="R10" s="109">
        <f>'Cash Flow %s Yr4'!R10</f>
        <v>0</v>
      </c>
      <c r="S10" s="105">
        <f>SUM(D10:R10)</f>
        <v>0.90999999999999992</v>
      </c>
      <c r="T10" s="1">
        <f>'Cash Flow %s Yr4'!T10</f>
        <v>0</v>
      </c>
    </row>
    <row r="11" spans="1:20" s="30" customFormat="1" ht="17.399999999999999" x14ac:dyDescent="0.3">
      <c r="B11" s="66" t="s">
        <v>777</v>
      </c>
      <c r="C11" s="47"/>
      <c r="D11" s="212"/>
      <c r="E11" s="212"/>
      <c r="F11" s="212"/>
      <c r="G11" s="212"/>
      <c r="H11" s="212"/>
      <c r="I11" s="212"/>
      <c r="J11" s="212"/>
      <c r="K11" s="212"/>
      <c r="L11" s="212"/>
      <c r="M11" s="212"/>
      <c r="N11" s="212"/>
      <c r="O11" s="212"/>
      <c r="P11" s="212"/>
      <c r="Q11" s="212"/>
      <c r="R11" s="212"/>
      <c r="S11" s="105"/>
    </row>
    <row r="12" spans="1:20" s="30" customFormat="1" x14ac:dyDescent="0.3">
      <c r="A12" s="48"/>
      <c r="B12" s="61">
        <f>'Revenue Input'!B8</f>
        <v>8011</v>
      </c>
      <c r="C12" s="61" t="str">
        <f>'Revenue Input'!C8</f>
        <v>LCFF for all grades; state aid portion</v>
      </c>
      <c r="D12" s="109">
        <f>D$9</f>
        <v>0.05</v>
      </c>
      <c r="E12" s="109">
        <f t="shared" ref="E12:R12" si="0">E$9</f>
        <v>0.05</v>
      </c>
      <c r="F12" s="109">
        <f t="shared" si="0"/>
        <v>0.09</v>
      </c>
      <c r="G12" s="109">
        <f t="shared" si="0"/>
        <v>0.09</v>
      </c>
      <c r="H12" s="109">
        <f t="shared" si="0"/>
        <v>0.09</v>
      </c>
      <c r="I12" s="109">
        <f t="shared" si="0"/>
        <v>0.09</v>
      </c>
      <c r="J12" s="109">
        <f t="shared" si="0"/>
        <v>0.09</v>
      </c>
      <c r="K12" s="109">
        <f t="shared" si="0"/>
        <v>0.09</v>
      </c>
      <c r="L12" s="109">
        <f t="shared" si="0"/>
        <v>0.09</v>
      </c>
      <c r="M12" s="109">
        <f t="shared" si="0"/>
        <v>0.09</v>
      </c>
      <c r="N12" s="109">
        <f t="shared" si="0"/>
        <v>0.09</v>
      </c>
      <c r="O12" s="109">
        <f t="shared" si="0"/>
        <v>0.09</v>
      </c>
      <c r="P12" s="109">
        <f t="shared" si="0"/>
        <v>0</v>
      </c>
      <c r="Q12" s="109">
        <f t="shared" si="0"/>
        <v>0</v>
      </c>
      <c r="R12" s="109">
        <f t="shared" si="0"/>
        <v>0</v>
      </c>
      <c r="S12" s="105">
        <f t="shared" ref="S12:S22" si="1">SUM(D12:R12)</f>
        <v>0.99999999999999978</v>
      </c>
    </row>
    <row r="13" spans="1:20" s="30" customFormat="1" x14ac:dyDescent="0.3">
      <c r="A13" s="48"/>
      <c r="B13" s="61">
        <f>'Revenue Input'!B9</f>
        <v>8012</v>
      </c>
      <c r="C13" s="61" t="str">
        <f>'Revenue Input'!C9</f>
        <v>LCFF for all grades; EPA portion</v>
      </c>
      <c r="D13" s="210">
        <f>+'Cash Flow %s Yr4'!D13</f>
        <v>0</v>
      </c>
      <c r="E13" s="210">
        <f>+'Cash Flow %s Yr4'!E13</f>
        <v>0</v>
      </c>
      <c r="F13" s="210">
        <f>+'Cash Flow %s Yr4'!F13</f>
        <v>0.25</v>
      </c>
      <c r="G13" s="210">
        <f>+'Cash Flow %s Yr4'!G13</f>
        <v>0</v>
      </c>
      <c r="H13" s="210">
        <f>+'Cash Flow %s Yr4'!H13</f>
        <v>0</v>
      </c>
      <c r="I13" s="210">
        <f>+'Cash Flow %s Yr4'!I13</f>
        <v>0.25</v>
      </c>
      <c r="J13" s="210">
        <f>+'Cash Flow %s Yr4'!J13</f>
        <v>0</v>
      </c>
      <c r="K13" s="210">
        <f>+'Cash Flow %s Yr4'!K13</f>
        <v>0</v>
      </c>
      <c r="L13" s="210">
        <f>+'Cash Flow %s Yr4'!L13</f>
        <v>0.25</v>
      </c>
      <c r="M13" s="210">
        <f>+'Cash Flow %s Yr4'!M13</f>
        <v>0</v>
      </c>
      <c r="N13" s="210">
        <f>+'Cash Flow %s Yr4'!N13</f>
        <v>0</v>
      </c>
      <c r="O13" s="210">
        <f>+'Cash Flow %s Yr4'!O13</f>
        <v>0.25</v>
      </c>
      <c r="P13" s="210">
        <f>+'Cash Flow %s Yr4'!P13</f>
        <v>0</v>
      </c>
      <c r="Q13" s="210">
        <f>+'Cash Flow %s Yr4'!Q13</f>
        <v>0</v>
      </c>
      <c r="R13" s="210">
        <f>+'Cash Flow %s Yr4'!R13</f>
        <v>0</v>
      </c>
      <c r="S13" s="105">
        <f t="shared" si="1"/>
        <v>1</v>
      </c>
    </row>
    <row r="14" spans="1:20" s="30" customFormat="1" x14ac:dyDescent="0.3">
      <c r="A14" s="48"/>
      <c r="B14" s="61">
        <f>'Revenue Input'!B10</f>
        <v>8096</v>
      </c>
      <c r="C14" s="61" t="str">
        <f>'Revenue Input'!C10</f>
        <v>In-Lieu of Property Taxes, all grades</v>
      </c>
      <c r="D14" s="210">
        <v>0</v>
      </c>
      <c r="E14" s="210">
        <f>'Cash Flow %s Yr4'!E14</f>
        <v>0.06</v>
      </c>
      <c r="F14" s="210">
        <f>'Cash Flow %s Yr4'!F14</f>
        <v>0.12</v>
      </c>
      <c r="G14" s="210">
        <f>'Cash Flow %s Yr4'!G14</f>
        <v>0.08</v>
      </c>
      <c r="H14" s="210">
        <f>'Cash Flow %s Yr4'!H14</f>
        <v>0.08</v>
      </c>
      <c r="I14" s="210">
        <f>'Cash Flow %s Yr4'!I14</f>
        <v>0.08</v>
      </c>
      <c r="J14" s="210">
        <f>'Cash Flow %s Yr4'!J14</f>
        <v>0.08</v>
      </c>
      <c r="K14" s="210">
        <f>'Cash Flow %s Yr4'!K14</f>
        <v>0.08</v>
      </c>
      <c r="L14" s="210">
        <f>'Cash Flow %s Yr4'!L14</f>
        <v>0.14000000000000001</v>
      </c>
      <c r="M14" s="210">
        <f>'Cash Flow %s Yr4'!M14</f>
        <v>7.0000000000000007E-2</v>
      </c>
      <c r="N14" s="210">
        <f>'Cash Flow %s Yr4'!N14</f>
        <v>7.0000000000000007E-2</v>
      </c>
      <c r="O14" s="210">
        <f>'Cash Flow %s Yr4'!O14</f>
        <v>0.14000000000000001</v>
      </c>
      <c r="P14" s="210">
        <f>'Cash Flow %s Yr4'!P14</f>
        <v>0</v>
      </c>
      <c r="Q14" s="210">
        <v>0</v>
      </c>
      <c r="R14" s="210">
        <v>0</v>
      </c>
      <c r="S14" s="105">
        <f t="shared" si="1"/>
        <v>1</v>
      </c>
    </row>
    <row r="15" spans="1:20" s="30" customFormat="1" x14ac:dyDescent="0.3">
      <c r="A15" s="48"/>
      <c r="B15" s="61">
        <f>'Revenue Input'!B11</f>
        <v>8019</v>
      </c>
      <c r="C15" s="61" t="str">
        <f>'Revenue Input'!C11</f>
        <v>Prior Year Income / Adjustments</v>
      </c>
      <c r="D15" s="109">
        <f>'Cash Flow %s Yr4'!D15</f>
        <v>0.05</v>
      </c>
      <c r="E15" s="109">
        <f>'Cash Flow %s Yr4'!E15</f>
        <v>0.05</v>
      </c>
      <c r="F15" s="109">
        <f>'Cash Flow %s Yr4'!F15</f>
        <v>0.09</v>
      </c>
      <c r="G15" s="109">
        <f>'Cash Flow %s Yr4'!G15</f>
        <v>0.09</v>
      </c>
      <c r="H15" s="109">
        <f>'Cash Flow %s Yr4'!H15</f>
        <v>0.09</v>
      </c>
      <c r="I15" s="109">
        <f>'Cash Flow %s Yr4'!I15</f>
        <v>0.09</v>
      </c>
      <c r="J15" s="109">
        <f>'Cash Flow %s Yr4'!J15</f>
        <v>0.09</v>
      </c>
      <c r="K15" s="109">
        <f>'Cash Flow %s Yr4'!K15</f>
        <v>0.09</v>
      </c>
      <c r="L15" s="109">
        <f>'Cash Flow %s Yr4'!L15</f>
        <v>0.09</v>
      </c>
      <c r="M15" s="109">
        <f>'Cash Flow %s Yr4'!M15</f>
        <v>0.09</v>
      </c>
      <c r="N15" s="109">
        <f>'Cash Flow %s Yr4'!N15</f>
        <v>0.09</v>
      </c>
      <c r="O15" s="109">
        <f>'Cash Flow %s Yr4'!O15</f>
        <v>0.09</v>
      </c>
      <c r="P15" s="109">
        <f>'Cash Flow %s Yr4'!P15</f>
        <v>0</v>
      </c>
      <c r="Q15" s="109">
        <f>'Cash Flow %s Yr4'!Q15</f>
        <v>0</v>
      </c>
      <c r="R15" s="109">
        <f>'Cash Flow %s Yr4'!R15</f>
        <v>0</v>
      </c>
      <c r="S15" s="105">
        <f t="shared" si="1"/>
        <v>0.99999999999999978</v>
      </c>
    </row>
    <row r="16" spans="1:20" s="30" customFormat="1" x14ac:dyDescent="0.3">
      <c r="A16" s="48"/>
      <c r="B16" s="61">
        <f>'Revenue Input'!B30</f>
        <v>8520</v>
      </c>
      <c r="C16" s="61" t="str">
        <f>'Revenue Input'!C30</f>
        <v>State Child Nutrition Program</v>
      </c>
      <c r="D16" s="109">
        <f>'Cash Flow %s Yr4'!D16</f>
        <v>0.05</v>
      </c>
      <c r="E16" s="109">
        <f>'Cash Flow %s Yr4'!E16</f>
        <v>0.05</v>
      </c>
      <c r="F16" s="109">
        <f>'Cash Flow %s Yr4'!F16</f>
        <v>0.09</v>
      </c>
      <c r="G16" s="109">
        <f>'Cash Flow %s Yr4'!G16</f>
        <v>0.09</v>
      </c>
      <c r="H16" s="109">
        <f>'Cash Flow %s Yr4'!H16</f>
        <v>0.09</v>
      </c>
      <c r="I16" s="109">
        <f>'Cash Flow %s Yr4'!I16</f>
        <v>0.09</v>
      </c>
      <c r="J16" s="109">
        <f>'Cash Flow %s Yr4'!J16</f>
        <v>0.09</v>
      </c>
      <c r="K16" s="109">
        <f>'Cash Flow %s Yr4'!K16</f>
        <v>0.09</v>
      </c>
      <c r="L16" s="109">
        <f>'Cash Flow %s Yr4'!L16</f>
        <v>0.09</v>
      </c>
      <c r="M16" s="109">
        <f>'Cash Flow %s Yr4'!M16</f>
        <v>0.09</v>
      </c>
      <c r="N16" s="109">
        <f>'Cash Flow %s Yr4'!N16</f>
        <v>0.09</v>
      </c>
      <c r="O16" s="109">
        <f>'Cash Flow %s Yr4'!O16</f>
        <v>0.09</v>
      </c>
      <c r="P16" s="109">
        <f>'Cash Flow %s Yr4'!P16</f>
        <v>0</v>
      </c>
      <c r="Q16" s="109">
        <f>'Cash Flow %s Yr4'!Q16</f>
        <v>0</v>
      </c>
      <c r="R16" s="109">
        <f>'Cash Flow %s Yr4'!R16</f>
        <v>0</v>
      </c>
      <c r="S16" s="105">
        <f t="shared" si="1"/>
        <v>0.99999999999999978</v>
      </c>
    </row>
    <row r="17" spans="1:20" s="30" customFormat="1" x14ac:dyDescent="0.3">
      <c r="A17" s="48"/>
      <c r="B17" s="61">
        <f>'Revenue Input'!B31</f>
        <v>8550</v>
      </c>
      <c r="C17" s="61" t="str">
        <f>'Revenue Input'!C31</f>
        <v>Mandate Block Grant</v>
      </c>
      <c r="D17" s="109">
        <f>'Cash Flow %s Yr4'!D17</f>
        <v>0</v>
      </c>
      <c r="E17" s="109">
        <f>'Cash Flow %s Yr4'!E17</f>
        <v>0</v>
      </c>
      <c r="F17" s="109">
        <f>'Cash Flow %s Yr4'!F17</f>
        <v>0</v>
      </c>
      <c r="G17" s="109">
        <f>'Cash Flow %s Yr4'!G17</f>
        <v>0</v>
      </c>
      <c r="H17" s="109">
        <f>'Cash Flow %s Yr4'!H17</f>
        <v>0</v>
      </c>
      <c r="I17" s="109">
        <f>'Cash Flow %s Yr4'!I17</f>
        <v>0.25</v>
      </c>
      <c r="J17" s="109">
        <f>'Cash Flow %s Yr4'!J17</f>
        <v>0</v>
      </c>
      <c r="K17" s="109">
        <f>'Cash Flow %s Yr4'!K17</f>
        <v>0.25</v>
      </c>
      <c r="L17" s="109">
        <f>'Cash Flow %s Yr4'!L17</f>
        <v>0</v>
      </c>
      <c r="M17" s="109">
        <f>'Cash Flow %s Yr4'!M17</f>
        <v>0.25</v>
      </c>
      <c r="N17" s="109">
        <f>'Cash Flow %s Yr4'!N17</f>
        <v>0</v>
      </c>
      <c r="O17" s="109">
        <f>'Cash Flow %s Yr4'!O17</f>
        <v>0.25</v>
      </c>
      <c r="P17" s="109">
        <f>'Cash Flow %s Yr4'!P17</f>
        <v>0</v>
      </c>
      <c r="Q17" s="109">
        <f>'Cash Flow %s Yr4'!Q17</f>
        <v>0</v>
      </c>
      <c r="R17" s="109">
        <f>'Cash Flow %s Yr4'!R17</f>
        <v>0</v>
      </c>
      <c r="S17" s="105">
        <f t="shared" si="1"/>
        <v>1</v>
      </c>
      <c r="T17" s="1">
        <f>'Cash Flow %s Yr4'!T17</f>
        <v>0</v>
      </c>
    </row>
    <row r="18" spans="1:20" s="30" customFormat="1" x14ac:dyDescent="0.3">
      <c r="A18" s="47"/>
      <c r="B18" s="61">
        <f>'Revenue Input'!B32</f>
        <v>8560</v>
      </c>
      <c r="C18" s="61" t="str">
        <f>'Revenue Input'!C32</f>
        <v>Lottery</v>
      </c>
      <c r="D18" s="109">
        <f>'Cash Flow %s Yr4'!D18</f>
        <v>0</v>
      </c>
      <c r="E18" s="109">
        <f>'Cash Flow %s Yr4'!E18</f>
        <v>0</v>
      </c>
      <c r="F18" s="109">
        <f>'Cash Flow %s Yr4'!F18</f>
        <v>0</v>
      </c>
      <c r="G18" s="109">
        <f>'Cash Flow %s Yr4'!G18</f>
        <v>0</v>
      </c>
      <c r="H18" s="109">
        <f>'Cash Flow %s Yr4'!H18</f>
        <v>0.1</v>
      </c>
      <c r="I18" s="109">
        <f>'Cash Flow %s Yr4'!I18</f>
        <v>0.1</v>
      </c>
      <c r="J18" s="109">
        <f>'Cash Flow %s Yr4'!J18</f>
        <v>0.1</v>
      </c>
      <c r="K18" s="109">
        <f>'Cash Flow %s Yr4'!K18</f>
        <v>0.1</v>
      </c>
      <c r="L18" s="109">
        <f>'Cash Flow %s Yr4'!L18</f>
        <v>0.1</v>
      </c>
      <c r="M18" s="109">
        <f>'Cash Flow %s Yr4'!M18</f>
        <v>0.1</v>
      </c>
      <c r="N18" s="109">
        <f>'Cash Flow %s Yr4'!N18</f>
        <v>0.1</v>
      </c>
      <c r="O18" s="109">
        <f>'Cash Flow %s Yr4'!O18</f>
        <v>0.3</v>
      </c>
      <c r="P18" s="109">
        <f>'Cash Flow %s Yr4'!P18</f>
        <v>0</v>
      </c>
      <c r="Q18" s="109">
        <f>'Cash Flow %s Yr4'!Q18</f>
        <v>0</v>
      </c>
      <c r="R18" s="109">
        <f>'Cash Flow %s Yr4'!R18</f>
        <v>0</v>
      </c>
      <c r="S18" s="105">
        <f t="shared" si="1"/>
        <v>1</v>
      </c>
    </row>
    <row r="19" spans="1:20" s="30" customFormat="1" x14ac:dyDescent="0.3">
      <c r="A19" s="48"/>
      <c r="B19" s="61">
        <f>'Revenue Input'!B34</f>
        <v>8590</v>
      </c>
      <c r="C19" s="61" t="str">
        <f>'Revenue Input'!C34</f>
        <v xml:space="preserve">Other State Revenues </v>
      </c>
      <c r="D19" s="109">
        <f>'Cash Flow %s Yr4'!D19</f>
        <v>0</v>
      </c>
      <c r="E19" s="109">
        <f>'Cash Flow %s Yr4'!E19</f>
        <v>0</v>
      </c>
      <c r="F19" s="109">
        <f>'Cash Flow %s Yr4'!F19</f>
        <v>0</v>
      </c>
      <c r="G19" s="109">
        <f>'Cash Flow %s Yr4'!G19</f>
        <v>0</v>
      </c>
      <c r="H19" s="109">
        <f>'Cash Flow %s Yr4'!H19</f>
        <v>0.25</v>
      </c>
      <c r="I19" s="109">
        <f>'Cash Flow %s Yr4'!I19</f>
        <v>0</v>
      </c>
      <c r="J19" s="109">
        <f>'Cash Flow %s Yr4'!J19</f>
        <v>0</v>
      </c>
      <c r="K19" s="109">
        <f>'Cash Flow %s Yr4'!K19</f>
        <v>0.25</v>
      </c>
      <c r="L19" s="109">
        <f>'Cash Flow %s Yr4'!L19</f>
        <v>0</v>
      </c>
      <c r="M19" s="109">
        <f>'Cash Flow %s Yr4'!M19</f>
        <v>0</v>
      </c>
      <c r="N19" s="109">
        <f>'Cash Flow %s Yr4'!N19</f>
        <v>0.25</v>
      </c>
      <c r="O19" s="109">
        <f>'Cash Flow %s Yr4'!O19</f>
        <v>0.25</v>
      </c>
      <c r="P19" s="109">
        <f>'Cash Flow %s Yr4'!P19</f>
        <v>0</v>
      </c>
      <c r="Q19" s="109">
        <f>'Cash Flow %s Yr4'!Q19</f>
        <v>0</v>
      </c>
      <c r="R19" s="109">
        <f>'Cash Flow %s Yr4'!R19</f>
        <v>0</v>
      </c>
      <c r="S19" s="105">
        <f t="shared" si="1"/>
        <v>1</v>
      </c>
    </row>
    <row r="20" spans="1:20" s="30" customFormat="1" ht="17.399999999999999" x14ac:dyDescent="0.3">
      <c r="A20" s="45"/>
      <c r="B20" s="61">
        <f>'Revenue Input'!B37</f>
        <v>8591</v>
      </c>
      <c r="C20" s="61" t="str">
        <f>'Revenue Input'!C37</f>
        <v>SB740</v>
      </c>
      <c r="D20" s="109">
        <f>'Cash Flow %s Yr4'!D20</f>
        <v>0</v>
      </c>
      <c r="E20" s="109">
        <f>'Cash Flow %s Yr4'!E20</f>
        <v>0</v>
      </c>
      <c r="F20" s="109">
        <f>'Cash Flow %s Yr4'!F20</f>
        <v>0</v>
      </c>
      <c r="G20" s="109">
        <f>'Cash Flow %s Yr4'!G20</f>
        <v>0</v>
      </c>
      <c r="H20" s="109">
        <f>'Cash Flow %s Yr4'!H20</f>
        <v>0.65</v>
      </c>
      <c r="I20" s="109">
        <f>'Cash Flow %s Yr4'!I20</f>
        <v>0</v>
      </c>
      <c r="J20" s="109">
        <f>'Cash Flow %s Yr4'!J20</f>
        <v>0</v>
      </c>
      <c r="K20" s="109">
        <f>'Cash Flow %s Yr4'!K20</f>
        <v>0</v>
      </c>
      <c r="L20" s="109">
        <f>'Cash Flow %s Yr4'!L20</f>
        <v>0</v>
      </c>
      <c r="M20" s="109">
        <f>'Cash Flow %s Yr4'!M20</f>
        <v>0</v>
      </c>
      <c r="N20" s="109">
        <f>'Cash Flow %s Yr4'!N20</f>
        <v>0</v>
      </c>
      <c r="O20" s="109">
        <f>'Cash Flow %s Yr4'!O20</f>
        <v>0.35</v>
      </c>
      <c r="P20" s="109">
        <f>'Cash Flow %s Yr4'!P20</f>
        <v>0</v>
      </c>
      <c r="Q20" s="109">
        <f>'Cash Flow %s Yr4'!Q20</f>
        <v>0</v>
      </c>
      <c r="R20" s="109">
        <f>'Cash Flow %s Yr4'!R20</f>
        <v>0</v>
      </c>
      <c r="S20" s="105">
        <f t="shared" si="1"/>
        <v>1</v>
      </c>
    </row>
    <row r="21" spans="1:20" s="30" customFormat="1" ht="17.399999999999999" x14ac:dyDescent="0.3">
      <c r="A21" s="45"/>
      <c r="B21" s="61">
        <f>'Revenue Input'!B38</f>
        <v>8599</v>
      </c>
      <c r="C21" s="61" t="str">
        <f>'Revenue Input'!C38</f>
        <v>Prior Year State Income</v>
      </c>
      <c r="D21" s="109">
        <f>'Cash Flow %s Yr4'!D21</f>
        <v>0</v>
      </c>
      <c r="E21" s="109">
        <f>'Cash Flow %s Yr4'!E21</f>
        <v>0</v>
      </c>
      <c r="F21" s="109">
        <f>'Cash Flow %s Yr4'!F21</f>
        <v>0.5</v>
      </c>
      <c r="G21" s="109">
        <f>'Cash Flow %s Yr4'!G21</f>
        <v>0</v>
      </c>
      <c r="H21" s="109">
        <f>'Cash Flow %s Yr4'!H21</f>
        <v>0</v>
      </c>
      <c r="I21" s="109">
        <f>'Cash Flow %s Yr4'!I21</f>
        <v>0</v>
      </c>
      <c r="J21" s="109">
        <f>'Cash Flow %s Yr4'!J21</f>
        <v>0.5</v>
      </c>
      <c r="K21" s="109">
        <f>'Cash Flow %s Yr4'!K21</f>
        <v>0</v>
      </c>
      <c r="L21" s="109">
        <f>'Cash Flow %s Yr4'!L21</f>
        <v>0</v>
      </c>
      <c r="M21" s="109">
        <f>'Cash Flow %s Yr4'!M21</f>
        <v>0</v>
      </c>
      <c r="N21" s="109">
        <f>'Cash Flow %s Yr4'!N21</f>
        <v>0</v>
      </c>
      <c r="O21" s="109">
        <f>'Cash Flow %s Yr4'!O21</f>
        <v>0</v>
      </c>
      <c r="P21" s="109">
        <f>'Cash Flow %s Yr4'!P21</f>
        <v>0</v>
      </c>
      <c r="Q21" s="109">
        <f>'Cash Flow %s Yr4'!Q21</f>
        <v>0</v>
      </c>
      <c r="R21" s="109">
        <f>'Cash Flow %s Yr4'!R21</f>
        <v>0</v>
      </c>
      <c r="S21" s="105">
        <f>SUM(D21:R21)</f>
        <v>1</v>
      </c>
    </row>
    <row r="22" spans="1:20" s="30" customFormat="1" ht="17.399999999999999" x14ac:dyDescent="0.3">
      <c r="A22" s="45"/>
      <c r="B22" s="61">
        <f>'Revenue Input'!B39</f>
        <v>8792</v>
      </c>
      <c r="C22" s="61" t="str">
        <f>'Revenue Input'!C39</f>
        <v>Special Education - AB 602</v>
      </c>
      <c r="D22" s="109">
        <f>'Cash Flow %s Yr4'!D22</f>
        <v>0</v>
      </c>
      <c r="E22" s="109">
        <f>'Cash Flow %s Yr4'!E22</f>
        <v>0</v>
      </c>
      <c r="F22" s="109">
        <f>'Cash Flow %s Yr4'!F22</f>
        <v>0</v>
      </c>
      <c r="G22" s="109">
        <f>'Cash Flow %s Yr4'!G22</f>
        <v>0</v>
      </c>
      <c r="H22" s="109">
        <f>'Cash Flow %s Yr4'!H22</f>
        <v>0</v>
      </c>
      <c r="I22" s="109">
        <f>'Cash Flow %s Yr4'!I22</f>
        <v>0</v>
      </c>
      <c r="J22" s="109">
        <f>'Cash Flow %s Yr4'!J22</f>
        <v>0.4</v>
      </c>
      <c r="K22" s="109">
        <f>'Cash Flow %s Yr4'!K22</f>
        <v>0</v>
      </c>
      <c r="L22" s="109">
        <f>'Cash Flow %s Yr4'!L22</f>
        <v>0</v>
      </c>
      <c r="M22" s="109">
        <f>'Cash Flow %s Yr4'!M22</f>
        <v>0.4</v>
      </c>
      <c r="N22" s="109">
        <f>'Cash Flow %s Yr4'!N22</f>
        <v>0</v>
      </c>
      <c r="O22" s="109">
        <f>'Cash Flow %s Yr4'!O22</f>
        <v>0.2</v>
      </c>
      <c r="P22" s="109">
        <f>'Cash Flow %s Yr4'!P22</f>
        <v>0</v>
      </c>
      <c r="Q22" s="109">
        <f>'Cash Flow %s Yr4'!Q22</f>
        <v>0</v>
      </c>
      <c r="R22" s="109">
        <f>'Cash Flow %s Yr4'!R22</f>
        <v>0</v>
      </c>
      <c r="S22" s="105">
        <f t="shared" si="1"/>
        <v>1</v>
      </c>
    </row>
    <row r="23" spans="1:20" s="30" customFormat="1" ht="17.399999999999999" x14ac:dyDescent="0.3">
      <c r="A23" s="45"/>
      <c r="B23" s="68"/>
      <c r="C23" s="48"/>
      <c r="D23" s="114"/>
      <c r="E23" s="114"/>
      <c r="F23" s="114"/>
      <c r="G23" s="114"/>
      <c r="H23" s="114"/>
      <c r="I23" s="114"/>
      <c r="J23" s="114"/>
      <c r="K23" s="114"/>
      <c r="L23" s="114"/>
      <c r="M23" s="114"/>
      <c r="N23" s="114"/>
      <c r="O23" s="114"/>
      <c r="P23" s="114"/>
      <c r="Q23" s="114"/>
      <c r="R23" s="115"/>
      <c r="S23" s="105"/>
    </row>
    <row r="24" spans="1:20" s="30" customFormat="1" ht="17.399999999999999" x14ac:dyDescent="0.3">
      <c r="A24" s="45"/>
      <c r="B24" s="68"/>
      <c r="C24" s="48"/>
      <c r="D24" s="113"/>
      <c r="E24" s="113"/>
      <c r="F24" s="113"/>
      <c r="G24" s="113"/>
      <c r="H24" s="113"/>
      <c r="I24" s="113"/>
      <c r="J24" s="113"/>
      <c r="K24" s="113"/>
      <c r="L24" s="113"/>
      <c r="M24" s="113"/>
      <c r="N24" s="113"/>
      <c r="O24" s="113"/>
      <c r="P24" s="113"/>
      <c r="Q24" s="113"/>
      <c r="R24" s="113"/>
      <c r="S24" s="105"/>
    </row>
    <row r="25" spans="1:20" s="30" customFormat="1" ht="17.399999999999999" x14ac:dyDescent="0.3">
      <c r="B25" s="45" t="s">
        <v>781</v>
      </c>
      <c r="C25" s="48"/>
      <c r="D25" s="113"/>
      <c r="E25" s="113"/>
      <c r="F25" s="113"/>
      <c r="G25" s="113"/>
      <c r="H25" s="113"/>
      <c r="I25" s="113"/>
      <c r="J25" s="113"/>
      <c r="K25" s="113"/>
      <c r="L25" s="113"/>
      <c r="M25" s="113"/>
      <c r="N25" s="113"/>
      <c r="O25" s="113"/>
      <c r="P25" s="113"/>
      <c r="Q25" s="113"/>
      <c r="R25" s="113"/>
      <c r="S25" s="105"/>
    </row>
    <row r="26" spans="1:20" s="30" customFormat="1" ht="17.399999999999999" x14ac:dyDescent="0.3">
      <c r="A26" s="45"/>
      <c r="B26" s="61">
        <f>'Revenue Input'!B15</f>
        <v>8181</v>
      </c>
      <c r="C26" s="61" t="str">
        <f>'Revenue Input'!C15</f>
        <v>Special Education - Federal IDEA</v>
      </c>
      <c r="D26" s="109">
        <f>'Cash Flow %s Yr4'!D26</f>
        <v>0</v>
      </c>
      <c r="E26" s="109">
        <f>'Cash Flow %s Yr4'!E26</f>
        <v>0</v>
      </c>
      <c r="F26" s="109">
        <f>'Cash Flow %s Yr4'!F26</f>
        <v>0</v>
      </c>
      <c r="G26" s="109">
        <f>'Cash Flow %s Yr4'!G26</f>
        <v>0</v>
      </c>
      <c r="H26" s="109">
        <f>'Cash Flow %s Yr4'!H26</f>
        <v>0.1</v>
      </c>
      <c r="I26" s="109">
        <f>'Cash Flow %s Yr4'!I26</f>
        <v>0.1</v>
      </c>
      <c r="J26" s="109">
        <f>'Cash Flow %s Yr4'!J26</f>
        <v>0.1</v>
      </c>
      <c r="K26" s="109">
        <f>'Cash Flow %s Yr4'!K26</f>
        <v>0.1</v>
      </c>
      <c r="L26" s="109">
        <f>'Cash Flow %s Yr4'!L26</f>
        <v>0.1</v>
      </c>
      <c r="M26" s="109">
        <f>'Cash Flow %s Yr4'!M26</f>
        <v>0.1</v>
      </c>
      <c r="N26" s="109">
        <f>'Cash Flow %s Yr4'!N26</f>
        <v>0.1</v>
      </c>
      <c r="O26" s="109">
        <f>'Cash Flow %s Yr4'!O26</f>
        <v>0.3</v>
      </c>
      <c r="P26" s="109">
        <f>'Cash Flow %s Yr4'!P26</f>
        <v>0</v>
      </c>
      <c r="Q26" s="109">
        <f>'Cash Flow %s Yr4'!Q26</f>
        <v>0</v>
      </c>
      <c r="R26" s="109">
        <f>'Cash Flow %s Yr4'!R26</f>
        <v>0</v>
      </c>
      <c r="S26" s="105">
        <f t="shared" ref="S26:S33" si="2">SUM(D26:R26)</f>
        <v>1</v>
      </c>
    </row>
    <row r="27" spans="1:20" s="30" customFormat="1" ht="17.399999999999999" x14ac:dyDescent="0.3">
      <c r="A27" s="45"/>
      <c r="B27" s="61">
        <f>'Revenue Input'!B17</f>
        <v>8290</v>
      </c>
      <c r="C27" s="61" t="str">
        <f>'Revenue Input'!C17</f>
        <v>All Other Federal Revenue, GEER/CRF</v>
      </c>
      <c r="D27" s="109">
        <f>'Cash Flow %s Yr4'!D27</f>
        <v>0</v>
      </c>
      <c r="E27" s="109">
        <f>'Cash Flow %s Yr4'!E27</f>
        <v>0</v>
      </c>
      <c r="F27" s="109">
        <f>'Cash Flow %s Yr4'!F27</f>
        <v>0</v>
      </c>
      <c r="G27" s="109">
        <f>'Cash Flow %s Yr4'!G27</f>
        <v>0</v>
      </c>
      <c r="H27" s="109">
        <f>'Cash Flow %s Yr4'!H27</f>
        <v>0</v>
      </c>
      <c r="I27" s="109">
        <f>'Cash Flow %s Yr4'!I27</f>
        <v>0</v>
      </c>
      <c r="J27" s="109">
        <f>'Cash Flow %s Yr4'!J27</f>
        <v>0.25</v>
      </c>
      <c r="K27" s="109">
        <f>'Cash Flow %s Yr4'!K27</f>
        <v>0</v>
      </c>
      <c r="L27" s="109">
        <f>'Cash Flow %s Yr4'!L27</f>
        <v>0</v>
      </c>
      <c r="M27" s="109">
        <f>'Cash Flow %s Yr4'!M27</f>
        <v>0.5</v>
      </c>
      <c r="N27" s="109">
        <f>'Cash Flow %s Yr4'!N27</f>
        <v>0</v>
      </c>
      <c r="O27" s="109">
        <f>'Cash Flow %s Yr4'!O27</f>
        <v>0.25</v>
      </c>
      <c r="P27" s="109">
        <f>'Cash Flow %s Yr4'!P27</f>
        <v>0</v>
      </c>
      <c r="Q27" s="109">
        <f>'Cash Flow %s Yr4'!Q27</f>
        <v>0</v>
      </c>
      <c r="R27" s="109">
        <f>'Cash Flow %s Yr4'!R27</f>
        <v>0</v>
      </c>
      <c r="S27" s="105">
        <f t="shared" si="2"/>
        <v>1</v>
      </c>
    </row>
    <row r="28" spans="1:20" s="30" customFormat="1" ht="17.399999999999999" x14ac:dyDescent="0.3">
      <c r="A28" s="45"/>
      <c r="B28" s="61">
        <f>'Revenue Input'!B21</f>
        <v>8291</v>
      </c>
      <c r="C28" s="61" t="str">
        <f>'Revenue Input'!C21</f>
        <v>Title I</v>
      </c>
      <c r="D28" s="109">
        <f>'Cash Flow %s Yr4'!D28</f>
        <v>0</v>
      </c>
      <c r="E28" s="109">
        <f>'Cash Flow %s Yr4'!E28</f>
        <v>0</v>
      </c>
      <c r="F28" s="109">
        <f>'Cash Flow %s Yr4'!F28</f>
        <v>0</v>
      </c>
      <c r="G28" s="109">
        <f>'Cash Flow %s Yr4'!G28</f>
        <v>0</v>
      </c>
      <c r="H28" s="109">
        <f>'Cash Flow %s Yr4'!H28</f>
        <v>0</v>
      </c>
      <c r="I28" s="109">
        <f>'Cash Flow %s Yr4'!I28</f>
        <v>0</v>
      </c>
      <c r="J28" s="109">
        <f>'Cash Flow %s Yr4'!J28</f>
        <v>0.25</v>
      </c>
      <c r="K28" s="109">
        <f>'Cash Flow %s Yr4'!K28</f>
        <v>0</v>
      </c>
      <c r="L28" s="109">
        <f>'Cash Flow %s Yr4'!L28</f>
        <v>0</v>
      </c>
      <c r="M28" s="109">
        <f>'Cash Flow %s Yr4'!M28</f>
        <v>0.5</v>
      </c>
      <c r="N28" s="109">
        <f>'Cash Flow %s Yr4'!N28</f>
        <v>0</v>
      </c>
      <c r="O28" s="109">
        <f>'Cash Flow %s Yr4'!O28</f>
        <v>0.25</v>
      </c>
      <c r="P28" s="109">
        <f>'Cash Flow %s Yr4'!P28</f>
        <v>0</v>
      </c>
      <c r="Q28" s="109">
        <f>'Cash Flow %s Yr4'!Q28</f>
        <v>0</v>
      </c>
      <c r="R28" s="109">
        <f>'Cash Flow %s Yr4'!R28</f>
        <v>0</v>
      </c>
      <c r="S28" s="105">
        <f t="shared" si="2"/>
        <v>1</v>
      </c>
    </row>
    <row r="29" spans="1:20" s="30" customFormat="1" ht="17.399999999999999" x14ac:dyDescent="0.3">
      <c r="A29" s="45"/>
      <c r="B29" s="61">
        <f>'Revenue Input'!B22</f>
        <v>8292</v>
      </c>
      <c r="C29" s="61" t="str">
        <f>'Revenue Input'!C22</f>
        <v>Title II</v>
      </c>
      <c r="D29" s="109">
        <f>'Cash Flow %s Yr4'!D29</f>
        <v>0</v>
      </c>
      <c r="E29" s="109">
        <f>'Cash Flow %s Yr4'!E29</f>
        <v>0</v>
      </c>
      <c r="F29" s="109">
        <f>'Cash Flow %s Yr4'!F29</f>
        <v>0</v>
      </c>
      <c r="G29" s="109">
        <f>'Cash Flow %s Yr4'!G29</f>
        <v>0</v>
      </c>
      <c r="H29" s="109">
        <f>'Cash Flow %s Yr4'!H29</f>
        <v>0</v>
      </c>
      <c r="I29" s="109">
        <f>'Cash Flow %s Yr4'!I29</f>
        <v>0</v>
      </c>
      <c r="J29" s="109">
        <f>'Cash Flow %s Yr4'!J29</f>
        <v>0.25</v>
      </c>
      <c r="K29" s="109">
        <f>'Cash Flow %s Yr4'!K29</f>
        <v>0</v>
      </c>
      <c r="L29" s="109">
        <f>'Cash Flow %s Yr4'!L29</f>
        <v>0</v>
      </c>
      <c r="M29" s="109">
        <f>'Cash Flow %s Yr4'!M29</f>
        <v>0.5</v>
      </c>
      <c r="N29" s="109">
        <f>'Cash Flow %s Yr4'!N29</f>
        <v>0</v>
      </c>
      <c r="O29" s="109">
        <f>'Cash Flow %s Yr4'!O29</f>
        <v>0.25</v>
      </c>
      <c r="P29" s="109">
        <f>'Cash Flow %s Yr4'!P29</f>
        <v>0</v>
      </c>
      <c r="Q29" s="109">
        <f>'Cash Flow %s Yr4'!Q29</f>
        <v>0</v>
      </c>
      <c r="R29" s="109">
        <f>'Cash Flow %s Yr4'!R29</f>
        <v>0</v>
      </c>
      <c r="S29" s="105">
        <f t="shared" si="2"/>
        <v>1</v>
      </c>
    </row>
    <row r="30" spans="1:20" s="30" customFormat="1" ht="17.399999999999999" x14ac:dyDescent="0.3">
      <c r="A30" s="45"/>
      <c r="B30" s="61">
        <f>'Revenue Input'!B23</f>
        <v>8293</v>
      </c>
      <c r="C30" s="61" t="str">
        <f>'Revenue Input'!C23</f>
        <v>Title III</v>
      </c>
      <c r="D30" s="109">
        <f>'Cash Flow %s Yr4'!D30</f>
        <v>0</v>
      </c>
      <c r="E30" s="109">
        <f>'Cash Flow %s Yr4'!E30</f>
        <v>0</v>
      </c>
      <c r="F30" s="109">
        <f>'Cash Flow %s Yr4'!F30</f>
        <v>0</v>
      </c>
      <c r="G30" s="109">
        <f>'Cash Flow %s Yr4'!G30</f>
        <v>0</v>
      </c>
      <c r="H30" s="109">
        <f>'Cash Flow %s Yr4'!H30</f>
        <v>0</v>
      </c>
      <c r="I30" s="109">
        <f>'Cash Flow %s Yr4'!I30</f>
        <v>0</v>
      </c>
      <c r="J30" s="109">
        <f>'Cash Flow %s Yr4'!J30</f>
        <v>0.25</v>
      </c>
      <c r="K30" s="109">
        <f>'Cash Flow %s Yr4'!K30</f>
        <v>0</v>
      </c>
      <c r="L30" s="109">
        <f>'Cash Flow %s Yr4'!L30</f>
        <v>0</v>
      </c>
      <c r="M30" s="109">
        <f>'Cash Flow %s Yr4'!M30</f>
        <v>0.5</v>
      </c>
      <c r="N30" s="109">
        <f>'Cash Flow %s Yr4'!N30</f>
        <v>0</v>
      </c>
      <c r="O30" s="109">
        <f>'Cash Flow %s Yr4'!O30</f>
        <v>0.25</v>
      </c>
      <c r="P30" s="109">
        <f>'Cash Flow %s Yr4'!P30</f>
        <v>0</v>
      </c>
      <c r="Q30" s="109">
        <f>'Cash Flow %s Yr4'!Q30</f>
        <v>0</v>
      </c>
      <c r="R30" s="109">
        <f>'Cash Flow %s Yr4'!R30</f>
        <v>0</v>
      </c>
      <c r="S30" s="105">
        <f t="shared" si="2"/>
        <v>1</v>
      </c>
    </row>
    <row r="31" spans="1:20" s="30" customFormat="1" ht="17.399999999999999" x14ac:dyDescent="0.3">
      <c r="A31" s="45"/>
      <c r="B31" s="61">
        <f>'Revenue Input'!B24</f>
        <v>8294</v>
      </c>
      <c r="C31" s="61" t="str">
        <f>'Revenue Input'!C24</f>
        <v>Title IV</v>
      </c>
      <c r="D31" s="109">
        <f>'Cash Flow %s Yr4'!D31</f>
        <v>0</v>
      </c>
      <c r="E31" s="109">
        <f>'Cash Flow %s Yr4'!E31</f>
        <v>0</v>
      </c>
      <c r="F31" s="109">
        <f>'Cash Flow %s Yr4'!F31</f>
        <v>0</v>
      </c>
      <c r="G31" s="109">
        <f>'Cash Flow %s Yr4'!G31</f>
        <v>0</v>
      </c>
      <c r="H31" s="109">
        <f>'Cash Flow %s Yr4'!H31</f>
        <v>0</v>
      </c>
      <c r="I31" s="109">
        <f>'Cash Flow %s Yr4'!I31</f>
        <v>0</v>
      </c>
      <c r="J31" s="109">
        <f>'Cash Flow %s Yr4'!J31</f>
        <v>0.25</v>
      </c>
      <c r="K31" s="109">
        <f>'Cash Flow %s Yr4'!K31</f>
        <v>0</v>
      </c>
      <c r="L31" s="109">
        <f>'Cash Flow %s Yr4'!L31</f>
        <v>0</v>
      </c>
      <c r="M31" s="109">
        <f>'Cash Flow %s Yr4'!M31</f>
        <v>0.5</v>
      </c>
      <c r="N31" s="109">
        <f>'Cash Flow %s Yr4'!N31</f>
        <v>0</v>
      </c>
      <c r="O31" s="109">
        <f>'Cash Flow %s Yr4'!O31</f>
        <v>0.25</v>
      </c>
      <c r="P31" s="109">
        <f>'Cash Flow %s Yr4'!P31</f>
        <v>0</v>
      </c>
      <c r="Q31" s="109">
        <f>'Cash Flow %s Yr4'!Q31</f>
        <v>0</v>
      </c>
      <c r="R31" s="109">
        <f>'Cash Flow %s Yr4'!R31</f>
        <v>0</v>
      </c>
      <c r="S31" s="105">
        <f t="shared" si="2"/>
        <v>1</v>
      </c>
    </row>
    <row r="32" spans="1:20" s="30" customFormat="1" ht="17.399999999999999" x14ac:dyDescent="0.3">
      <c r="A32" s="45"/>
      <c r="B32" s="61">
        <f>'Revenue Input'!B25</f>
        <v>8295</v>
      </c>
      <c r="C32" s="61" t="str">
        <f>'Revenue Input'!C25</f>
        <v>Title V</v>
      </c>
      <c r="D32" s="109">
        <f>'Cash Flow %s Yr4'!D32</f>
        <v>0</v>
      </c>
      <c r="E32" s="109">
        <f>'Cash Flow %s Yr4'!E32</f>
        <v>0</v>
      </c>
      <c r="F32" s="109">
        <f>'Cash Flow %s Yr4'!F32</f>
        <v>1</v>
      </c>
      <c r="G32" s="109">
        <f>'Cash Flow %s Yr4'!G32</f>
        <v>0</v>
      </c>
      <c r="H32" s="109">
        <f>'Cash Flow %s Yr4'!H32</f>
        <v>0</v>
      </c>
      <c r="I32" s="109">
        <f>'Cash Flow %s Yr4'!I32</f>
        <v>0</v>
      </c>
      <c r="J32" s="109">
        <f>'Cash Flow %s Yr4'!J32</f>
        <v>0</v>
      </c>
      <c r="K32" s="109">
        <f>'Cash Flow %s Yr4'!K32</f>
        <v>0</v>
      </c>
      <c r="L32" s="109">
        <f>'Cash Flow %s Yr4'!L32</f>
        <v>0</v>
      </c>
      <c r="M32" s="109">
        <f>'Cash Flow %s Yr4'!M32</f>
        <v>0</v>
      </c>
      <c r="N32" s="109">
        <f>'Cash Flow %s Yr4'!N32</f>
        <v>0</v>
      </c>
      <c r="O32" s="109">
        <f>'Cash Flow %s Yr4'!O32</f>
        <v>0</v>
      </c>
      <c r="P32" s="109">
        <f>'Cash Flow %s Yr4'!P32</f>
        <v>0</v>
      </c>
      <c r="Q32" s="109">
        <f>'Cash Flow %s Yr4'!Q32</f>
        <v>0</v>
      </c>
      <c r="R32" s="109">
        <f>'Cash Flow %s Yr4'!R32</f>
        <v>0</v>
      </c>
      <c r="S32" s="105">
        <f t="shared" si="2"/>
        <v>1</v>
      </c>
    </row>
    <row r="33" spans="1:19" s="30" customFormat="1" ht="17.399999999999999" x14ac:dyDescent="0.3">
      <c r="A33" s="45"/>
      <c r="B33" s="61">
        <f>'Revenue Input'!B26</f>
        <v>8299</v>
      </c>
      <c r="C33" s="61" t="str">
        <f>'Revenue Input'!C26</f>
        <v>Prior Year Federal Revenue</v>
      </c>
      <c r="D33" s="109">
        <f>'Cash Flow %s Yr4'!D33</f>
        <v>0</v>
      </c>
      <c r="E33" s="109">
        <f>'Cash Flow %s Yr4'!E33</f>
        <v>0</v>
      </c>
      <c r="F33" s="109">
        <f>'Cash Flow %s Yr4'!F33</f>
        <v>0.5</v>
      </c>
      <c r="G33" s="109">
        <f>'Cash Flow %s Yr4'!G33</f>
        <v>0</v>
      </c>
      <c r="H33" s="109">
        <f>'Cash Flow %s Yr4'!H33</f>
        <v>0</v>
      </c>
      <c r="I33" s="109" t="e">
        <f>'Cash Flow %s Yr4'!I33</f>
        <v>#REF!</v>
      </c>
      <c r="J33" s="109">
        <f>'Cash Flow %s Yr4'!J33</f>
        <v>0</v>
      </c>
      <c r="K33" s="109">
        <f>'Cash Flow %s Yr4'!K33</f>
        <v>0.4</v>
      </c>
      <c r="L33" s="109">
        <f>'Cash Flow %s Yr4'!L33</f>
        <v>0</v>
      </c>
      <c r="M33" s="109">
        <f>'Cash Flow %s Yr4'!M33</f>
        <v>0</v>
      </c>
      <c r="N33" s="109">
        <f>'Cash Flow %s Yr4'!N33</f>
        <v>0.1</v>
      </c>
      <c r="O33" s="109">
        <f>'Cash Flow %s Yr4'!O33</f>
        <v>0</v>
      </c>
      <c r="P33" s="109">
        <f>'Cash Flow %s Yr4'!P33</f>
        <v>0</v>
      </c>
      <c r="Q33" s="109">
        <f>'Cash Flow %s Yr4'!Q33</f>
        <v>0</v>
      </c>
      <c r="R33" s="109">
        <f>'Cash Flow %s Yr4'!R33</f>
        <v>0</v>
      </c>
      <c r="S33" s="105" t="e">
        <f t="shared" si="2"/>
        <v>#REF!</v>
      </c>
    </row>
    <row r="34" spans="1:19" s="30" customFormat="1" ht="17.399999999999999" x14ac:dyDescent="0.3">
      <c r="A34" s="45"/>
      <c r="B34" s="68"/>
      <c r="C34" s="48"/>
      <c r="D34" s="114"/>
      <c r="E34" s="114"/>
      <c r="F34" s="114"/>
      <c r="G34" s="114"/>
      <c r="H34" s="114"/>
      <c r="I34" s="114"/>
      <c r="J34" s="114"/>
      <c r="K34" s="114"/>
      <c r="L34" s="114"/>
      <c r="M34" s="114"/>
      <c r="N34" s="114"/>
      <c r="O34" s="114"/>
      <c r="P34" s="114"/>
      <c r="Q34" s="114"/>
      <c r="R34" s="114"/>
      <c r="S34" s="105"/>
    </row>
    <row r="35" spans="1:19" s="30" customFormat="1" ht="17.399999999999999" x14ac:dyDescent="0.3">
      <c r="A35" s="45"/>
      <c r="B35" s="68"/>
      <c r="C35" s="48"/>
      <c r="D35" s="117"/>
      <c r="E35" s="117"/>
      <c r="F35" s="117"/>
      <c r="G35" s="117"/>
      <c r="H35" s="117"/>
      <c r="I35" s="117"/>
      <c r="J35" s="117"/>
      <c r="K35" s="117"/>
      <c r="L35" s="117"/>
      <c r="M35" s="117"/>
      <c r="N35" s="117"/>
      <c r="O35" s="117"/>
      <c r="P35" s="117"/>
      <c r="Q35" s="117"/>
      <c r="R35" s="117"/>
      <c r="S35" s="105"/>
    </row>
    <row r="36" spans="1:19" s="30" customFormat="1" ht="17.399999999999999" x14ac:dyDescent="0.3">
      <c r="B36" s="45" t="s">
        <v>790</v>
      </c>
      <c r="C36" s="48"/>
      <c r="D36" s="117"/>
      <c r="E36" s="117"/>
      <c r="F36" s="117"/>
      <c r="G36" s="117"/>
      <c r="H36" s="117"/>
      <c r="I36" s="117"/>
      <c r="J36" s="117"/>
      <c r="K36" s="117"/>
      <c r="L36" s="117"/>
      <c r="M36" s="117"/>
      <c r="N36" s="117"/>
      <c r="O36" s="117"/>
      <c r="P36" s="117"/>
      <c r="Q36" s="117"/>
      <c r="R36" s="117"/>
      <c r="S36" s="105"/>
    </row>
    <row r="37" spans="1:19" s="30" customFormat="1" ht="17.399999999999999" x14ac:dyDescent="0.3">
      <c r="A37" s="45"/>
      <c r="B37" s="61">
        <f>'Revenue Input'!B44</f>
        <v>8660</v>
      </c>
      <c r="C37" s="61" t="str">
        <f>'Revenue Input'!C44</f>
        <v>Interest</v>
      </c>
      <c r="D37" s="109">
        <f>'Cash Flow %s Yr4'!D37</f>
        <v>8.3000000000000004E-2</v>
      </c>
      <c r="E37" s="109">
        <f>'Cash Flow %s Yr4'!E37</f>
        <v>8.3000000000000004E-2</v>
      </c>
      <c r="F37" s="109">
        <f>'Cash Flow %s Yr4'!F37</f>
        <v>8.3000000000000004E-2</v>
      </c>
      <c r="G37" s="109">
        <f>'Cash Flow %s Yr4'!G37</f>
        <v>8.3000000000000004E-2</v>
      </c>
      <c r="H37" s="109">
        <f>'Cash Flow %s Yr4'!H37</f>
        <v>8.3000000000000004E-2</v>
      </c>
      <c r="I37" s="109">
        <f>'Cash Flow %s Yr4'!I37</f>
        <v>8.3000000000000004E-2</v>
      </c>
      <c r="J37" s="109">
        <f>'Cash Flow %s Yr4'!J37</f>
        <v>8.3000000000000004E-2</v>
      </c>
      <c r="K37" s="109">
        <f>'Cash Flow %s Yr4'!K37</f>
        <v>8.3000000000000004E-2</v>
      </c>
      <c r="L37" s="109">
        <f>'Cash Flow %s Yr4'!L37</f>
        <v>8.4000000000000005E-2</v>
      </c>
      <c r="M37" s="109">
        <f>'Cash Flow %s Yr4'!M37</f>
        <v>8.4000000000000005E-2</v>
      </c>
      <c r="N37" s="109">
        <f>'Cash Flow %s Yr4'!N37</f>
        <v>8.4000000000000005E-2</v>
      </c>
      <c r="O37" s="109">
        <f>'Cash Flow %s Yr4'!O37</f>
        <v>8.4000000000000005E-2</v>
      </c>
      <c r="P37" s="109">
        <f>'Cash Flow %s Yr4'!P37</f>
        <v>0</v>
      </c>
      <c r="Q37" s="109">
        <f>'Cash Flow %s Yr4'!Q37</f>
        <v>0</v>
      </c>
      <c r="R37" s="109">
        <f>'Cash Flow %s Yr4'!R37</f>
        <v>0</v>
      </c>
      <c r="S37" s="105">
        <f t="shared" ref="S37:S49" si="3">SUM(D37:R37)</f>
        <v>0.99999999999999989</v>
      </c>
    </row>
    <row r="38" spans="1:19" s="30" customFormat="1" ht="17.399999999999999" x14ac:dyDescent="0.3">
      <c r="A38" s="45"/>
      <c r="B38" s="61">
        <f>'Revenue Input'!B45</f>
        <v>8682</v>
      </c>
      <c r="C38" s="61" t="str">
        <f>'Revenue Input'!C45</f>
        <v>Foundation Grants / Donations</v>
      </c>
      <c r="D38" s="109">
        <f>'Cash Flow %s Yr4'!D38</f>
        <v>0</v>
      </c>
      <c r="E38" s="109">
        <f>'Cash Flow %s Yr4'!E38</f>
        <v>0</v>
      </c>
      <c r="F38" s="109">
        <f>'Cash Flow %s Yr4'!F38</f>
        <v>0.1</v>
      </c>
      <c r="G38" s="109">
        <f>'Cash Flow %s Yr4'!G38</f>
        <v>0.1</v>
      </c>
      <c r="H38" s="109">
        <f>'Cash Flow %s Yr4'!H38</f>
        <v>0.1</v>
      </c>
      <c r="I38" s="109">
        <f>'Cash Flow %s Yr4'!I38</f>
        <v>0.1</v>
      </c>
      <c r="J38" s="109">
        <f>'Cash Flow %s Yr4'!J38</f>
        <v>0.1</v>
      </c>
      <c r="K38" s="109">
        <f>'Cash Flow %s Yr4'!K38</f>
        <v>0.1</v>
      </c>
      <c r="L38" s="109">
        <f>'Cash Flow %s Yr4'!L38</f>
        <v>0.1</v>
      </c>
      <c r="M38" s="109">
        <f>'Cash Flow %s Yr4'!M38</f>
        <v>0.1</v>
      </c>
      <c r="N38" s="109">
        <f>'Cash Flow %s Yr4'!N38</f>
        <v>0.1</v>
      </c>
      <c r="O38" s="109">
        <f>'Cash Flow %s Yr4'!O38</f>
        <v>0.1</v>
      </c>
      <c r="P38" s="109">
        <f>'Cash Flow %s Yr4'!P38</f>
        <v>0</v>
      </c>
      <c r="Q38" s="109">
        <f>'Cash Flow %s Yr4'!Q38</f>
        <v>0</v>
      </c>
      <c r="R38" s="109">
        <f>'Cash Flow %s Yr4'!R38</f>
        <v>0</v>
      </c>
      <c r="S38" s="105">
        <f t="shared" si="3"/>
        <v>0.99999999999999989</v>
      </c>
    </row>
    <row r="39" spans="1:19" s="30" customFormat="1" ht="17.399999999999999" x14ac:dyDescent="0.3">
      <c r="A39" s="45"/>
      <c r="B39" s="61">
        <f>'Revenue Input'!B46</f>
        <v>8684</v>
      </c>
      <c r="C39" s="61" t="str">
        <f>'Revenue Input'!C46</f>
        <v>Student  Body (ASB) Fundraising Revenue</v>
      </c>
      <c r="D39" s="109">
        <f>'Cash Flow %s Yr4'!D39</f>
        <v>0</v>
      </c>
      <c r="E39" s="109">
        <f>'Cash Flow %s Yr4'!E39</f>
        <v>0</v>
      </c>
      <c r="F39" s="109">
        <f>'Cash Flow %s Yr4'!F39</f>
        <v>0.1</v>
      </c>
      <c r="G39" s="109">
        <f>'Cash Flow %s Yr4'!G39</f>
        <v>0.1</v>
      </c>
      <c r="H39" s="109">
        <f>'Cash Flow %s Yr4'!H39</f>
        <v>0.1</v>
      </c>
      <c r="I39" s="109">
        <f>'Cash Flow %s Yr4'!I39</f>
        <v>0.1</v>
      </c>
      <c r="J39" s="109">
        <f>'Cash Flow %s Yr4'!J39</f>
        <v>0.1</v>
      </c>
      <c r="K39" s="109">
        <f>'Cash Flow %s Yr4'!K39</f>
        <v>0.1</v>
      </c>
      <c r="L39" s="109">
        <f>'Cash Flow %s Yr4'!L39</f>
        <v>0.1</v>
      </c>
      <c r="M39" s="109">
        <f>'Cash Flow %s Yr4'!M39</f>
        <v>0.1</v>
      </c>
      <c r="N39" s="109">
        <f>'Cash Flow %s Yr4'!N39</f>
        <v>0.1</v>
      </c>
      <c r="O39" s="109">
        <f>'Cash Flow %s Yr4'!O39</f>
        <v>0.1</v>
      </c>
      <c r="P39" s="109">
        <f>'Cash Flow %s Yr4'!P39</f>
        <v>0</v>
      </c>
      <c r="Q39" s="109">
        <f>'Cash Flow %s Yr4'!Q39</f>
        <v>0</v>
      </c>
      <c r="R39" s="109">
        <f>'Cash Flow %s Yr4'!R39</f>
        <v>0</v>
      </c>
      <c r="S39" s="105">
        <f t="shared" si="3"/>
        <v>0.99999999999999989</v>
      </c>
    </row>
    <row r="40" spans="1:19" s="30" customFormat="1" x14ac:dyDescent="0.3">
      <c r="A40" s="47"/>
      <c r="B40" s="61">
        <f>'Revenue Input'!B47</f>
        <v>8685</v>
      </c>
      <c r="C40" s="61" t="str">
        <f>'Revenue Input'!C47</f>
        <v>School Site Fundraising</v>
      </c>
      <c r="D40" s="109">
        <f>'Cash Flow %s Yr4'!D40</f>
        <v>0</v>
      </c>
      <c r="E40" s="109">
        <f>'Cash Flow %s Yr4'!E40</f>
        <v>0</v>
      </c>
      <c r="F40" s="109">
        <f>'Cash Flow %s Yr4'!F40</f>
        <v>0.1</v>
      </c>
      <c r="G40" s="109">
        <f>'Cash Flow %s Yr4'!G40</f>
        <v>0.1</v>
      </c>
      <c r="H40" s="109">
        <f>'Cash Flow %s Yr4'!H40</f>
        <v>0.1</v>
      </c>
      <c r="I40" s="109">
        <f>'Cash Flow %s Yr4'!I40</f>
        <v>0.1</v>
      </c>
      <c r="J40" s="109">
        <f>'Cash Flow %s Yr4'!J40</f>
        <v>0.1</v>
      </c>
      <c r="K40" s="109">
        <f>'Cash Flow %s Yr4'!K40</f>
        <v>0.1</v>
      </c>
      <c r="L40" s="109">
        <f>'Cash Flow %s Yr4'!L40</f>
        <v>0.1</v>
      </c>
      <c r="M40" s="109">
        <f>'Cash Flow %s Yr4'!M40</f>
        <v>0.1</v>
      </c>
      <c r="N40" s="109">
        <f>'Cash Flow %s Yr4'!N40</f>
        <v>0.1</v>
      </c>
      <c r="O40" s="109">
        <f>'Cash Flow %s Yr4'!O40</f>
        <v>0.1</v>
      </c>
      <c r="P40" s="109">
        <f>'Cash Flow %s Yr4'!P40</f>
        <v>0</v>
      </c>
      <c r="Q40" s="109">
        <f>'Cash Flow %s Yr4'!Q40</f>
        <v>0</v>
      </c>
      <c r="R40" s="109">
        <f>'Cash Flow %s Yr4'!R40</f>
        <v>0</v>
      </c>
      <c r="S40" s="105">
        <f t="shared" si="3"/>
        <v>0.99999999999999989</v>
      </c>
    </row>
    <row r="41" spans="1:19" s="30" customFormat="1" x14ac:dyDescent="0.3">
      <c r="A41" s="48"/>
      <c r="B41" s="61">
        <f>'Revenue Input'!B48</f>
        <v>8686</v>
      </c>
      <c r="C41" s="61" t="str">
        <f>'Revenue Input'!C48</f>
        <v>Donations</v>
      </c>
      <c r="D41" s="109">
        <f>'Cash Flow %s Yr4'!D41</f>
        <v>0</v>
      </c>
      <c r="E41" s="109">
        <f>'Cash Flow %s Yr4'!E41</f>
        <v>0</v>
      </c>
      <c r="F41" s="109">
        <f>'Cash Flow %s Yr4'!F41</f>
        <v>0.1</v>
      </c>
      <c r="G41" s="109">
        <f>'Cash Flow %s Yr4'!G41</f>
        <v>0.1</v>
      </c>
      <c r="H41" s="109">
        <f>'Cash Flow %s Yr4'!H41</f>
        <v>0.1</v>
      </c>
      <c r="I41" s="109">
        <f>'Cash Flow %s Yr4'!I41</f>
        <v>0.1</v>
      </c>
      <c r="J41" s="109">
        <f>'Cash Flow %s Yr4'!J41</f>
        <v>0.1</v>
      </c>
      <c r="K41" s="109">
        <f>'Cash Flow %s Yr4'!K41</f>
        <v>0.1</v>
      </c>
      <c r="L41" s="109">
        <f>'Cash Flow %s Yr4'!L41</f>
        <v>0.1</v>
      </c>
      <c r="M41" s="109">
        <f>'Cash Flow %s Yr4'!M41</f>
        <v>0.1</v>
      </c>
      <c r="N41" s="109">
        <f>'Cash Flow %s Yr4'!N41</f>
        <v>0.1</v>
      </c>
      <c r="O41" s="109">
        <f>'Cash Flow %s Yr4'!O41</f>
        <v>0.1</v>
      </c>
      <c r="P41" s="109">
        <f>'Cash Flow %s Yr4'!P41</f>
        <v>0</v>
      </c>
      <c r="Q41" s="109">
        <f>'Cash Flow %s Yr4'!Q41</f>
        <v>0</v>
      </c>
      <c r="R41" s="109">
        <f>'Cash Flow %s Yr4'!R41</f>
        <v>0</v>
      </c>
      <c r="S41" s="105">
        <f t="shared" si="3"/>
        <v>0.99999999999999989</v>
      </c>
    </row>
    <row r="42" spans="1:19" s="30" customFormat="1" ht="17.399999999999999" x14ac:dyDescent="0.3">
      <c r="A42" s="45"/>
      <c r="B42" s="61">
        <f>'Revenue Input'!B49</f>
        <v>8687</v>
      </c>
      <c r="C42" s="61" t="str">
        <f>'Revenue Input'!C49</f>
        <v>Fund Development</v>
      </c>
      <c r="D42" s="109">
        <f>'Cash Flow %s Yr4'!D42</f>
        <v>0</v>
      </c>
      <c r="E42" s="109">
        <f>'Cash Flow %s Yr4'!E42</f>
        <v>0</v>
      </c>
      <c r="F42" s="109">
        <f>'Cash Flow %s Yr4'!F42</f>
        <v>0.1</v>
      </c>
      <c r="G42" s="109">
        <f>'Cash Flow %s Yr4'!G42</f>
        <v>0.1</v>
      </c>
      <c r="H42" s="109">
        <f>'Cash Flow %s Yr4'!H42</f>
        <v>0.1</v>
      </c>
      <c r="I42" s="109">
        <f>'Cash Flow %s Yr4'!I42</f>
        <v>0.1</v>
      </c>
      <c r="J42" s="109">
        <f>'Cash Flow %s Yr4'!J42</f>
        <v>0.1</v>
      </c>
      <c r="K42" s="109">
        <f>'Cash Flow %s Yr4'!K42</f>
        <v>0.1</v>
      </c>
      <c r="L42" s="109">
        <f>'Cash Flow %s Yr4'!L42</f>
        <v>0.1</v>
      </c>
      <c r="M42" s="109">
        <f>'Cash Flow %s Yr4'!M42</f>
        <v>0.1</v>
      </c>
      <c r="N42" s="109">
        <f>'Cash Flow %s Yr4'!N42</f>
        <v>0.1</v>
      </c>
      <c r="O42" s="109">
        <f>'Cash Flow %s Yr4'!O42</f>
        <v>0.1</v>
      </c>
      <c r="P42" s="109">
        <f>'Cash Flow %s Yr4'!P42</f>
        <v>0</v>
      </c>
      <c r="Q42" s="109">
        <f>'Cash Flow %s Yr4'!Q42</f>
        <v>0</v>
      </c>
      <c r="R42" s="109">
        <f>'Cash Flow %s Yr4'!R42</f>
        <v>0</v>
      </c>
      <c r="S42" s="105">
        <f t="shared" si="3"/>
        <v>0.99999999999999989</v>
      </c>
    </row>
    <row r="43" spans="1:19" s="30" customFormat="1" ht="17.399999999999999" x14ac:dyDescent="0.3">
      <c r="A43" s="45"/>
      <c r="B43" s="61">
        <f>'Revenue Input'!B50</f>
        <v>8688</v>
      </c>
      <c r="C43" s="61" t="str">
        <f>'Revenue Input'!C50</f>
        <v>In Kind Contributions</v>
      </c>
      <c r="D43" s="109">
        <f>'Cash Flow %s Yr4'!D43</f>
        <v>0</v>
      </c>
      <c r="E43" s="109">
        <f>'Cash Flow %s Yr4'!E43</f>
        <v>0</v>
      </c>
      <c r="F43" s="109">
        <f>'Cash Flow %s Yr4'!F43</f>
        <v>0.1</v>
      </c>
      <c r="G43" s="109">
        <f>'Cash Flow %s Yr4'!G43</f>
        <v>0.1</v>
      </c>
      <c r="H43" s="109">
        <f>'Cash Flow %s Yr4'!H43</f>
        <v>0.1</v>
      </c>
      <c r="I43" s="109">
        <f>'Cash Flow %s Yr4'!I43</f>
        <v>0.1</v>
      </c>
      <c r="J43" s="109">
        <f>'Cash Flow %s Yr4'!J43</f>
        <v>0.1</v>
      </c>
      <c r="K43" s="109">
        <f>'Cash Flow %s Yr4'!K43</f>
        <v>0.1</v>
      </c>
      <c r="L43" s="109">
        <f>'Cash Flow %s Yr4'!L43</f>
        <v>0.1</v>
      </c>
      <c r="M43" s="109">
        <f>'Cash Flow %s Yr4'!M43</f>
        <v>0.1</v>
      </c>
      <c r="N43" s="109">
        <f>'Cash Flow %s Yr4'!N43</f>
        <v>0.1</v>
      </c>
      <c r="O43" s="109">
        <f>'Cash Flow %s Yr4'!O43</f>
        <v>0.1</v>
      </c>
      <c r="P43" s="109">
        <f>'Cash Flow %s Yr4'!P43</f>
        <v>0</v>
      </c>
      <c r="Q43" s="109">
        <f>'Cash Flow %s Yr4'!Q43</f>
        <v>0</v>
      </c>
      <c r="R43" s="109">
        <f>'Cash Flow %s Yr4'!R43</f>
        <v>0</v>
      </c>
      <c r="S43" s="105">
        <f t="shared" si="3"/>
        <v>0.99999999999999989</v>
      </c>
    </row>
    <row r="44" spans="1:19" s="30" customFormat="1" ht="17.399999999999999" x14ac:dyDescent="0.3">
      <c r="A44" s="45"/>
      <c r="B44" s="61" t="e">
        <f>'Revenue Input'!#REF!</f>
        <v>#REF!</v>
      </c>
      <c r="C44" s="61" t="e">
        <f>'Revenue Input'!#REF!</f>
        <v>#REF!</v>
      </c>
      <c r="D44" s="109">
        <f>'Cash Flow %s Yr4'!D44</f>
        <v>0</v>
      </c>
      <c r="E44" s="109">
        <f>'Cash Flow %s Yr4'!E44</f>
        <v>0</v>
      </c>
      <c r="F44" s="109">
        <f>'Cash Flow %s Yr4'!F44</f>
        <v>0.1</v>
      </c>
      <c r="G44" s="109">
        <f>'Cash Flow %s Yr4'!G44</f>
        <v>0.1</v>
      </c>
      <c r="H44" s="109">
        <f>'Cash Flow %s Yr4'!H44</f>
        <v>0.1</v>
      </c>
      <c r="I44" s="109">
        <f>'Cash Flow %s Yr4'!I44</f>
        <v>0.1</v>
      </c>
      <c r="J44" s="109">
        <f>'Cash Flow %s Yr4'!J44</f>
        <v>0.1</v>
      </c>
      <c r="K44" s="109">
        <f>'Cash Flow %s Yr4'!K44</f>
        <v>0.1</v>
      </c>
      <c r="L44" s="109">
        <f>'Cash Flow %s Yr4'!L44</f>
        <v>0.1</v>
      </c>
      <c r="M44" s="109">
        <f>'Cash Flow %s Yr4'!M44</f>
        <v>0.1</v>
      </c>
      <c r="N44" s="109">
        <f>'Cash Flow %s Yr4'!N44</f>
        <v>0.1</v>
      </c>
      <c r="O44" s="109">
        <f>'Cash Flow %s Yr4'!O44</f>
        <v>0.1</v>
      </c>
      <c r="P44" s="109">
        <f>'Cash Flow %s Yr4'!P44</f>
        <v>0</v>
      </c>
      <c r="Q44" s="109">
        <f>'Cash Flow %s Yr4'!Q44</f>
        <v>0</v>
      </c>
      <c r="R44" s="109">
        <f>'Cash Flow %s Yr4'!R44</f>
        <v>0</v>
      </c>
      <c r="S44" s="105">
        <f t="shared" si="3"/>
        <v>0.99999999999999989</v>
      </c>
    </row>
    <row r="45" spans="1:19" s="30" customFormat="1" ht="17.399999999999999" x14ac:dyDescent="0.3">
      <c r="A45" s="45"/>
      <c r="B45" s="61" t="e">
        <f>'Revenue Input'!#REF!</f>
        <v>#REF!</v>
      </c>
      <c r="C45" s="61" t="e">
        <f>'Revenue Input'!#REF!</f>
        <v>#REF!</v>
      </c>
      <c r="D45" s="109">
        <f>'Cash Flow %s Yr4'!D45</f>
        <v>0</v>
      </c>
      <c r="E45" s="109">
        <f>'Cash Flow %s Yr4'!E45</f>
        <v>0</v>
      </c>
      <c r="F45" s="109">
        <f>'Cash Flow %s Yr4'!F45</f>
        <v>0.1</v>
      </c>
      <c r="G45" s="109">
        <f>'Cash Flow %s Yr4'!G45</f>
        <v>0.1</v>
      </c>
      <c r="H45" s="109">
        <f>'Cash Flow %s Yr4'!H45</f>
        <v>0.1</v>
      </c>
      <c r="I45" s="109">
        <f>'Cash Flow %s Yr4'!I45</f>
        <v>0.1</v>
      </c>
      <c r="J45" s="109">
        <f>'Cash Flow %s Yr4'!J45</f>
        <v>0.1</v>
      </c>
      <c r="K45" s="109">
        <f>'Cash Flow %s Yr4'!K45</f>
        <v>0.1</v>
      </c>
      <c r="L45" s="109">
        <f>'Cash Flow %s Yr4'!L45</f>
        <v>0.1</v>
      </c>
      <c r="M45" s="109">
        <f>'Cash Flow %s Yr4'!M45</f>
        <v>0.1</v>
      </c>
      <c r="N45" s="109">
        <f>'Cash Flow %s Yr4'!N45</f>
        <v>0.1</v>
      </c>
      <c r="O45" s="109">
        <f>'Cash Flow %s Yr4'!O45</f>
        <v>0.1</v>
      </c>
      <c r="P45" s="109">
        <f>'Cash Flow %s Yr4'!P45</f>
        <v>0</v>
      </c>
      <c r="Q45" s="109">
        <f>'Cash Flow %s Yr4'!Q45</f>
        <v>0</v>
      </c>
      <c r="R45" s="109">
        <f>'Cash Flow %s Yr4'!R45</f>
        <v>0</v>
      </c>
      <c r="S45" s="105">
        <f t="shared" si="3"/>
        <v>0.99999999999999989</v>
      </c>
    </row>
    <row r="46" spans="1:19" s="30" customFormat="1" ht="17.399999999999999" x14ac:dyDescent="0.3">
      <c r="A46" s="45"/>
      <c r="B46" s="61">
        <f>'Revenue Input'!B51</f>
        <v>8689</v>
      </c>
      <c r="C46" s="61" t="str">
        <f>'Revenue Input'!C51</f>
        <v xml:space="preserve">All Other Local Revenue </v>
      </c>
      <c r="D46" s="109">
        <f>'Cash Flow %s Yr4'!D46</f>
        <v>0</v>
      </c>
      <c r="E46" s="109">
        <f>'Cash Flow %s Yr4'!E46</f>
        <v>0</v>
      </c>
      <c r="F46" s="109">
        <f>'Cash Flow %s Yr4'!F46</f>
        <v>0.1</v>
      </c>
      <c r="G46" s="109">
        <f>'Cash Flow %s Yr4'!G46</f>
        <v>0.1</v>
      </c>
      <c r="H46" s="109">
        <f>'Cash Flow %s Yr4'!H46</f>
        <v>0.1</v>
      </c>
      <c r="I46" s="109">
        <f>'Cash Flow %s Yr4'!I46</f>
        <v>0.1</v>
      </c>
      <c r="J46" s="109">
        <f>'Cash Flow %s Yr4'!J46</f>
        <v>0.1</v>
      </c>
      <c r="K46" s="109">
        <f>'Cash Flow %s Yr4'!K46</f>
        <v>0.1</v>
      </c>
      <c r="L46" s="109">
        <f>'Cash Flow %s Yr4'!L46</f>
        <v>0.1</v>
      </c>
      <c r="M46" s="109">
        <f>'Cash Flow %s Yr4'!M46</f>
        <v>0.1</v>
      </c>
      <c r="N46" s="109">
        <f>'Cash Flow %s Yr4'!N46</f>
        <v>0.1</v>
      </c>
      <c r="O46" s="109">
        <f>'Cash Flow %s Yr4'!O46</f>
        <v>0.1</v>
      </c>
      <c r="P46" s="109">
        <f>'Cash Flow %s Yr4'!P46</f>
        <v>0</v>
      </c>
      <c r="Q46" s="109">
        <f>'Cash Flow %s Yr4'!Q46</f>
        <v>0</v>
      </c>
      <c r="R46" s="109">
        <f>'Cash Flow %s Yr4'!R46</f>
        <v>0</v>
      </c>
      <c r="S46" s="105">
        <f>SUM(D46:R46)</f>
        <v>0.99999999999999989</v>
      </c>
    </row>
    <row r="47" spans="1:19" s="30" customFormat="1" ht="17.399999999999999" x14ac:dyDescent="0.3">
      <c r="A47" s="45"/>
      <c r="B47" s="61">
        <f>'Revenue Input'!B52</f>
        <v>8699</v>
      </c>
      <c r="C47" s="61" t="str">
        <f>'Revenue Input'!C52</f>
        <v xml:space="preserve">All Other Local Revenue </v>
      </c>
      <c r="D47" s="109">
        <f>'Cash Flow %s Yr4'!D47</f>
        <v>0</v>
      </c>
      <c r="E47" s="109">
        <f>'Cash Flow %s Yr4'!E47</f>
        <v>0</v>
      </c>
      <c r="F47" s="109">
        <f>'Cash Flow %s Yr4'!F47</f>
        <v>0.1</v>
      </c>
      <c r="G47" s="109">
        <f>'Cash Flow %s Yr4'!G47</f>
        <v>0.1</v>
      </c>
      <c r="H47" s="109">
        <f>'Cash Flow %s Yr4'!H47</f>
        <v>0.1</v>
      </c>
      <c r="I47" s="109">
        <f>'Cash Flow %s Yr4'!I47</f>
        <v>0.1</v>
      </c>
      <c r="J47" s="109">
        <f>'Cash Flow %s Yr4'!J47</f>
        <v>0.1</v>
      </c>
      <c r="K47" s="109">
        <f>'Cash Flow %s Yr4'!K47</f>
        <v>0.1</v>
      </c>
      <c r="L47" s="109">
        <f>'Cash Flow %s Yr4'!L47</f>
        <v>0.1</v>
      </c>
      <c r="M47" s="109">
        <f>'Cash Flow %s Yr4'!M47</f>
        <v>0.1</v>
      </c>
      <c r="N47" s="109">
        <f>'Cash Flow %s Yr4'!N47</f>
        <v>0.1</v>
      </c>
      <c r="O47" s="109">
        <f>'Cash Flow %s Yr4'!O47</f>
        <v>0.1</v>
      </c>
      <c r="P47" s="109">
        <f>'Cash Flow %s Yr4'!P47</f>
        <v>0</v>
      </c>
      <c r="Q47" s="109">
        <f>'Cash Flow %s Yr4'!Q47</f>
        <v>0</v>
      </c>
      <c r="R47" s="109">
        <f>'Cash Flow %s Yr4'!R47</f>
        <v>0</v>
      </c>
      <c r="S47" s="105">
        <f>SUM(D47:R47)</f>
        <v>0.99999999999999989</v>
      </c>
    </row>
    <row r="48" spans="1:19" s="30" customFormat="1" ht="17.399999999999999" x14ac:dyDescent="0.3">
      <c r="A48" s="45"/>
      <c r="B48" s="61">
        <f>'Revenue Input'!B53</f>
        <v>8792</v>
      </c>
      <c r="C48" s="61" t="str">
        <f>'Revenue Input'!C53</f>
        <v>SPED State/Other Transfers of Apportionments from County</v>
      </c>
      <c r="D48" s="109">
        <f>'Cash Flow %s Yr4'!D48</f>
        <v>0</v>
      </c>
      <c r="E48" s="109">
        <f>'Cash Flow %s Yr4'!E48</f>
        <v>0</v>
      </c>
      <c r="F48" s="109">
        <f>'Cash Flow %s Yr4'!F48</f>
        <v>0.1</v>
      </c>
      <c r="G48" s="109">
        <f>'Cash Flow %s Yr4'!G48</f>
        <v>0.1</v>
      </c>
      <c r="H48" s="109">
        <f>'Cash Flow %s Yr4'!H48</f>
        <v>0.1</v>
      </c>
      <c r="I48" s="109">
        <f>'Cash Flow %s Yr4'!I48</f>
        <v>0.1</v>
      </c>
      <c r="J48" s="109">
        <f>'Cash Flow %s Yr4'!J48</f>
        <v>0.1</v>
      </c>
      <c r="K48" s="109">
        <f>'Cash Flow %s Yr4'!K48</f>
        <v>0.1</v>
      </c>
      <c r="L48" s="109">
        <f>'Cash Flow %s Yr4'!L48</f>
        <v>0.1</v>
      </c>
      <c r="M48" s="109">
        <f>'Cash Flow %s Yr4'!M48</f>
        <v>0.1</v>
      </c>
      <c r="N48" s="109">
        <f>'Cash Flow %s Yr4'!N48</f>
        <v>0.1</v>
      </c>
      <c r="O48" s="109">
        <f>'Cash Flow %s Yr4'!O48</f>
        <v>0.1</v>
      </c>
      <c r="P48" s="109">
        <f>'Cash Flow %s Yr4'!P48</f>
        <v>0</v>
      </c>
      <c r="Q48" s="109">
        <f>'Cash Flow %s Yr4'!Q48</f>
        <v>0</v>
      </c>
      <c r="R48" s="109">
        <f>'Cash Flow %s Yr4'!R48</f>
        <v>0</v>
      </c>
      <c r="S48" s="105">
        <f>SUM(D48:R48)</f>
        <v>0.99999999999999989</v>
      </c>
    </row>
    <row r="49" spans="1:19" s="30" customFormat="1" ht="17.399999999999999" x14ac:dyDescent="0.3">
      <c r="A49" s="45"/>
      <c r="B49" s="61">
        <f>'Revenue Input'!B55</f>
        <v>8984</v>
      </c>
      <c r="C49" s="61" t="str">
        <f>'Revenue Input'!C55</f>
        <v>Student Body (ASB Fundraising)</v>
      </c>
      <c r="D49" s="109">
        <f>'Cash Flow %s Yr4'!D49</f>
        <v>0</v>
      </c>
      <c r="E49" s="109">
        <f>'Cash Flow %s Yr4'!E49</f>
        <v>0</v>
      </c>
      <c r="F49" s="109">
        <f>'Cash Flow %s Yr4'!F49</f>
        <v>0.1</v>
      </c>
      <c r="G49" s="109">
        <f>'Cash Flow %s Yr4'!G49</f>
        <v>0.1</v>
      </c>
      <c r="H49" s="109">
        <f>'Cash Flow %s Yr4'!H49</f>
        <v>0.1</v>
      </c>
      <c r="I49" s="109">
        <f>'Cash Flow %s Yr4'!I49</f>
        <v>0.1</v>
      </c>
      <c r="J49" s="109">
        <f>'Cash Flow %s Yr4'!J49</f>
        <v>0.1</v>
      </c>
      <c r="K49" s="109">
        <f>'Cash Flow %s Yr4'!K49</f>
        <v>0.1</v>
      </c>
      <c r="L49" s="109">
        <f>'Cash Flow %s Yr4'!L49</f>
        <v>0.1</v>
      </c>
      <c r="M49" s="109">
        <f>'Cash Flow %s Yr4'!M49</f>
        <v>0.1</v>
      </c>
      <c r="N49" s="109">
        <f>'Cash Flow %s Yr4'!N49</f>
        <v>0.1</v>
      </c>
      <c r="O49" s="109">
        <f>'Cash Flow %s Yr4'!O49</f>
        <v>0.1</v>
      </c>
      <c r="P49" s="109">
        <f>'Cash Flow %s Yr4'!P49</f>
        <v>0</v>
      </c>
      <c r="Q49" s="109">
        <f>'Cash Flow %s Yr4'!Q49</f>
        <v>0</v>
      </c>
      <c r="R49" s="109">
        <f>'Cash Flow %s Yr4'!R49</f>
        <v>0</v>
      </c>
      <c r="S49" s="105">
        <f t="shared" si="3"/>
        <v>0.99999999999999989</v>
      </c>
    </row>
    <row r="50" spans="1:19" s="30" customFormat="1" ht="17.399999999999999" x14ac:dyDescent="0.3">
      <c r="A50" s="45"/>
      <c r="B50" s="68"/>
      <c r="C50" s="48"/>
      <c r="D50" s="113"/>
      <c r="E50" s="113"/>
      <c r="F50" s="113"/>
      <c r="G50" s="113"/>
      <c r="H50" s="113"/>
      <c r="I50" s="113"/>
      <c r="J50" s="113"/>
      <c r="K50" s="113"/>
      <c r="L50" s="113"/>
      <c r="M50" s="113"/>
      <c r="N50" s="113"/>
      <c r="O50" s="113"/>
      <c r="P50" s="94"/>
      <c r="Q50" s="94"/>
      <c r="R50" s="94"/>
      <c r="S50" s="105"/>
    </row>
    <row r="51" spans="1:19" s="30" customFormat="1" ht="17.399999999999999" x14ac:dyDescent="0.3">
      <c r="A51" s="45"/>
      <c r="B51" s="68"/>
      <c r="C51" s="48"/>
      <c r="D51" s="113"/>
      <c r="E51" s="113"/>
      <c r="F51" s="113"/>
      <c r="G51" s="113"/>
      <c r="H51" s="113"/>
      <c r="I51" s="113"/>
      <c r="J51" s="113"/>
      <c r="K51" s="113"/>
      <c r="L51" s="113"/>
      <c r="M51" s="113"/>
      <c r="N51" s="113"/>
      <c r="O51" s="113"/>
      <c r="P51" s="94"/>
      <c r="Q51" s="94"/>
      <c r="R51" s="94"/>
      <c r="S51" s="105"/>
    </row>
    <row r="52" spans="1:19" s="30" customFormat="1" ht="17.399999999999999" x14ac:dyDescent="0.3">
      <c r="A52" s="45"/>
      <c r="B52" s="68"/>
      <c r="C52" s="48"/>
      <c r="D52" s="94"/>
      <c r="E52" s="94"/>
      <c r="F52" s="94"/>
      <c r="G52" s="94"/>
      <c r="H52" s="94"/>
      <c r="I52" s="94"/>
      <c r="J52" s="94"/>
      <c r="K52" s="94"/>
      <c r="L52" s="94"/>
      <c r="M52" s="94"/>
      <c r="N52" s="94"/>
      <c r="O52" s="94"/>
      <c r="P52" s="94"/>
      <c r="Q52" s="94"/>
      <c r="R52" s="94"/>
      <c r="S52" s="105"/>
    </row>
    <row r="53" spans="1:19" s="30" customFormat="1" ht="17.399999999999999" x14ac:dyDescent="0.3">
      <c r="A53" s="45" t="s">
        <v>796</v>
      </c>
      <c r="B53" s="69"/>
      <c r="C53" s="33"/>
      <c r="D53" s="95"/>
      <c r="E53" s="95"/>
      <c r="F53" s="95"/>
      <c r="G53" s="95"/>
      <c r="H53" s="95"/>
      <c r="I53" s="95"/>
      <c r="J53" s="95"/>
      <c r="K53" s="95"/>
      <c r="L53" s="95"/>
      <c r="M53" s="95"/>
      <c r="N53" s="95"/>
      <c r="O53" s="95"/>
      <c r="P53" s="95"/>
      <c r="Q53" s="95"/>
      <c r="R53" s="95"/>
      <c r="S53" s="105"/>
    </row>
    <row r="54" spans="1:19" x14ac:dyDescent="0.3">
      <c r="A54" s="1"/>
      <c r="B54" s="33" t="s">
        <v>732</v>
      </c>
      <c r="C54" s="3"/>
      <c r="S54" s="173"/>
    </row>
    <row r="55" spans="1:19" x14ac:dyDescent="0.3">
      <c r="A55" s="35"/>
      <c r="B55" s="63" t="str">
        <f>'Expenses Summary'!B8</f>
        <v>1100</v>
      </c>
      <c r="C55" s="63" t="str">
        <f>'Expenses Summary'!C8</f>
        <v>Teachers'  Salaries</v>
      </c>
      <c r="D55" s="106">
        <f>'Cash Flow %s Yr4'!D55</f>
        <v>0.02</v>
      </c>
      <c r="E55" s="106">
        <f>'Cash Flow %s Yr4'!E55</f>
        <v>0.05</v>
      </c>
      <c r="F55" s="106">
        <f>'Cash Flow %s Yr4'!F55</f>
        <v>0.1</v>
      </c>
      <c r="G55" s="106">
        <f>'Cash Flow %s Yr4'!G55</f>
        <v>0.1</v>
      </c>
      <c r="H55" s="106">
        <f>'Cash Flow %s Yr4'!H55</f>
        <v>0.1</v>
      </c>
      <c r="I55" s="106">
        <f>'Cash Flow %s Yr4'!I55</f>
        <v>0.1</v>
      </c>
      <c r="J55" s="106">
        <f>'Cash Flow %s Yr4'!J55</f>
        <v>0.1</v>
      </c>
      <c r="K55" s="106">
        <f>'Cash Flow %s Yr4'!K55</f>
        <v>0.1</v>
      </c>
      <c r="L55" s="106">
        <f>'Cash Flow %s Yr4'!L55</f>
        <v>0.1</v>
      </c>
      <c r="M55" s="106">
        <f>'Cash Flow %s Yr4'!M55</f>
        <v>0.1</v>
      </c>
      <c r="N55" s="106">
        <f>'Cash Flow %s Yr4'!N55</f>
        <v>0.1</v>
      </c>
      <c r="O55" s="106">
        <f>'Cash Flow %s Yr4'!O55</f>
        <v>0.03</v>
      </c>
      <c r="P55" s="106">
        <f>'Cash Flow %s Yr4'!P55</f>
        <v>0</v>
      </c>
      <c r="Q55" s="106">
        <f>'Cash Flow %s Yr4'!Q55</f>
        <v>0</v>
      </c>
      <c r="R55" s="106">
        <f>'Cash Flow %s Yr4'!R55</f>
        <v>0</v>
      </c>
      <c r="S55" s="105">
        <f t="shared" ref="S55:S62" si="4">SUM(D55:R55)</f>
        <v>0.99999999999999989</v>
      </c>
    </row>
    <row r="56" spans="1:19" x14ac:dyDescent="0.3">
      <c r="A56" s="35"/>
      <c r="B56" s="63" t="str">
        <f>'Expenses Summary'!B9</f>
        <v>1105</v>
      </c>
      <c r="C56" s="63" t="str">
        <f>'Expenses Summary'!C9</f>
        <v>Teachers'  Stipend</v>
      </c>
      <c r="D56" s="106">
        <f>'Cash Flow %s Yr4'!D56</f>
        <v>0</v>
      </c>
      <c r="E56" s="106">
        <f>'Cash Flow %s Yr4'!E56</f>
        <v>0</v>
      </c>
      <c r="F56" s="106">
        <f>'Cash Flow %s Yr4'!F56</f>
        <v>0</v>
      </c>
      <c r="G56" s="106">
        <f>'Cash Flow %s Yr4'!G56</f>
        <v>0</v>
      </c>
      <c r="H56" s="106">
        <f>'Cash Flow %s Yr4'!H56</f>
        <v>0</v>
      </c>
      <c r="I56" s="106">
        <f>'Cash Flow %s Yr4'!I56</f>
        <v>0.5</v>
      </c>
      <c r="J56" s="106">
        <f>'Cash Flow %s Yr4'!J56</f>
        <v>0</v>
      </c>
      <c r="K56" s="106">
        <f>'Cash Flow %s Yr4'!K56</f>
        <v>0</v>
      </c>
      <c r="L56" s="106">
        <f>'Cash Flow %s Yr4'!L56</f>
        <v>0</v>
      </c>
      <c r="M56" s="106">
        <f>'Cash Flow %s Yr4'!M56</f>
        <v>0</v>
      </c>
      <c r="N56" s="106">
        <f>'Cash Flow %s Yr4'!N56</f>
        <v>0</v>
      </c>
      <c r="O56" s="106">
        <f>'Cash Flow %s Yr4'!O56</f>
        <v>0.5</v>
      </c>
      <c r="P56" s="106">
        <f>'Cash Flow %s Yr4'!P56</f>
        <v>0</v>
      </c>
      <c r="Q56" s="106">
        <f>'Cash Flow %s Yr4'!Q56</f>
        <v>0</v>
      </c>
      <c r="R56" s="106">
        <f>'Cash Flow %s Yr4'!R56</f>
        <v>0</v>
      </c>
      <c r="S56" s="105">
        <f t="shared" si="4"/>
        <v>1</v>
      </c>
    </row>
    <row r="57" spans="1:19" x14ac:dyDescent="0.3">
      <c r="A57" s="35"/>
      <c r="B57" s="63" t="str">
        <f>'Expenses Summary'!B10</f>
        <v>1120</v>
      </c>
      <c r="C57" s="63" t="str">
        <f>'Expenses Summary'!C10</f>
        <v>Substitute Expense</v>
      </c>
      <c r="D57" s="106">
        <f>'Cash Flow %s Yr4'!D57</f>
        <v>0</v>
      </c>
      <c r="E57" s="106">
        <f>'Cash Flow %s Yr4'!E57</f>
        <v>0</v>
      </c>
      <c r="F57" s="106">
        <f>'Cash Flow %s Yr4'!F57</f>
        <v>0.1</v>
      </c>
      <c r="G57" s="106">
        <f>'Cash Flow %s Yr4'!G57</f>
        <v>0.1</v>
      </c>
      <c r="H57" s="106">
        <f>'Cash Flow %s Yr4'!H57</f>
        <v>0.1</v>
      </c>
      <c r="I57" s="106">
        <f>'Cash Flow %s Yr4'!I57</f>
        <v>0.1</v>
      </c>
      <c r="J57" s="106">
        <f>'Cash Flow %s Yr4'!J57</f>
        <v>0.1</v>
      </c>
      <c r="K57" s="106">
        <f>'Cash Flow %s Yr4'!K57</f>
        <v>0.1</v>
      </c>
      <c r="L57" s="106">
        <f>'Cash Flow %s Yr4'!L57</f>
        <v>0.1</v>
      </c>
      <c r="M57" s="106">
        <f>'Cash Flow %s Yr4'!M57</f>
        <v>0.1</v>
      </c>
      <c r="N57" s="106">
        <f>'Cash Flow %s Yr4'!N57</f>
        <v>0.1</v>
      </c>
      <c r="O57" s="106">
        <f>'Cash Flow %s Yr4'!O57</f>
        <v>0.1</v>
      </c>
      <c r="P57" s="106">
        <f>'Cash Flow %s Yr4'!P57</f>
        <v>0</v>
      </c>
      <c r="Q57" s="106">
        <f>'Cash Flow %s Yr4'!Q57</f>
        <v>0</v>
      </c>
      <c r="R57" s="106">
        <f>'Cash Flow %s Yr4'!R57</f>
        <v>0</v>
      </c>
      <c r="S57" s="105">
        <f t="shared" si="4"/>
        <v>0.99999999999999989</v>
      </c>
    </row>
    <row r="58" spans="1:19" x14ac:dyDescent="0.3">
      <c r="A58" s="35"/>
      <c r="B58" s="63" t="str">
        <f>'Expenses Summary'!B11</f>
        <v>1200</v>
      </c>
      <c r="C58" s="63" t="str">
        <f>'Expenses Summary'!C11</f>
        <v>Certificated Pupil Support Salaries</v>
      </c>
      <c r="D58" s="106">
        <f>'Cash Flow %s Yr4'!D58</f>
        <v>0</v>
      </c>
      <c r="E58" s="106">
        <f>'Cash Flow %s Yr4'!E58</f>
        <v>0</v>
      </c>
      <c r="F58" s="106">
        <f>'Cash Flow %s Yr4'!F58</f>
        <v>0.1</v>
      </c>
      <c r="G58" s="106">
        <f>'Cash Flow %s Yr4'!G58</f>
        <v>0.1</v>
      </c>
      <c r="H58" s="106">
        <f>'Cash Flow %s Yr4'!H58</f>
        <v>0.1</v>
      </c>
      <c r="I58" s="106">
        <f>'Cash Flow %s Yr4'!I58</f>
        <v>0.1</v>
      </c>
      <c r="J58" s="106">
        <f>'Cash Flow %s Yr4'!J58</f>
        <v>0.1</v>
      </c>
      <c r="K58" s="106">
        <f>'Cash Flow %s Yr4'!K58</f>
        <v>0.1</v>
      </c>
      <c r="L58" s="106">
        <f>'Cash Flow %s Yr4'!L58</f>
        <v>0.1</v>
      </c>
      <c r="M58" s="106">
        <f>'Cash Flow %s Yr4'!M58</f>
        <v>0.1</v>
      </c>
      <c r="N58" s="106">
        <f>'Cash Flow %s Yr4'!N58</f>
        <v>0.1</v>
      </c>
      <c r="O58" s="106">
        <f>'Cash Flow %s Yr4'!O58</f>
        <v>0.1</v>
      </c>
      <c r="P58" s="106">
        <f>'Cash Flow %s Yr4'!P58</f>
        <v>0</v>
      </c>
      <c r="Q58" s="106">
        <f>'Cash Flow %s Yr4'!Q58</f>
        <v>0</v>
      </c>
      <c r="R58" s="106">
        <f>'Cash Flow %s Yr4'!R58</f>
        <v>0</v>
      </c>
      <c r="S58" s="105">
        <f t="shared" si="4"/>
        <v>0.99999999999999989</v>
      </c>
    </row>
    <row r="59" spans="1:19" x14ac:dyDescent="0.3">
      <c r="A59" s="35"/>
      <c r="B59" s="63" t="str">
        <f>'Expenses Summary'!B13</f>
        <v>1300</v>
      </c>
      <c r="C59" s="63" t="str">
        <f>'Expenses Summary'!C13</f>
        <v>Certificated Supervisor and Administrator Salaries</v>
      </c>
      <c r="D59" s="106">
        <f>'Cash Flow %s Yr4'!D59</f>
        <v>8.3000000000000004E-2</v>
      </c>
      <c r="E59" s="106">
        <f>'Cash Flow %s Yr4'!E59</f>
        <v>8.3000000000000004E-2</v>
      </c>
      <c r="F59" s="106">
        <f>'Cash Flow %s Yr4'!F59</f>
        <v>8.3000000000000004E-2</v>
      </c>
      <c r="G59" s="106">
        <f>'Cash Flow %s Yr4'!G59</f>
        <v>8.3000000000000004E-2</v>
      </c>
      <c r="H59" s="106">
        <f>'Cash Flow %s Yr4'!H59</f>
        <v>8.3000000000000004E-2</v>
      </c>
      <c r="I59" s="106">
        <f>'Cash Flow %s Yr4'!I59</f>
        <v>8.3000000000000004E-2</v>
      </c>
      <c r="J59" s="106">
        <f>'Cash Flow %s Yr4'!J59</f>
        <v>8.3000000000000004E-2</v>
      </c>
      <c r="K59" s="106">
        <f>'Cash Flow %s Yr4'!K59</f>
        <v>8.3000000000000004E-2</v>
      </c>
      <c r="L59" s="106">
        <f>'Cash Flow %s Yr4'!L59</f>
        <v>8.4000000000000005E-2</v>
      </c>
      <c r="M59" s="106">
        <f>'Cash Flow %s Yr4'!M59</f>
        <v>8.4000000000000005E-2</v>
      </c>
      <c r="N59" s="106">
        <f>'Cash Flow %s Yr4'!N59</f>
        <v>8.4000000000000005E-2</v>
      </c>
      <c r="O59" s="106">
        <f>'Cash Flow %s Yr4'!O59</f>
        <v>8.4000000000000005E-2</v>
      </c>
      <c r="P59" s="106">
        <f>'Cash Flow %s Yr4'!P59</f>
        <v>0</v>
      </c>
      <c r="Q59" s="106">
        <f>'Cash Flow %s Yr4'!Q59</f>
        <v>0</v>
      </c>
      <c r="R59" s="106">
        <f>'Cash Flow %s Yr4'!R59</f>
        <v>0</v>
      </c>
      <c r="S59" s="105">
        <f t="shared" si="4"/>
        <v>0.99999999999999989</v>
      </c>
    </row>
    <row r="60" spans="1:19" x14ac:dyDescent="0.3">
      <c r="A60" s="35"/>
      <c r="B60" s="63" t="str">
        <f>'Expenses Summary'!B14</f>
        <v>1305</v>
      </c>
      <c r="C60" s="63" t="str">
        <f>'Expenses Summary'!C14</f>
        <v>Certificated Supervisor and Administrator Bonuses</v>
      </c>
      <c r="D60" s="106">
        <f>'Cash Flow %s Yr4'!D60</f>
        <v>0</v>
      </c>
      <c r="E60" s="106">
        <f>'Cash Flow %s Yr4'!E60</f>
        <v>0</v>
      </c>
      <c r="F60" s="106">
        <f>'Cash Flow %s Yr4'!F60</f>
        <v>0</v>
      </c>
      <c r="G60" s="106">
        <f>'Cash Flow %s Yr4'!G60</f>
        <v>0</v>
      </c>
      <c r="H60" s="106">
        <f>'Cash Flow %s Yr4'!H60</f>
        <v>0</v>
      </c>
      <c r="I60" s="106">
        <f>'Cash Flow %s Yr4'!I60</f>
        <v>0.5</v>
      </c>
      <c r="J60" s="106">
        <f>'Cash Flow %s Yr4'!J60</f>
        <v>0</v>
      </c>
      <c r="K60" s="106">
        <f>'Cash Flow %s Yr4'!K60</f>
        <v>0</v>
      </c>
      <c r="L60" s="106">
        <f>'Cash Flow %s Yr4'!L60</f>
        <v>0</v>
      </c>
      <c r="M60" s="106">
        <f>'Cash Flow %s Yr4'!M60</f>
        <v>0</v>
      </c>
      <c r="N60" s="106">
        <f>'Cash Flow %s Yr4'!N60</f>
        <v>0</v>
      </c>
      <c r="O60" s="106">
        <f>'Cash Flow %s Yr4'!O60</f>
        <v>0.5</v>
      </c>
      <c r="P60" s="106">
        <f>'Cash Flow %s Yr4'!P60</f>
        <v>0</v>
      </c>
      <c r="Q60" s="106">
        <f>'Cash Flow %s Yr4'!Q60</f>
        <v>0</v>
      </c>
      <c r="R60" s="106">
        <f>'Cash Flow %s Yr4'!R60</f>
        <v>0</v>
      </c>
      <c r="S60" s="105">
        <f t="shared" si="4"/>
        <v>1</v>
      </c>
    </row>
    <row r="61" spans="1:19" x14ac:dyDescent="0.3">
      <c r="A61" s="35"/>
      <c r="B61" s="63" t="str">
        <f>'Expenses Summary'!B15</f>
        <v>1900</v>
      </c>
      <c r="C61" s="63" t="str">
        <f>'Expenses Summary'!C15</f>
        <v>Other Certificated Salaries</v>
      </c>
      <c r="D61" s="106">
        <f>'Cash Flow %s Yr4'!D61</f>
        <v>0</v>
      </c>
      <c r="E61" s="106">
        <f>'Cash Flow %s Yr4'!E61</f>
        <v>9.1666666666666702E-2</v>
      </c>
      <c r="F61" s="106">
        <f>'Cash Flow %s Yr4'!F61</f>
        <v>9.1666666666666702E-2</v>
      </c>
      <c r="G61" s="106">
        <f>'Cash Flow %s Yr4'!G61</f>
        <v>9.1666666666666702E-2</v>
      </c>
      <c r="H61" s="106">
        <f>'Cash Flow %s Yr4'!H61</f>
        <v>9.1666666666666702E-2</v>
      </c>
      <c r="I61" s="106">
        <f>'Cash Flow %s Yr4'!I61</f>
        <v>9.1666666666666702E-2</v>
      </c>
      <c r="J61" s="106">
        <f>'Cash Flow %s Yr4'!J61</f>
        <v>9.1666666666666702E-2</v>
      </c>
      <c r="K61" s="106">
        <f>'Cash Flow %s Yr4'!K61</f>
        <v>9.1666666666666702E-2</v>
      </c>
      <c r="L61" s="106">
        <f>'Cash Flow %s Yr4'!L61</f>
        <v>9.1666666666666702E-2</v>
      </c>
      <c r="M61" s="106">
        <f>'Cash Flow %s Yr4'!M61</f>
        <v>9.1666666666666702E-2</v>
      </c>
      <c r="N61" s="106">
        <f>'Cash Flow %s Yr4'!N61</f>
        <v>9.1666666666666702E-2</v>
      </c>
      <c r="O61" s="106">
        <f>'Cash Flow %s Yr4'!O61</f>
        <v>8.3333333332999998E-2</v>
      </c>
      <c r="P61" s="106">
        <f>'Cash Flow %s Yr4'!P61</f>
        <v>0</v>
      </c>
      <c r="Q61" s="106">
        <f>'Cash Flow %s Yr4'!Q61</f>
        <v>0</v>
      </c>
      <c r="R61" s="106">
        <f>'Cash Flow %s Yr4'!R61</f>
        <v>0</v>
      </c>
      <c r="S61" s="105">
        <f t="shared" si="4"/>
        <v>0.99999999999966682</v>
      </c>
    </row>
    <row r="62" spans="1:19" x14ac:dyDescent="0.3">
      <c r="A62" s="35"/>
      <c r="B62" s="63" t="str">
        <f>'Expenses Summary'!B16</f>
        <v>1910</v>
      </c>
      <c r="C62" s="63" t="str">
        <f>'Expenses Summary'!C16</f>
        <v>Other Certificated Overtime</v>
      </c>
      <c r="D62" s="106">
        <f>'Cash Flow %s Yr4'!D62</f>
        <v>0</v>
      </c>
      <c r="E62" s="106">
        <f>'Cash Flow %s Yr4'!E62</f>
        <v>9.1666666666666702E-2</v>
      </c>
      <c r="F62" s="106">
        <f>'Cash Flow %s Yr4'!F62</f>
        <v>9.1666666666666702E-2</v>
      </c>
      <c r="G62" s="106">
        <f>'Cash Flow %s Yr4'!G62</f>
        <v>9.1666666666666702E-2</v>
      </c>
      <c r="H62" s="106">
        <f>'Cash Flow %s Yr4'!H62</f>
        <v>9.1666666666666702E-2</v>
      </c>
      <c r="I62" s="106">
        <f>'Cash Flow %s Yr4'!I62</f>
        <v>9.1666666666666702E-2</v>
      </c>
      <c r="J62" s="106">
        <f>'Cash Flow %s Yr4'!J62</f>
        <v>9.1666666666666702E-2</v>
      </c>
      <c r="K62" s="106">
        <f>'Cash Flow %s Yr4'!K62</f>
        <v>9.1666666666666702E-2</v>
      </c>
      <c r="L62" s="106">
        <f>'Cash Flow %s Yr4'!L62</f>
        <v>9.1666666666666702E-2</v>
      </c>
      <c r="M62" s="106">
        <f>'Cash Flow %s Yr4'!M62</f>
        <v>9.1666666666666702E-2</v>
      </c>
      <c r="N62" s="106">
        <f>'Cash Flow %s Yr4'!N62</f>
        <v>9.1666666666666702E-2</v>
      </c>
      <c r="O62" s="106">
        <f>'Cash Flow %s Yr4'!O62</f>
        <v>8.3333333332999998E-2</v>
      </c>
      <c r="P62" s="106">
        <f>'Cash Flow %s Yr4'!P62</f>
        <v>0</v>
      </c>
      <c r="Q62" s="106">
        <f>'Cash Flow %s Yr4'!Q62</f>
        <v>0</v>
      </c>
      <c r="R62" s="106">
        <f>'Cash Flow %s Yr4'!R62</f>
        <v>0</v>
      </c>
      <c r="S62" s="105">
        <f t="shared" si="4"/>
        <v>0.99999999999966682</v>
      </c>
    </row>
    <row r="63" spans="1:19" x14ac:dyDescent="0.3">
      <c r="A63" s="35"/>
      <c r="B63" s="82"/>
      <c r="C63" s="87"/>
      <c r="D63" s="94"/>
      <c r="E63" s="94"/>
      <c r="F63" s="113"/>
      <c r="G63" s="113"/>
      <c r="H63" s="113"/>
      <c r="I63" s="113"/>
      <c r="J63" s="113"/>
      <c r="K63" s="113"/>
      <c r="L63" s="113"/>
      <c r="M63" s="113"/>
      <c r="N63" s="113"/>
      <c r="O63" s="113"/>
      <c r="P63" s="94"/>
      <c r="Q63" s="94"/>
      <c r="R63" s="94"/>
      <c r="S63" s="105"/>
    </row>
    <row r="64" spans="1:19" s="30" customFormat="1" x14ac:dyDescent="0.3">
      <c r="A64" s="35"/>
      <c r="B64" s="39"/>
      <c r="C64" s="3"/>
      <c r="D64" s="96"/>
      <c r="E64" s="96"/>
      <c r="F64" s="96"/>
      <c r="G64" s="96"/>
      <c r="H64" s="96"/>
      <c r="I64" s="96"/>
      <c r="J64" s="96"/>
      <c r="K64" s="96"/>
      <c r="L64" s="96"/>
      <c r="M64" s="96"/>
      <c r="N64" s="96"/>
      <c r="O64" s="96"/>
      <c r="P64" s="96"/>
      <c r="Q64" s="96"/>
      <c r="R64" s="96"/>
      <c r="S64" s="105"/>
    </row>
    <row r="65" spans="1:19" s="30" customFormat="1" x14ac:dyDescent="0.3">
      <c r="B65" s="5" t="s">
        <v>733</v>
      </c>
      <c r="C65" s="3"/>
      <c r="D65" s="96"/>
      <c r="E65" s="96"/>
      <c r="F65" s="96"/>
      <c r="G65" s="96"/>
      <c r="H65" s="96"/>
      <c r="I65" s="96"/>
      <c r="J65" s="96"/>
      <c r="K65" s="96"/>
      <c r="L65" s="96"/>
      <c r="M65" s="96"/>
      <c r="N65" s="96"/>
      <c r="O65" s="96"/>
      <c r="P65" s="96"/>
      <c r="Q65" s="96"/>
      <c r="R65" s="96"/>
      <c r="S65" s="105"/>
    </row>
    <row r="66" spans="1:19" s="30" customFormat="1" x14ac:dyDescent="0.3">
      <c r="A66" s="35"/>
      <c r="B66" s="63" t="str">
        <f>'Expenses Summary'!B20</f>
        <v>2100</v>
      </c>
      <c r="C66" s="63" t="str">
        <f>'Expenses Summary'!C20</f>
        <v>Instructional Aide Salaries</v>
      </c>
      <c r="D66" s="106">
        <f>'Cash Flow %s Yr4'!D66</f>
        <v>0</v>
      </c>
      <c r="E66" s="106">
        <f>'Cash Flow %s Yr4'!E66</f>
        <v>0.05</v>
      </c>
      <c r="F66" s="106">
        <f>'Cash Flow %s Yr4'!F66</f>
        <v>0.1</v>
      </c>
      <c r="G66" s="106">
        <f>'Cash Flow %s Yr4'!G66</f>
        <v>0.1</v>
      </c>
      <c r="H66" s="106">
        <f>'Cash Flow %s Yr4'!H66</f>
        <v>0.1</v>
      </c>
      <c r="I66" s="106">
        <f>'Cash Flow %s Yr4'!I66</f>
        <v>0.1</v>
      </c>
      <c r="J66" s="106">
        <f>'Cash Flow %s Yr4'!J66</f>
        <v>0.1</v>
      </c>
      <c r="K66" s="106">
        <f>'Cash Flow %s Yr4'!K66</f>
        <v>0.1</v>
      </c>
      <c r="L66" s="106">
        <f>'Cash Flow %s Yr4'!L66</f>
        <v>0.1</v>
      </c>
      <c r="M66" s="106">
        <f>'Cash Flow %s Yr4'!M66</f>
        <v>0.1</v>
      </c>
      <c r="N66" s="106">
        <f>'Cash Flow %s Yr4'!N66</f>
        <v>0.1</v>
      </c>
      <c r="O66" s="106">
        <f>'Cash Flow %s Yr4'!O66</f>
        <v>0.05</v>
      </c>
      <c r="P66" s="106">
        <f>'Cash Flow %s Yr4'!P66</f>
        <v>0</v>
      </c>
      <c r="Q66" s="106">
        <f>'Cash Flow %s Yr4'!Q66</f>
        <v>0</v>
      </c>
      <c r="R66" s="106">
        <f>'Cash Flow %s Yr4'!R66</f>
        <v>0</v>
      </c>
      <c r="S66" s="105">
        <f t="shared" ref="S66:S75" si="5">SUM(D66:R66)</f>
        <v>0.99999999999999989</v>
      </c>
    </row>
    <row r="67" spans="1:19" s="30" customFormat="1" x14ac:dyDescent="0.3">
      <c r="A67" s="35"/>
      <c r="B67" s="63" t="str">
        <f>'Expenses Summary'!B21</f>
        <v>2110</v>
      </c>
      <c r="C67" s="63" t="str">
        <f>'Expenses Summary'!C21</f>
        <v>Instructional Aide Overtime</v>
      </c>
      <c r="D67" s="106">
        <f>'Cash Flow %s Yr4'!D67</f>
        <v>0</v>
      </c>
      <c r="E67" s="106">
        <f>'Cash Flow %s Yr4'!E67</f>
        <v>0</v>
      </c>
      <c r="F67" s="106">
        <f>'Cash Flow %s Yr4'!F67</f>
        <v>0.1</v>
      </c>
      <c r="G67" s="106">
        <f>'Cash Flow %s Yr4'!G67</f>
        <v>0.1</v>
      </c>
      <c r="H67" s="106">
        <f>'Cash Flow %s Yr4'!H67</f>
        <v>0.1</v>
      </c>
      <c r="I67" s="106">
        <f>'Cash Flow %s Yr4'!I67</f>
        <v>0.1</v>
      </c>
      <c r="J67" s="106">
        <f>'Cash Flow %s Yr4'!J67</f>
        <v>0.1</v>
      </c>
      <c r="K67" s="106">
        <f>'Cash Flow %s Yr4'!K67</f>
        <v>0.1</v>
      </c>
      <c r="L67" s="106">
        <f>'Cash Flow %s Yr4'!L67</f>
        <v>0.1</v>
      </c>
      <c r="M67" s="106">
        <f>'Cash Flow %s Yr4'!M67</f>
        <v>0.1</v>
      </c>
      <c r="N67" s="106">
        <f>'Cash Flow %s Yr4'!N67</f>
        <v>0.1</v>
      </c>
      <c r="O67" s="106">
        <f>'Cash Flow %s Yr4'!O67</f>
        <v>0.1</v>
      </c>
      <c r="P67" s="106">
        <f>'Cash Flow %s Yr4'!P67</f>
        <v>0</v>
      </c>
      <c r="Q67" s="106">
        <f>'Cash Flow %s Yr4'!Q67</f>
        <v>0</v>
      </c>
      <c r="R67" s="106">
        <f>'Cash Flow %s Yr4'!R67</f>
        <v>0</v>
      </c>
      <c r="S67" s="105">
        <f t="shared" si="5"/>
        <v>0.99999999999999989</v>
      </c>
    </row>
    <row r="68" spans="1:19" s="30" customFormat="1" x14ac:dyDescent="0.3">
      <c r="A68" s="35"/>
      <c r="B68" s="63" t="str">
        <f>'Expenses Summary'!B22</f>
        <v>2200</v>
      </c>
      <c r="C68" s="63" t="str">
        <f>'Expenses Summary'!C22</f>
        <v>Classified Support Salaries</v>
      </c>
      <c r="D68" s="106">
        <f>'Cash Flow %s Yr4'!D68</f>
        <v>0</v>
      </c>
      <c r="E68" s="106">
        <f>'Cash Flow %s Yr4'!E68</f>
        <v>0.05</v>
      </c>
      <c r="F68" s="106">
        <f>'Cash Flow %s Yr4'!F68</f>
        <v>0.1</v>
      </c>
      <c r="G68" s="106">
        <f>'Cash Flow %s Yr4'!G68</f>
        <v>0.1</v>
      </c>
      <c r="H68" s="106">
        <f>'Cash Flow %s Yr4'!H68</f>
        <v>0.1</v>
      </c>
      <c r="I68" s="106">
        <f>'Cash Flow %s Yr4'!I68</f>
        <v>0.1</v>
      </c>
      <c r="J68" s="106">
        <f>'Cash Flow %s Yr4'!J68</f>
        <v>0.1</v>
      </c>
      <c r="K68" s="106">
        <f>'Cash Flow %s Yr4'!K68</f>
        <v>0.1</v>
      </c>
      <c r="L68" s="106">
        <f>'Cash Flow %s Yr4'!L68</f>
        <v>0.1</v>
      </c>
      <c r="M68" s="106">
        <f>'Cash Flow %s Yr4'!M68</f>
        <v>0.1</v>
      </c>
      <c r="N68" s="106">
        <f>'Cash Flow %s Yr4'!N68</f>
        <v>0.1</v>
      </c>
      <c r="O68" s="106">
        <f>'Cash Flow %s Yr4'!O68</f>
        <v>0.05</v>
      </c>
      <c r="P68" s="106">
        <f>'Cash Flow %s Yr4'!P68</f>
        <v>0</v>
      </c>
      <c r="Q68" s="106">
        <f>'Cash Flow %s Yr4'!Q68</f>
        <v>0</v>
      </c>
      <c r="R68" s="106">
        <f>'Cash Flow %s Yr4'!R68</f>
        <v>0</v>
      </c>
      <c r="S68" s="105">
        <f t="shared" si="5"/>
        <v>0.99999999999999989</v>
      </c>
    </row>
    <row r="69" spans="1:19" s="30" customFormat="1" x14ac:dyDescent="0.3">
      <c r="A69" s="35"/>
      <c r="B69" s="63" t="str">
        <f>'Expenses Summary'!B23</f>
        <v>2210</v>
      </c>
      <c r="C69" s="63" t="str">
        <f>'Expenses Summary'!C23</f>
        <v>Classified Support Overtime</v>
      </c>
      <c r="D69" s="106">
        <f>'Cash Flow %s Yr4'!D69</f>
        <v>0</v>
      </c>
      <c r="E69" s="106">
        <f>'Cash Flow %s Yr4'!E69</f>
        <v>0</v>
      </c>
      <c r="F69" s="106">
        <f>'Cash Flow %s Yr4'!F69</f>
        <v>0.1</v>
      </c>
      <c r="G69" s="106">
        <f>'Cash Flow %s Yr4'!G69</f>
        <v>0.1</v>
      </c>
      <c r="H69" s="106">
        <f>'Cash Flow %s Yr4'!H69</f>
        <v>0.1</v>
      </c>
      <c r="I69" s="106">
        <f>'Cash Flow %s Yr4'!I69</f>
        <v>0.1</v>
      </c>
      <c r="J69" s="106">
        <f>'Cash Flow %s Yr4'!J69</f>
        <v>0.1</v>
      </c>
      <c r="K69" s="106">
        <f>'Cash Flow %s Yr4'!K69</f>
        <v>0.1</v>
      </c>
      <c r="L69" s="106">
        <f>'Cash Flow %s Yr4'!L69</f>
        <v>0.1</v>
      </c>
      <c r="M69" s="106">
        <f>'Cash Flow %s Yr4'!M69</f>
        <v>0.1</v>
      </c>
      <c r="N69" s="106">
        <f>'Cash Flow %s Yr4'!N69</f>
        <v>0.1</v>
      </c>
      <c r="O69" s="106">
        <f>'Cash Flow %s Yr4'!O69</f>
        <v>0.1</v>
      </c>
      <c r="P69" s="106">
        <f>'Cash Flow %s Yr4'!P69</f>
        <v>0</v>
      </c>
      <c r="Q69" s="106">
        <f>'Cash Flow %s Yr4'!Q69</f>
        <v>0</v>
      </c>
      <c r="R69" s="106">
        <f>'Cash Flow %s Yr4'!R69</f>
        <v>0</v>
      </c>
      <c r="S69" s="105">
        <f t="shared" si="5"/>
        <v>0.99999999999999989</v>
      </c>
    </row>
    <row r="70" spans="1:19" s="30" customFormat="1" x14ac:dyDescent="0.3">
      <c r="A70" s="35"/>
      <c r="B70" s="63" t="str">
        <f>'Expenses Summary'!B24</f>
        <v>2300</v>
      </c>
      <c r="C70" s="63" t="str">
        <f>'Expenses Summary'!C24</f>
        <v>Classified Supervisor and Administrator Salaries</v>
      </c>
      <c r="D70" s="106">
        <f>'Cash Flow %s Yr4'!D70</f>
        <v>8.3000000000000004E-2</v>
      </c>
      <c r="E70" s="106">
        <f>'Cash Flow %s Yr4'!E70</f>
        <v>8.3000000000000004E-2</v>
      </c>
      <c r="F70" s="106">
        <f>'Cash Flow %s Yr4'!F70</f>
        <v>8.3000000000000004E-2</v>
      </c>
      <c r="G70" s="106">
        <f>'Cash Flow %s Yr4'!G70</f>
        <v>8.3000000000000004E-2</v>
      </c>
      <c r="H70" s="106">
        <f>'Cash Flow %s Yr4'!H70</f>
        <v>8.3000000000000004E-2</v>
      </c>
      <c r="I70" s="106">
        <f>'Cash Flow %s Yr4'!I70</f>
        <v>8.3000000000000004E-2</v>
      </c>
      <c r="J70" s="106">
        <f>'Cash Flow %s Yr4'!J70</f>
        <v>8.3000000000000004E-2</v>
      </c>
      <c r="K70" s="106">
        <f>'Cash Flow %s Yr4'!K70</f>
        <v>8.3000000000000004E-2</v>
      </c>
      <c r="L70" s="106">
        <f>'Cash Flow %s Yr4'!L70</f>
        <v>8.4000000000000005E-2</v>
      </c>
      <c r="M70" s="106">
        <f>'Cash Flow %s Yr4'!M70</f>
        <v>8.4000000000000005E-2</v>
      </c>
      <c r="N70" s="106">
        <f>'Cash Flow %s Yr4'!N70</f>
        <v>8.4000000000000005E-2</v>
      </c>
      <c r="O70" s="106">
        <f>'Cash Flow %s Yr4'!O70</f>
        <v>8.4000000000000005E-2</v>
      </c>
      <c r="P70" s="106">
        <f>'Cash Flow %s Yr4'!P70</f>
        <v>0</v>
      </c>
      <c r="Q70" s="106">
        <f>'Cash Flow %s Yr4'!Q70</f>
        <v>0</v>
      </c>
      <c r="R70" s="106">
        <f>'Cash Flow %s Yr4'!R70</f>
        <v>0</v>
      </c>
      <c r="S70" s="105">
        <f t="shared" si="5"/>
        <v>0.99999999999999989</v>
      </c>
    </row>
    <row r="71" spans="1:19" s="30" customFormat="1" x14ac:dyDescent="0.3">
      <c r="A71" s="35"/>
      <c r="B71" s="63" t="str">
        <f>'Expenses Summary'!B25</f>
        <v>2400</v>
      </c>
      <c r="C71" s="63" t="str">
        <f>'Expenses Summary'!C25</f>
        <v>Clerical, Technical, and Office Staff Salaries</v>
      </c>
      <c r="D71" s="106">
        <f>'Cash Flow %s Yr4'!D71</f>
        <v>8.3000000000000004E-2</v>
      </c>
      <c r="E71" s="106">
        <f>'Cash Flow %s Yr4'!E71</f>
        <v>8.3000000000000004E-2</v>
      </c>
      <c r="F71" s="106">
        <f>'Cash Flow %s Yr4'!F71</f>
        <v>8.3000000000000004E-2</v>
      </c>
      <c r="G71" s="106">
        <f>'Cash Flow %s Yr4'!G71</f>
        <v>8.3000000000000004E-2</v>
      </c>
      <c r="H71" s="106">
        <f>'Cash Flow %s Yr4'!H71</f>
        <v>8.3000000000000004E-2</v>
      </c>
      <c r="I71" s="106">
        <f>'Cash Flow %s Yr4'!I71</f>
        <v>8.3000000000000004E-2</v>
      </c>
      <c r="J71" s="106">
        <f>'Cash Flow %s Yr4'!J71</f>
        <v>8.3000000000000004E-2</v>
      </c>
      <c r="K71" s="106">
        <f>'Cash Flow %s Yr4'!K71</f>
        <v>8.3000000000000004E-2</v>
      </c>
      <c r="L71" s="106">
        <f>'Cash Flow %s Yr4'!L71</f>
        <v>8.4000000000000005E-2</v>
      </c>
      <c r="M71" s="106">
        <f>'Cash Flow %s Yr4'!M71</f>
        <v>8.4000000000000005E-2</v>
      </c>
      <c r="N71" s="106">
        <f>'Cash Flow %s Yr4'!N71</f>
        <v>8.4000000000000005E-2</v>
      </c>
      <c r="O71" s="106">
        <f>'Cash Flow %s Yr4'!O71</f>
        <v>8.4000000000000005E-2</v>
      </c>
      <c r="P71" s="106">
        <f>'Cash Flow %s Yr4'!P71</f>
        <v>0</v>
      </c>
      <c r="Q71" s="106">
        <f>'Cash Flow %s Yr4'!Q71</f>
        <v>0</v>
      </c>
      <c r="R71" s="106">
        <f>'Cash Flow %s Yr4'!R71</f>
        <v>0</v>
      </c>
      <c r="S71" s="105">
        <f t="shared" si="5"/>
        <v>0.99999999999999989</v>
      </c>
    </row>
    <row r="72" spans="1:19" s="30" customFormat="1" x14ac:dyDescent="0.3">
      <c r="A72" s="35"/>
      <c r="B72" s="63" t="str">
        <f>'Expenses Summary'!B26</f>
        <v>2410</v>
      </c>
      <c r="C72" s="63" t="str">
        <f>'Expenses Summary'!C26</f>
        <v>Clerical, Technical, and Office Staff Overtime</v>
      </c>
      <c r="D72" s="106">
        <f>'Cash Flow %s Yr4'!D72</f>
        <v>8.3000000000000004E-2</v>
      </c>
      <c r="E72" s="106">
        <f>'Cash Flow %s Yr4'!E72</f>
        <v>8.3000000000000004E-2</v>
      </c>
      <c r="F72" s="106">
        <f>'Cash Flow %s Yr4'!F72</f>
        <v>8.3000000000000004E-2</v>
      </c>
      <c r="G72" s="106">
        <f>'Cash Flow %s Yr4'!G72</f>
        <v>8.3000000000000004E-2</v>
      </c>
      <c r="H72" s="106">
        <f>'Cash Flow %s Yr4'!H72</f>
        <v>8.3000000000000004E-2</v>
      </c>
      <c r="I72" s="106">
        <f>'Cash Flow %s Yr4'!I72</f>
        <v>8.3000000000000004E-2</v>
      </c>
      <c r="J72" s="106">
        <f>'Cash Flow %s Yr4'!J72</f>
        <v>8.3000000000000004E-2</v>
      </c>
      <c r="K72" s="106">
        <f>'Cash Flow %s Yr4'!K72</f>
        <v>8.3000000000000004E-2</v>
      </c>
      <c r="L72" s="106">
        <f>'Cash Flow %s Yr4'!L72</f>
        <v>8.4000000000000005E-2</v>
      </c>
      <c r="M72" s="106">
        <f>'Cash Flow %s Yr4'!M72</f>
        <v>8.4000000000000005E-2</v>
      </c>
      <c r="N72" s="106">
        <f>'Cash Flow %s Yr4'!N72</f>
        <v>8.4000000000000005E-2</v>
      </c>
      <c r="O72" s="106">
        <f>'Cash Flow %s Yr4'!O72</f>
        <v>8.4000000000000005E-2</v>
      </c>
      <c r="P72" s="106">
        <f>'Cash Flow %s Yr4'!P72</f>
        <v>0</v>
      </c>
      <c r="Q72" s="106">
        <f>'Cash Flow %s Yr4'!Q72</f>
        <v>0</v>
      </c>
      <c r="R72" s="106">
        <f>'Cash Flow %s Yr4'!R72</f>
        <v>0</v>
      </c>
      <c r="S72" s="105">
        <f t="shared" si="5"/>
        <v>0.99999999999999989</v>
      </c>
    </row>
    <row r="73" spans="1:19" s="30" customFormat="1" x14ac:dyDescent="0.3">
      <c r="A73" s="35"/>
      <c r="B73" s="63" t="str">
        <f>'Expenses Summary'!B27</f>
        <v>2900</v>
      </c>
      <c r="C73" s="63" t="str">
        <f>'Expenses Summary'!C27</f>
        <v>Other Classified Salaries</v>
      </c>
      <c r="D73" s="106">
        <f>'Cash Flow %s Yr4'!D73</f>
        <v>0</v>
      </c>
      <c r="E73" s="106">
        <f>'Cash Flow %s Yr4'!E73</f>
        <v>0.05</v>
      </c>
      <c r="F73" s="106">
        <f>'Cash Flow %s Yr4'!F73</f>
        <v>0.1</v>
      </c>
      <c r="G73" s="106">
        <f>'Cash Flow %s Yr4'!G73</f>
        <v>0.1</v>
      </c>
      <c r="H73" s="106">
        <f>'Cash Flow %s Yr4'!H73</f>
        <v>0.1</v>
      </c>
      <c r="I73" s="106">
        <f>'Cash Flow %s Yr4'!I73</f>
        <v>0.1</v>
      </c>
      <c r="J73" s="106">
        <f>'Cash Flow %s Yr4'!J73</f>
        <v>0.1</v>
      </c>
      <c r="K73" s="106">
        <f>'Cash Flow %s Yr4'!K73</f>
        <v>0.1</v>
      </c>
      <c r="L73" s="106">
        <f>'Cash Flow %s Yr4'!L73</f>
        <v>0.1</v>
      </c>
      <c r="M73" s="106">
        <f>'Cash Flow %s Yr4'!M73</f>
        <v>0.1</v>
      </c>
      <c r="N73" s="106">
        <f>'Cash Flow %s Yr4'!N73</f>
        <v>0.1</v>
      </c>
      <c r="O73" s="106">
        <f>'Cash Flow %s Yr4'!O73</f>
        <v>0.05</v>
      </c>
      <c r="P73" s="106">
        <f>'Cash Flow %s Yr4'!P73</f>
        <v>0</v>
      </c>
      <c r="Q73" s="106">
        <f>'Cash Flow %s Yr4'!Q73</f>
        <v>0</v>
      </c>
      <c r="R73" s="106">
        <f>'Cash Flow %s Yr4'!R73</f>
        <v>0</v>
      </c>
      <c r="S73" s="105">
        <f t="shared" si="5"/>
        <v>0.99999999999999989</v>
      </c>
    </row>
    <row r="74" spans="1:19" s="30" customFormat="1" x14ac:dyDescent="0.3">
      <c r="A74" s="35"/>
      <c r="B74" s="63" t="str">
        <f>'Expenses Summary'!B28</f>
        <v>2905</v>
      </c>
      <c r="C74" s="63" t="str">
        <f>'Expenses Summary'!C28</f>
        <v>Other Stipends</v>
      </c>
      <c r="D74" s="106">
        <f>'Cash Flow %s Yr4'!D74</f>
        <v>0</v>
      </c>
      <c r="E74" s="106">
        <f>'Cash Flow %s Yr4'!E74</f>
        <v>0</v>
      </c>
      <c r="F74" s="106">
        <f>'Cash Flow %s Yr4'!F74</f>
        <v>0.1</v>
      </c>
      <c r="G74" s="106">
        <f>'Cash Flow %s Yr4'!G74</f>
        <v>0.1</v>
      </c>
      <c r="H74" s="106">
        <f>'Cash Flow %s Yr4'!H74</f>
        <v>0.1</v>
      </c>
      <c r="I74" s="106">
        <f>'Cash Flow %s Yr4'!I74</f>
        <v>0.1</v>
      </c>
      <c r="J74" s="106">
        <f>'Cash Flow %s Yr4'!J74</f>
        <v>0.1</v>
      </c>
      <c r="K74" s="106">
        <f>'Cash Flow %s Yr4'!K74</f>
        <v>0.1</v>
      </c>
      <c r="L74" s="106">
        <f>'Cash Flow %s Yr4'!L74</f>
        <v>0.1</v>
      </c>
      <c r="M74" s="106">
        <f>'Cash Flow %s Yr4'!M74</f>
        <v>0.1</v>
      </c>
      <c r="N74" s="106">
        <f>'Cash Flow %s Yr4'!N74</f>
        <v>0.1</v>
      </c>
      <c r="O74" s="106">
        <f>'Cash Flow %s Yr4'!O74</f>
        <v>0.1</v>
      </c>
      <c r="P74" s="106">
        <f>'Cash Flow %s Yr4'!P74</f>
        <v>0</v>
      </c>
      <c r="Q74" s="106">
        <f>'Cash Flow %s Yr4'!Q74</f>
        <v>0</v>
      </c>
      <c r="R74" s="106">
        <f>'Cash Flow %s Yr4'!R74</f>
        <v>0</v>
      </c>
      <c r="S74" s="105">
        <f t="shared" si="5"/>
        <v>0.99999999999999989</v>
      </c>
    </row>
    <row r="75" spans="1:19" s="30" customFormat="1" x14ac:dyDescent="0.3">
      <c r="A75" s="35"/>
      <c r="B75" s="63" t="str">
        <f>'Expenses Summary'!B29</f>
        <v>2910</v>
      </c>
      <c r="C75" s="63" t="str">
        <f>'Expenses Summary'!C29</f>
        <v>Other Classified Overtime</v>
      </c>
      <c r="D75" s="106">
        <f>'Cash Flow %s Yr4'!D75</f>
        <v>0</v>
      </c>
      <c r="E75" s="106">
        <f>'Cash Flow %s Yr4'!E75</f>
        <v>0</v>
      </c>
      <c r="F75" s="106">
        <f>'Cash Flow %s Yr4'!F75</f>
        <v>0.1</v>
      </c>
      <c r="G75" s="106">
        <f>'Cash Flow %s Yr4'!G75</f>
        <v>0.1</v>
      </c>
      <c r="H75" s="106">
        <f>'Cash Flow %s Yr4'!H75</f>
        <v>0.1</v>
      </c>
      <c r="I75" s="106">
        <f>'Cash Flow %s Yr4'!I75</f>
        <v>0.1</v>
      </c>
      <c r="J75" s="106">
        <f>'Cash Flow %s Yr4'!J75</f>
        <v>0.1</v>
      </c>
      <c r="K75" s="106">
        <f>'Cash Flow %s Yr4'!K75</f>
        <v>0.1</v>
      </c>
      <c r="L75" s="106">
        <f>'Cash Flow %s Yr4'!L75</f>
        <v>0.1</v>
      </c>
      <c r="M75" s="106">
        <f>'Cash Flow %s Yr4'!M75</f>
        <v>0.1</v>
      </c>
      <c r="N75" s="106">
        <f>'Cash Flow %s Yr4'!N75</f>
        <v>0.1</v>
      </c>
      <c r="O75" s="106">
        <f>'Cash Flow %s Yr4'!O75</f>
        <v>0.1</v>
      </c>
      <c r="P75" s="106">
        <f>'Cash Flow %s Yr4'!P75</f>
        <v>0</v>
      </c>
      <c r="Q75" s="106">
        <f>'Cash Flow %s Yr4'!Q75</f>
        <v>0</v>
      </c>
      <c r="R75" s="106">
        <f>'Cash Flow %s Yr4'!R75</f>
        <v>0</v>
      </c>
      <c r="S75" s="105">
        <f t="shared" si="5"/>
        <v>0.99999999999999989</v>
      </c>
    </row>
    <row r="76" spans="1:19" s="30" customFormat="1" x14ac:dyDescent="0.3">
      <c r="A76" s="35"/>
      <c r="B76" s="82"/>
      <c r="C76" s="87"/>
      <c r="D76" s="94"/>
      <c r="E76" s="94"/>
      <c r="F76" s="113"/>
      <c r="G76" s="113"/>
      <c r="H76" s="113"/>
      <c r="I76" s="113"/>
      <c r="J76" s="113"/>
      <c r="K76" s="113"/>
      <c r="L76" s="113"/>
      <c r="M76" s="113"/>
      <c r="N76" s="113"/>
      <c r="O76" s="113"/>
      <c r="P76" s="94"/>
      <c r="Q76" s="94"/>
      <c r="R76" s="94"/>
      <c r="S76" s="105"/>
    </row>
    <row r="77" spans="1:19" s="30" customFormat="1" x14ac:dyDescent="0.3">
      <c r="A77" s="35"/>
      <c r="B77" s="39"/>
      <c r="C77" s="3"/>
      <c r="D77" s="96"/>
      <c r="E77" s="96"/>
      <c r="F77" s="96"/>
      <c r="G77" s="96"/>
      <c r="H77" s="96"/>
      <c r="I77" s="96"/>
      <c r="J77" s="96"/>
      <c r="K77" s="96"/>
      <c r="L77" s="96"/>
      <c r="M77" s="96"/>
      <c r="N77" s="96"/>
      <c r="O77" s="96"/>
      <c r="P77" s="96"/>
      <c r="Q77" s="96"/>
      <c r="R77" s="96"/>
      <c r="S77" s="105"/>
    </row>
    <row r="78" spans="1:19" s="30" customFormat="1" x14ac:dyDescent="0.3">
      <c r="B78" s="33" t="s">
        <v>734</v>
      </c>
      <c r="C78" s="3"/>
      <c r="D78" s="96"/>
      <c r="E78" s="96"/>
      <c r="F78" s="96"/>
      <c r="G78" s="96"/>
      <c r="H78" s="96"/>
      <c r="I78" s="96"/>
      <c r="J78" s="96"/>
      <c r="K78" s="96"/>
      <c r="L78" s="96"/>
      <c r="M78" s="96"/>
      <c r="N78" s="96"/>
      <c r="O78" s="96"/>
      <c r="P78" s="96"/>
      <c r="Q78" s="96"/>
      <c r="R78" s="96"/>
      <c r="S78" s="105"/>
    </row>
    <row r="79" spans="1:19" s="30" customFormat="1" x14ac:dyDescent="0.3">
      <c r="A79" s="35"/>
      <c r="B79" s="63" t="str">
        <f>'Expenses Summary'!B33</f>
        <v>3101</v>
      </c>
      <c r="C79" s="63" t="str">
        <f>'Expenses Summary'!C33</f>
        <v>State Teachers' Retirement System, certificated positions</v>
      </c>
      <c r="D79" s="106">
        <f>'Cash Flow %s Yr4'!D79</f>
        <v>0.02</v>
      </c>
      <c r="E79" s="106">
        <f>'Cash Flow %s Yr4'!E79</f>
        <v>0.05</v>
      </c>
      <c r="F79" s="106">
        <f>'Cash Flow %s Yr4'!F79</f>
        <v>0.1</v>
      </c>
      <c r="G79" s="106">
        <f>'Cash Flow %s Yr4'!G79</f>
        <v>0.1</v>
      </c>
      <c r="H79" s="106">
        <f>'Cash Flow %s Yr4'!H79</f>
        <v>0.1</v>
      </c>
      <c r="I79" s="106">
        <f>'Cash Flow %s Yr4'!I79</f>
        <v>0.1</v>
      </c>
      <c r="J79" s="106">
        <f>'Cash Flow %s Yr4'!J79</f>
        <v>0.1</v>
      </c>
      <c r="K79" s="106">
        <f>'Cash Flow %s Yr4'!K79</f>
        <v>0.1</v>
      </c>
      <c r="L79" s="106">
        <f>'Cash Flow %s Yr4'!L79</f>
        <v>0.1</v>
      </c>
      <c r="M79" s="106">
        <f>'Cash Flow %s Yr4'!M79</f>
        <v>0.1</v>
      </c>
      <c r="N79" s="106">
        <f>'Cash Flow %s Yr4'!N79</f>
        <v>0.1</v>
      </c>
      <c r="O79" s="106">
        <f>'Cash Flow %s Yr4'!O79</f>
        <v>0.03</v>
      </c>
      <c r="P79" s="106">
        <f>'Cash Flow %s Yr4'!P79</f>
        <v>0</v>
      </c>
      <c r="Q79" s="106">
        <f>'Cash Flow %s Yr4'!Q79</f>
        <v>0</v>
      </c>
      <c r="R79" s="106">
        <f>'Cash Flow %s Yr4'!R79</f>
        <v>0</v>
      </c>
      <c r="S79" s="105">
        <f t="shared" ref="S79:S87" si="6">SUM(D79:R79)</f>
        <v>0.99999999999999989</v>
      </c>
    </row>
    <row r="80" spans="1:19" s="30" customFormat="1" x14ac:dyDescent="0.3">
      <c r="A80" s="35"/>
      <c r="B80" s="63" t="str">
        <f>'Expenses Summary'!B34</f>
        <v>3202</v>
      </c>
      <c r="C80" s="63" t="str">
        <f>'Expenses Summary'!C34</f>
        <v>Public Employees' Retirement System, classified positions</v>
      </c>
      <c r="D80" s="106">
        <f>'Cash Flow %s Yr4'!D80</f>
        <v>0.02</v>
      </c>
      <c r="E80" s="106">
        <f>'Cash Flow %s Yr4'!E80</f>
        <v>0.05</v>
      </c>
      <c r="F80" s="106">
        <f>'Cash Flow %s Yr4'!F80</f>
        <v>0.1</v>
      </c>
      <c r="G80" s="106">
        <f>'Cash Flow %s Yr4'!G80</f>
        <v>0.1</v>
      </c>
      <c r="H80" s="106">
        <f>'Cash Flow %s Yr4'!H80</f>
        <v>0.1</v>
      </c>
      <c r="I80" s="106">
        <f>'Cash Flow %s Yr4'!I80</f>
        <v>0.1</v>
      </c>
      <c r="J80" s="106">
        <f>'Cash Flow %s Yr4'!J80</f>
        <v>0.1</v>
      </c>
      <c r="K80" s="106">
        <f>'Cash Flow %s Yr4'!K80</f>
        <v>0.1</v>
      </c>
      <c r="L80" s="106">
        <f>'Cash Flow %s Yr4'!L80</f>
        <v>0.1</v>
      </c>
      <c r="M80" s="106">
        <f>'Cash Flow %s Yr4'!M80</f>
        <v>0.1</v>
      </c>
      <c r="N80" s="106">
        <f>'Cash Flow %s Yr4'!N80</f>
        <v>0.1</v>
      </c>
      <c r="O80" s="106">
        <f>'Cash Flow %s Yr4'!O80</f>
        <v>0.03</v>
      </c>
      <c r="P80" s="106">
        <f>'Cash Flow %s Yr4'!P80</f>
        <v>0</v>
      </c>
      <c r="Q80" s="106">
        <f>'Cash Flow %s Yr4'!Q80</f>
        <v>0</v>
      </c>
      <c r="R80" s="106">
        <f>'Cash Flow %s Yr4'!R80</f>
        <v>0</v>
      </c>
      <c r="S80" s="105">
        <f t="shared" si="6"/>
        <v>0.99999999999999989</v>
      </c>
    </row>
    <row r="81" spans="1:19" s="30" customFormat="1" x14ac:dyDescent="0.3">
      <c r="A81" s="35"/>
      <c r="B81" s="63" t="str">
        <f>'Expenses Summary'!B35</f>
        <v>3313</v>
      </c>
      <c r="C81" s="63" t="str">
        <f>'Expenses Summary'!C35</f>
        <v>OASDI</v>
      </c>
      <c r="D81" s="106">
        <f>'Cash Flow %s Yr4'!D81</f>
        <v>8.3000000000000004E-2</v>
      </c>
      <c r="E81" s="106">
        <f>'Cash Flow %s Yr4'!E81</f>
        <v>8.3000000000000004E-2</v>
      </c>
      <c r="F81" s="106">
        <f>'Cash Flow %s Yr4'!F81</f>
        <v>8.3000000000000004E-2</v>
      </c>
      <c r="G81" s="106">
        <f>'Cash Flow %s Yr4'!G81</f>
        <v>8.3000000000000004E-2</v>
      </c>
      <c r="H81" s="106">
        <f>'Cash Flow %s Yr4'!H81</f>
        <v>8.3000000000000004E-2</v>
      </c>
      <c r="I81" s="106">
        <f>'Cash Flow %s Yr4'!I81</f>
        <v>8.3000000000000004E-2</v>
      </c>
      <c r="J81" s="106">
        <f>'Cash Flow %s Yr4'!J81</f>
        <v>8.3000000000000004E-2</v>
      </c>
      <c r="K81" s="106">
        <f>'Cash Flow %s Yr4'!K81</f>
        <v>8.3000000000000004E-2</v>
      </c>
      <c r="L81" s="106">
        <f>'Cash Flow %s Yr4'!L81</f>
        <v>8.4000000000000005E-2</v>
      </c>
      <c r="M81" s="106">
        <f>'Cash Flow %s Yr4'!M81</f>
        <v>8.4000000000000005E-2</v>
      </c>
      <c r="N81" s="106">
        <f>'Cash Flow %s Yr4'!N81</f>
        <v>8.4000000000000005E-2</v>
      </c>
      <c r="O81" s="106">
        <f>'Cash Flow %s Yr4'!O81</f>
        <v>8.4000000000000005E-2</v>
      </c>
      <c r="P81" s="106">
        <f>'Cash Flow %s Yr4'!P81</f>
        <v>0</v>
      </c>
      <c r="Q81" s="106">
        <f>'Cash Flow %s Yr4'!Q81</f>
        <v>0</v>
      </c>
      <c r="R81" s="106">
        <f>'Cash Flow %s Yr4'!R81</f>
        <v>0</v>
      </c>
      <c r="S81" s="105">
        <f t="shared" si="6"/>
        <v>0.99999999999999989</v>
      </c>
    </row>
    <row r="82" spans="1:19" s="30" customFormat="1" x14ac:dyDescent="0.3">
      <c r="A82" s="35"/>
      <c r="B82" s="63" t="str">
        <f>'Expenses Summary'!B36</f>
        <v>3323</v>
      </c>
      <c r="C82" s="63" t="str">
        <f>'Expenses Summary'!C36</f>
        <v>Medicare</v>
      </c>
      <c r="D82" s="106">
        <f>'Cash Flow %s Yr4'!D82</f>
        <v>8.3000000000000004E-2</v>
      </c>
      <c r="E82" s="106">
        <f>'Cash Flow %s Yr4'!E82</f>
        <v>8.3000000000000004E-2</v>
      </c>
      <c r="F82" s="106">
        <f>'Cash Flow %s Yr4'!F82</f>
        <v>8.3000000000000004E-2</v>
      </c>
      <c r="G82" s="106">
        <f>'Cash Flow %s Yr4'!G82</f>
        <v>8.3000000000000004E-2</v>
      </c>
      <c r="H82" s="106">
        <f>'Cash Flow %s Yr4'!H82</f>
        <v>8.3000000000000004E-2</v>
      </c>
      <c r="I82" s="106">
        <f>'Cash Flow %s Yr4'!I82</f>
        <v>8.3000000000000004E-2</v>
      </c>
      <c r="J82" s="106">
        <f>'Cash Flow %s Yr4'!J82</f>
        <v>8.3000000000000004E-2</v>
      </c>
      <c r="K82" s="106">
        <f>'Cash Flow %s Yr4'!K82</f>
        <v>8.3000000000000004E-2</v>
      </c>
      <c r="L82" s="106">
        <f>'Cash Flow %s Yr4'!L82</f>
        <v>8.4000000000000005E-2</v>
      </c>
      <c r="M82" s="106">
        <f>'Cash Flow %s Yr4'!M82</f>
        <v>8.4000000000000005E-2</v>
      </c>
      <c r="N82" s="106">
        <f>'Cash Flow %s Yr4'!N82</f>
        <v>8.4000000000000005E-2</v>
      </c>
      <c r="O82" s="106">
        <f>'Cash Flow %s Yr4'!O82</f>
        <v>8.4000000000000005E-2</v>
      </c>
      <c r="P82" s="106">
        <f>'Cash Flow %s Yr4'!P82</f>
        <v>0</v>
      </c>
      <c r="Q82" s="106">
        <f>'Cash Flow %s Yr4'!Q82</f>
        <v>0</v>
      </c>
      <c r="R82" s="106">
        <f>'Cash Flow %s Yr4'!R82</f>
        <v>0</v>
      </c>
      <c r="S82" s="105">
        <f t="shared" si="6"/>
        <v>0.99999999999999989</v>
      </c>
    </row>
    <row r="83" spans="1:19" s="30" customFormat="1" x14ac:dyDescent="0.3">
      <c r="A83" s="35"/>
      <c r="B83" s="63" t="str">
        <f>'Expenses Summary'!B37</f>
        <v>3403</v>
      </c>
      <c r="C83" s="63" t="str">
        <f>'Expenses Summary'!C37</f>
        <v>Health &amp; Welfare Benefits</v>
      </c>
      <c r="D83" s="106">
        <f>'Cash Flow %s Yr4'!D83</f>
        <v>8.3000000000000004E-2</v>
      </c>
      <c r="E83" s="106">
        <f>'Cash Flow %s Yr4'!E83</f>
        <v>8.3000000000000004E-2</v>
      </c>
      <c r="F83" s="106">
        <f>'Cash Flow %s Yr4'!F83</f>
        <v>8.3000000000000004E-2</v>
      </c>
      <c r="G83" s="106">
        <f>'Cash Flow %s Yr4'!G83</f>
        <v>8.3000000000000004E-2</v>
      </c>
      <c r="H83" s="106">
        <f>'Cash Flow %s Yr4'!H83</f>
        <v>8.3000000000000004E-2</v>
      </c>
      <c r="I83" s="106">
        <f>'Cash Flow %s Yr4'!I83</f>
        <v>8.3000000000000004E-2</v>
      </c>
      <c r="J83" s="106">
        <f>'Cash Flow %s Yr4'!J83</f>
        <v>8.3000000000000004E-2</v>
      </c>
      <c r="K83" s="106">
        <f>'Cash Flow %s Yr4'!K83</f>
        <v>8.3000000000000004E-2</v>
      </c>
      <c r="L83" s="106">
        <f>'Cash Flow %s Yr4'!L83</f>
        <v>8.4000000000000005E-2</v>
      </c>
      <c r="M83" s="106">
        <f>'Cash Flow %s Yr4'!M83</f>
        <v>8.4000000000000005E-2</v>
      </c>
      <c r="N83" s="106">
        <f>'Cash Flow %s Yr4'!N83</f>
        <v>8.4000000000000005E-2</v>
      </c>
      <c r="O83" s="106">
        <f>'Cash Flow %s Yr4'!O83</f>
        <v>8.4000000000000005E-2</v>
      </c>
      <c r="P83" s="106">
        <f>'Cash Flow %s Yr4'!P83</f>
        <v>0</v>
      </c>
      <c r="Q83" s="106">
        <f>'Cash Flow %s Yr4'!Q83</f>
        <v>0</v>
      </c>
      <c r="R83" s="106">
        <f>'Cash Flow %s Yr4'!R83</f>
        <v>0</v>
      </c>
      <c r="S83" s="105">
        <f t="shared" si="6"/>
        <v>0.99999999999999989</v>
      </c>
    </row>
    <row r="84" spans="1:19" s="30" customFormat="1" x14ac:dyDescent="0.3">
      <c r="A84" s="35"/>
      <c r="B84" s="63" t="str">
        <f>'Expenses Summary'!B38</f>
        <v>3503</v>
      </c>
      <c r="C84" s="63" t="str">
        <f>'Expenses Summary'!C38</f>
        <v>State Unemployment Insurance</v>
      </c>
      <c r="D84" s="106">
        <f>'Cash Flow %s Yr4'!D84</f>
        <v>8.3000000000000004E-2</v>
      </c>
      <c r="E84" s="106">
        <f>'Cash Flow %s Yr4'!E84</f>
        <v>8.3000000000000004E-2</v>
      </c>
      <c r="F84" s="106">
        <f>'Cash Flow %s Yr4'!F84</f>
        <v>8.3000000000000004E-2</v>
      </c>
      <c r="G84" s="106">
        <f>'Cash Flow %s Yr4'!G84</f>
        <v>8.3000000000000004E-2</v>
      </c>
      <c r="H84" s="106">
        <f>'Cash Flow %s Yr4'!H84</f>
        <v>8.3000000000000004E-2</v>
      </c>
      <c r="I84" s="106">
        <f>'Cash Flow %s Yr4'!I84</f>
        <v>8.3000000000000004E-2</v>
      </c>
      <c r="J84" s="106">
        <f>'Cash Flow %s Yr4'!J84</f>
        <v>8.3000000000000004E-2</v>
      </c>
      <c r="K84" s="106">
        <f>'Cash Flow %s Yr4'!K84</f>
        <v>8.3000000000000004E-2</v>
      </c>
      <c r="L84" s="106">
        <f>'Cash Flow %s Yr4'!L84</f>
        <v>8.4000000000000005E-2</v>
      </c>
      <c r="M84" s="106">
        <f>'Cash Flow %s Yr4'!M84</f>
        <v>8.4000000000000005E-2</v>
      </c>
      <c r="N84" s="106">
        <f>'Cash Flow %s Yr4'!N84</f>
        <v>8.4000000000000005E-2</v>
      </c>
      <c r="O84" s="106">
        <f>'Cash Flow %s Yr4'!O84</f>
        <v>8.4000000000000005E-2</v>
      </c>
      <c r="P84" s="106">
        <f>'Cash Flow %s Yr4'!P84</f>
        <v>0</v>
      </c>
      <c r="Q84" s="106">
        <f>'Cash Flow %s Yr4'!Q84</f>
        <v>0</v>
      </c>
      <c r="R84" s="106">
        <f>'Cash Flow %s Yr4'!R84</f>
        <v>0</v>
      </c>
      <c r="S84" s="105">
        <f t="shared" si="6"/>
        <v>0.99999999999999989</v>
      </c>
    </row>
    <row r="85" spans="1:19" s="30" customFormat="1" x14ac:dyDescent="0.3">
      <c r="A85" s="35"/>
      <c r="B85" s="63" t="str">
        <f>'Expenses Summary'!B39</f>
        <v>3603</v>
      </c>
      <c r="C85" s="63" t="str">
        <f>'Expenses Summary'!C39</f>
        <v>Worker Compensation Insurance</v>
      </c>
      <c r="D85" s="106">
        <f>'Cash Flow %s Yr4'!D85</f>
        <v>8.3000000000000004E-2</v>
      </c>
      <c r="E85" s="106">
        <f>'Cash Flow %s Yr4'!E85</f>
        <v>8.3000000000000004E-2</v>
      </c>
      <c r="F85" s="106">
        <f>'Cash Flow %s Yr4'!F85</f>
        <v>8.3000000000000004E-2</v>
      </c>
      <c r="G85" s="106">
        <f>'Cash Flow %s Yr4'!G85</f>
        <v>8.3000000000000004E-2</v>
      </c>
      <c r="H85" s="106">
        <f>'Cash Flow %s Yr4'!H85</f>
        <v>8.3000000000000004E-2</v>
      </c>
      <c r="I85" s="106">
        <f>'Cash Flow %s Yr4'!I85</f>
        <v>8.3000000000000004E-2</v>
      </c>
      <c r="J85" s="106">
        <f>'Cash Flow %s Yr4'!J85</f>
        <v>8.3000000000000004E-2</v>
      </c>
      <c r="K85" s="106">
        <f>'Cash Flow %s Yr4'!K85</f>
        <v>8.3000000000000004E-2</v>
      </c>
      <c r="L85" s="106">
        <f>'Cash Flow %s Yr4'!L85</f>
        <v>8.4000000000000005E-2</v>
      </c>
      <c r="M85" s="106">
        <f>'Cash Flow %s Yr4'!M85</f>
        <v>8.4000000000000005E-2</v>
      </c>
      <c r="N85" s="106">
        <f>'Cash Flow %s Yr4'!N85</f>
        <v>8.4000000000000005E-2</v>
      </c>
      <c r="O85" s="106">
        <f>'Cash Flow %s Yr4'!O85</f>
        <v>8.4000000000000005E-2</v>
      </c>
      <c r="P85" s="106">
        <f>'Cash Flow %s Yr4'!P85</f>
        <v>0</v>
      </c>
      <c r="Q85" s="106">
        <f>'Cash Flow %s Yr4'!Q85</f>
        <v>0</v>
      </c>
      <c r="R85" s="106">
        <f>'Cash Flow %s Yr4'!R85</f>
        <v>0</v>
      </c>
      <c r="S85" s="105">
        <f t="shared" si="6"/>
        <v>0.99999999999999989</v>
      </c>
    </row>
    <row r="86" spans="1:19" s="30" customFormat="1" x14ac:dyDescent="0.3">
      <c r="A86" s="35"/>
      <c r="B86" s="63" t="str">
        <f>'Expenses Summary'!B40</f>
        <v>3703</v>
      </c>
      <c r="C86" s="63" t="str">
        <f>'Expenses Summary'!C40</f>
        <v>Other Post Employement Benefits</v>
      </c>
      <c r="D86" s="106">
        <f>'Cash Flow %s Yr4'!D86</f>
        <v>8.3000000000000004E-2</v>
      </c>
      <c r="E86" s="106">
        <f>'Cash Flow %s Yr4'!E86</f>
        <v>8.3000000000000004E-2</v>
      </c>
      <c r="F86" s="106">
        <f>'Cash Flow %s Yr4'!F86</f>
        <v>8.3000000000000004E-2</v>
      </c>
      <c r="G86" s="106">
        <f>'Cash Flow %s Yr4'!G86</f>
        <v>8.3000000000000004E-2</v>
      </c>
      <c r="H86" s="106">
        <f>'Cash Flow %s Yr4'!H86</f>
        <v>8.3000000000000004E-2</v>
      </c>
      <c r="I86" s="106">
        <f>'Cash Flow %s Yr4'!I86</f>
        <v>8.3000000000000004E-2</v>
      </c>
      <c r="J86" s="106">
        <f>'Cash Flow %s Yr4'!J86</f>
        <v>8.3000000000000004E-2</v>
      </c>
      <c r="K86" s="106">
        <f>'Cash Flow %s Yr4'!K86</f>
        <v>8.3000000000000004E-2</v>
      </c>
      <c r="L86" s="106">
        <f>'Cash Flow %s Yr4'!L86</f>
        <v>8.4000000000000005E-2</v>
      </c>
      <c r="M86" s="106">
        <f>'Cash Flow %s Yr4'!M86</f>
        <v>8.4000000000000005E-2</v>
      </c>
      <c r="N86" s="106">
        <f>'Cash Flow %s Yr4'!N86</f>
        <v>8.4000000000000005E-2</v>
      </c>
      <c r="O86" s="106">
        <f>'Cash Flow %s Yr4'!O86</f>
        <v>8.4000000000000005E-2</v>
      </c>
      <c r="P86" s="106">
        <f>'Cash Flow %s Yr4'!P86</f>
        <v>0</v>
      </c>
      <c r="Q86" s="106">
        <f>'Cash Flow %s Yr4'!Q86</f>
        <v>0</v>
      </c>
      <c r="R86" s="106">
        <f>'Cash Flow %s Yr4'!R86</f>
        <v>0</v>
      </c>
      <c r="S86" s="105">
        <f t="shared" si="6"/>
        <v>0.99999999999999989</v>
      </c>
    </row>
    <row r="87" spans="1:19" s="30" customFormat="1" x14ac:dyDescent="0.3">
      <c r="A87" s="35"/>
      <c r="B87" s="63" t="str">
        <f>'Expenses Summary'!B41</f>
        <v>3903</v>
      </c>
      <c r="C87" s="63" t="str">
        <f>'Expenses Summary'!C41</f>
        <v>Other Benefits</v>
      </c>
      <c r="D87" s="106">
        <f>'Cash Flow %s Yr4'!D87</f>
        <v>8.3000000000000004E-2</v>
      </c>
      <c r="E87" s="106">
        <f>'Cash Flow %s Yr4'!E87</f>
        <v>8.3000000000000004E-2</v>
      </c>
      <c r="F87" s="106">
        <f>'Cash Flow %s Yr4'!F87</f>
        <v>8.3000000000000004E-2</v>
      </c>
      <c r="G87" s="106">
        <f>'Cash Flow %s Yr4'!G87</f>
        <v>8.3000000000000004E-2</v>
      </c>
      <c r="H87" s="106">
        <f>'Cash Flow %s Yr4'!H87</f>
        <v>8.3000000000000004E-2</v>
      </c>
      <c r="I87" s="106">
        <f>'Cash Flow %s Yr4'!I87</f>
        <v>8.3000000000000004E-2</v>
      </c>
      <c r="J87" s="106">
        <f>'Cash Flow %s Yr4'!J87</f>
        <v>8.3000000000000004E-2</v>
      </c>
      <c r="K87" s="106">
        <f>'Cash Flow %s Yr4'!K87</f>
        <v>8.3000000000000004E-2</v>
      </c>
      <c r="L87" s="106">
        <f>'Cash Flow %s Yr4'!L87</f>
        <v>8.4000000000000005E-2</v>
      </c>
      <c r="M87" s="106">
        <f>'Cash Flow %s Yr4'!M87</f>
        <v>8.4000000000000005E-2</v>
      </c>
      <c r="N87" s="106">
        <f>'Cash Flow %s Yr4'!N87</f>
        <v>8.4000000000000005E-2</v>
      </c>
      <c r="O87" s="106">
        <f>'Cash Flow %s Yr4'!O87</f>
        <v>8.4000000000000005E-2</v>
      </c>
      <c r="P87" s="106">
        <f>'Cash Flow %s Yr4'!P87</f>
        <v>0</v>
      </c>
      <c r="Q87" s="106">
        <f>'Cash Flow %s Yr4'!Q87</f>
        <v>0</v>
      </c>
      <c r="R87" s="106">
        <f>'Cash Flow %s Yr4'!R87</f>
        <v>0</v>
      </c>
      <c r="S87" s="105">
        <f t="shared" si="6"/>
        <v>0.99999999999999989</v>
      </c>
    </row>
    <row r="88" spans="1:19" s="30" customFormat="1" x14ac:dyDescent="0.3">
      <c r="A88" s="35"/>
      <c r="B88" s="116"/>
      <c r="C88" s="116"/>
      <c r="D88" s="117"/>
      <c r="E88" s="117"/>
      <c r="F88" s="117"/>
      <c r="G88" s="117"/>
      <c r="H88" s="117"/>
      <c r="I88" s="117"/>
      <c r="J88" s="117"/>
      <c r="K88" s="117"/>
      <c r="L88" s="117"/>
      <c r="M88" s="117"/>
      <c r="N88" s="117"/>
      <c r="O88" s="117"/>
      <c r="P88" s="94"/>
      <c r="Q88" s="94"/>
      <c r="R88" s="94"/>
      <c r="S88" s="105"/>
    </row>
    <row r="89" spans="1:19" s="30" customFormat="1" x14ac:dyDescent="0.3">
      <c r="A89" s="35"/>
      <c r="B89" s="39"/>
      <c r="C89" s="1"/>
      <c r="D89" s="89"/>
      <c r="E89" s="89"/>
      <c r="F89" s="89"/>
      <c r="G89" s="89"/>
      <c r="H89" s="89"/>
      <c r="I89" s="89"/>
      <c r="J89" s="89"/>
      <c r="K89" s="89"/>
      <c r="L89" s="89"/>
      <c r="M89" s="89"/>
      <c r="N89" s="89"/>
      <c r="O89" s="89"/>
      <c r="P89" s="89"/>
      <c r="Q89" s="89"/>
      <c r="R89" s="89"/>
      <c r="S89" s="105"/>
    </row>
    <row r="90" spans="1:19" s="30" customFormat="1" x14ac:dyDescent="0.3">
      <c r="B90" s="33" t="s">
        <v>677</v>
      </c>
      <c r="C90" s="3"/>
      <c r="D90" s="89"/>
      <c r="E90" s="89"/>
      <c r="F90" s="89"/>
      <c r="G90" s="89"/>
      <c r="H90" s="89"/>
      <c r="I90" s="89"/>
      <c r="J90" s="89"/>
      <c r="K90" s="89"/>
      <c r="L90" s="89"/>
      <c r="M90" s="89"/>
      <c r="N90" s="89"/>
      <c r="O90" s="89"/>
      <c r="P90" s="89"/>
      <c r="Q90" s="89"/>
      <c r="R90" s="89"/>
      <c r="S90" s="105"/>
    </row>
    <row r="91" spans="1:19" s="30" customFormat="1" x14ac:dyDescent="0.3">
      <c r="A91" s="35"/>
      <c r="B91" s="62" t="str">
        <f>'Expenses Summary'!B47</f>
        <v>4100</v>
      </c>
      <c r="C91" s="62" t="str">
        <f>'Expenses Summary'!C47</f>
        <v>Approved Textbooks and Core Curricula Materials</v>
      </c>
      <c r="D91" s="106">
        <f>'Cash Flow %s Yr4'!D91</f>
        <v>0.1</v>
      </c>
      <c r="E91" s="106">
        <f>'Cash Flow %s Yr4'!E91</f>
        <v>0.1</v>
      </c>
      <c r="F91" s="106">
        <f>'Cash Flow %s Yr4'!F91</f>
        <v>0.1</v>
      </c>
      <c r="G91" s="106">
        <f>'Cash Flow %s Yr4'!G91</f>
        <v>0.1</v>
      </c>
      <c r="H91" s="106">
        <f>'Cash Flow %s Yr4'!H91</f>
        <v>0.1</v>
      </c>
      <c r="I91" s="106">
        <f>'Cash Flow %s Yr4'!I91</f>
        <v>0.1</v>
      </c>
      <c r="J91" s="106">
        <f>'Cash Flow %s Yr4'!J91</f>
        <v>0.1</v>
      </c>
      <c r="K91" s="106">
        <f>'Cash Flow %s Yr4'!K91</f>
        <v>0.1</v>
      </c>
      <c r="L91" s="106">
        <f>'Cash Flow %s Yr4'!L91</f>
        <v>0.1</v>
      </c>
      <c r="M91" s="106">
        <f>'Cash Flow %s Yr4'!M91</f>
        <v>0.1</v>
      </c>
      <c r="N91" s="106">
        <f>'Cash Flow %s Yr4'!N91</f>
        <v>0</v>
      </c>
      <c r="O91" s="106">
        <f>'Cash Flow %s Yr4'!O91</f>
        <v>0</v>
      </c>
      <c r="P91" s="106">
        <f>'Cash Flow %s Yr4'!P91</f>
        <v>0</v>
      </c>
      <c r="Q91" s="106">
        <f>'Cash Flow %s Yr4'!Q91</f>
        <v>0</v>
      </c>
      <c r="R91" s="106">
        <f>'Cash Flow %s Yr4'!R91</f>
        <v>0</v>
      </c>
      <c r="S91" s="105">
        <f t="shared" ref="S91:S96" si="7">SUM(D91:R91)</f>
        <v>0.99999999999999989</v>
      </c>
    </row>
    <row r="92" spans="1:19" x14ac:dyDescent="0.3">
      <c r="A92" s="35"/>
      <c r="B92" s="62" t="str">
        <f>'Expenses Summary'!B48</f>
        <v>4200</v>
      </c>
      <c r="C92" s="62" t="str">
        <f>'Expenses Summary'!C48</f>
        <v>Books and Other Reference Materials</v>
      </c>
      <c r="D92" s="106">
        <f>'Cash Flow %s Yr4'!D92</f>
        <v>0.05</v>
      </c>
      <c r="E92" s="106">
        <f>'Cash Flow %s Yr4'!E92</f>
        <v>0.1</v>
      </c>
      <c r="F92" s="106">
        <f>'Cash Flow %s Yr4'!F92</f>
        <v>0.1</v>
      </c>
      <c r="G92" s="106">
        <f>'Cash Flow %s Yr4'!G92</f>
        <v>0.1</v>
      </c>
      <c r="H92" s="106">
        <f>'Cash Flow %s Yr4'!H92</f>
        <v>0.1</v>
      </c>
      <c r="I92" s="106">
        <f>'Cash Flow %s Yr4'!I92</f>
        <v>0.1</v>
      </c>
      <c r="J92" s="106">
        <f>'Cash Flow %s Yr4'!J92</f>
        <v>0.1</v>
      </c>
      <c r="K92" s="106">
        <f>'Cash Flow %s Yr4'!K92</f>
        <v>0.1</v>
      </c>
      <c r="L92" s="106">
        <f>'Cash Flow %s Yr4'!L92</f>
        <v>0.1</v>
      </c>
      <c r="M92" s="106">
        <f>'Cash Flow %s Yr4'!M92</f>
        <v>0.1</v>
      </c>
      <c r="N92" s="106">
        <f>'Cash Flow %s Yr4'!N92</f>
        <v>0.05</v>
      </c>
      <c r="O92" s="106">
        <f>'Cash Flow %s Yr4'!O92</f>
        <v>0</v>
      </c>
      <c r="P92" s="106">
        <f>'Cash Flow %s Yr4'!P92</f>
        <v>0</v>
      </c>
      <c r="Q92" s="106">
        <f>'Cash Flow %s Yr4'!Q92</f>
        <v>0</v>
      </c>
      <c r="R92" s="106">
        <f>'Cash Flow %s Yr4'!R92</f>
        <v>0</v>
      </c>
      <c r="S92" s="105">
        <f t="shared" si="7"/>
        <v>0.99999999999999989</v>
      </c>
    </row>
    <row r="93" spans="1:19" x14ac:dyDescent="0.3">
      <c r="A93" s="35"/>
      <c r="B93" s="62" t="str">
        <f>'Expenses Summary'!B49</f>
        <v>4300</v>
      </c>
      <c r="C93" s="62" t="str">
        <f>'Expenses Summary'!C49</f>
        <v>Materials and Supplies</v>
      </c>
      <c r="D93" s="106">
        <f>'Cash Flow %s Yr4'!D93</f>
        <v>8.3000000000000004E-2</v>
      </c>
      <c r="E93" s="106">
        <f>'Cash Flow %s Yr4'!E93</f>
        <v>8.3000000000000004E-2</v>
      </c>
      <c r="F93" s="106">
        <f>'Cash Flow %s Yr4'!F93</f>
        <v>8.3000000000000004E-2</v>
      </c>
      <c r="G93" s="106">
        <f>'Cash Flow %s Yr4'!G93</f>
        <v>8.3000000000000004E-2</v>
      </c>
      <c r="H93" s="106">
        <f>'Cash Flow %s Yr4'!H93</f>
        <v>8.3000000000000004E-2</v>
      </c>
      <c r="I93" s="106">
        <f>'Cash Flow %s Yr4'!I93</f>
        <v>8.3000000000000004E-2</v>
      </c>
      <c r="J93" s="106">
        <f>'Cash Flow %s Yr4'!J93</f>
        <v>8.3000000000000004E-2</v>
      </c>
      <c r="K93" s="106">
        <f>'Cash Flow %s Yr4'!K93</f>
        <v>8.3000000000000004E-2</v>
      </c>
      <c r="L93" s="106">
        <f>'Cash Flow %s Yr4'!L93</f>
        <v>8.4000000000000005E-2</v>
      </c>
      <c r="M93" s="106">
        <f>'Cash Flow %s Yr4'!M93</f>
        <v>8.4000000000000005E-2</v>
      </c>
      <c r="N93" s="106">
        <f>'Cash Flow %s Yr4'!N93</f>
        <v>8.4000000000000005E-2</v>
      </c>
      <c r="O93" s="106">
        <f>'Cash Flow %s Yr4'!O93</f>
        <v>8.4000000000000005E-2</v>
      </c>
      <c r="P93" s="106">
        <f>'Cash Flow %s Yr4'!P93</f>
        <v>0</v>
      </c>
      <c r="Q93" s="106">
        <f>'Cash Flow %s Yr4'!Q93</f>
        <v>0</v>
      </c>
      <c r="R93" s="106">
        <f>'Cash Flow %s Yr4'!R93</f>
        <v>0</v>
      </c>
      <c r="S93" s="105">
        <f t="shared" si="7"/>
        <v>0.99999999999999989</v>
      </c>
    </row>
    <row r="94" spans="1:19" x14ac:dyDescent="0.3">
      <c r="A94" s="35"/>
      <c r="B94" s="62" t="str">
        <f>'Expenses Summary'!B50</f>
        <v>4315</v>
      </c>
      <c r="C94" s="62" t="str">
        <f>'Expenses Summary'!C50</f>
        <v>Classroom Materials and Supplies</v>
      </c>
      <c r="D94" s="106">
        <f>'Cash Flow %s Yr4'!D94</f>
        <v>8.3000000000000004E-2</v>
      </c>
      <c r="E94" s="106">
        <f>'Cash Flow %s Yr4'!E94</f>
        <v>8.3000000000000004E-2</v>
      </c>
      <c r="F94" s="106">
        <f>'Cash Flow %s Yr4'!F94</f>
        <v>8.3000000000000004E-2</v>
      </c>
      <c r="G94" s="106">
        <f>'Cash Flow %s Yr4'!G94</f>
        <v>8.3000000000000004E-2</v>
      </c>
      <c r="H94" s="106">
        <f>'Cash Flow %s Yr4'!H94</f>
        <v>8.3000000000000004E-2</v>
      </c>
      <c r="I94" s="106">
        <f>'Cash Flow %s Yr4'!I94</f>
        <v>8.3000000000000004E-2</v>
      </c>
      <c r="J94" s="106">
        <f>'Cash Flow %s Yr4'!J94</f>
        <v>8.3000000000000004E-2</v>
      </c>
      <c r="K94" s="106">
        <f>'Cash Flow %s Yr4'!K94</f>
        <v>8.3000000000000004E-2</v>
      </c>
      <c r="L94" s="106">
        <f>'Cash Flow %s Yr4'!L94</f>
        <v>8.3000000000000004E-2</v>
      </c>
      <c r="M94" s="106">
        <f>'Cash Flow %s Yr4'!M94</f>
        <v>8.3000000000000004E-2</v>
      </c>
      <c r="N94" s="106">
        <f>'Cash Flow %s Yr4'!N94</f>
        <v>8.3000000000000004E-2</v>
      </c>
      <c r="O94" s="106">
        <f>'Cash Flow %s Yr4'!O94</f>
        <v>8.3000000000000004E-2</v>
      </c>
      <c r="P94" s="106">
        <f>'Cash Flow %s Yr4'!P94</f>
        <v>0</v>
      </c>
      <c r="Q94" s="106">
        <f>'Cash Flow %s Yr4'!Q94</f>
        <v>0</v>
      </c>
      <c r="R94" s="106">
        <f>'Cash Flow %s Yr4'!R94</f>
        <v>0</v>
      </c>
      <c r="S94" s="105">
        <f t="shared" si="7"/>
        <v>0.99599999999999989</v>
      </c>
    </row>
    <row r="95" spans="1:19" x14ac:dyDescent="0.3">
      <c r="A95" s="35"/>
      <c r="B95" s="62" t="str">
        <f>'Expenses Summary'!B51</f>
        <v>4342</v>
      </c>
      <c r="C95" s="62" t="str">
        <f>'Expenses Summary'!C51</f>
        <v>Materials for Athletics</v>
      </c>
      <c r="D95" s="106">
        <f>'Cash Flow %s Yr4'!D95</f>
        <v>8.3000000000000004E-2</v>
      </c>
      <c r="E95" s="106">
        <f>'Cash Flow %s Yr4'!E95</f>
        <v>8.3000000000000004E-2</v>
      </c>
      <c r="F95" s="106">
        <f>'Cash Flow %s Yr4'!F95</f>
        <v>8.3000000000000004E-2</v>
      </c>
      <c r="G95" s="106">
        <f>'Cash Flow %s Yr4'!G95</f>
        <v>8.3000000000000004E-2</v>
      </c>
      <c r="H95" s="106">
        <f>'Cash Flow %s Yr4'!H95</f>
        <v>8.3000000000000004E-2</v>
      </c>
      <c r="I95" s="106">
        <f>'Cash Flow %s Yr4'!I95</f>
        <v>8.3000000000000004E-2</v>
      </c>
      <c r="J95" s="106">
        <f>'Cash Flow %s Yr4'!J95</f>
        <v>8.3000000000000004E-2</v>
      </c>
      <c r="K95" s="106">
        <f>'Cash Flow %s Yr4'!K95</f>
        <v>8.3000000000000004E-2</v>
      </c>
      <c r="L95" s="106">
        <f>'Cash Flow %s Yr4'!L95</f>
        <v>8.4000000000000005E-2</v>
      </c>
      <c r="M95" s="106">
        <f>'Cash Flow %s Yr4'!M95</f>
        <v>8.4000000000000005E-2</v>
      </c>
      <c r="N95" s="106">
        <f>'Cash Flow %s Yr4'!N95</f>
        <v>8.4000000000000005E-2</v>
      </c>
      <c r="O95" s="106">
        <f>'Cash Flow %s Yr4'!O95</f>
        <v>8.4000000000000005E-2</v>
      </c>
      <c r="P95" s="106">
        <f>'Cash Flow %s Yr4'!P95</f>
        <v>0</v>
      </c>
      <c r="Q95" s="106">
        <f>'Cash Flow %s Yr4'!Q95</f>
        <v>0</v>
      </c>
      <c r="R95" s="106">
        <f>'Cash Flow %s Yr4'!R95</f>
        <v>0</v>
      </c>
      <c r="S95" s="105">
        <f t="shared" si="7"/>
        <v>0.99999999999999989</v>
      </c>
    </row>
    <row r="96" spans="1:19" x14ac:dyDescent="0.3">
      <c r="A96" s="35"/>
      <c r="B96" s="62" t="str">
        <f>'Expenses Summary'!B52</f>
        <v>4381</v>
      </c>
      <c r="C96" s="62" t="str">
        <f>'Expenses Summary'!C52</f>
        <v>Materials for Plant Maintenance</v>
      </c>
      <c r="D96" s="106">
        <f>'Cash Flow %s Yr4'!D96</f>
        <v>8.3000000000000004E-2</v>
      </c>
      <c r="E96" s="106">
        <f>'Cash Flow %s Yr4'!E96</f>
        <v>8.3000000000000004E-2</v>
      </c>
      <c r="F96" s="106">
        <f>'Cash Flow %s Yr4'!F96</f>
        <v>8.3000000000000004E-2</v>
      </c>
      <c r="G96" s="106">
        <f>'Cash Flow %s Yr4'!G96</f>
        <v>8.3000000000000004E-2</v>
      </c>
      <c r="H96" s="106">
        <f>'Cash Flow %s Yr4'!H96</f>
        <v>8.3000000000000004E-2</v>
      </c>
      <c r="I96" s="106">
        <f>'Cash Flow %s Yr4'!I96</f>
        <v>8.3000000000000004E-2</v>
      </c>
      <c r="J96" s="106">
        <f>'Cash Flow %s Yr4'!J96</f>
        <v>8.3000000000000004E-2</v>
      </c>
      <c r="K96" s="106">
        <f>'Cash Flow %s Yr4'!K96</f>
        <v>8.3000000000000004E-2</v>
      </c>
      <c r="L96" s="106">
        <f>'Cash Flow %s Yr4'!L96</f>
        <v>8.3000000000000004E-2</v>
      </c>
      <c r="M96" s="106">
        <f>'Cash Flow %s Yr4'!M96</f>
        <v>8.3000000000000004E-2</v>
      </c>
      <c r="N96" s="106">
        <f>'Cash Flow %s Yr4'!N96</f>
        <v>8.3000000000000004E-2</v>
      </c>
      <c r="O96" s="106">
        <f>'Cash Flow %s Yr4'!O96</f>
        <v>8.3000000000000004E-2</v>
      </c>
      <c r="P96" s="106">
        <f>'Cash Flow %s Yr4'!P96</f>
        <v>0</v>
      </c>
      <c r="Q96" s="106">
        <f>'Cash Flow %s Yr4'!Q96</f>
        <v>0</v>
      </c>
      <c r="R96" s="106">
        <f>'Cash Flow %s Yr4'!R96</f>
        <v>0</v>
      </c>
      <c r="S96" s="105">
        <f t="shared" si="7"/>
        <v>0.99599999999999989</v>
      </c>
    </row>
    <row r="97" spans="1:19" hidden="1" outlineLevel="1" x14ac:dyDescent="0.3">
      <c r="A97" s="35"/>
      <c r="B97" s="62" t="str">
        <f>'Expenses Summary'!B53</f>
        <v>4400</v>
      </c>
      <c r="C97" s="62" t="str">
        <f>'Expenses Summary'!C53</f>
        <v>Noncapitalized Equipment</v>
      </c>
      <c r="D97" s="106">
        <f>'Cash Flow %s Yr4'!D97</f>
        <v>0</v>
      </c>
      <c r="E97" s="106">
        <f>'Cash Flow %s Yr4'!E97</f>
        <v>0</v>
      </c>
      <c r="F97" s="106">
        <f>'Cash Flow %s Yr4'!F97</f>
        <v>0.1</v>
      </c>
      <c r="G97" s="106">
        <f>'Cash Flow %s Yr4'!G97</f>
        <v>0.1</v>
      </c>
      <c r="H97" s="106">
        <f>'Cash Flow %s Yr4'!H97</f>
        <v>0.1</v>
      </c>
      <c r="I97" s="106">
        <f>'Cash Flow %s Yr4'!I97</f>
        <v>0.1</v>
      </c>
      <c r="J97" s="106">
        <f>'Cash Flow %s Yr4'!J97</f>
        <v>0.1</v>
      </c>
      <c r="K97" s="106">
        <f>'Cash Flow %s Yr4'!K97</f>
        <v>0.1</v>
      </c>
      <c r="L97" s="106">
        <f>'Cash Flow %s Yr4'!L97</f>
        <v>0.1</v>
      </c>
      <c r="M97" s="106">
        <f>'Cash Flow %s Yr4'!M97</f>
        <v>0.1</v>
      </c>
      <c r="N97" s="106">
        <f>'Cash Flow %s Yr4'!N97</f>
        <v>0.1</v>
      </c>
      <c r="O97" s="106">
        <f>'Cash Flow %s Yr4'!O97</f>
        <v>0.1</v>
      </c>
      <c r="P97" s="106">
        <f>'Cash Flow %s Yr4'!P97</f>
        <v>0</v>
      </c>
      <c r="Q97" s="106">
        <f>'Cash Flow %s Yr4'!Q97</f>
        <v>0</v>
      </c>
      <c r="R97" s="106">
        <f>'Cash Flow %s Yr4'!R97</f>
        <v>0</v>
      </c>
      <c r="S97" s="105">
        <f t="shared" ref="S97:S106" si="8">SUM(D97:R97)</f>
        <v>0.99999999999999989</v>
      </c>
    </row>
    <row r="98" spans="1:19" hidden="1" outlineLevel="1" x14ac:dyDescent="0.3">
      <c r="A98" s="35"/>
      <c r="B98" s="62" t="str">
        <f>'Expenses Summary'!B55</f>
        <v>4430</v>
      </c>
      <c r="C98" s="62" t="str">
        <f>'Expenses Summary'!C55</f>
        <v>General Student Equipment</v>
      </c>
      <c r="D98" s="106">
        <f>'Cash Flow %s Yr4'!D98</f>
        <v>0</v>
      </c>
      <c r="E98" s="106">
        <f>'Cash Flow %s Yr4'!E98</f>
        <v>0</v>
      </c>
      <c r="F98" s="106">
        <f>'Cash Flow %s Yr4'!F98</f>
        <v>0.1</v>
      </c>
      <c r="G98" s="106">
        <f>'Cash Flow %s Yr4'!G98</f>
        <v>0.1</v>
      </c>
      <c r="H98" s="106">
        <f>'Cash Flow %s Yr4'!H98</f>
        <v>0.1</v>
      </c>
      <c r="I98" s="106">
        <f>'Cash Flow %s Yr4'!I98</f>
        <v>0.1</v>
      </c>
      <c r="J98" s="106">
        <f>'Cash Flow %s Yr4'!J98</f>
        <v>0.1</v>
      </c>
      <c r="K98" s="106">
        <f>'Cash Flow %s Yr4'!K98</f>
        <v>0.1</v>
      </c>
      <c r="L98" s="106">
        <f>'Cash Flow %s Yr4'!L98</f>
        <v>0.1</v>
      </c>
      <c r="M98" s="106">
        <f>'Cash Flow %s Yr4'!M98</f>
        <v>0.1</v>
      </c>
      <c r="N98" s="106">
        <f>'Cash Flow %s Yr4'!N98</f>
        <v>0.1</v>
      </c>
      <c r="O98" s="106">
        <f>'Cash Flow %s Yr4'!O98</f>
        <v>0.1</v>
      </c>
      <c r="P98" s="106">
        <f>'Cash Flow %s Yr4'!P98</f>
        <v>0</v>
      </c>
      <c r="Q98" s="106">
        <f>'Cash Flow %s Yr4'!Q98</f>
        <v>0</v>
      </c>
      <c r="R98" s="106">
        <f>'Cash Flow %s Yr4'!R98</f>
        <v>0</v>
      </c>
      <c r="S98" s="105">
        <f t="shared" si="8"/>
        <v>0.99999999999999989</v>
      </c>
    </row>
    <row r="99" spans="1:19" hidden="1" outlineLevel="1" x14ac:dyDescent="0.3">
      <c r="A99" s="35"/>
      <c r="B99" s="62">
        <f>'Expenses Summary'!B56</f>
        <v>0</v>
      </c>
      <c r="C99" s="62">
        <f>'Expenses Summary'!C56</f>
        <v>0</v>
      </c>
      <c r="D99" s="106">
        <f>'Cash Flow %s Yr4'!D99</f>
        <v>0</v>
      </c>
      <c r="E99" s="106">
        <f>'Cash Flow %s Yr4'!E99</f>
        <v>0</v>
      </c>
      <c r="F99" s="106">
        <f>'Cash Flow %s Yr4'!F99</f>
        <v>0.1</v>
      </c>
      <c r="G99" s="106">
        <f>'Cash Flow %s Yr4'!G99</f>
        <v>0.1</v>
      </c>
      <c r="H99" s="106">
        <f>'Cash Flow %s Yr4'!H99</f>
        <v>0.1</v>
      </c>
      <c r="I99" s="106">
        <f>'Cash Flow %s Yr4'!I99</f>
        <v>0.1</v>
      </c>
      <c r="J99" s="106">
        <f>'Cash Flow %s Yr4'!J99</f>
        <v>0.1</v>
      </c>
      <c r="K99" s="106">
        <f>'Cash Flow %s Yr4'!K99</f>
        <v>0.1</v>
      </c>
      <c r="L99" s="106">
        <f>'Cash Flow %s Yr4'!L99</f>
        <v>0.1</v>
      </c>
      <c r="M99" s="106">
        <f>'Cash Flow %s Yr4'!M99</f>
        <v>0.1</v>
      </c>
      <c r="N99" s="106">
        <f>'Cash Flow %s Yr4'!N99</f>
        <v>0.1</v>
      </c>
      <c r="O99" s="106">
        <f>'Cash Flow %s Yr4'!O99</f>
        <v>0.1</v>
      </c>
      <c r="P99" s="106">
        <f>'Cash Flow %s Yr4'!P99</f>
        <v>0</v>
      </c>
      <c r="Q99" s="106">
        <f>'Cash Flow %s Yr4'!Q99</f>
        <v>0</v>
      </c>
      <c r="R99" s="106">
        <f>'Cash Flow %s Yr4'!R99</f>
        <v>0</v>
      </c>
      <c r="S99" s="105">
        <f t="shared" si="8"/>
        <v>0.99999999999999989</v>
      </c>
    </row>
    <row r="100" spans="1:19" hidden="1" outlineLevel="1" x14ac:dyDescent="0.3">
      <c r="A100" s="35"/>
      <c r="B100" s="62">
        <f>'Expenses Summary'!B57</f>
        <v>0</v>
      </c>
      <c r="C100" s="62">
        <f>'Expenses Summary'!C57</f>
        <v>0</v>
      </c>
      <c r="D100" s="106">
        <f>'Cash Flow %s Yr4'!D100</f>
        <v>0</v>
      </c>
      <c r="E100" s="106">
        <f>'Cash Flow %s Yr4'!E100</f>
        <v>0</v>
      </c>
      <c r="F100" s="106">
        <f>'Cash Flow %s Yr4'!F100</f>
        <v>0.1</v>
      </c>
      <c r="G100" s="106">
        <f>'Cash Flow %s Yr4'!G100</f>
        <v>0.1</v>
      </c>
      <c r="H100" s="106">
        <f>'Cash Flow %s Yr4'!H100</f>
        <v>0.1</v>
      </c>
      <c r="I100" s="106">
        <f>'Cash Flow %s Yr4'!I100</f>
        <v>0.1</v>
      </c>
      <c r="J100" s="106">
        <f>'Cash Flow %s Yr4'!J100</f>
        <v>0.1</v>
      </c>
      <c r="K100" s="106">
        <f>'Cash Flow %s Yr4'!K100</f>
        <v>0.1</v>
      </c>
      <c r="L100" s="106">
        <f>'Cash Flow %s Yr4'!L100</f>
        <v>0.1</v>
      </c>
      <c r="M100" s="106">
        <f>'Cash Flow %s Yr4'!M100</f>
        <v>0.1</v>
      </c>
      <c r="N100" s="106">
        <f>'Cash Flow %s Yr4'!N100</f>
        <v>0.1</v>
      </c>
      <c r="O100" s="106">
        <f>'Cash Flow %s Yr4'!O100</f>
        <v>0.1</v>
      </c>
      <c r="P100" s="106">
        <f>'Cash Flow %s Yr4'!P100</f>
        <v>0</v>
      </c>
      <c r="Q100" s="106">
        <f>'Cash Flow %s Yr4'!Q100</f>
        <v>0</v>
      </c>
      <c r="R100" s="106">
        <f>'Cash Flow %s Yr4'!R100</f>
        <v>0</v>
      </c>
      <c r="S100" s="105">
        <f t="shared" si="8"/>
        <v>0.99999999999999989</v>
      </c>
    </row>
    <row r="101" spans="1:19" hidden="1" outlineLevel="1" x14ac:dyDescent="0.3">
      <c r="A101" s="35"/>
      <c r="B101" s="62">
        <f>'Expenses Summary'!B58</f>
        <v>0</v>
      </c>
      <c r="C101" s="62">
        <f>'Expenses Summary'!C58</f>
        <v>0</v>
      </c>
      <c r="D101" s="106">
        <f>'Cash Flow %s Yr4'!D101</f>
        <v>0</v>
      </c>
      <c r="E101" s="106">
        <f>'Cash Flow %s Yr4'!E101</f>
        <v>0</v>
      </c>
      <c r="F101" s="106">
        <f>'Cash Flow %s Yr4'!F101</f>
        <v>0.1</v>
      </c>
      <c r="G101" s="106">
        <f>'Cash Flow %s Yr4'!G101</f>
        <v>0.1</v>
      </c>
      <c r="H101" s="106">
        <f>'Cash Flow %s Yr4'!H101</f>
        <v>0.1</v>
      </c>
      <c r="I101" s="106">
        <f>'Cash Flow %s Yr4'!I101</f>
        <v>0.1</v>
      </c>
      <c r="J101" s="106">
        <f>'Cash Flow %s Yr4'!J101</f>
        <v>0.1</v>
      </c>
      <c r="K101" s="106">
        <f>'Cash Flow %s Yr4'!K101</f>
        <v>0.1</v>
      </c>
      <c r="L101" s="106">
        <f>'Cash Flow %s Yr4'!L101</f>
        <v>0.1</v>
      </c>
      <c r="M101" s="106">
        <f>'Cash Flow %s Yr4'!M101</f>
        <v>0.1</v>
      </c>
      <c r="N101" s="106">
        <f>'Cash Flow %s Yr4'!N101</f>
        <v>0.1</v>
      </c>
      <c r="O101" s="106">
        <f>'Cash Flow %s Yr4'!O101</f>
        <v>0.1</v>
      </c>
      <c r="P101" s="106">
        <f>'Cash Flow %s Yr4'!P101</f>
        <v>0</v>
      </c>
      <c r="Q101" s="106">
        <f>'Cash Flow %s Yr4'!Q101</f>
        <v>0</v>
      </c>
      <c r="R101" s="106">
        <f>'Cash Flow %s Yr4'!R101</f>
        <v>0</v>
      </c>
      <c r="S101" s="105">
        <f t="shared" si="8"/>
        <v>0.99999999999999989</v>
      </c>
    </row>
    <row r="102" spans="1:19" hidden="1" outlineLevel="1" x14ac:dyDescent="0.3">
      <c r="A102" s="35"/>
      <c r="B102" s="62">
        <f>'Expenses Summary'!B59</f>
        <v>0</v>
      </c>
      <c r="C102" s="62">
        <f>'Expenses Summary'!C59</f>
        <v>0</v>
      </c>
      <c r="D102" s="106">
        <f>'Cash Flow %s Yr4'!D102</f>
        <v>0</v>
      </c>
      <c r="E102" s="106">
        <f>'Cash Flow %s Yr4'!E102</f>
        <v>0</v>
      </c>
      <c r="F102" s="106">
        <f>'Cash Flow %s Yr4'!F102</f>
        <v>0.1</v>
      </c>
      <c r="G102" s="106">
        <f>'Cash Flow %s Yr4'!G102</f>
        <v>0.1</v>
      </c>
      <c r="H102" s="106">
        <f>'Cash Flow %s Yr4'!H102</f>
        <v>0.1</v>
      </c>
      <c r="I102" s="106">
        <f>'Cash Flow %s Yr4'!I102</f>
        <v>0.1</v>
      </c>
      <c r="J102" s="106">
        <f>'Cash Flow %s Yr4'!J102</f>
        <v>0.1</v>
      </c>
      <c r="K102" s="106">
        <f>'Cash Flow %s Yr4'!K102</f>
        <v>0.1</v>
      </c>
      <c r="L102" s="106">
        <f>'Cash Flow %s Yr4'!L102</f>
        <v>0.1</v>
      </c>
      <c r="M102" s="106">
        <f>'Cash Flow %s Yr4'!M102</f>
        <v>0.1</v>
      </c>
      <c r="N102" s="106">
        <f>'Cash Flow %s Yr4'!N102</f>
        <v>0.1</v>
      </c>
      <c r="O102" s="106">
        <f>'Cash Flow %s Yr4'!O102</f>
        <v>0.1</v>
      </c>
      <c r="P102" s="106">
        <f>'Cash Flow %s Yr4'!P102</f>
        <v>0</v>
      </c>
      <c r="Q102" s="106">
        <f>'Cash Flow %s Yr4'!Q102</f>
        <v>0</v>
      </c>
      <c r="R102" s="106">
        <f>'Cash Flow %s Yr4'!R102</f>
        <v>0</v>
      </c>
      <c r="S102" s="105">
        <f t="shared" si="8"/>
        <v>0.99999999999999989</v>
      </c>
    </row>
    <row r="103" spans="1:19" hidden="1" outlineLevel="1" x14ac:dyDescent="0.3">
      <c r="A103" s="35"/>
      <c r="B103" s="62">
        <f>'Expenses Summary'!B60</f>
        <v>0</v>
      </c>
      <c r="C103" s="62">
        <f>'Expenses Summary'!C60</f>
        <v>0</v>
      </c>
      <c r="D103" s="106">
        <f>'Cash Flow %s Yr4'!D103</f>
        <v>0</v>
      </c>
      <c r="E103" s="106">
        <f>'Cash Flow %s Yr4'!E103</f>
        <v>0</v>
      </c>
      <c r="F103" s="106">
        <f>'Cash Flow %s Yr4'!F103</f>
        <v>0.1</v>
      </c>
      <c r="G103" s="106">
        <f>'Cash Flow %s Yr4'!G103</f>
        <v>0.1</v>
      </c>
      <c r="H103" s="106">
        <f>'Cash Flow %s Yr4'!H103</f>
        <v>0.1</v>
      </c>
      <c r="I103" s="106">
        <f>'Cash Flow %s Yr4'!I103</f>
        <v>0.1</v>
      </c>
      <c r="J103" s="106">
        <f>'Cash Flow %s Yr4'!J103</f>
        <v>0.1</v>
      </c>
      <c r="K103" s="106">
        <f>'Cash Flow %s Yr4'!K103</f>
        <v>0.1</v>
      </c>
      <c r="L103" s="106">
        <f>'Cash Flow %s Yr4'!L103</f>
        <v>0.1</v>
      </c>
      <c r="M103" s="106">
        <f>'Cash Flow %s Yr4'!M103</f>
        <v>0.1</v>
      </c>
      <c r="N103" s="106">
        <f>'Cash Flow %s Yr4'!N103</f>
        <v>0.1</v>
      </c>
      <c r="O103" s="106">
        <f>'Cash Flow %s Yr4'!O103</f>
        <v>0.1</v>
      </c>
      <c r="P103" s="106">
        <f>'Cash Flow %s Yr4'!P103</f>
        <v>0</v>
      </c>
      <c r="Q103" s="106">
        <f>'Cash Flow %s Yr4'!Q103</f>
        <v>0</v>
      </c>
      <c r="R103" s="106">
        <f>'Cash Flow %s Yr4'!R103</f>
        <v>0</v>
      </c>
      <c r="S103" s="105">
        <f t="shared" si="8"/>
        <v>0.99999999999999989</v>
      </c>
    </row>
    <row r="104" spans="1:19" hidden="1" outlineLevel="1" x14ac:dyDescent="0.3">
      <c r="A104" s="35"/>
      <c r="B104" s="62">
        <f>'Expenses Summary'!B61</f>
        <v>0</v>
      </c>
      <c r="C104" s="62">
        <f>'Expenses Summary'!C61</f>
        <v>0</v>
      </c>
      <c r="D104" s="106">
        <f>'Cash Flow %s Yr4'!D104</f>
        <v>0</v>
      </c>
      <c r="E104" s="106">
        <f>'Cash Flow %s Yr4'!E104</f>
        <v>0</v>
      </c>
      <c r="F104" s="106">
        <f>'Cash Flow %s Yr4'!F104</f>
        <v>0.1</v>
      </c>
      <c r="G104" s="106">
        <f>'Cash Flow %s Yr4'!G104</f>
        <v>0.1</v>
      </c>
      <c r="H104" s="106">
        <f>'Cash Flow %s Yr4'!H104</f>
        <v>0.1</v>
      </c>
      <c r="I104" s="106">
        <f>'Cash Flow %s Yr4'!I104</f>
        <v>0.1</v>
      </c>
      <c r="J104" s="106">
        <f>'Cash Flow %s Yr4'!J104</f>
        <v>0.1</v>
      </c>
      <c r="K104" s="106">
        <f>'Cash Flow %s Yr4'!K104</f>
        <v>0.1</v>
      </c>
      <c r="L104" s="106">
        <f>'Cash Flow %s Yr4'!L104</f>
        <v>0.1</v>
      </c>
      <c r="M104" s="106">
        <f>'Cash Flow %s Yr4'!M104</f>
        <v>0.1</v>
      </c>
      <c r="N104" s="106">
        <f>'Cash Flow %s Yr4'!N104</f>
        <v>0.1</v>
      </c>
      <c r="O104" s="106">
        <f>'Cash Flow %s Yr4'!O104</f>
        <v>0.1</v>
      </c>
      <c r="P104" s="106">
        <f>'Cash Flow %s Yr4'!P104</f>
        <v>0</v>
      </c>
      <c r="Q104" s="106">
        <f>'Cash Flow %s Yr4'!Q104</f>
        <v>0</v>
      </c>
      <c r="R104" s="106">
        <f>'Cash Flow %s Yr4'!R104</f>
        <v>0</v>
      </c>
      <c r="S104" s="105">
        <f t="shared" si="8"/>
        <v>0.99999999999999989</v>
      </c>
    </row>
    <row r="105" spans="1:19" hidden="1" outlineLevel="1" x14ac:dyDescent="0.3">
      <c r="A105" s="35"/>
      <c r="B105" s="62">
        <f>'Expenses Summary'!B62</f>
        <v>0</v>
      </c>
      <c r="C105" s="62">
        <f>'Expenses Summary'!C62</f>
        <v>0</v>
      </c>
      <c r="D105" s="106">
        <f>'Cash Flow %s Yr4'!D105</f>
        <v>0</v>
      </c>
      <c r="E105" s="106">
        <f>'Cash Flow %s Yr4'!E105</f>
        <v>0</v>
      </c>
      <c r="F105" s="106">
        <f>'Cash Flow %s Yr4'!F105</f>
        <v>0.1</v>
      </c>
      <c r="G105" s="106">
        <f>'Cash Flow %s Yr4'!G105</f>
        <v>0.1</v>
      </c>
      <c r="H105" s="106">
        <f>'Cash Flow %s Yr4'!H105</f>
        <v>0.1</v>
      </c>
      <c r="I105" s="106">
        <f>'Cash Flow %s Yr4'!I105</f>
        <v>0.1</v>
      </c>
      <c r="J105" s="106">
        <f>'Cash Flow %s Yr4'!J105</f>
        <v>0.1</v>
      </c>
      <c r="K105" s="106">
        <f>'Cash Flow %s Yr4'!K105</f>
        <v>0.1</v>
      </c>
      <c r="L105" s="106">
        <f>'Cash Flow %s Yr4'!L105</f>
        <v>0.1</v>
      </c>
      <c r="M105" s="106">
        <f>'Cash Flow %s Yr4'!M105</f>
        <v>0.1</v>
      </c>
      <c r="N105" s="106">
        <f>'Cash Flow %s Yr4'!N105</f>
        <v>0.1</v>
      </c>
      <c r="O105" s="106">
        <f>'Cash Flow %s Yr4'!O105</f>
        <v>0.1</v>
      </c>
      <c r="P105" s="106">
        <f>'Cash Flow %s Yr4'!P105</f>
        <v>0</v>
      </c>
      <c r="Q105" s="106">
        <f>'Cash Flow %s Yr4'!Q105</f>
        <v>0</v>
      </c>
      <c r="R105" s="106">
        <f>'Cash Flow %s Yr4'!R105</f>
        <v>0</v>
      </c>
      <c r="S105" s="105">
        <f t="shared" si="8"/>
        <v>0.99999999999999989</v>
      </c>
    </row>
    <row r="106" spans="1:19" hidden="1" outlineLevel="1" x14ac:dyDescent="0.3">
      <c r="A106" s="35"/>
      <c r="B106" s="62">
        <f>'Expenses Summary'!B63</f>
        <v>0</v>
      </c>
      <c r="C106" s="62">
        <f>'Expenses Summary'!C63</f>
        <v>0</v>
      </c>
      <c r="D106" s="106">
        <f>'Cash Flow %s Yr4'!D106</f>
        <v>0</v>
      </c>
      <c r="E106" s="106">
        <f>'Cash Flow %s Yr4'!E106</f>
        <v>0</v>
      </c>
      <c r="F106" s="106">
        <f>'Cash Flow %s Yr4'!F106</f>
        <v>0.1</v>
      </c>
      <c r="G106" s="106">
        <f>'Cash Flow %s Yr4'!G106</f>
        <v>0.1</v>
      </c>
      <c r="H106" s="106">
        <f>'Cash Flow %s Yr4'!H106</f>
        <v>0.1</v>
      </c>
      <c r="I106" s="106">
        <f>'Cash Flow %s Yr4'!I106</f>
        <v>0.1</v>
      </c>
      <c r="J106" s="106">
        <f>'Cash Flow %s Yr4'!J106</f>
        <v>0.1</v>
      </c>
      <c r="K106" s="106">
        <f>'Cash Flow %s Yr4'!K106</f>
        <v>0.1</v>
      </c>
      <c r="L106" s="106">
        <f>'Cash Flow %s Yr4'!L106</f>
        <v>0.1</v>
      </c>
      <c r="M106" s="106">
        <f>'Cash Flow %s Yr4'!M106</f>
        <v>0.1</v>
      </c>
      <c r="N106" s="106">
        <f>'Cash Flow %s Yr4'!N106</f>
        <v>0.1</v>
      </c>
      <c r="O106" s="106">
        <f>'Cash Flow %s Yr4'!O106</f>
        <v>0.1</v>
      </c>
      <c r="P106" s="106">
        <f>'Cash Flow %s Yr4'!P106</f>
        <v>0</v>
      </c>
      <c r="Q106" s="106">
        <f>'Cash Flow %s Yr4'!Q106</f>
        <v>0</v>
      </c>
      <c r="R106" s="106">
        <f>'Cash Flow %s Yr4'!R106</f>
        <v>0</v>
      </c>
      <c r="S106" s="105">
        <f t="shared" si="8"/>
        <v>0.99999999999999989</v>
      </c>
    </row>
    <row r="107" spans="1:19" s="30" customFormat="1" collapsed="1" x14ac:dyDescent="0.3">
      <c r="A107" s="35"/>
      <c r="B107" s="62" t="str">
        <f>'Expenses Summary'!B64</f>
        <v>4700</v>
      </c>
      <c r="C107" s="62" t="str">
        <f>'Expenses Summary'!C64</f>
        <v>Food and Food Supplies</v>
      </c>
      <c r="D107" s="106">
        <f>'Cash Flow %s Yr4'!D107</f>
        <v>0</v>
      </c>
      <c r="E107" s="106">
        <f>'Cash Flow %s Yr4'!E107</f>
        <v>0</v>
      </c>
      <c r="F107" s="106">
        <f>'Cash Flow %s Yr4'!F107</f>
        <v>0.1</v>
      </c>
      <c r="G107" s="106">
        <f>'Cash Flow %s Yr4'!G107</f>
        <v>0.1</v>
      </c>
      <c r="H107" s="106">
        <f>'Cash Flow %s Yr4'!H107</f>
        <v>0.1</v>
      </c>
      <c r="I107" s="106">
        <f>'Cash Flow %s Yr4'!I107</f>
        <v>0.1</v>
      </c>
      <c r="J107" s="106">
        <f>'Cash Flow %s Yr4'!J107</f>
        <v>0.1</v>
      </c>
      <c r="K107" s="106">
        <f>'Cash Flow %s Yr4'!K107</f>
        <v>0.1</v>
      </c>
      <c r="L107" s="106">
        <f>'Cash Flow %s Yr4'!L107</f>
        <v>0.1</v>
      </c>
      <c r="M107" s="106">
        <f>'Cash Flow %s Yr4'!M107</f>
        <v>0.1</v>
      </c>
      <c r="N107" s="106">
        <f>'Cash Flow %s Yr4'!N107</f>
        <v>0.1</v>
      </c>
      <c r="O107" s="106">
        <f>'Cash Flow %s Yr4'!O107</f>
        <v>0.1</v>
      </c>
      <c r="P107" s="106">
        <f>'Cash Flow %s Yr4'!P107</f>
        <v>0</v>
      </c>
      <c r="Q107" s="106">
        <f>'Cash Flow %s Yr4'!Q107</f>
        <v>0</v>
      </c>
      <c r="R107" s="106">
        <f>'Cash Flow %s Yr4'!R107</f>
        <v>0</v>
      </c>
      <c r="S107" s="105">
        <f>SUM(D107:R107)</f>
        <v>0.99999999999999989</v>
      </c>
    </row>
    <row r="108" spans="1:19" s="30" customFormat="1" x14ac:dyDescent="0.3">
      <c r="A108" s="35"/>
      <c r="B108" s="118"/>
      <c r="C108" s="87"/>
      <c r="D108" s="94"/>
      <c r="E108" s="94"/>
      <c r="F108" s="113"/>
      <c r="G108" s="113"/>
      <c r="H108" s="113"/>
      <c r="I108" s="113"/>
      <c r="J108" s="113"/>
      <c r="K108" s="113"/>
      <c r="L108" s="113"/>
      <c r="M108" s="113"/>
      <c r="N108" s="113"/>
      <c r="O108" s="113"/>
      <c r="P108" s="102"/>
      <c r="Q108" s="102"/>
      <c r="R108" s="102"/>
      <c r="S108" s="105"/>
    </row>
    <row r="109" spans="1:19" s="30" customFormat="1" x14ac:dyDescent="0.3">
      <c r="A109" s="35"/>
      <c r="B109" s="4"/>
      <c r="C109" s="3"/>
      <c r="D109" s="89"/>
      <c r="E109" s="89"/>
      <c r="F109" s="89"/>
      <c r="G109" s="89"/>
      <c r="H109" s="89"/>
      <c r="I109" s="89"/>
      <c r="J109" s="89"/>
      <c r="K109" s="89"/>
      <c r="L109" s="89"/>
      <c r="M109" s="89"/>
      <c r="N109" s="89"/>
      <c r="O109" s="89"/>
      <c r="P109" s="89"/>
      <c r="Q109" s="89"/>
      <c r="R109" s="89"/>
      <c r="S109" s="105"/>
    </row>
    <row r="110" spans="1:19" s="30" customFormat="1" x14ac:dyDescent="0.3">
      <c r="B110" s="5" t="s">
        <v>721</v>
      </c>
      <c r="C110" s="3"/>
      <c r="D110" s="89"/>
      <c r="E110" s="89"/>
      <c r="F110" s="89"/>
      <c r="G110" s="89"/>
      <c r="H110" s="89"/>
      <c r="I110" s="89"/>
      <c r="J110" s="89"/>
      <c r="K110" s="89"/>
      <c r="L110" s="89"/>
      <c r="M110" s="89"/>
      <c r="N110" s="89"/>
      <c r="O110" s="89"/>
      <c r="P110" s="89"/>
      <c r="Q110" s="89"/>
      <c r="R110" s="89"/>
      <c r="S110" s="105"/>
    </row>
    <row r="111" spans="1:19" s="30" customFormat="1" x14ac:dyDescent="0.3">
      <c r="A111" s="35"/>
      <c r="B111" s="62" t="str">
        <f>'Expenses Summary'!B68</f>
        <v>5200</v>
      </c>
      <c r="C111" s="62" t="str">
        <f>'Expenses Summary'!C68</f>
        <v>Travel and Conferences</v>
      </c>
      <c r="D111" s="106">
        <f>'Cash Flow %s Yr4'!D111</f>
        <v>0</v>
      </c>
      <c r="E111" s="106">
        <f>'Cash Flow %s Yr4'!E111</f>
        <v>0</v>
      </c>
      <c r="F111" s="106">
        <f>'Cash Flow %s Yr4'!F111</f>
        <v>0.3</v>
      </c>
      <c r="G111" s="106">
        <f>'Cash Flow %s Yr4'!G111</f>
        <v>0.1</v>
      </c>
      <c r="H111" s="106">
        <f>'Cash Flow %s Yr4'!H111</f>
        <v>0.1</v>
      </c>
      <c r="I111" s="106">
        <f>'Cash Flow %s Yr4'!I111</f>
        <v>0.1</v>
      </c>
      <c r="J111" s="106">
        <f>'Cash Flow %s Yr4'!J111</f>
        <v>0.1</v>
      </c>
      <c r="K111" s="106">
        <f>'Cash Flow %s Yr4'!K111</f>
        <v>0.1</v>
      </c>
      <c r="L111" s="106">
        <f>'Cash Flow %s Yr4'!L111</f>
        <v>0.1</v>
      </c>
      <c r="M111" s="106">
        <f>'Cash Flow %s Yr4'!M111</f>
        <v>0.1</v>
      </c>
      <c r="N111" s="106">
        <f>'Cash Flow %s Yr4'!N111</f>
        <v>0</v>
      </c>
      <c r="O111" s="106">
        <f>'Cash Flow %s Yr4'!O111</f>
        <v>0</v>
      </c>
      <c r="P111" s="106">
        <f>'Cash Flow %s Yr4'!P111</f>
        <v>0</v>
      </c>
      <c r="Q111" s="106">
        <f>'Cash Flow %s Yr4'!Q111</f>
        <v>0</v>
      </c>
      <c r="R111" s="106">
        <f>'Cash Flow %s Yr4'!R111</f>
        <v>0</v>
      </c>
      <c r="S111" s="105">
        <f t="shared" ref="S111:S141" si="9">SUM(D111:R111)</f>
        <v>0.99999999999999989</v>
      </c>
    </row>
    <row r="112" spans="1:19" s="30" customFormat="1" x14ac:dyDescent="0.3">
      <c r="A112" s="35"/>
      <c r="B112" s="62" t="str">
        <f>'Expenses Summary'!B69</f>
        <v>5210</v>
      </c>
      <c r="C112" s="62" t="str">
        <f>'Expenses Summary'!C69</f>
        <v>Training and Development Expense</v>
      </c>
      <c r="D112" s="106">
        <f>'Cash Flow %s Yr4'!D112</f>
        <v>0</v>
      </c>
      <c r="E112" s="106">
        <f>'Cash Flow %s Yr4'!E112</f>
        <v>0</v>
      </c>
      <c r="F112" s="106">
        <f>'Cash Flow %s Yr4'!F112</f>
        <v>0.3</v>
      </c>
      <c r="G112" s="106">
        <f>'Cash Flow %s Yr4'!G112</f>
        <v>0.1</v>
      </c>
      <c r="H112" s="106">
        <f>'Cash Flow %s Yr4'!H112</f>
        <v>0.1</v>
      </c>
      <c r="I112" s="106">
        <f>'Cash Flow %s Yr4'!I112</f>
        <v>0.1</v>
      </c>
      <c r="J112" s="106">
        <f>'Cash Flow %s Yr4'!J112</f>
        <v>0.1</v>
      </c>
      <c r="K112" s="106">
        <f>'Cash Flow %s Yr4'!K112</f>
        <v>0.1</v>
      </c>
      <c r="L112" s="106">
        <f>'Cash Flow %s Yr4'!L112</f>
        <v>0.1</v>
      </c>
      <c r="M112" s="106">
        <f>'Cash Flow %s Yr4'!M112</f>
        <v>0.1</v>
      </c>
      <c r="N112" s="106">
        <f>'Cash Flow %s Yr4'!N112</f>
        <v>0</v>
      </c>
      <c r="O112" s="106">
        <f>'Cash Flow %s Yr4'!O112</f>
        <v>0</v>
      </c>
      <c r="P112" s="106">
        <f>'Cash Flow %s Yr4'!P112</f>
        <v>0</v>
      </c>
      <c r="Q112" s="106">
        <f>'Cash Flow %s Yr4'!Q112</f>
        <v>0</v>
      </c>
      <c r="R112" s="106">
        <f>'Cash Flow %s Yr4'!R112</f>
        <v>0</v>
      </c>
      <c r="S112" s="105">
        <f t="shared" si="9"/>
        <v>0.99999999999999989</v>
      </c>
    </row>
    <row r="113" spans="1:19" s="30" customFormat="1" x14ac:dyDescent="0.3">
      <c r="A113" s="35"/>
      <c r="B113" s="62" t="str">
        <f>'Expenses Summary'!B70</f>
        <v>5300</v>
      </c>
      <c r="C113" s="62" t="str">
        <f>'Expenses Summary'!C70</f>
        <v>Dues and Memberships</v>
      </c>
      <c r="D113" s="106">
        <f>'Cash Flow %s Yr4'!D113</f>
        <v>0</v>
      </c>
      <c r="E113" s="106">
        <f>'Cash Flow %s Yr4'!E113</f>
        <v>0</v>
      </c>
      <c r="F113" s="106">
        <f>'Cash Flow %s Yr4'!F113</f>
        <v>0.3</v>
      </c>
      <c r="G113" s="106">
        <f>'Cash Flow %s Yr4'!G113</f>
        <v>0.1</v>
      </c>
      <c r="H113" s="106">
        <f>'Cash Flow %s Yr4'!H113</f>
        <v>0.1</v>
      </c>
      <c r="I113" s="106">
        <f>'Cash Flow %s Yr4'!I113</f>
        <v>0.1</v>
      </c>
      <c r="J113" s="106">
        <f>'Cash Flow %s Yr4'!J113</f>
        <v>0.1</v>
      </c>
      <c r="K113" s="106">
        <f>'Cash Flow %s Yr4'!K113</f>
        <v>0.1</v>
      </c>
      <c r="L113" s="106">
        <f>'Cash Flow %s Yr4'!L113</f>
        <v>0.1</v>
      </c>
      <c r="M113" s="106">
        <f>'Cash Flow %s Yr4'!M113</f>
        <v>0.1</v>
      </c>
      <c r="N113" s="106">
        <f>'Cash Flow %s Yr4'!N113</f>
        <v>0</v>
      </c>
      <c r="O113" s="106">
        <f>'Cash Flow %s Yr4'!O113</f>
        <v>0</v>
      </c>
      <c r="P113" s="106">
        <f>'Cash Flow %s Yr4'!P113</f>
        <v>0</v>
      </c>
      <c r="Q113" s="106">
        <f>'Cash Flow %s Yr4'!Q113</f>
        <v>0</v>
      </c>
      <c r="R113" s="106">
        <f>'Cash Flow %s Yr4'!R113</f>
        <v>0</v>
      </c>
      <c r="S113" s="105">
        <f t="shared" si="9"/>
        <v>0.99999999999999989</v>
      </c>
    </row>
    <row r="114" spans="1:19" s="30" customFormat="1" x14ac:dyDescent="0.3">
      <c r="A114" s="35"/>
      <c r="B114" s="62" t="str">
        <f>'Expenses Summary'!B71</f>
        <v>5400</v>
      </c>
      <c r="C114" s="62" t="str">
        <f>'Expenses Summary'!C71</f>
        <v>Insurance</v>
      </c>
      <c r="D114" s="106">
        <f>'Cash Flow %s Yr4'!D114</f>
        <v>0</v>
      </c>
      <c r="E114" s="106">
        <f>'Cash Flow %s Yr4'!E114</f>
        <v>0</v>
      </c>
      <c r="F114" s="106">
        <f>'Cash Flow %s Yr4'!F114</f>
        <v>0.3</v>
      </c>
      <c r="G114" s="106">
        <f>'Cash Flow %s Yr4'!G114</f>
        <v>0.1</v>
      </c>
      <c r="H114" s="106">
        <f>'Cash Flow %s Yr4'!H114</f>
        <v>0.1</v>
      </c>
      <c r="I114" s="106">
        <f>'Cash Flow %s Yr4'!I114</f>
        <v>0.1</v>
      </c>
      <c r="J114" s="106">
        <f>'Cash Flow %s Yr4'!J114</f>
        <v>0.1</v>
      </c>
      <c r="K114" s="106">
        <f>'Cash Flow %s Yr4'!K114</f>
        <v>0.1</v>
      </c>
      <c r="L114" s="106">
        <f>'Cash Flow %s Yr4'!L114</f>
        <v>0.1</v>
      </c>
      <c r="M114" s="106">
        <f>'Cash Flow %s Yr4'!M114</f>
        <v>0.1</v>
      </c>
      <c r="N114" s="106">
        <f>'Cash Flow %s Yr4'!N114</f>
        <v>0</v>
      </c>
      <c r="O114" s="106">
        <f>'Cash Flow %s Yr4'!O114</f>
        <v>0</v>
      </c>
      <c r="P114" s="106">
        <f>'Cash Flow %s Yr4'!P114</f>
        <v>0</v>
      </c>
      <c r="Q114" s="106">
        <f>'Cash Flow %s Yr4'!Q114</f>
        <v>0</v>
      </c>
      <c r="R114" s="106">
        <f>'Cash Flow %s Yr4'!R114</f>
        <v>0</v>
      </c>
      <c r="S114" s="105">
        <f t="shared" si="9"/>
        <v>0.99999999999999989</v>
      </c>
    </row>
    <row r="115" spans="1:19" s="30" customFormat="1" x14ac:dyDescent="0.3">
      <c r="A115" s="35"/>
      <c r="B115" s="62" t="str">
        <f>'Expenses Summary'!B72</f>
        <v>5450</v>
      </c>
      <c r="C115" s="62" t="str">
        <f>'Expenses Summary'!C72</f>
        <v>Property Tax</v>
      </c>
      <c r="D115" s="106">
        <f>'Cash Flow %s Yr4'!D115</f>
        <v>0</v>
      </c>
      <c r="E115" s="106">
        <f>'Cash Flow %s Yr4'!E115</f>
        <v>0</v>
      </c>
      <c r="F115" s="106">
        <f>'Cash Flow %s Yr4'!F115</f>
        <v>0.6</v>
      </c>
      <c r="G115" s="106">
        <f>'Cash Flow %s Yr4'!G115</f>
        <v>0</v>
      </c>
      <c r="H115" s="106">
        <f>'Cash Flow %s Yr4'!H115</f>
        <v>0</v>
      </c>
      <c r="I115" s="106">
        <f>'Cash Flow %s Yr4'!I115</f>
        <v>0</v>
      </c>
      <c r="J115" s="106">
        <f>'Cash Flow %s Yr4'!J115</f>
        <v>0.4</v>
      </c>
      <c r="K115" s="106">
        <f>'Cash Flow %s Yr4'!K115</f>
        <v>0</v>
      </c>
      <c r="L115" s="106">
        <f>'Cash Flow %s Yr4'!L115</f>
        <v>0</v>
      </c>
      <c r="M115" s="106">
        <f>'Cash Flow %s Yr4'!M115</f>
        <v>0</v>
      </c>
      <c r="N115" s="106">
        <f>'Cash Flow %s Yr4'!N115</f>
        <v>0</v>
      </c>
      <c r="O115" s="106">
        <f>'Cash Flow %s Yr4'!O115</f>
        <v>0</v>
      </c>
      <c r="P115" s="106">
        <f>'Cash Flow %s Yr4'!P115</f>
        <v>0</v>
      </c>
      <c r="Q115" s="106">
        <f>'Cash Flow %s Yr4'!Q115</f>
        <v>0</v>
      </c>
      <c r="R115" s="106">
        <f>'Cash Flow %s Yr4'!R115</f>
        <v>0</v>
      </c>
      <c r="S115" s="105">
        <f t="shared" si="9"/>
        <v>1</v>
      </c>
    </row>
    <row r="116" spans="1:19" s="30" customFormat="1" x14ac:dyDescent="0.3">
      <c r="A116" s="35"/>
      <c r="B116" s="62" t="str">
        <f>'Expenses Summary'!B73</f>
        <v>5500</v>
      </c>
      <c r="C116" s="62" t="str">
        <f>'Expenses Summary'!C73</f>
        <v>Operation and Housekeeping Services/Supplies</v>
      </c>
      <c r="D116" s="106">
        <f>'Cash Flow %s Yr4'!D116</f>
        <v>8.3000000000000004E-2</v>
      </c>
      <c r="E116" s="106">
        <f>'Cash Flow %s Yr4'!E116</f>
        <v>8.3000000000000004E-2</v>
      </c>
      <c r="F116" s="106">
        <f>'Cash Flow %s Yr4'!F116</f>
        <v>8.3000000000000004E-2</v>
      </c>
      <c r="G116" s="106">
        <f>'Cash Flow %s Yr4'!G116</f>
        <v>8.3000000000000004E-2</v>
      </c>
      <c r="H116" s="106">
        <f>'Cash Flow %s Yr4'!H116</f>
        <v>8.3000000000000004E-2</v>
      </c>
      <c r="I116" s="106">
        <f>'Cash Flow %s Yr4'!I116</f>
        <v>8.3000000000000004E-2</v>
      </c>
      <c r="J116" s="106">
        <f>'Cash Flow %s Yr4'!J116</f>
        <v>8.3000000000000004E-2</v>
      </c>
      <c r="K116" s="106">
        <f>'Cash Flow %s Yr4'!K116</f>
        <v>8.3000000000000004E-2</v>
      </c>
      <c r="L116" s="106">
        <f>'Cash Flow %s Yr4'!L116</f>
        <v>8.4000000000000005E-2</v>
      </c>
      <c r="M116" s="106">
        <f>'Cash Flow %s Yr4'!M116</f>
        <v>8.4000000000000005E-2</v>
      </c>
      <c r="N116" s="106">
        <f>'Cash Flow %s Yr4'!N116</f>
        <v>8.4000000000000005E-2</v>
      </c>
      <c r="O116" s="106">
        <f>'Cash Flow %s Yr4'!O116</f>
        <v>8.4000000000000005E-2</v>
      </c>
      <c r="P116" s="106">
        <f>'Cash Flow %s Yr4'!P116</f>
        <v>0</v>
      </c>
      <c r="Q116" s="106">
        <f>'Cash Flow %s Yr4'!Q116</f>
        <v>0</v>
      </c>
      <c r="R116" s="106">
        <f>'Cash Flow %s Yr4'!R116</f>
        <v>0</v>
      </c>
      <c r="S116" s="105">
        <f t="shared" si="9"/>
        <v>0.99999999999999989</v>
      </c>
    </row>
    <row r="117" spans="1:19" s="30" customFormat="1" x14ac:dyDescent="0.3">
      <c r="A117" s="35"/>
      <c r="B117" s="62" t="str">
        <f>'Expenses Summary'!B74</f>
        <v>5501</v>
      </c>
      <c r="C117" s="62" t="str">
        <f>'Expenses Summary'!C74</f>
        <v>Utilities</v>
      </c>
      <c r="D117" s="106">
        <f>'Cash Flow %s Yr4'!D117</f>
        <v>8.3000000000000004E-2</v>
      </c>
      <c r="E117" s="106">
        <f>'Cash Flow %s Yr4'!E117</f>
        <v>8.3000000000000004E-2</v>
      </c>
      <c r="F117" s="106">
        <f>'Cash Flow %s Yr4'!F117</f>
        <v>8.3000000000000004E-2</v>
      </c>
      <c r="G117" s="106">
        <f>'Cash Flow %s Yr4'!G117</f>
        <v>8.3000000000000004E-2</v>
      </c>
      <c r="H117" s="106">
        <f>'Cash Flow %s Yr4'!H117</f>
        <v>8.3000000000000004E-2</v>
      </c>
      <c r="I117" s="106">
        <f>'Cash Flow %s Yr4'!I117</f>
        <v>8.3000000000000004E-2</v>
      </c>
      <c r="J117" s="106">
        <f>'Cash Flow %s Yr4'!J117</f>
        <v>8.3000000000000004E-2</v>
      </c>
      <c r="K117" s="106">
        <f>'Cash Flow %s Yr4'!K117</f>
        <v>8.3000000000000004E-2</v>
      </c>
      <c r="L117" s="106">
        <f>'Cash Flow %s Yr4'!L117</f>
        <v>8.4000000000000005E-2</v>
      </c>
      <c r="M117" s="106">
        <f>'Cash Flow %s Yr4'!M117</f>
        <v>8.4000000000000005E-2</v>
      </c>
      <c r="N117" s="106">
        <f>'Cash Flow %s Yr4'!N117</f>
        <v>8.4000000000000005E-2</v>
      </c>
      <c r="O117" s="106">
        <f>'Cash Flow %s Yr4'!O117</f>
        <v>8.4000000000000005E-2</v>
      </c>
      <c r="P117" s="106">
        <f>'Cash Flow %s Yr4'!P117</f>
        <v>0</v>
      </c>
      <c r="Q117" s="106">
        <f>'Cash Flow %s Yr4'!Q117</f>
        <v>0</v>
      </c>
      <c r="R117" s="106">
        <f>'Cash Flow %s Yr4'!R117</f>
        <v>0</v>
      </c>
      <c r="S117" s="105">
        <f t="shared" si="9"/>
        <v>0.99999999999999989</v>
      </c>
    </row>
    <row r="118" spans="1:19" s="30" customFormat="1" x14ac:dyDescent="0.3">
      <c r="A118" s="35"/>
      <c r="B118" s="62" t="str">
        <f>'Expenses Summary'!B75</f>
        <v>5505</v>
      </c>
      <c r="C118" s="62" t="str">
        <f>'Expenses Summary'!C75</f>
        <v>Student Transportation / Field Trips</v>
      </c>
      <c r="D118" s="106">
        <f>'Cash Flow %s Yr4'!D118</f>
        <v>0</v>
      </c>
      <c r="E118" s="106">
        <f>'Cash Flow %s Yr4'!E118</f>
        <v>0</v>
      </c>
      <c r="F118" s="106">
        <f>'Cash Flow %s Yr4'!F118</f>
        <v>0.1</v>
      </c>
      <c r="G118" s="106">
        <f>'Cash Flow %s Yr4'!G118</f>
        <v>0.1</v>
      </c>
      <c r="H118" s="106">
        <f>'Cash Flow %s Yr4'!H118</f>
        <v>0.1</v>
      </c>
      <c r="I118" s="106">
        <f>'Cash Flow %s Yr4'!I118</f>
        <v>0.1</v>
      </c>
      <c r="J118" s="106">
        <f>'Cash Flow %s Yr4'!J118</f>
        <v>0.1</v>
      </c>
      <c r="K118" s="106">
        <f>'Cash Flow %s Yr4'!K118</f>
        <v>0.1</v>
      </c>
      <c r="L118" s="106">
        <f>'Cash Flow %s Yr4'!L118</f>
        <v>0.1</v>
      </c>
      <c r="M118" s="106">
        <f>'Cash Flow %s Yr4'!M118</f>
        <v>0.1</v>
      </c>
      <c r="N118" s="106">
        <f>'Cash Flow %s Yr4'!N118</f>
        <v>0.1</v>
      </c>
      <c r="O118" s="106">
        <f>'Cash Flow %s Yr4'!O118</f>
        <v>0.1</v>
      </c>
      <c r="P118" s="106">
        <f>'Cash Flow %s Yr4'!P118</f>
        <v>0</v>
      </c>
      <c r="Q118" s="106">
        <f>'Cash Flow %s Yr4'!Q118</f>
        <v>0</v>
      </c>
      <c r="R118" s="106">
        <f>'Cash Flow %s Yr4'!R118</f>
        <v>0</v>
      </c>
      <c r="S118" s="105">
        <f t="shared" si="9"/>
        <v>0.99999999999999989</v>
      </c>
    </row>
    <row r="119" spans="1:19" s="30" customFormat="1" x14ac:dyDescent="0.3">
      <c r="A119" s="35"/>
      <c r="B119" s="62" t="str">
        <f>'Expenses Summary'!B76</f>
        <v>5600</v>
      </c>
      <c r="C119" s="62" t="str">
        <f>'Expenses Summary'!C76</f>
        <v>Space Rental/Leases Expense</v>
      </c>
      <c r="D119" s="106">
        <f>'Cash Flow %s Yr4'!D119</f>
        <v>8.3000000000000004E-2</v>
      </c>
      <c r="E119" s="106">
        <f>'Cash Flow %s Yr4'!E119</f>
        <v>8.3000000000000004E-2</v>
      </c>
      <c r="F119" s="106">
        <f>'Cash Flow %s Yr4'!F119</f>
        <v>8.3000000000000004E-2</v>
      </c>
      <c r="G119" s="106">
        <f>'Cash Flow %s Yr4'!G119</f>
        <v>8.3000000000000004E-2</v>
      </c>
      <c r="H119" s="106">
        <f>'Cash Flow %s Yr4'!H119</f>
        <v>8.3000000000000004E-2</v>
      </c>
      <c r="I119" s="106">
        <f>'Cash Flow %s Yr4'!I119</f>
        <v>8.3000000000000004E-2</v>
      </c>
      <c r="J119" s="106">
        <f>'Cash Flow %s Yr4'!J119</f>
        <v>8.3000000000000004E-2</v>
      </c>
      <c r="K119" s="106">
        <f>'Cash Flow %s Yr4'!K119</f>
        <v>8.3000000000000004E-2</v>
      </c>
      <c r="L119" s="106">
        <f>'Cash Flow %s Yr4'!L119</f>
        <v>8.4000000000000005E-2</v>
      </c>
      <c r="M119" s="106">
        <f>'Cash Flow %s Yr4'!M119</f>
        <v>8.4000000000000005E-2</v>
      </c>
      <c r="N119" s="106">
        <f>'Cash Flow %s Yr4'!N119</f>
        <v>8.4000000000000005E-2</v>
      </c>
      <c r="O119" s="106">
        <f>'Cash Flow %s Yr4'!O119</f>
        <v>8.4000000000000005E-2</v>
      </c>
      <c r="P119" s="106">
        <f>'Cash Flow %s Yr4'!P119</f>
        <v>0</v>
      </c>
      <c r="Q119" s="106">
        <f>'Cash Flow %s Yr4'!Q119</f>
        <v>0</v>
      </c>
      <c r="R119" s="106">
        <f>'Cash Flow %s Yr4'!R119</f>
        <v>0</v>
      </c>
      <c r="S119" s="105">
        <f t="shared" si="9"/>
        <v>0.99999999999999989</v>
      </c>
    </row>
    <row r="120" spans="1:19" s="30" customFormat="1" x14ac:dyDescent="0.3">
      <c r="A120" s="35"/>
      <c r="B120" s="62" t="str">
        <f>'Expenses Summary'!B77</f>
        <v>5601</v>
      </c>
      <c r="C120" s="62" t="str">
        <f>'Expenses Summary'!C77</f>
        <v>Building Maintenance</v>
      </c>
      <c r="D120" s="106">
        <f>'Cash Flow %s Yr4'!D120</f>
        <v>8.3000000000000004E-2</v>
      </c>
      <c r="E120" s="106">
        <f>'Cash Flow %s Yr4'!E120</f>
        <v>8.3000000000000004E-2</v>
      </c>
      <c r="F120" s="106">
        <f>'Cash Flow %s Yr4'!F120</f>
        <v>8.3000000000000004E-2</v>
      </c>
      <c r="G120" s="106">
        <f>'Cash Flow %s Yr4'!G120</f>
        <v>8.3000000000000004E-2</v>
      </c>
      <c r="H120" s="106">
        <f>'Cash Flow %s Yr4'!H120</f>
        <v>8.3000000000000004E-2</v>
      </c>
      <c r="I120" s="106">
        <f>'Cash Flow %s Yr4'!I120</f>
        <v>8.3000000000000004E-2</v>
      </c>
      <c r="J120" s="106">
        <f>'Cash Flow %s Yr4'!J120</f>
        <v>8.3000000000000004E-2</v>
      </c>
      <c r="K120" s="106">
        <f>'Cash Flow %s Yr4'!K120</f>
        <v>8.3000000000000004E-2</v>
      </c>
      <c r="L120" s="106">
        <f>'Cash Flow %s Yr4'!L120</f>
        <v>8.4000000000000005E-2</v>
      </c>
      <c r="M120" s="106">
        <f>'Cash Flow %s Yr4'!M120</f>
        <v>8.4000000000000005E-2</v>
      </c>
      <c r="N120" s="106">
        <f>'Cash Flow %s Yr4'!N120</f>
        <v>8.4000000000000005E-2</v>
      </c>
      <c r="O120" s="106">
        <f>'Cash Flow %s Yr4'!O120</f>
        <v>8.4000000000000005E-2</v>
      </c>
      <c r="P120" s="106">
        <f>'Cash Flow %s Yr4'!P120</f>
        <v>0</v>
      </c>
      <c r="Q120" s="106">
        <f>'Cash Flow %s Yr4'!Q120</f>
        <v>0</v>
      </c>
      <c r="R120" s="106">
        <f>'Cash Flow %s Yr4'!R120</f>
        <v>0</v>
      </c>
      <c r="S120" s="105">
        <f t="shared" si="9"/>
        <v>0.99999999999999989</v>
      </c>
    </row>
    <row r="121" spans="1:19" s="30" customFormat="1" x14ac:dyDescent="0.3">
      <c r="A121" s="35"/>
      <c r="B121" s="62" t="str">
        <f>'Expenses Summary'!B78</f>
        <v>5602</v>
      </c>
      <c r="C121" s="62" t="str">
        <f>'Expenses Summary'!C78</f>
        <v>Other Space Rental</v>
      </c>
      <c r="D121" s="106">
        <f>'Cash Flow %s Yr4'!D121</f>
        <v>8.3000000000000004E-2</v>
      </c>
      <c r="E121" s="106">
        <f>'Cash Flow %s Yr4'!E121</f>
        <v>8.3000000000000004E-2</v>
      </c>
      <c r="F121" s="106">
        <f>'Cash Flow %s Yr4'!F121</f>
        <v>8.3000000000000004E-2</v>
      </c>
      <c r="G121" s="106">
        <f>'Cash Flow %s Yr4'!G121</f>
        <v>8.3000000000000004E-2</v>
      </c>
      <c r="H121" s="106">
        <f>'Cash Flow %s Yr4'!H121</f>
        <v>8.3000000000000004E-2</v>
      </c>
      <c r="I121" s="106">
        <f>'Cash Flow %s Yr4'!I121</f>
        <v>8.3000000000000004E-2</v>
      </c>
      <c r="J121" s="106">
        <f>'Cash Flow %s Yr4'!J121</f>
        <v>8.3000000000000004E-2</v>
      </c>
      <c r="K121" s="106">
        <f>'Cash Flow %s Yr4'!K121</f>
        <v>8.3000000000000004E-2</v>
      </c>
      <c r="L121" s="106">
        <f>'Cash Flow %s Yr4'!L121</f>
        <v>8.4000000000000005E-2</v>
      </c>
      <c r="M121" s="106">
        <f>'Cash Flow %s Yr4'!M121</f>
        <v>8.4000000000000005E-2</v>
      </c>
      <c r="N121" s="106">
        <f>'Cash Flow %s Yr4'!N121</f>
        <v>8.4000000000000005E-2</v>
      </c>
      <c r="O121" s="106">
        <f>'Cash Flow %s Yr4'!O121</f>
        <v>8.4000000000000005E-2</v>
      </c>
      <c r="P121" s="106">
        <f>'Cash Flow %s Yr4'!P121</f>
        <v>0</v>
      </c>
      <c r="Q121" s="106">
        <f>'Cash Flow %s Yr4'!Q121</f>
        <v>0</v>
      </c>
      <c r="R121" s="106">
        <f>'Cash Flow %s Yr4'!R121</f>
        <v>0</v>
      </c>
      <c r="S121" s="105">
        <f t="shared" si="9"/>
        <v>0.99999999999999989</v>
      </c>
    </row>
    <row r="122" spans="1:19" s="30" customFormat="1" x14ac:dyDescent="0.3">
      <c r="A122" s="35"/>
      <c r="B122" s="62" t="str">
        <f>'Expenses Summary'!B79</f>
        <v>5605</v>
      </c>
      <c r="C122" s="62" t="str">
        <f>'Expenses Summary'!C79</f>
        <v>Equipment Rental/Lease Expense</v>
      </c>
      <c r="D122" s="106">
        <f>'Cash Flow %s Yr4'!D122</f>
        <v>8.3000000000000004E-2</v>
      </c>
      <c r="E122" s="106">
        <f>'Cash Flow %s Yr4'!E122</f>
        <v>8.3000000000000004E-2</v>
      </c>
      <c r="F122" s="106">
        <f>'Cash Flow %s Yr4'!F122</f>
        <v>8.3000000000000004E-2</v>
      </c>
      <c r="G122" s="106">
        <f>'Cash Flow %s Yr4'!G122</f>
        <v>8.3000000000000004E-2</v>
      </c>
      <c r="H122" s="106">
        <f>'Cash Flow %s Yr4'!H122</f>
        <v>8.3000000000000004E-2</v>
      </c>
      <c r="I122" s="106">
        <f>'Cash Flow %s Yr4'!I122</f>
        <v>8.3000000000000004E-2</v>
      </c>
      <c r="J122" s="106">
        <f>'Cash Flow %s Yr4'!J122</f>
        <v>8.3000000000000004E-2</v>
      </c>
      <c r="K122" s="106">
        <f>'Cash Flow %s Yr4'!K122</f>
        <v>8.3000000000000004E-2</v>
      </c>
      <c r="L122" s="106">
        <f>'Cash Flow %s Yr4'!L122</f>
        <v>8.4000000000000005E-2</v>
      </c>
      <c r="M122" s="106">
        <f>'Cash Flow %s Yr4'!M122</f>
        <v>8.4000000000000005E-2</v>
      </c>
      <c r="N122" s="106">
        <f>'Cash Flow %s Yr4'!N122</f>
        <v>8.4000000000000005E-2</v>
      </c>
      <c r="O122" s="106">
        <f>'Cash Flow %s Yr4'!O122</f>
        <v>8.4000000000000005E-2</v>
      </c>
      <c r="P122" s="106">
        <f>'Cash Flow %s Yr4'!P122</f>
        <v>0</v>
      </c>
      <c r="Q122" s="106">
        <f>'Cash Flow %s Yr4'!Q122</f>
        <v>0</v>
      </c>
      <c r="R122" s="106">
        <f>'Cash Flow %s Yr4'!R122</f>
        <v>0</v>
      </c>
      <c r="S122" s="105">
        <f t="shared" si="9"/>
        <v>0.99999999999999989</v>
      </c>
    </row>
    <row r="123" spans="1:19" s="30" customFormat="1" x14ac:dyDescent="0.3">
      <c r="A123" s="35"/>
      <c r="B123" s="62" t="str">
        <f>'Expenses Summary'!B80</f>
        <v>5610</v>
      </c>
      <c r="C123" s="62" t="str">
        <f>'Expenses Summary'!C80</f>
        <v>Equipment Repair</v>
      </c>
      <c r="D123" s="106">
        <f>'Cash Flow %s Yr4'!D123</f>
        <v>8.3000000000000004E-2</v>
      </c>
      <c r="E123" s="106">
        <f>'Cash Flow %s Yr4'!E123</f>
        <v>8.3000000000000004E-2</v>
      </c>
      <c r="F123" s="106">
        <f>'Cash Flow %s Yr4'!F123</f>
        <v>8.3000000000000004E-2</v>
      </c>
      <c r="G123" s="106">
        <f>'Cash Flow %s Yr4'!G123</f>
        <v>8.3000000000000004E-2</v>
      </c>
      <c r="H123" s="106">
        <f>'Cash Flow %s Yr4'!H123</f>
        <v>8.3000000000000004E-2</v>
      </c>
      <c r="I123" s="106">
        <f>'Cash Flow %s Yr4'!I123</f>
        <v>8.3000000000000004E-2</v>
      </c>
      <c r="J123" s="106">
        <f>'Cash Flow %s Yr4'!J123</f>
        <v>8.3000000000000004E-2</v>
      </c>
      <c r="K123" s="106">
        <f>'Cash Flow %s Yr4'!K123</f>
        <v>8.3000000000000004E-2</v>
      </c>
      <c r="L123" s="106">
        <f>'Cash Flow %s Yr4'!L123</f>
        <v>8.4000000000000005E-2</v>
      </c>
      <c r="M123" s="106">
        <f>'Cash Flow %s Yr4'!M123</f>
        <v>8.4000000000000005E-2</v>
      </c>
      <c r="N123" s="106">
        <f>'Cash Flow %s Yr4'!N123</f>
        <v>8.4000000000000005E-2</v>
      </c>
      <c r="O123" s="106">
        <f>'Cash Flow %s Yr4'!O123</f>
        <v>8.4000000000000005E-2</v>
      </c>
      <c r="P123" s="106">
        <f>'Cash Flow %s Yr4'!P123</f>
        <v>0</v>
      </c>
      <c r="Q123" s="106">
        <f>'Cash Flow %s Yr4'!Q123</f>
        <v>0</v>
      </c>
      <c r="R123" s="106">
        <f>'Cash Flow %s Yr4'!R123</f>
        <v>0</v>
      </c>
      <c r="S123" s="105">
        <f t="shared" si="9"/>
        <v>0.99999999999999989</v>
      </c>
    </row>
    <row r="124" spans="1:19" s="30" customFormat="1" x14ac:dyDescent="0.3">
      <c r="A124" s="35"/>
      <c r="B124" s="62" t="str">
        <f>'Expenses Summary'!B81</f>
        <v>5800</v>
      </c>
      <c r="C124" s="62" t="str">
        <f>'Expenses Summary'!C81</f>
        <v>Professional/Consulting Services and Operating Expenditures</v>
      </c>
      <c r="D124" s="106">
        <f>'Cash Flow %s Yr4'!D124</f>
        <v>8.3000000000000004E-2</v>
      </c>
      <c r="E124" s="106">
        <f>'Cash Flow %s Yr4'!E124</f>
        <v>8.3000000000000004E-2</v>
      </c>
      <c r="F124" s="106">
        <f>'Cash Flow %s Yr4'!F124</f>
        <v>8.3000000000000004E-2</v>
      </c>
      <c r="G124" s="106">
        <f>'Cash Flow %s Yr4'!G124</f>
        <v>8.3000000000000004E-2</v>
      </c>
      <c r="H124" s="106">
        <f>'Cash Flow %s Yr4'!H124</f>
        <v>8.3000000000000004E-2</v>
      </c>
      <c r="I124" s="106">
        <f>'Cash Flow %s Yr4'!I124</f>
        <v>8.3000000000000004E-2</v>
      </c>
      <c r="J124" s="106">
        <f>'Cash Flow %s Yr4'!J124</f>
        <v>8.3000000000000004E-2</v>
      </c>
      <c r="K124" s="106">
        <f>'Cash Flow %s Yr4'!K124</f>
        <v>8.3000000000000004E-2</v>
      </c>
      <c r="L124" s="106">
        <f>'Cash Flow %s Yr4'!L124</f>
        <v>8.4000000000000005E-2</v>
      </c>
      <c r="M124" s="106">
        <f>'Cash Flow %s Yr4'!M124</f>
        <v>8.4000000000000005E-2</v>
      </c>
      <c r="N124" s="106">
        <f>'Cash Flow %s Yr4'!N124</f>
        <v>8.4000000000000005E-2</v>
      </c>
      <c r="O124" s="106">
        <f>'Cash Flow %s Yr4'!O124</f>
        <v>8.4000000000000005E-2</v>
      </c>
      <c r="P124" s="106">
        <f>'Cash Flow %s Yr4'!P124</f>
        <v>0</v>
      </c>
      <c r="Q124" s="106">
        <f>'Cash Flow %s Yr4'!Q124</f>
        <v>0</v>
      </c>
      <c r="R124" s="106">
        <f>'Cash Flow %s Yr4'!R124</f>
        <v>0</v>
      </c>
      <c r="S124" s="105">
        <f t="shared" si="9"/>
        <v>0.99999999999999989</v>
      </c>
    </row>
    <row r="125" spans="1:19" s="30" customFormat="1" x14ac:dyDescent="0.3">
      <c r="A125" s="35"/>
      <c r="B125" s="62" t="str">
        <f>'Expenses Summary'!B82</f>
        <v>5803</v>
      </c>
      <c r="C125" s="62" t="str">
        <f>'Expenses Summary'!C82</f>
        <v>Banking and Payroll Service Fees</v>
      </c>
      <c r="D125" s="106">
        <f>'Cash Flow %s Yr4'!D125</f>
        <v>8.3000000000000004E-2</v>
      </c>
      <c r="E125" s="106">
        <f>'Cash Flow %s Yr4'!E125</f>
        <v>8.3000000000000004E-2</v>
      </c>
      <c r="F125" s="106">
        <f>'Cash Flow %s Yr4'!F125</f>
        <v>8.3000000000000004E-2</v>
      </c>
      <c r="G125" s="106">
        <f>'Cash Flow %s Yr4'!G125</f>
        <v>8.3000000000000004E-2</v>
      </c>
      <c r="H125" s="106">
        <f>'Cash Flow %s Yr4'!H125</f>
        <v>8.3000000000000004E-2</v>
      </c>
      <c r="I125" s="106">
        <f>'Cash Flow %s Yr4'!I125</f>
        <v>8.3000000000000004E-2</v>
      </c>
      <c r="J125" s="106">
        <f>'Cash Flow %s Yr4'!J125</f>
        <v>8.3000000000000004E-2</v>
      </c>
      <c r="K125" s="106">
        <f>'Cash Flow %s Yr4'!K125</f>
        <v>8.3000000000000004E-2</v>
      </c>
      <c r="L125" s="106">
        <f>'Cash Flow %s Yr4'!L125</f>
        <v>8.4000000000000005E-2</v>
      </c>
      <c r="M125" s="106">
        <f>'Cash Flow %s Yr4'!M125</f>
        <v>8.4000000000000005E-2</v>
      </c>
      <c r="N125" s="106">
        <f>'Cash Flow %s Yr4'!N125</f>
        <v>8.4000000000000005E-2</v>
      </c>
      <c r="O125" s="106">
        <f>'Cash Flow %s Yr4'!O125</f>
        <v>8.4000000000000005E-2</v>
      </c>
      <c r="P125" s="106">
        <f>'Cash Flow %s Yr4'!P125</f>
        <v>0</v>
      </c>
      <c r="Q125" s="106">
        <f>'Cash Flow %s Yr4'!Q125</f>
        <v>0</v>
      </c>
      <c r="R125" s="106">
        <f>'Cash Flow %s Yr4'!R125</f>
        <v>0</v>
      </c>
      <c r="S125" s="105">
        <f t="shared" si="9"/>
        <v>0.99999999999999989</v>
      </c>
    </row>
    <row r="126" spans="1:19" s="30" customFormat="1" x14ac:dyDescent="0.3">
      <c r="A126" s="35"/>
      <c r="B126" s="62" t="str">
        <f>'Expenses Summary'!B83</f>
        <v>5805</v>
      </c>
      <c r="C126" s="62" t="str">
        <f>'Expenses Summary'!C83</f>
        <v xml:space="preserve">Legal Services </v>
      </c>
      <c r="D126" s="106">
        <f>'Cash Flow %s Yr4'!D126</f>
        <v>8.3000000000000004E-2</v>
      </c>
      <c r="E126" s="106">
        <f>'Cash Flow %s Yr4'!E126</f>
        <v>8.3000000000000004E-2</v>
      </c>
      <c r="F126" s="106">
        <f>'Cash Flow %s Yr4'!F126</f>
        <v>8.3000000000000004E-2</v>
      </c>
      <c r="G126" s="106">
        <f>'Cash Flow %s Yr4'!G126</f>
        <v>8.3000000000000004E-2</v>
      </c>
      <c r="H126" s="106">
        <f>'Cash Flow %s Yr4'!H126</f>
        <v>8.3000000000000004E-2</v>
      </c>
      <c r="I126" s="106">
        <f>'Cash Flow %s Yr4'!I126</f>
        <v>8.3000000000000004E-2</v>
      </c>
      <c r="J126" s="106">
        <f>'Cash Flow %s Yr4'!J126</f>
        <v>8.3000000000000004E-2</v>
      </c>
      <c r="K126" s="106">
        <f>'Cash Flow %s Yr4'!K126</f>
        <v>8.3000000000000004E-2</v>
      </c>
      <c r="L126" s="106">
        <f>'Cash Flow %s Yr4'!L126</f>
        <v>8.4000000000000005E-2</v>
      </c>
      <c r="M126" s="106">
        <f>'Cash Flow %s Yr4'!M126</f>
        <v>8.4000000000000005E-2</v>
      </c>
      <c r="N126" s="106">
        <f>'Cash Flow %s Yr4'!N126</f>
        <v>8.4000000000000005E-2</v>
      </c>
      <c r="O126" s="106">
        <f>'Cash Flow %s Yr4'!O126</f>
        <v>8.4000000000000005E-2</v>
      </c>
      <c r="P126" s="106">
        <f>'Cash Flow %s Yr4'!P126</f>
        <v>0</v>
      </c>
      <c r="Q126" s="106">
        <f>'Cash Flow %s Yr4'!Q126</f>
        <v>0</v>
      </c>
      <c r="R126" s="106">
        <f>'Cash Flow %s Yr4'!R126</f>
        <v>0</v>
      </c>
      <c r="S126" s="105">
        <f t="shared" si="9"/>
        <v>0.99999999999999989</v>
      </c>
    </row>
    <row r="127" spans="1:19" s="30" customFormat="1" x14ac:dyDescent="0.3">
      <c r="A127" s="35"/>
      <c r="B127" s="62" t="str">
        <f>'Expenses Summary'!B84</f>
        <v>5806</v>
      </c>
      <c r="C127" s="62" t="str">
        <f>'Expenses Summary'!C84</f>
        <v>Audit Services</v>
      </c>
      <c r="D127" s="106">
        <f>'Cash Flow %s Yr4'!D127</f>
        <v>0</v>
      </c>
      <c r="E127" s="106">
        <f>'Cash Flow %s Yr4'!E127</f>
        <v>0</v>
      </c>
      <c r="F127" s="106">
        <f>'Cash Flow %s Yr4'!F127</f>
        <v>0</v>
      </c>
      <c r="G127" s="106">
        <f>'Cash Flow %s Yr4'!G127</f>
        <v>0</v>
      </c>
      <c r="H127" s="106">
        <f>'Cash Flow %s Yr4'!H127</f>
        <v>0.5</v>
      </c>
      <c r="I127" s="106">
        <f>'Cash Flow %s Yr4'!I127</f>
        <v>0</v>
      </c>
      <c r="J127" s="106">
        <f>'Cash Flow %s Yr4'!J127</f>
        <v>0</v>
      </c>
      <c r="K127" s="106">
        <f>'Cash Flow %s Yr4'!K127</f>
        <v>0</v>
      </c>
      <c r="L127" s="106">
        <f>'Cash Flow %s Yr4'!L127</f>
        <v>0</v>
      </c>
      <c r="M127" s="106">
        <f>'Cash Flow %s Yr4'!M127</f>
        <v>0</v>
      </c>
      <c r="N127" s="106">
        <f>'Cash Flow %s Yr4'!N127</f>
        <v>0.5</v>
      </c>
      <c r="O127" s="106">
        <f>'Cash Flow %s Yr4'!O127</f>
        <v>0</v>
      </c>
      <c r="P127" s="106">
        <f>'Cash Flow %s Yr4'!P127</f>
        <v>0</v>
      </c>
      <c r="Q127" s="106">
        <f>'Cash Flow %s Yr4'!Q127</f>
        <v>0</v>
      </c>
      <c r="R127" s="106">
        <f>'Cash Flow %s Yr4'!R127</f>
        <v>0</v>
      </c>
      <c r="S127" s="105">
        <f t="shared" si="9"/>
        <v>1</v>
      </c>
    </row>
    <row r="128" spans="1:19" s="30" customFormat="1" x14ac:dyDescent="0.3">
      <c r="A128" s="35"/>
      <c r="B128" s="62" t="str">
        <f>'Expenses Summary'!B85</f>
        <v>5810</v>
      </c>
      <c r="C128" s="62" t="str">
        <f>'Expenses Summary'!C85</f>
        <v>Educational Consultants</v>
      </c>
      <c r="D128" s="106">
        <f>'Cash Flow %s Yr4'!D128</f>
        <v>8.3000000000000004E-2</v>
      </c>
      <c r="E128" s="106">
        <f>'Cash Flow %s Yr4'!E128</f>
        <v>8.3000000000000004E-2</v>
      </c>
      <c r="F128" s="106">
        <f>'Cash Flow %s Yr4'!F128</f>
        <v>8.3000000000000004E-2</v>
      </c>
      <c r="G128" s="106">
        <f>'Cash Flow %s Yr4'!G128</f>
        <v>8.3000000000000004E-2</v>
      </c>
      <c r="H128" s="106">
        <f>'Cash Flow %s Yr4'!H128</f>
        <v>8.3000000000000004E-2</v>
      </c>
      <c r="I128" s="106">
        <f>'Cash Flow %s Yr4'!I128</f>
        <v>8.3000000000000004E-2</v>
      </c>
      <c r="J128" s="106">
        <f>'Cash Flow %s Yr4'!J128</f>
        <v>8.3000000000000004E-2</v>
      </c>
      <c r="K128" s="106">
        <f>'Cash Flow %s Yr4'!K128</f>
        <v>8.3000000000000004E-2</v>
      </c>
      <c r="L128" s="106">
        <f>'Cash Flow %s Yr4'!L128</f>
        <v>8.4000000000000005E-2</v>
      </c>
      <c r="M128" s="106">
        <f>'Cash Flow %s Yr4'!M128</f>
        <v>8.4000000000000005E-2</v>
      </c>
      <c r="N128" s="106">
        <f>'Cash Flow %s Yr4'!N128</f>
        <v>8.4000000000000005E-2</v>
      </c>
      <c r="O128" s="106">
        <f>'Cash Flow %s Yr4'!O128</f>
        <v>8.4000000000000005E-2</v>
      </c>
      <c r="P128" s="106">
        <f>'Cash Flow %s Yr4'!P128</f>
        <v>0</v>
      </c>
      <c r="Q128" s="106">
        <f>'Cash Flow %s Yr4'!Q128</f>
        <v>0</v>
      </c>
      <c r="R128" s="106">
        <f>'Cash Flow %s Yr4'!R128</f>
        <v>0</v>
      </c>
      <c r="S128" s="105">
        <f t="shared" si="9"/>
        <v>0.99999999999999989</v>
      </c>
    </row>
    <row r="129" spans="1:19" s="30" customFormat="1" x14ac:dyDescent="0.3">
      <c r="A129" s="35"/>
      <c r="B129" s="62" t="str">
        <f>'Expenses Summary'!B86</f>
        <v>5811</v>
      </c>
      <c r="C129" s="62" t="str">
        <f>'Expenses Summary'!C86</f>
        <v>Student Transportation / Events</v>
      </c>
      <c r="D129" s="106">
        <f>'Cash Flow %s Yr4'!D129</f>
        <v>0</v>
      </c>
      <c r="E129" s="106">
        <f>'Cash Flow %s Yr4'!E129</f>
        <v>0</v>
      </c>
      <c r="F129" s="106">
        <f>'Cash Flow %s Yr4'!F129</f>
        <v>0.1</v>
      </c>
      <c r="G129" s="106">
        <f>'Cash Flow %s Yr4'!G129</f>
        <v>0.1</v>
      </c>
      <c r="H129" s="106">
        <f>'Cash Flow %s Yr4'!H129</f>
        <v>0.1</v>
      </c>
      <c r="I129" s="106">
        <f>'Cash Flow %s Yr4'!I129</f>
        <v>0.1</v>
      </c>
      <c r="J129" s="106">
        <f>'Cash Flow %s Yr4'!J129</f>
        <v>0.1</v>
      </c>
      <c r="K129" s="106">
        <f>'Cash Flow %s Yr4'!K129</f>
        <v>0.1</v>
      </c>
      <c r="L129" s="106">
        <f>'Cash Flow %s Yr4'!L129</f>
        <v>0.1</v>
      </c>
      <c r="M129" s="106">
        <f>'Cash Flow %s Yr4'!M129</f>
        <v>0.1</v>
      </c>
      <c r="N129" s="106">
        <f>'Cash Flow %s Yr4'!N129</f>
        <v>0.1</v>
      </c>
      <c r="O129" s="106">
        <f>'Cash Flow %s Yr4'!O129</f>
        <v>0.1</v>
      </c>
      <c r="P129" s="106">
        <f>'Cash Flow %s Yr4'!P129</f>
        <v>0</v>
      </c>
      <c r="Q129" s="106">
        <f>'Cash Flow %s Yr4'!Q129</f>
        <v>0</v>
      </c>
      <c r="R129" s="106">
        <f>'Cash Flow %s Yr4'!R129</f>
        <v>0</v>
      </c>
      <c r="S129" s="105">
        <f t="shared" si="9"/>
        <v>0.99999999999999989</v>
      </c>
    </row>
    <row r="130" spans="1:19" s="30" customFormat="1" x14ac:dyDescent="0.3">
      <c r="A130" s="35"/>
      <c r="B130" s="62" t="str">
        <f>'Expenses Summary'!B88</f>
        <v>5815</v>
      </c>
      <c r="C130" s="62" t="str">
        <f>'Expenses Summary'!C88</f>
        <v>Advertising / Recruiting</v>
      </c>
      <c r="D130" s="106">
        <f>'Cash Flow %s Yr4'!D130</f>
        <v>8.33285E-2</v>
      </c>
      <c r="E130" s="106">
        <f>'Cash Flow %s Yr4'!E130</f>
        <v>8.33285E-2</v>
      </c>
      <c r="F130" s="106">
        <f>'Cash Flow %s Yr4'!F130</f>
        <v>8.33285E-2</v>
      </c>
      <c r="G130" s="106">
        <f>'Cash Flow %s Yr4'!G130</f>
        <v>8.33285E-2</v>
      </c>
      <c r="H130" s="106">
        <f>'Cash Flow %s Yr4'!H130</f>
        <v>8.33285E-2</v>
      </c>
      <c r="I130" s="106">
        <f>'Cash Flow %s Yr4'!I130</f>
        <v>8.33285E-2</v>
      </c>
      <c r="J130" s="106">
        <f>'Cash Flow %s Yr4'!J130</f>
        <v>8.33285E-2</v>
      </c>
      <c r="K130" s="106">
        <f>'Cash Flow %s Yr4'!K130</f>
        <v>8.33285E-2</v>
      </c>
      <c r="L130" s="106">
        <f>'Cash Flow %s Yr4'!L130</f>
        <v>8.33285E-2</v>
      </c>
      <c r="M130" s="106">
        <f>'Cash Flow %s Yr4'!M130</f>
        <v>8.33285E-2</v>
      </c>
      <c r="N130" s="106">
        <f>'Cash Flow %s Yr4'!N130</f>
        <v>8.33285E-2</v>
      </c>
      <c r="O130" s="106">
        <f>'Cash Flow %s Yr4'!O130</f>
        <v>8.3386000000000002E-2</v>
      </c>
      <c r="P130" s="106">
        <f>'Cash Flow %s Yr4'!P130</f>
        <v>0</v>
      </c>
      <c r="Q130" s="106">
        <f>'Cash Flow %s Yr4'!Q130</f>
        <v>0</v>
      </c>
      <c r="R130" s="106">
        <f>'Cash Flow %s Yr4'!R130</f>
        <v>0</v>
      </c>
      <c r="S130" s="105">
        <f t="shared" si="9"/>
        <v>0.99999950000000015</v>
      </c>
    </row>
    <row r="131" spans="1:19" s="30" customFormat="1" x14ac:dyDescent="0.3">
      <c r="A131" s="35"/>
      <c r="B131" s="62" t="str">
        <f>'Expenses Summary'!B89</f>
        <v>5820</v>
      </c>
      <c r="C131" s="62" t="str">
        <f>'Expenses Summary'!C89</f>
        <v>Fundraising Expense</v>
      </c>
      <c r="D131" s="106">
        <f>'Cash Flow %s Yr4'!D131</f>
        <v>8.33285E-2</v>
      </c>
      <c r="E131" s="106">
        <f>'Cash Flow %s Yr4'!E131</f>
        <v>8.33285E-2</v>
      </c>
      <c r="F131" s="106">
        <f>'Cash Flow %s Yr4'!F131</f>
        <v>8.33285E-2</v>
      </c>
      <c r="G131" s="106">
        <f>'Cash Flow %s Yr4'!G131</f>
        <v>8.33285E-2</v>
      </c>
      <c r="H131" s="106">
        <f>'Cash Flow %s Yr4'!H131</f>
        <v>8.33285E-2</v>
      </c>
      <c r="I131" s="106">
        <f>'Cash Flow %s Yr4'!I131</f>
        <v>8.33285E-2</v>
      </c>
      <c r="J131" s="106">
        <f>'Cash Flow %s Yr4'!J131</f>
        <v>8.33285E-2</v>
      </c>
      <c r="K131" s="106">
        <f>'Cash Flow %s Yr4'!K131</f>
        <v>8.33285E-2</v>
      </c>
      <c r="L131" s="106">
        <f>'Cash Flow %s Yr4'!L131</f>
        <v>8.33285E-2</v>
      </c>
      <c r="M131" s="106">
        <f>'Cash Flow %s Yr4'!M131</f>
        <v>8.33285E-2</v>
      </c>
      <c r="N131" s="106">
        <f>'Cash Flow %s Yr4'!N131</f>
        <v>8.33285E-2</v>
      </c>
      <c r="O131" s="106">
        <f>'Cash Flow %s Yr4'!O131</f>
        <v>8.3386000000000002E-2</v>
      </c>
      <c r="P131" s="106">
        <f>'Cash Flow %s Yr4'!P131</f>
        <v>0</v>
      </c>
      <c r="Q131" s="106">
        <f>'Cash Flow %s Yr4'!Q131</f>
        <v>0</v>
      </c>
      <c r="R131" s="106">
        <f>'Cash Flow %s Yr4'!R131</f>
        <v>0</v>
      </c>
      <c r="S131" s="105">
        <f t="shared" si="9"/>
        <v>0.99999950000000015</v>
      </c>
    </row>
    <row r="132" spans="1:19" s="30" customFormat="1" x14ac:dyDescent="0.3">
      <c r="A132" s="35"/>
      <c r="B132" s="62" t="str">
        <f>'Expenses Summary'!B91</f>
        <v>5836</v>
      </c>
      <c r="C132" s="62" t="str">
        <f>'Expenses Summary'!C91</f>
        <v>Transportation Services</v>
      </c>
      <c r="D132" s="106">
        <f>'Cash Flow %s Yr4'!D132</f>
        <v>8.3000000000000004E-2</v>
      </c>
      <c r="E132" s="106">
        <f>'Cash Flow %s Yr4'!E132</f>
        <v>8.3000000000000004E-2</v>
      </c>
      <c r="F132" s="106">
        <f>'Cash Flow %s Yr4'!F132</f>
        <v>8.3000000000000004E-2</v>
      </c>
      <c r="G132" s="106">
        <f>'Cash Flow %s Yr4'!G132</f>
        <v>8.3000000000000004E-2</v>
      </c>
      <c r="H132" s="106">
        <f>'Cash Flow %s Yr4'!H132</f>
        <v>8.3000000000000004E-2</v>
      </c>
      <c r="I132" s="106">
        <f>'Cash Flow %s Yr4'!I132</f>
        <v>8.3000000000000004E-2</v>
      </c>
      <c r="J132" s="106">
        <f>'Cash Flow %s Yr4'!J132</f>
        <v>8.3000000000000004E-2</v>
      </c>
      <c r="K132" s="106">
        <f>'Cash Flow %s Yr4'!K132</f>
        <v>8.3000000000000004E-2</v>
      </c>
      <c r="L132" s="106">
        <f>'Cash Flow %s Yr4'!L132</f>
        <v>8.4000000000000005E-2</v>
      </c>
      <c r="M132" s="106">
        <f>'Cash Flow %s Yr4'!M132</f>
        <v>8.4000000000000005E-2</v>
      </c>
      <c r="N132" s="106">
        <f>'Cash Flow %s Yr4'!N132</f>
        <v>8.4000000000000005E-2</v>
      </c>
      <c r="O132" s="106">
        <f>'Cash Flow %s Yr4'!O132</f>
        <v>8.4000000000000005E-2</v>
      </c>
      <c r="P132" s="106">
        <f>'Cash Flow %s Yr4'!P132</f>
        <v>0</v>
      </c>
      <c r="Q132" s="106">
        <f>'Cash Flow %s Yr4'!Q132</f>
        <v>0</v>
      </c>
      <c r="R132" s="106">
        <f>'Cash Flow %s Yr4'!R132</f>
        <v>0</v>
      </c>
      <c r="S132" s="105">
        <f t="shared" si="9"/>
        <v>0.99999999999999989</v>
      </c>
    </row>
    <row r="133" spans="1:19" s="30" customFormat="1" hidden="1" outlineLevel="1" x14ac:dyDescent="0.3">
      <c r="A133" s="35"/>
      <c r="B133" s="62" t="str">
        <f>'Expenses Summary'!B92</f>
        <v>5842</v>
      </c>
      <c r="C133" s="62" t="str">
        <f>'Expenses Summary'!C92</f>
        <v>Services Student Athletics</v>
      </c>
      <c r="D133" s="106">
        <f>'Cash Flow %s Yr4'!D133</f>
        <v>0</v>
      </c>
      <c r="E133" s="106">
        <f>'Cash Flow %s Yr4'!E133</f>
        <v>0</v>
      </c>
      <c r="F133" s="106">
        <f>'Cash Flow %s Yr4'!F133</f>
        <v>0.1</v>
      </c>
      <c r="G133" s="106">
        <f>'Cash Flow %s Yr4'!G133</f>
        <v>0.1</v>
      </c>
      <c r="H133" s="106">
        <f>'Cash Flow %s Yr4'!H133</f>
        <v>0.1</v>
      </c>
      <c r="I133" s="106">
        <f>'Cash Flow %s Yr4'!I133</f>
        <v>0.1</v>
      </c>
      <c r="J133" s="106">
        <f>'Cash Flow %s Yr4'!J133</f>
        <v>0.1</v>
      </c>
      <c r="K133" s="106">
        <f>'Cash Flow %s Yr4'!K133</f>
        <v>0.1</v>
      </c>
      <c r="L133" s="106">
        <f>'Cash Flow %s Yr4'!L133</f>
        <v>0.1</v>
      </c>
      <c r="M133" s="106">
        <f>'Cash Flow %s Yr4'!M133</f>
        <v>0.1</v>
      </c>
      <c r="N133" s="106">
        <f>'Cash Flow %s Yr4'!N133</f>
        <v>0.1</v>
      </c>
      <c r="O133" s="106">
        <f>'Cash Flow %s Yr4'!O133</f>
        <v>0.1</v>
      </c>
      <c r="P133" s="106">
        <f>'Cash Flow %s Yr4'!P133</f>
        <v>0</v>
      </c>
      <c r="Q133" s="106">
        <f>'Cash Flow %s Yr4'!Q133</f>
        <v>0</v>
      </c>
      <c r="R133" s="106">
        <f>'Cash Flow %s Yr4'!R133</f>
        <v>0</v>
      </c>
      <c r="S133" s="105">
        <f t="shared" si="9"/>
        <v>0.99999999999999989</v>
      </c>
    </row>
    <row r="134" spans="1:19" s="30" customFormat="1" hidden="1" outlineLevel="1" x14ac:dyDescent="0.3">
      <c r="A134" s="35"/>
      <c r="B134" s="62" t="str">
        <f>'Expenses Summary'!B93</f>
        <v>5850</v>
      </c>
      <c r="C134" s="62" t="str">
        <f>'Expenses Summary'!C93</f>
        <v>Scholarships</v>
      </c>
      <c r="D134" s="106">
        <f>'Cash Flow %s Yr4'!D134</f>
        <v>0</v>
      </c>
      <c r="E134" s="106">
        <f>'Cash Flow %s Yr4'!E134</f>
        <v>0</v>
      </c>
      <c r="F134" s="106">
        <f>'Cash Flow %s Yr4'!F134</f>
        <v>0.1</v>
      </c>
      <c r="G134" s="106">
        <f>'Cash Flow %s Yr4'!G134</f>
        <v>0.1</v>
      </c>
      <c r="H134" s="106">
        <f>'Cash Flow %s Yr4'!H134</f>
        <v>0.1</v>
      </c>
      <c r="I134" s="106">
        <f>'Cash Flow %s Yr4'!I134</f>
        <v>0.1</v>
      </c>
      <c r="J134" s="106">
        <f>'Cash Flow %s Yr4'!J134</f>
        <v>0.1</v>
      </c>
      <c r="K134" s="106">
        <f>'Cash Flow %s Yr4'!K134</f>
        <v>0.1</v>
      </c>
      <c r="L134" s="106">
        <f>'Cash Flow %s Yr4'!L134</f>
        <v>0.1</v>
      </c>
      <c r="M134" s="106">
        <f>'Cash Flow %s Yr4'!M134</f>
        <v>0.1</v>
      </c>
      <c r="N134" s="106">
        <f>'Cash Flow %s Yr4'!N134</f>
        <v>0.1</v>
      </c>
      <c r="O134" s="106">
        <f>'Cash Flow %s Yr4'!O134</f>
        <v>0.1</v>
      </c>
      <c r="P134" s="106">
        <f>'Cash Flow %s Yr4'!P134</f>
        <v>0</v>
      </c>
      <c r="Q134" s="106">
        <f>'Cash Flow %s Yr4'!Q134</f>
        <v>0</v>
      </c>
      <c r="R134" s="106">
        <f>'Cash Flow %s Yr4'!R134</f>
        <v>0</v>
      </c>
      <c r="S134" s="105">
        <f t="shared" si="9"/>
        <v>0.99999999999999989</v>
      </c>
    </row>
    <row r="135" spans="1:19" s="30" customFormat="1" hidden="1" outlineLevel="1" x14ac:dyDescent="0.3">
      <c r="A135" s="35"/>
      <c r="B135" s="62" t="str">
        <f>'Expenses Summary'!B94</f>
        <v>5873</v>
      </c>
      <c r="C135" s="62" t="str">
        <f>'Expenses Summary'!C94</f>
        <v>Financial Services</v>
      </c>
      <c r="D135" s="106">
        <f>'Cash Flow %s Yr4'!D135</f>
        <v>0</v>
      </c>
      <c r="E135" s="106">
        <f>'Cash Flow %s Yr4'!E135</f>
        <v>0</v>
      </c>
      <c r="F135" s="106">
        <f>'Cash Flow %s Yr4'!F135</f>
        <v>0.1</v>
      </c>
      <c r="G135" s="106">
        <f>'Cash Flow %s Yr4'!G135</f>
        <v>0.1</v>
      </c>
      <c r="H135" s="106">
        <f>'Cash Flow %s Yr4'!H135</f>
        <v>0.1</v>
      </c>
      <c r="I135" s="106">
        <f>'Cash Flow %s Yr4'!I135</f>
        <v>0.1</v>
      </c>
      <c r="J135" s="106">
        <f>'Cash Flow %s Yr4'!J135</f>
        <v>0.1</v>
      </c>
      <c r="K135" s="106">
        <f>'Cash Flow %s Yr4'!K135</f>
        <v>0.1</v>
      </c>
      <c r="L135" s="106">
        <f>'Cash Flow %s Yr4'!L135</f>
        <v>0.1</v>
      </c>
      <c r="M135" s="106">
        <f>'Cash Flow %s Yr4'!M135</f>
        <v>0.1</v>
      </c>
      <c r="N135" s="106">
        <f>'Cash Flow %s Yr4'!N135</f>
        <v>0.1</v>
      </c>
      <c r="O135" s="106">
        <f>'Cash Flow %s Yr4'!O135</f>
        <v>0.1</v>
      </c>
      <c r="P135" s="106">
        <f>'Cash Flow %s Yr4'!P135</f>
        <v>0</v>
      </c>
      <c r="Q135" s="106">
        <f>'Cash Flow %s Yr4'!Q135</f>
        <v>0</v>
      </c>
      <c r="R135" s="106">
        <f>'Cash Flow %s Yr4'!R135</f>
        <v>0</v>
      </c>
      <c r="S135" s="105">
        <f t="shared" si="9"/>
        <v>0.99999999999999989</v>
      </c>
    </row>
    <row r="136" spans="1:19" s="30" customFormat="1" hidden="1" outlineLevel="1" x14ac:dyDescent="0.3">
      <c r="A136" s="35"/>
      <c r="B136" s="62" t="str">
        <f>'Expenses Summary'!B96</f>
        <v>5875</v>
      </c>
      <c r="C136" s="62" t="str">
        <f>'Expenses Summary'!C96</f>
        <v>District Oversight Fee</v>
      </c>
      <c r="D136" s="106">
        <f>'Cash Flow %s Yr4'!D136</f>
        <v>0</v>
      </c>
      <c r="E136" s="106">
        <f>'Cash Flow %s Yr4'!E136</f>
        <v>0</v>
      </c>
      <c r="F136" s="106">
        <f>'Cash Flow %s Yr4'!F136</f>
        <v>0.1</v>
      </c>
      <c r="G136" s="106">
        <f>'Cash Flow %s Yr4'!G136</f>
        <v>0.1</v>
      </c>
      <c r="H136" s="106">
        <f>'Cash Flow %s Yr4'!H136</f>
        <v>0.1</v>
      </c>
      <c r="I136" s="106">
        <f>'Cash Flow %s Yr4'!I136</f>
        <v>0.1</v>
      </c>
      <c r="J136" s="106">
        <f>'Cash Flow %s Yr4'!J136</f>
        <v>0.1</v>
      </c>
      <c r="K136" s="106">
        <f>'Cash Flow %s Yr4'!K136</f>
        <v>0.1</v>
      </c>
      <c r="L136" s="106">
        <f>'Cash Flow %s Yr4'!L136</f>
        <v>0.1</v>
      </c>
      <c r="M136" s="106">
        <f>'Cash Flow %s Yr4'!M136</f>
        <v>0.1</v>
      </c>
      <c r="N136" s="106">
        <f>'Cash Flow %s Yr4'!N136</f>
        <v>0.1</v>
      </c>
      <c r="O136" s="106">
        <f>'Cash Flow %s Yr4'!O136</f>
        <v>0.1</v>
      </c>
      <c r="P136" s="106">
        <f>'Cash Flow %s Yr4'!P136</f>
        <v>0</v>
      </c>
      <c r="Q136" s="106">
        <f>'Cash Flow %s Yr4'!Q136</f>
        <v>0</v>
      </c>
      <c r="R136" s="106">
        <f>'Cash Flow %s Yr4'!R136</f>
        <v>0</v>
      </c>
      <c r="S136" s="105">
        <f t="shared" si="9"/>
        <v>0.99999999999999989</v>
      </c>
    </row>
    <row r="137" spans="1:19" s="30" customFormat="1" hidden="1" outlineLevel="1" x14ac:dyDescent="0.3">
      <c r="A137" s="35"/>
      <c r="B137" s="62" t="str">
        <f>'Expenses Summary'!B97</f>
        <v>5877</v>
      </c>
      <c r="C137" s="62" t="str">
        <f>'Expenses Summary'!C97</f>
        <v>IT Services</v>
      </c>
      <c r="D137" s="106">
        <f>'Cash Flow %s Yr4'!D137</f>
        <v>0</v>
      </c>
      <c r="E137" s="106">
        <f>'Cash Flow %s Yr4'!E137</f>
        <v>0</v>
      </c>
      <c r="F137" s="106">
        <f>'Cash Flow %s Yr4'!F137</f>
        <v>0.1</v>
      </c>
      <c r="G137" s="106">
        <f>'Cash Flow %s Yr4'!G137</f>
        <v>0.1</v>
      </c>
      <c r="H137" s="106">
        <f>'Cash Flow %s Yr4'!H137</f>
        <v>0.1</v>
      </c>
      <c r="I137" s="106">
        <f>'Cash Flow %s Yr4'!I137</f>
        <v>0.1</v>
      </c>
      <c r="J137" s="106">
        <f>'Cash Flow %s Yr4'!J137</f>
        <v>0.1</v>
      </c>
      <c r="K137" s="106">
        <f>'Cash Flow %s Yr4'!K137</f>
        <v>0.1</v>
      </c>
      <c r="L137" s="106">
        <f>'Cash Flow %s Yr4'!L137</f>
        <v>0.1</v>
      </c>
      <c r="M137" s="106">
        <f>'Cash Flow %s Yr4'!M137</f>
        <v>0.1</v>
      </c>
      <c r="N137" s="106">
        <f>'Cash Flow %s Yr4'!N137</f>
        <v>0.1</v>
      </c>
      <c r="O137" s="106">
        <f>'Cash Flow %s Yr4'!O137</f>
        <v>0.1</v>
      </c>
      <c r="P137" s="106">
        <f>'Cash Flow %s Yr4'!P137</f>
        <v>0</v>
      </c>
      <c r="Q137" s="106">
        <f>'Cash Flow %s Yr4'!Q137</f>
        <v>0</v>
      </c>
      <c r="R137" s="106">
        <f>'Cash Flow %s Yr4'!R137</f>
        <v>0</v>
      </c>
      <c r="S137" s="105">
        <f t="shared" si="9"/>
        <v>0.99999999999999989</v>
      </c>
    </row>
    <row r="138" spans="1:19" s="30" customFormat="1" hidden="1" outlineLevel="1" x14ac:dyDescent="0.3">
      <c r="A138" s="35"/>
      <c r="B138" s="62" t="str">
        <f>'Expenses Summary'!B98</f>
        <v>5885</v>
      </c>
      <c r="C138" s="62" t="str">
        <f>'Expenses Summary'!C98</f>
        <v>Summer School Program</v>
      </c>
      <c r="D138" s="106">
        <f>'Cash Flow %s Yr4'!D138</f>
        <v>0</v>
      </c>
      <c r="E138" s="106">
        <f>'Cash Flow %s Yr4'!E138</f>
        <v>0</v>
      </c>
      <c r="F138" s="106">
        <f>'Cash Flow %s Yr4'!F138</f>
        <v>0.1</v>
      </c>
      <c r="G138" s="106">
        <f>'Cash Flow %s Yr4'!G138</f>
        <v>0.1</v>
      </c>
      <c r="H138" s="106">
        <f>'Cash Flow %s Yr4'!H138</f>
        <v>0.1</v>
      </c>
      <c r="I138" s="106">
        <f>'Cash Flow %s Yr4'!I138</f>
        <v>0.1</v>
      </c>
      <c r="J138" s="106">
        <f>'Cash Flow %s Yr4'!J138</f>
        <v>0.1</v>
      </c>
      <c r="K138" s="106">
        <f>'Cash Flow %s Yr4'!K138</f>
        <v>0.1</v>
      </c>
      <c r="L138" s="106">
        <f>'Cash Flow %s Yr4'!L138</f>
        <v>0.1</v>
      </c>
      <c r="M138" s="106">
        <f>'Cash Flow %s Yr4'!M138</f>
        <v>0.1</v>
      </c>
      <c r="N138" s="106">
        <f>'Cash Flow %s Yr4'!N138</f>
        <v>0.1</v>
      </c>
      <c r="O138" s="106">
        <f>'Cash Flow %s Yr4'!O138</f>
        <v>0.1</v>
      </c>
      <c r="P138" s="106">
        <f>'Cash Flow %s Yr4'!P138</f>
        <v>0</v>
      </c>
      <c r="Q138" s="106">
        <f>'Cash Flow %s Yr4'!Q138</f>
        <v>0</v>
      </c>
      <c r="R138" s="106">
        <f>'Cash Flow %s Yr4'!R138</f>
        <v>0</v>
      </c>
      <c r="S138" s="105">
        <f t="shared" si="9"/>
        <v>0.99999999999999989</v>
      </c>
    </row>
    <row r="139" spans="1:19" s="30" customFormat="1" hidden="1" outlineLevel="1" x14ac:dyDescent="0.3">
      <c r="A139" s="35"/>
      <c r="B139" s="62" t="str">
        <f>'Expenses Summary'!B99</f>
        <v>5890</v>
      </c>
      <c r="C139" s="62" t="str">
        <f>'Expenses Summary'!C99</f>
        <v>Interest Expense / Misc. Fees</v>
      </c>
      <c r="D139" s="106">
        <f>'Cash Flow %s Yr4'!D139</f>
        <v>0</v>
      </c>
      <c r="E139" s="106">
        <f>'Cash Flow %s Yr4'!E139</f>
        <v>0</v>
      </c>
      <c r="F139" s="106">
        <f>'Cash Flow %s Yr4'!F139</f>
        <v>0.1</v>
      </c>
      <c r="G139" s="106">
        <f>'Cash Flow %s Yr4'!G139</f>
        <v>0.1</v>
      </c>
      <c r="H139" s="106">
        <f>'Cash Flow %s Yr4'!H139</f>
        <v>0.1</v>
      </c>
      <c r="I139" s="106">
        <f>'Cash Flow %s Yr4'!I139</f>
        <v>0.1</v>
      </c>
      <c r="J139" s="106">
        <f>'Cash Flow %s Yr4'!J139</f>
        <v>0.1</v>
      </c>
      <c r="K139" s="106">
        <f>'Cash Flow %s Yr4'!K139</f>
        <v>0.1</v>
      </c>
      <c r="L139" s="106">
        <f>'Cash Flow %s Yr4'!L139</f>
        <v>0.1</v>
      </c>
      <c r="M139" s="106">
        <f>'Cash Flow %s Yr4'!M139</f>
        <v>0.1</v>
      </c>
      <c r="N139" s="106">
        <f>'Cash Flow %s Yr4'!N139</f>
        <v>0.1</v>
      </c>
      <c r="O139" s="106">
        <f>'Cash Flow %s Yr4'!O139</f>
        <v>0.1</v>
      </c>
      <c r="P139" s="106">
        <f>'Cash Flow %s Yr4'!P139</f>
        <v>0</v>
      </c>
      <c r="Q139" s="106">
        <f>'Cash Flow %s Yr4'!Q139</f>
        <v>0</v>
      </c>
      <c r="R139" s="106">
        <f>'Cash Flow %s Yr4'!R139</f>
        <v>0</v>
      </c>
      <c r="S139" s="105">
        <f t="shared" si="9"/>
        <v>0.99999999999999989</v>
      </c>
    </row>
    <row r="140" spans="1:19" s="30" customFormat="1" hidden="1" outlineLevel="1" x14ac:dyDescent="0.3">
      <c r="A140" s="35"/>
      <c r="B140" s="62" t="str">
        <f>'Expenses Summary'!B100</f>
        <v>5900</v>
      </c>
      <c r="C140" s="62" t="str">
        <f>'Expenses Summary'!C100</f>
        <v>Communications</v>
      </c>
      <c r="D140" s="106">
        <f>'Cash Flow %s Yr4'!D140</f>
        <v>0</v>
      </c>
      <c r="E140" s="106">
        <f>'Cash Flow %s Yr4'!E140</f>
        <v>0</v>
      </c>
      <c r="F140" s="106">
        <f>'Cash Flow %s Yr4'!F140</f>
        <v>0.1</v>
      </c>
      <c r="G140" s="106">
        <f>'Cash Flow %s Yr4'!G140</f>
        <v>0.1</v>
      </c>
      <c r="H140" s="106">
        <f>'Cash Flow %s Yr4'!H140</f>
        <v>0.1</v>
      </c>
      <c r="I140" s="106">
        <f>'Cash Flow %s Yr4'!I140</f>
        <v>0.1</v>
      </c>
      <c r="J140" s="106">
        <f>'Cash Flow %s Yr4'!J140</f>
        <v>0.1</v>
      </c>
      <c r="K140" s="106">
        <f>'Cash Flow %s Yr4'!K140</f>
        <v>0.1</v>
      </c>
      <c r="L140" s="106">
        <f>'Cash Flow %s Yr4'!L140</f>
        <v>0.1</v>
      </c>
      <c r="M140" s="106">
        <f>'Cash Flow %s Yr4'!M140</f>
        <v>0.1</v>
      </c>
      <c r="N140" s="106">
        <f>'Cash Flow %s Yr4'!N140</f>
        <v>0.1</v>
      </c>
      <c r="O140" s="106">
        <f>'Cash Flow %s Yr4'!O140</f>
        <v>0.1</v>
      </c>
      <c r="P140" s="106">
        <f>'Cash Flow %s Yr4'!P140</f>
        <v>0</v>
      </c>
      <c r="Q140" s="106">
        <f>'Cash Flow %s Yr4'!Q140</f>
        <v>0</v>
      </c>
      <c r="R140" s="106">
        <f>'Cash Flow %s Yr4'!R140</f>
        <v>0</v>
      </c>
      <c r="S140" s="105">
        <f t="shared" si="9"/>
        <v>0.99999999999999989</v>
      </c>
    </row>
    <row r="141" spans="1:19" s="30" customFormat="1" hidden="1" outlineLevel="1" x14ac:dyDescent="0.3">
      <c r="A141" s="35"/>
      <c r="B141" s="62" t="str">
        <f>'Expenses Summary'!B101</f>
        <v>7010</v>
      </c>
      <c r="C141" s="62" t="str">
        <f>'Expenses Summary'!C101</f>
        <v>Special Education Encroachment</v>
      </c>
      <c r="D141" s="106">
        <f>'Cash Flow %s Yr4'!D141</f>
        <v>0</v>
      </c>
      <c r="E141" s="106">
        <f>'Cash Flow %s Yr4'!E141</f>
        <v>0</v>
      </c>
      <c r="F141" s="106">
        <f>'Cash Flow %s Yr4'!F141</f>
        <v>0.1</v>
      </c>
      <c r="G141" s="106">
        <f>'Cash Flow %s Yr4'!G141</f>
        <v>0.1</v>
      </c>
      <c r="H141" s="106">
        <f>'Cash Flow %s Yr4'!H141</f>
        <v>0.1</v>
      </c>
      <c r="I141" s="106">
        <f>'Cash Flow %s Yr4'!I141</f>
        <v>0.1</v>
      </c>
      <c r="J141" s="106">
        <f>'Cash Flow %s Yr4'!J141</f>
        <v>0.1</v>
      </c>
      <c r="K141" s="106">
        <f>'Cash Flow %s Yr4'!K141</f>
        <v>0.1</v>
      </c>
      <c r="L141" s="106">
        <f>'Cash Flow %s Yr4'!L141</f>
        <v>0.1</v>
      </c>
      <c r="M141" s="106">
        <f>'Cash Flow %s Yr4'!M141</f>
        <v>0.1</v>
      </c>
      <c r="N141" s="106">
        <f>'Cash Flow %s Yr4'!N141</f>
        <v>0.1</v>
      </c>
      <c r="O141" s="106">
        <f>'Cash Flow %s Yr4'!O141</f>
        <v>0.1</v>
      </c>
      <c r="P141" s="106">
        <f>'Cash Flow %s Yr4'!P141</f>
        <v>0</v>
      </c>
      <c r="Q141" s="106">
        <f>'Cash Flow %s Yr4'!Q141</f>
        <v>0</v>
      </c>
      <c r="R141" s="106">
        <f>'Cash Flow %s Yr4'!R141</f>
        <v>0</v>
      </c>
      <c r="S141" s="105">
        <f t="shared" si="9"/>
        <v>0.99999999999999989</v>
      </c>
    </row>
    <row r="142" spans="1:19" s="30" customFormat="1" hidden="1" outlineLevel="1" x14ac:dyDescent="0.3">
      <c r="A142" s="35"/>
      <c r="B142" s="62" t="e">
        <f>'Expenses Summary'!#REF!</f>
        <v>#REF!</v>
      </c>
      <c r="C142" s="62" t="e">
        <f>'Expenses Summary'!#REF!</f>
        <v>#REF!</v>
      </c>
      <c r="D142" s="106">
        <f>'Cash Flow %s Yr4'!D142</f>
        <v>0</v>
      </c>
      <c r="E142" s="106">
        <f>'Cash Flow %s Yr4'!E142</f>
        <v>0</v>
      </c>
      <c r="F142" s="106">
        <f>'Cash Flow %s Yr4'!F142</f>
        <v>0.1</v>
      </c>
      <c r="G142" s="106">
        <f>'Cash Flow %s Yr4'!G142</f>
        <v>0.1</v>
      </c>
      <c r="H142" s="106">
        <f>'Cash Flow %s Yr4'!H142</f>
        <v>0.1</v>
      </c>
      <c r="I142" s="106">
        <f>'Cash Flow %s Yr4'!I142</f>
        <v>0.1</v>
      </c>
      <c r="J142" s="106">
        <f>'Cash Flow %s Yr4'!J142</f>
        <v>0.1</v>
      </c>
      <c r="K142" s="106">
        <f>'Cash Flow %s Yr4'!K142</f>
        <v>0.1</v>
      </c>
      <c r="L142" s="106">
        <f>'Cash Flow %s Yr4'!L142</f>
        <v>0.1</v>
      </c>
      <c r="M142" s="106">
        <f>'Cash Flow %s Yr4'!M142</f>
        <v>0.1</v>
      </c>
      <c r="N142" s="106">
        <f>'Cash Flow %s Yr4'!N142</f>
        <v>0.1</v>
      </c>
      <c r="O142" s="106">
        <f>'Cash Flow %s Yr4'!O142</f>
        <v>0.1</v>
      </c>
      <c r="P142" s="106">
        <f>'Cash Flow %s Yr4'!P142</f>
        <v>0</v>
      </c>
      <c r="Q142" s="106">
        <f>'Cash Flow %s Yr4'!Q142</f>
        <v>0</v>
      </c>
      <c r="R142" s="106">
        <f>'Cash Flow %s Yr4'!R142</f>
        <v>0</v>
      </c>
      <c r="S142" s="105">
        <f>SUM(D142:R142)</f>
        <v>0.99999999999999989</v>
      </c>
    </row>
    <row r="143" spans="1:19" s="30" customFormat="1" collapsed="1" x14ac:dyDescent="0.3">
      <c r="A143" s="35"/>
      <c r="B143" s="62" t="str">
        <f>'Expenses Summary'!B102</f>
        <v>5999</v>
      </c>
      <c r="C143" s="62" t="str">
        <f>'Expenses Summary'!C102</f>
        <v>Expense Suspense</v>
      </c>
      <c r="D143" s="106">
        <f>'Cash Flow %s Yr4'!D143</f>
        <v>0.05</v>
      </c>
      <c r="E143" s="106">
        <f>'Cash Flow %s Yr4'!E143</f>
        <v>0.05</v>
      </c>
      <c r="F143" s="106">
        <f>'Cash Flow %s Yr4'!F143</f>
        <v>0.09</v>
      </c>
      <c r="G143" s="106">
        <f>'Cash Flow %s Yr4'!G143</f>
        <v>0.09</v>
      </c>
      <c r="H143" s="106">
        <f>'Cash Flow %s Yr4'!H143</f>
        <v>0.09</v>
      </c>
      <c r="I143" s="106">
        <f>'Cash Flow %s Yr4'!I143</f>
        <v>0.09</v>
      </c>
      <c r="J143" s="106">
        <f>'Cash Flow %s Yr4'!J143</f>
        <v>0.09</v>
      </c>
      <c r="K143" s="106">
        <f>'Cash Flow %s Yr4'!K143</f>
        <v>0.09</v>
      </c>
      <c r="L143" s="106">
        <f>'Cash Flow %s Yr4'!L143</f>
        <v>0.09</v>
      </c>
      <c r="M143" s="106">
        <f>'Cash Flow %s Yr4'!M143</f>
        <v>0.09</v>
      </c>
      <c r="N143" s="106">
        <f>'Cash Flow %s Yr4'!N143</f>
        <v>0.09</v>
      </c>
      <c r="O143" s="106">
        <f>'Cash Flow %s Yr4'!O143</f>
        <v>0.09</v>
      </c>
      <c r="P143" s="106">
        <f>'Cash Flow %s Yr4'!P143</f>
        <v>0</v>
      </c>
      <c r="Q143" s="106">
        <f>'Cash Flow %s Yr4'!Q143</f>
        <v>0</v>
      </c>
      <c r="R143" s="106">
        <f>'Cash Flow %s Yr4'!R143</f>
        <v>0</v>
      </c>
      <c r="S143" s="105">
        <f>SUM(D143:R143)</f>
        <v>0.99999999999999978</v>
      </c>
    </row>
    <row r="144" spans="1:19" s="30" customFormat="1" x14ac:dyDescent="0.3">
      <c r="A144" s="35"/>
      <c r="B144" s="118"/>
      <c r="C144" s="87"/>
      <c r="D144" s="94"/>
      <c r="E144" s="94"/>
      <c r="F144" s="94"/>
      <c r="G144" s="94"/>
      <c r="H144" s="94"/>
      <c r="I144" s="94"/>
      <c r="J144" s="94"/>
      <c r="K144" s="94"/>
      <c r="L144" s="94"/>
      <c r="M144" s="94"/>
      <c r="N144" s="94"/>
      <c r="O144" s="94"/>
      <c r="P144" s="102"/>
      <c r="Q144" s="102"/>
      <c r="R144" s="102"/>
      <c r="S144" s="105"/>
    </row>
    <row r="145" spans="1:24" s="30" customFormat="1" x14ac:dyDescent="0.3">
      <c r="A145" s="35"/>
      <c r="B145" s="4"/>
      <c r="C145" s="3"/>
      <c r="D145" s="89"/>
      <c r="E145" s="89"/>
      <c r="F145" s="89"/>
      <c r="G145" s="89"/>
      <c r="H145" s="89"/>
      <c r="I145" s="89"/>
      <c r="J145" s="89"/>
      <c r="K145" s="89"/>
      <c r="L145" s="89"/>
      <c r="M145" s="89"/>
      <c r="N145" s="89"/>
      <c r="O145" s="89"/>
      <c r="P145" s="89"/>
      <c r="Q145" s="89"/>
      <c r="R145" s="89"/>
      <c r="S145" s="105"/>
    </row>
    <row r="146" spans="1:24" s="30" customFormat="1" x14ac:dyDescent="0.3">
      <c r="B146" s="33" t="s">
        <v>722</v>
      </c>
      <c r="C146" s="3"/>
      <c r="D146" s="89"/>
      <c r="E146" s="89"/>
      <c r="F146" s="89"/>
      <c r="G146" s="89"/>
      <c r="H146" s="89"/>
      <c r="I146" s="89"/>
      <c r="J146" s="89"/>
      <c r="K146" s="89"/>
      <c r="L146" s="89"/>
      <c r="M146" s="89"/>
      <c r="N146" s="89"/>
      <c r="O146" s="89"/>
      <c r="P146" s="89"/>
      <c r="Q146" s="89"/>
      <c r="R146" s="89"/>
      <c r="S146" s="105"/>
    </row>
    <row r="147" spans="1:24" s="30" customFormat="1" x14ac:dyDescent="0.3">
      <c r="A147" s="35"/>
      <c r="B147" s="62" t="str">
        <f>'Expenses Summary'!B106</f>
        <v>6900</v>
      </c>
      <c r="C147" s="62" t="str">
        <f>'Expenses Summary'!C106</f>
        <v xml:space="preserve">Depreciation Expense      </v>
      </c>
      <c r="D147" s="106">
        <f>'Cash Flow %s Yr4'!D147</f>
        <v>0</v>
      </c>
      <c r="E147" s="106">
        <f>'Cash Flow %s Yr4'!E147</f>
        <v>0</v>
      </c>
      <c r="F147" s="106">
        <f>'Cash Flow %s Yr4'!F147</f>
        <v>0</v>
      </c>
      <c r="G147" s="106">
        <f>'Cash Flow %s Yr4'!G147</f>
        <v>0</v>
      </c>
      <c r="H147" s="106">
        <f>'Cash Flow %s Yr4'!H147</f>
        <v>0</v>
      </c>
      <c r="I147" s="106">
        <f>'Cash Flow %s Yr4'!I147</f>
        <v>0</v>
      </c>
      <c r="J147" s="106">
        <f>'Cash Flow %s Yr4'!J147</f>
        <v>0</v>
      </c>
      <c r="K147" s="106">
        <f>'Cash Flow %s Yr4'!K147</f>
        <v>0</v>
      </c>
      <c r="L147" s="106">
        <f>'Cash Flow %s Yr4'!L147</f>
        <v>0</v>
      </c>
      <c r="M147" s="106">
        <f>'Cash Flow %s Yr4'!M147</f>
        <v>0</v>
      </c>
      <c r="N147" s="106">
        <f>'Cash Flow %s Yr4'!N147</f>
        <v>0</v>
      </c>
      <c r="O147" s="106">
        <f>'Cash Flow %s Yr4'!O147</f>
        <v>1</v>
      </c>
      <c r="P147" s="106">
        <f>'Cash Flow %s Yr4'!P147</f>
        <v>0</v>
      </c>
      <c r="Q147" s="106">
        <f>'Cash Flow %s Yr4'!Q147</f>
        <v>0</v>
      </c>
      <c r="R147" s="106">
        <f>'Cash Flow %s Yr4'!R147</f>
        <v>0</v>
      </c>
      <c r="S147" s="105">
        <f>SUM(D147:R147)</f>
        <v>1</v>
      </c>
    </row>
    <row r="148" spans="1:24" s="30" customFormat="1" x14ac:dyDescent="0.3">
      <c r="A148" s="35"/>
      <c r="B148" s="118"/>
      <c r="C148" s="87"/>
      <c r="D148" s="94"/>
      <c r="E148" s="94"/>
      <c r="F148" s="94"/>
      <c r="G148" s="94"/>
      <c r="H148" s="94"/>
      <c r="I148" s="102"/>
      <c r="J148" s="102"/>
      <c r="K148" s="102"/>
      <c r="L148" s="102"/>
      <c r="M148" s="102"/>
      <c r="N148" s="102"/>
      <c r="O148" s="102"/>
      <c r="P148" s="102"/>
      <c r="Q148" s="102"/>
      <c r="R148" s="102"/>
      <c r="S148" s="105"/>
    </row>
    <row r="149" spans="1:24" s="30" customFormat="1" x14ac:dyDescent="0.3">
      <c r="A149" s="35"/>
      <c r="B149" s="4"/>
      <c r="C149" s="3"/>
      <c r="D149" s="89"/>
      <c r="E149" s="98"/>
      <c r="F149" s="98"/>
      <c r="G149" s="89"/>
      <c r="H149" s="89"/>
      <c r="I149" s="89"/>
      <c r="J149" s="89"/>
      <c r="K149" s="89"/>
      <c r="L149" s="89"/>
      <c r="M149" s="89"/>
      <c r="N149" s="89"/>
      <c r="O149" s="89"/>
      <c r="P149" s="89"/>
      <c r="Q149" s="89"/>
      <c r="R149" s="89"/>
      <c r="S149" s="105"/>
    </row>
    <row r="150" spans="1:24" s="30" customFormat="1" x14ac:dyDescent="0.3">
      <c r="B150" s="33" t="s">
        <v>723</v>
      </c>
      <c r="C150" s="3"/>
      <c r="D150" s="89"/>
      <c r="E150" s="98"/>
      <c r="F150" s="98"/>
      <c r="G150" s="89"/>
      <c r="H150" s="89"/>
      <c r="I150" s="89"/>
      <c r="J150" s="89"/>
      <c r="K150" s="89"/>
      <c r="L150" s="89"/>
      <c r="M150" s="89"/>
      <c r="N150" s="89"/>
      <c r="O150" s="89"/>
      <c r="P150" s="89"/>
      <c r="Q150" s="89"/>
      <c r="R150" s="89"/>
      <c r="S150" s="105"/>
    </row>
    <row r="151" spans="1:24" s="30" customFormat="1" x14ac:dyDescent="0.3">
      <c r="A151" s="35"/>
      <c r="B151" s="62" t="str">
        <f>'Expenses Summary'!B110</f>
        <v>7000</v>
      </c>
      <c r="C151" s="62" t="str">
        <f>'Expenses Summary'!C110</f>
        <v>Miscellaneous Expense</v>
      </c>
      <c r="D151" s="106">
        <f>'Cash Flow %s Yr4'!D151</f>
        <v>0.05</v>
      </c>
      <c r="E151" s="106">
        <f>'Cash Flow %s Yr4'!E151</f>
        <v>0.05</v>
      </c>
      <c r="F151" s="106">
        <f>'Cash Flow %s Yr4'!F151</f>
        <v>0.09</v>
      </c>
      <c r="G151" s="106">
        <f>'Cash Flow %s Yr4'!G151</f>
        <v>0.09</v>
      </c>
      <c r="H151" s="106">
        <f>'Cash Flow %s Yr4'!H151</f>
        <v>0.09</v>
      </c>
      <c r="I151" s="106">
        <f>'Cash Flow %s Yr4'!I151</f>
        <v>0.09</v>
      </c>
      <c r="J151" s="106">
        <f>'Cash Flow %s Yr4'!J151</f>
        <v>0.09</v>
      </c>
      <c r="K151" s="106">
        <f>'Cash Flow %s Yr4'!K151</f>
        <v>0.09</v>
      </c>
      <c r="L151" s="106">
        <f>'Cash Flow %s Yr4'!L151</f>
        <v>0.09</v>
      </c>
      <c r="M151" s="106">
        <f>'Cash Flow %s Yr4'!M151</f>
        <v>0.09</v>
      </c>
      <c r="N151" s="106">
        <f>'Cash Flow %s Yr4'!N151</f>
        <v>0.09</v>
      </c>
      <c r="O151" s="106">
        <f>'Cash Flow %s Yr4'!O151</f>
        <v>0.09</v>
      </c>
      <c r="P151" s="106">
        <f>'Cash Flow %s Yr4'!P151</f>
        <v>0</v>
      </c>
      <c r="Q151" s="106">
        <f>'Cash Flow %s Yr4'!Q151</f>
        <v>0</v>
      </c>
      <c r="R151" s="106">
        <f>'Cash Flow %s Yr4'!R151</f>
        <v>0</v>
      </c>
      <c r="S151" s="105">
        <f>SUM(D151:R151)</f>
        <v>0.99999999999999978</v>
      </c>
    </row>
    <row r="152" spans="1:24" s="30" customFormat="1" x14ac:dyDescent="0.3">
      <c r="A152" s="35"/>
      <c r="B152" s="62" t="e">
        <f>'Expenses Summary'!#REF!</f>
        <v>#REF!</v>
      </c>
      <c r="C152" s="62" t="e">
        <f>'Expenses Summary'!#REF!</f>
        <v>#REF!</v>
      </c>
      <c r="D152" s="106">
        <f>'Cash Flow %s Yr4'!D152</f>
        <v>0</v>
      </c>
      <c r="E152" s="106">
        <f>'Cash Flow %s Yr4'!E152</f>
        <v>0</v>
      </c>
      <c r="F152" s="106">
        <f>'Cash Flow %s Yr4'!F152</f>
        <v>0.1</v>
      </c>
      <c r="G152" s="106">
        <f>'Cash Flow %s Yr4'!G152</f>
        <v>0.1</v>
      </c>
      <c r="H152" s="106">
        <f>'Cash Flow %s Yr4'!H152</f>
        <v>0.1</v>
      </c>
      <c r="I152" s="106">
        <f>'Cash Flow %s Yr4'!I152</f>
        <v>0.1</v>
      </c>
      <c r="J152" s="106">
        <f>'Cash Flow %s Yr4'!J152</f>
        <v>0.1</v>
      </c>
      <c r="K152" s="106">
        <f>'Cash Flow %s Yr4'!K152</f>
        <v>0.1</v>
      </c>
      <c r="L152" s="106">
        <f>'Cash Flow %s Yr4'!L152</f>
        <v>0.1</v>
      </c>
      <c r="M152" s="106">
        <f>'Cash Flow %s Yr4'!M152</f>
        <v>0.1</v>
      </c>
      <c r="N152" s="106">
        <f>'Cash Flow %s Yr4'!N152</f>
        <v>0.1</v>
      </c>
      <c r="O152" s="106">
        <f>'Cash Flow %s Yr4'!O152</f>
        <v>0.1</v>
      </c>
      <c r="P152" s="106">
        <f>'Cash Flow %s Yr4'!P152</f>
        <v>0</v>
      </c>
      <c r="Q152" s="106">
        <f>'Cash Flow %s Yr4'!Q152</f>
        <v>0</v>
      </c>
      <c r="R152" s="106">
        <f>'Cash Flow %s Yr4'!R152</f>
        <v>0</v>
      </c>
      <c r="S152" s="105">
        <f>SUM(D152:R152)</f>
        <v>0.99999999999999989</v>
      </c>
    </row>
    <row r="153" spans="1:24" s="30" customFormat="1" x14ac:dyDescent="0.3">
      <c r="A153" s="35"/>
      <c r="B153" s="62" t="str">
        <f>'Expenses Summary'!B111</f>
        <v>7438</v>
      </c>
      <c r="C153" s="62" t="str">
        <f>'Expenses Summary'!C111</f>
        <v xml:space="preserve">Debt </v>
      </c>
      <c r="D153" s="106">
        <f>'Cash Flow %s Yr4'!D153</f>
        <v>0</v>
      </c>
      <c r="E153" s="106">
        <f>'Cash Flow %s Yr4'!E153</f>
        <v>0</v>
      </c>
      <c r="F153" s="106">
        <f>'Cash Flow %s Yr4'!F153</f>
        <v>0</v>
      </c>
      <c r="G153" s="106">
        <f>'Cash Flow %s Yr4'!G153</f>
        <v>0</v>
      </c>
      <c r="H153" s="106">
        <f>'Cash Flow %s Yr4'!H153</f>
        <v>0</v>
      </c>
      <c r="I153" s="106">
        <f>'Cash Flow %s Yr4'!I153</f>
        <v>0</v>
      </c>
      <c r="J153" s="106">
        <f>'Cash Flow %s Yr4'!J153</f>
        <v>0</v>
      </c>
      <c r="K153" s="106">
        <f>'Cash Flow %s Yr4'!K153</f>
        <v>0</v>
      </c>
      <c r="L153" s="106">
        <f>'Cash Flow %s Yr4'!L153</f>
        <v>0</v>
      </c>
      <c r="M153" s="106">
        <f>'Cash Flow %s Yr4'!M153</f>
        <v>0</v>
      </c>
      <c r="N153" s="106">
        <f>'Cash Flow %s Yr4'!N153</f>
        <v>0</v>
      </c>
      <c r="O153" s="106">
        <f>'Cash Flow %s Yr4'!O153</f>
        <v>1</v>
      </c>
      <c r="P153" s="106">
        <f>'Cash Flow %s Yr4'!P153</f>
        <v>0</v>
      </c>
      <c r="Q153" s="106">
        <f>'Cash Flow %s Yr4'!Q153</f>
        <v>0</v>
      </c>
      <c r="R153" s="106">
        <f>'Cash Flow %s Yr4'!R153</f>
        <v>0</v>
      </c>
      <c r="S153" s="105">
        <f>SUM(D153:R153)</f>
        <v>1</v>
      </c>
    </row>
    <row r="154" spans="1:24" s="30" customFormat="1" x14ac:dyDescent="0.3">
      <c r="A154" s="35"/>
      <c r="B154" s="62" t="str">
        <f>'Expenses Summary'!B112</f>
        <v>8910</v>
      </c>
      <c r="C154" s="62" t="str">
        <f>'Expenses Summary'!C112</f>
        <v>Transfer in From LLC</v>
      </c>
      <c r="D154" s="106">
        <f>'Cash Flow %s Yr4'!D154</f>
        <v>0</v>
      </c>
      <c r="E154" s="106">
        <f>'Cash Flow %s Yr4'!E154</f>
        <v>0</v>
      </c>
      <c r="F154" s="106">
        <f>'Cash Flow %s Yr4'!F154</f>
        <v>0</v>
      </c>
      <c r="G154" s="106">
        <f>'Cash Flow %s Yr4'!G154</f>
        <v>0</v>
      </c>
      <c r="H154" s="106">
        <f>'Cash Flow %s Yr4'!H154</f>
        <v>0</v>
      </c>
      <c r="I154" s="106">
        <f>'Cash Flow %s Yr4'!I154</f>
        <v>0</v>
      </c>
      <c r="J154" s="106">
        <f>'Cash Flow %s Yr4'!J154</f>
        <v>0</v>
      </c>
      <c r="K154" s="106">
        <f>'Cash Flow %s Yr4'!K154</f>
        <v>0</v>
      </c>
      <c r="L154" s="106">
        <f>'Cash Flow %s Yr4'!L154</f>
        <v>0</v>
      </c>
      <c r="M154" s="106">
        <f>'Cash Flow %s Yr4'!M154</f>
        <v>0</v>
      </c>
      <c r="N154" s="106">
        <f>'Cash Flow %s Yr4'!N154</f>
        <v>0</v>
      </c>
      <c r="O154" s="106">
        <f>'Cash Flow %s Yr4'!O154</f>
        <v>1</v>
      </c>
      <c r="P154" s="106">
        <f>'Cash Flow %s Yr4'!P154</f>
        <v>0</v>
      </c>
      <c r="Q154" s="106">
        <f>'Cash Flow %s Yr4'!Q154</f>
        <v>0</v>
      </c>
      <c r="R154" s="106">
        <f>'Cash Flow %s Yr4'!R154</f>
        <v>0</v>
      </c>
      <c r="S154" s="105">
        <f>SUM(D154:R154)</f>
        <v>1</v>
      </c>
    </row>
    <row r="155" spans="1:24" s="30" customFormat="1" x14ac:dyDescent="0.3">
      <c r="A155" s="35"/>
      <c r="B155" s="39"/>
      <c r="C155" s="1"/>
      <c r="D155" s="99"/>
      <c r="E155" s="99"/>
      <c r="F155" s="99"/>
      <c r="G155" s="99"/>
      <c r="H155" s="99"/>
      <c r="I155" s="99"/>
      <c r="J155" s="99"/>
      <c r="K155" s="99"/>
      <c r="L155" s="99"/>
      <c r="M155" s="99"/>
      <c r="N155" s="99"/>
      <c r="O155" s="99"/>
      <c r="P155" s="99"/>
      <c r="Q155" s="99"/>
      <c r="R155" s="99"/>
      <c r="S155" s="105"/>
    </row>
    <row r="156" spans="1:24" s="30" customFormat="1" x14ac:dyDescent="0.3">
      <c r="A156" s="35"/>
      <c r="B156" s="39"/>
      <c r="C156" s="1"/>
      <c r="D156" s="89"/>
      <c r="E156" s="89"/>
      <c r="F156" s="89"/>
      <c r="G156" s="89"/>
      <c r="H156" s="89"/>
      <c r="I156" s="89"/>
      <c r="J156" s="89"/>
      <c r="K156" s="89"/>
      <c r="L156" s="89"/>
      <c r="M156" s="89"/>
      <c r="N156" s="89"/>
      <c r="O156" s="89"/>
      <c r="P156" s="89"/>
      <c r="Q156" s="89"/>
      <c r="R156" s="89"/>
      <c r="S156" s="105"/>
      <c r="T156" s="148"/>
    </row>
    <row r="157" spans="1:24" s="30" customFormat="1" x14ac:dyDescent="0.3">
      <c r="A157" s="35"/>
      <c r="B157" s="33" t="s">
        <v>818</v>
      </c>
      <c r="C157" s="3"/>
      <c r="D157" s="89"/>
      <c r="E157" s="98"/>
      <c r="F157" s="98"/>
      <c r="G157" s="89"/>
      <c r="H157" s="89"/>
      <c r="I157" s="89"/>
      <c r="J157" s="89"/>
      <c r="K157" s="89"/>
      <c r="L157" s="89"/>
      <c r="M157" s="89"/>
      <c r="N157" s="89"/>
      <c r="O157" s="89"/>
      <c r="P157" s="89"/>
      <c r="Q157" s="89"/>
      <c r="R157" s="89"/>
      <c r="S157" s="105"/>
    </row>
    <row r="158" spans="1:24" s="30" customFormat="1" x14ac:dyDescent="0.3">
      <c r="A158" s="35"/>
      <c r="B158" s="62"/>
      <c r="C158" s="129" t="s">
        <v>819</v>
      </c>
      <c r="D158" s="106">
        <f>'Cash Flow %s Yr4'!D158</f>
        <v>1</v>
      </c>
      <c r="E158" s="106">
        <f>'Cash Flow %s Yr4'!E158</f>
        <v>0</v>
      </c>
      <c r="F158" s="106">
        <f>'Cash Flow %s Yr4'!F158</f>
        <v>0</v>
      </c>
      <c r="G158" s="106">
        <f>'Cash Flow %s Yr4'!G158</f>
        <v>0</v>
      </c>
      <c r="H158" s="106">
        <f>'Cash Flow %s Yr4'!H158</f>
        <v>0</v>
      </c>
      <c r="I158" s="106">
        <f>'Cash Flow %s Yr4'!I158</f>
        <v>0</v>
      </c>
      <c r="J158" s="106">
        <f>'Cash Flow %s Yr4'!J158</f>
        <v>0</v>
      </c>
      <c r="K158" s="106">
        <f>'Cash Flow %s Yr4'!K158</f>
        <v>0</v>
      </c>
      <c r="L158" s="106">
        <f>'Cash Flow %s Yr4'!L158</f>
        <v>0</v>
      </c>
      <c r="M158" s="106">
        <f>'Cash Flow %s Yr4'!M158</f>
        <v>0</v>
      </c>
      <c r="N158" s="106">
        <f>'Cash Flow %s Yr4'!N158</f>
        <v>0</v>
      </c>
      <c r="O158" s="106">
        <f>'Cash Flow %s Yr4'!O158</f>
        <v>0</v>
      </c>
      <c r="P158" s="106">
        <f>'Cash Flow %s Yr4'!P158</f>
        <v>0</v>
      </c>
      <c r="Q158" s="106">
        <f>'Cash Flow %s Yr4'!Q158</f>
        <v>0</v>
      </c>
      <c r="R158" s="106">
        <f>'Cash Flow %s Yr4'!R158</f>
        <v>0</v>
      </c>
      <c r="S158" s="105">
        <f>SUM(D158:R158)</f>
        <v>1</v>
      </c>
      <c r="T158" s="143"/>
      <c r="U158" s="143"/>
      <c r="V158" s="143"/>
      <c r="W158" s="143"/>
      <c r="X158" s="143"/>
    </row>
    <row r="159" spans="1:24" s="30" customFormat="1" x14ac:dyDescent="0.3">
      <c r="A159" s="35"/>
      <c r="B159" s="62"/>
      <c r="C159" s="129" t="s">
        <v>820</v>
      </c>
      <c r="D159" s="106">
        <f>'Cash Flow %s Yr4'!D159</f>
        <v>0.6</v>
      </c>
      <c r="E159" s="106">
        <f>'Cash Flow %s Yr4'!E159</f>
        <v>0.25</v>
      </c>
      <c r="F159" s="106">
        <f>'Cash Flow %s Yr4'!F159</f>
        <v>0.1</v>
      </c>
      <c r="G159" s="106">
        <f>'Cash Flow %s Yr4'!G159</f>
        <v>0.05</v>
      </c>
      <c r="H159" s="106">
        <f>'Cash Flow %s Yr4'!H159</f>
        <v>0</v>
      </c>
      <c r="I159" s="106">
        <f>'Cash Flow %s Yr4'!I159</f>
        <v>0</v>
      </c>
      <c r="J159" s="106">
        <f>'Cash Flow %s Yr4'!J159</f>
        <v>0</v>
      </c>
      <c r="K159" s="106">
        <f>'Cash Flow %s Yr4'!K159</f>
        <v>0</v>
      </c>
      <c r="L159" s="106">
        <f>'Cash Flow %s Yr4'!L159</f>
        <v>0</v>
      </c>
      <c r="M159" s="106">
        <f>'Cash Flow %s Yr4'!M159</f>
        <v>0</v>
      </c>
      <c r="N159" s="106">
        <f>'Cash Flow %s Yr4'!N159</f>
        <v>0</v>
      </c>
      <c r="O159" s="106">
        <f>'Cash Flow %s Yr4'!O159</f>
        <v>0</v>
      </c>
      <c r="P159" s="106">
        <f>'Cash Flow %s Yr4'!P159</f>
        <v>0</v>
      </c>
      <c r="Q159" s="106">
        <f>'Cash Flow %s Yr4'!Q159</f>
        <v>0</v>
      </c>
      <c r="R159" s="106">
        <f>'Cash Flow %s Yr4'!R159</f>
        <v>0</v>
      </c>
      <c r="S159" s="105">
        <f>SUM(D159:R159)</f>
        <v>1</v>
      </c>
      <c r="T159" s="143"/>
      <c r="U159" s="143"/>
      <c r="V159" s="143"/>
      <c r="W159" s="143"/>
      <c r="X159" s="143"/>
    </row>
    <row r="160" spans="1:24" s="30" customFormat="1" x14ac:dyDescent="0.3">
      <c r="A160" s="35"/>
      <c r="B160" s="62"/>
      <c r="C160" s="129" t="s">
        <v>821</v>
      </c>
      <c r="D160" s="106">
        <f>'Cash Flow %s Yr4'!D160</f>
        <v>0.5</v>
      </c>
      <c r="E160" s="106">
        <f>'Cash Flow %s Yr4'!E160</f>
        <v>0.3</v>
      </c>
      <c r="F160" s="106">
        <f>'Cash Flow %s Yr4'!F160</f>
        <v>0.2</v>
      </c>
      <c r="G160" s="106">
        <f>'Cash Flow %s Yr4'!G160</f>
        <v>0</v>
      </c>
      <c r="H160" s="106">
        <f>'Cash Flow %s Yr4'!H160</f>
        <v>0</v>
      </c>
      <c r="I160" s="106">
        <f>'Cash Flow %s Yr4'!I160</f>
        <v>0</v>
      </c>
      <c r="J160" s="106">
        <f>'Cash Flow %s Yr4'!J160</f>
        <v>0</v>
      </c>
      <c r="K160" s="106">
        <f>'Cash Flow %s Yr4'!K160</f>
        <v>0</v>
      </c>
      <c r="L160" s="106">
        <f>'Cash Flow %s Yr4'!L160</f>
        <v>0</v>
      </c>
      <c r="M160" s="106">
        <f>'Cash Flow %s Yr4'!M160</f>
        <v>0</v>
      </c>
      <c r="N160" s="106">
        <f>'Cash Flow %s Yr4'!N160</f>
        <v>0</v>
      </c>
      <c r="O160" s="106">
        <f>'Cash Flow %s Yr4'!O160</f>
        <v>0</v>
      </c>
      <c r="P160" s="106">
        <f>'Cash Flow %s Yr4'!P160</f>
        <v>0</v>
      </c>
      <c r="Q160" s="106">
        <f>'Cash Flow %s Yr4'!Q160</f>
        <v>0</v>
      </c>
      <c r="R160" s="106">
        <f>'Cash Flow %s Yr4'!R160</f>
        <v>0</v>
      </c>
      <c r="S160" s="105">
        <f>SUM(D160:R160)</f>
        <v>1</v>
      </c>
      <c r="T160" s="143"/>
      <c r="U160" s="143"/>
      <c r="V160" s="143"/>
      <c r="W160" s="143"/>
      <c r="X160" s="143"/>
    </row>
    <row r="161" spans="1:24" s="39" customFormat="1" x14ac:dyDescent="0.3">
      <c r="A161" s="35"/>
      <c r="B161" s="62"/>
      <c r="C161" s="129" t="s">
        <v>822</v>
      </c>
      <c r="D161" s="106">
        <f>'Cash Flow %s Yr4'!D161</f>
        <v>0</v>
      </c>
      <c r="E161" s="106">
        <f>'Cash Flow %s Yr4'!E161</f>
        <v>0</v>
      </c>
      <c r="F161" s="106">
        <f>'Cash Flow %s Yr4'!F161</f>
        <v>0</v>
      </c>
      <c r="G161" s="106">
        <f>'Cash Flow %s Yr4'!G161</f>
        <v>0</v>
      </c>
      <c r="H161" s="106">
        <f>'Cash Flow %s Yr4'!H161</f>
        <v>0</v>
      </c>
      <c r="I161" s="106">
        <f>'Cash Flow %s Yr4'!I161</f>
        <v>0</v>
      </c>
      <c r="J161" s="106">
        <f>'Cash Flow %s Yr4'!J161</f>
        <v>0</v>
      </c>
      <c r="K161" s="106">
        <f>'Cash Flow %s Yr4'!K161</f>
        <v>0</v>
      </c>
      <c r="L161" s="106">
        <f>'Cash Flow %s Yr4'!L161</f>
        <v>0</v>
      </c>
      <c r="M161" s="106">
        <f>'Cash Flow %s Yr4'!M161</f>
        <v>0</v>
      </c>
      <c r="N161" s="106">
        <f>'Cash Flow %s Yr4'!N161</f>
        <v>0</v>
      </c>
      <c r="O161" s="106">
        <f>'Cash Flow %s Yr4'!O161</f>
        <v>1</v>
      </c>
      <c r="P161" s="106">
        <f>'Cash Flow %s Yr4'!P161</f>
        <v>0</v>
      </c>
      <c r="Q161" s="106">
        <f>'Cash Flow %s Yr4'!Q161</f>
        <v>0</v>
      </c>
      <c r="R161" s="106">
        <f>'Cash Flow %s Yr4'!R161</f>
        <v>0</v>
      </c>
      <c r="S161" s="105">
        <f>SUM(D161:R161)</f>
        <v>1</v>
      </c>
      <c r="T161" s="143"/>
      <c r="U161" s="143"/>
      <c r="V161" s="143"/>
      <c r="W161" s="143"/>
      <c r="X161" s="143"/>
    </row>
    <row r="162" spans="1:24" s="39" customFormat="1" x14ac:dyDescent="0.3">
      <c r="A162" s="35"/>
      <c r="C162" s="1"/>
      <c r="D162" s="89"/>
      <c r="E162" s="89"/>
      <c r="F162" s="89"/>
      <c r="G162" s="89"/>
      <c r="H162" s="89"/>
      <c r="I162" s="89"/>
      <c r="J162" s="89"/>
      <c r="K162" s="89"/>
      <c r="L162" s="89"/>
      <c r="M162" s="89"/>
      <c r="N162" s="89"/>
      <c r="O162" s="89"/>
      <c r="P162" s="89"/>
      <c r="Q162" s="89"/>
      <c r="R162" s="89"/>
      <c r="S162" s="173"/>
    </row>
    <row r="163" spans="1:24" s="39" customFormat="1" x14ac:dyDescent="0.3">
      <c r="A163" s="35"/>
      <c r="C163" s="1"/>
      <c r="D163" s="89"/>
      <c r="E163" s="89"/>
      <c r="F163" s="89"/>
      <c r="G163" s="89"/>
      <c r="H163" s="89"/>
      <c r="I163" s="89"/>
      <c r="J163" s="89"/>
      <c r="K163" s="89"/>
      <c r="L163" s="89"/>
      <c r="M163" s="89"/>
      <c r="N163" s="89"/>
      <c r="O163" s="89"/>
      <c r="P163" s="89"/>
      <c r="Q163" s="89"/>
      <c r="R163" s="89"/>
      <c r="S163" s="173"/>
    </row>
    <row r="164" spans="1:24" s="39" customFormat="1" x14ac:dyDescent="0.3">
      <c r="A164" s="35"/>
      <c r="C164" s="1"/>
      <c r="D164" s="89"/>
      <c r="E164" s="89"/>
      <c r="F164" s="89"/>
      <c r="G164" s="89"/>
      <c r="H164" s="89"/>
      <c r="I164" s="89"/>
      <c r="J164" s="89"/>
      <c r="K164" s="89"/>
      <c r="L164" s="89"/>
      <c r="M164" s="89"/>
      <c r="N164" s="89"/>
      <c r="O164" s="89"/>
      <c r="P164" s="89"/>
      <c r="Q164" s="89"/>
      <c r="R164" s="89"/>
      <c r="S164" s="173"/>
    </row>
    <row r="165" spans="1:24" s="39" customFormat="1" x14ac:dyDescent="0.3">
      <c r="A165" s="35"/>
      <c r="C165" s="1"/>
      <c r="D165" s="89"/>
      <c r="E165" s="89"/>
      <c r="F165" s="89"/>
      <c r="G165" s="89"/>
      <c r="H165" s="89"/>
      <c r="I165" s="89"/>
      <c r="J165" s="89"/>
      <c r="K165" s="89"/>
      <c r="L165" s="89"/>
      <c r="M165" s="89"/>
      <c r="N165" s="89"/>
      <c r="O165" s="89"/>
      <c r="P165" s="89"/>
      <c r="Q165" s="89"/>
      <c r="R165" s="89"/>
      <c r="S165" s="173"/>
    </row>
    <row r="166" spans="1:24" s="39" customFormat="1" x14ac:dyDescent="0.3">
      <c r="A166" s="35"/>
      <c r="C166" s="1"/>
      <c r="D166" s="89"/>
      <c r="E166" s="89"/>
      <c r="F166" s="89"/>
      <c r="G166" s="89"/>
      <c r="H166" s="89"/>
      <c r="I166" s="89"/>
      <c r="J166" s="89"/>
      <c r="K166" s="89"/>
      <c r="L166" s="89"/>
      <c r="M166" s="89"/>
      <c r="N166" s="89"/>
      <c r="O166" s="89"/>
      <c r="P166" s="89"/>
      <c r="Q166" s="89"/>
      <c r="R166" s="89"/>
      <c r="S166" s="173"/>
    </row>
    <row r="167" spans="1:24" s="39" customFormat="1" x14ac:dyDescent="0.3">
      <c r="A167" s="35"/>
      <c r="C167" s="1"/>
      <c r="D167" s="89"/>
      <c r="E167" s="89"/>
      <c r="F167" s="89"/>
      <c r="G167" s="89"/>
      <c r="H167" s="89"/>
      <c r="I167" s="89"/>
      <c r="J167" s="89"/>
      <c r="K167" s="89"/>
      <c r="L167" s="89"/>
      <c r="M167" s="89"/>
      <c r="N167" s="89"/>
      <c r="O167" s="89"/>
      <c r="P167" s="89"/>
      <c r="Q167" s="89"/>
      <c r="R167" s="89"/>
      <c r="S167" s="173"/>
    </row>
    <row r="168" spans="1:24" s="39" customFormat="1" x14ac:dyDescent="0.3">
      <c r="A168" s="35"/>
      <c r="C168" s="1"/>
      <c r="D168" s="89"/>
      <c r="E168" s="89"/>
      <c r="F168" s="89"/>
      <c r="G168" s="89"/>
      <c r="H168" s="89"/>
      <c r="I168" s="89"/>
      <c r="J168" s="89"/>
      <c r="K168" s="89"/>
      <c r="L168" s="89"/>
      <c r="M168" s="89"/>
      <c r="N168" s="89"/>
      <c r="O168" s="89"/>
      <c r="P168" s="89"/>
      <c r="Q168" s="89"/>
      <c r="R168" s="89"/>
      <c r="S168" s="173"/>
    </row>
    <row r="169" spans="1:24" s="39" customFormat="1" x14ac:dyDescent="0.3">
      <c r="A169" s="35"/>
      <c r="C169" s="1"/>
      <c r="D169" s="89"/>
      <c r="E169" s="89"/>
      <c r="F169" s="89"/>
      <c r="G169" s="89"/>
      <c r="H169" s="89"/>
      <c r="I169" s="89"/>
      <c r="J169" s="89"/>
      <c r="K169" s="89"/>
      <c r="L169" s="89"/>
      <c r="M169" s="89"/>
      <c r="N169" s="89"/>
      <c r="O169" s="89"/>
      <c r="P169" s="89"/>
      <c r="Q169" s="89"/>
      <c r="R169" s="89"/>
      <c r="S169" s="173"/>
    </row>
    <row r="170" spans="1:24" x14ac:dyDescent="0.3">
      <c r="S170" s="173"/>
    </row>
    <row r="171" spans="1:24" x14ac:dyDescent="0.3">
      <c r="S171" s="173"/>
    </row>
    <row r="172" spans="1:24" x14ac:dyDescent="0.3">
      <c r="S172" s="173"/>
    </row>
    <row r="173" spans="1:24" x14ac:dyDescent="0.3">
      <c r="S173" s="173"/>
    </row>
  </sheetData>
  <pageMargins left="0.25" right="0.25" top="0.5" bottom="0.5" header="0.25" footer="0.25"/>
  <pageSetup scale="59" fitToHeight="3" orientation="landscape" r:id="rId1"/>
  <headerFooter alignWithMargins="0">
    <oddHeader>&amp;A</oddHeader>
    <oddFooter>Page &amp;P</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pageSetUpPr fitToPage="1"/>
  </sheetPr>
  <dimension ref="A1:S172"/>
  <sheetViews>
    <sheetView workbookViewId="0">
      <pane xSplit="3" ySplit="6" topLeftCell="D149" activePane="bottomRight" state="frozen"/>
      <selection activeCell="L14" sqref="L14"/>
      <selection pane="topRight" activeCell="L14" sqref="L14"/>
      <selection pane="bottomLeft" activeCell="L14" sqref="L14"/>
      <selection pane="bottomRight" activeCell="L14" sqref="L14"/>
    </sheetView>
  </sheetViews>
  <sheetFormatPr defaultRowHeight="15.6" outlineLevelRow="1" x14ac:dyDescent="0.3"/>
  <cols>
    <col min="1" max="1" width="5.6640625" style="34" customWidth="1"/>
    <col min="2" max="2" width="5.109375" style="39" customWidth="1"/>
    <col min="3" max="3" width="42.5546875" style="1" customWidth="1"/>
    <col min="4" max="18" width="12.44140625" style="89" customWidth="1"/>
    <col min="19" max="19" width="10.33203125" style="1" bestFit="1" customWidth="1"/>
    <col min="20" max="255" width="9.109375" style="1"/>
    <col min="256" max="256" width="22.88671875" style="1" customWidth="1"/>
    <col min="257" max="511" width="9.109375" style="1"/>
    <col min="512" max="512" width="22.88671875" style="1" customWidth="1"/>
    <col min="513" max="767" width="9.109375" style="1"/>
    <col min="768" max="768" width="22.88671875" style="1" customWidth="1"/>
    <col min="769" max="1023" width="9.109375" style="1"/>
    <col min="1024" max="1024" width="22.88671875" style="1" customWidth="1"/>
    <col min="1025" max="1279" width="9.109375" style="1"/>
    <col min="1280" max="1280" width="22.88671875" style="1" customWidth="1"/>
    <col min="1281" max="1535" width="9.109375" style="1"/>
    <col min="1536" max="1536" width="22.88671875" style="1" customWidth="1"/>
    <col min="1537" max="1791" width="9.109375" style="1"/>
    <col min="1792" max="1792" width="22.88671875" style="1" customWidth="1"/>
    <col min="1793" max="2047" width="9.109375" style="1"/>
    <col min="2048" max="2048" width="22.88671875" style="1" customWidth="1"/>
    <col min="2049" max="2303" width="9.109375" style="1"/>
    <col min="2304" max="2304" width="22.88671875" style="1" customWidth="1"/>
    <col min="2305" max="2559" width="9.109375" style="1"/>
    <col min="2560" max="2560" width="22.88671875" style="1" customWidth="1"/>
    <col min="2561" max="2815" width="9.109375" style="1"/>
    <col min="2816" max="2816" width="22.88671875" style="1" customWidth="1"/>
    <col min="2817" max="3071" width="9.109375" style="1"/>
    <col min="3072" max="3072" width="22.88671875" style="1" customWidth="1"/>
    <col min="3073" max="3327" width="9.109375" style="1"/>
    <col min="3328" max="3328" width="22.88671875" style="1" customWidth="1"/>
    <col min="3329" max="3583" width="9.109375" style="1"/>
    <col min="3584" max="3584" width="22.88671875" style="1" customWidth="1"/>
    <col min="3585" max="3839" width="9.109375" style="1"/>
    <col min="3840" max="3840" width="22.88671875" style="1" customWidth="1"/>
    <col min="3841" max="4095" width="9.109375" style="1"/>
    <col min="4096" max="4096" width="22.88671875" style="1" customWidth="1"/>
    <col min="4097" max="4351" width="9.109375" style="1"/>
    <col min="4352" max="4352" width="22.88671875" style="1" customWidth="1"/>
    <col min="4353" max="4607" width="9.109375" style="1"/>
    <col min="4608" max="4608" width="22.88671875" style="1" customWidth="1"/>
    <col min="4609" max="4863" width="9.109375" style="1"/>
    <col min="4864" max="4864" width="22.88671875" style="1" customWidth="1"/>
    <col min="4865" max="5119" width="9.109375" style="1"/>
    <col min="5120" max="5120" width="22.88671875" style="1" customWidth="1"/>
    <col min="5121" max="5375" width="9.109375" style="1"/>
    <col min="5376" max="5376" width="22.88671875" style="1" customWidth="1"/>
    <col min="5377" max="5631" width="9.109375" style="1"/>
    <col min="5632" max="5632" width="22.88671875" style="1" customWidth="1"/>
    <col min="5633" max="5887" width="9.109375" style="1"/>
    <col min="5888" max="5888" width="22.88671875" style="1" customWidth="1"/>
    <col min="5889" max="6143" width="9.109375" style="1"/>
    <col min="6144" max="6144" width="22.88671875" style="1" customWidth="1"/>
    <col min="6145" max="6399" width="9.109375" style="1"/>
    <col min="6400" max="6400" width="22.88671875" style="1" customWidth="1"/>
    <col min="6401" max="6655" width="9.109375" style="1"/>
    <col min="6656" max="6656" width="22.88671875" style="1" customWidth="1"/>
    <col min="6657" max="6911" width="9.109375" style="1"/>
    <col min="6912" max="6912" width="22.88671875" style="1" customWidth="1"/>
    <col min="6913" max="7167" width="9.109375" style="1"/>
    <col min="7168" max="7168" width="22.88671875" style="1" customWidth="1"/>
    <col min="7169" max="7423" width="9.109375" style="1"/>
    <col min="7424" max="7424" width="22.88671875" style="1" customWidth="1"/>
    <col min="7425" max="7679" width="9.109375" style="1"/>
    <col min="7680" max="7680" width="22.88671875" style="1" customWidth="1"/>
    <col min="7681" max="7935" width="9.109375" style="1"/>
    <col min="7936" max="7936" width="22.88671875" style="1" customWidth="1"/>
    <col min="7937" max="8191" width="9.109375" style="1"/>
    <col min="8192" max="8192" width="22.88671875" style="1" customWidth="1"/>
    <col min="8193" max="8447" width="9.109375" style="1"/>
    <col min="8448" max="8448" width="22.88671875" style="1" customWidth="1"/>
    <col min="8449" max="8703" width="9.109375" style="1"/>
    <col min="8704" max="8704" width="22.88671875" style="1" customWidth="1"/>
    <col min="8705" max="8959" width="9.109375" style="1"/>
    <col min="8960" max="8960" width="22.88671875" style="1" customWidth="1"/>
    <col min="8961" max="9215" width="9.109375" style="1"/>
    <col min="9216" max="9216" width="22.88671875" style="1" customWidth="1"/>
    <col min="9217" max="9471" width="9.109375" style="1"/>
    <col min="9472" max="9472" width="22.88671875" style="1" customWidth="1"/>
    <col min="9473" max="9727" width="9.109375" style="1"/>
    <col min="9728" max="9728" width="22.88671875" style="1" customWidth="1"/>
    <col min="9729" max="9983" width="9.109375" style="1"/>
    <col min="9984" max="9984" width="22.88671875" style="1" customWidth="1"/>
    <col min="9985" max="10239" width="9.109375" style="1"/>
    <col min="10240" max="10240" width="22.88671875" style="1" customWidth="1"/>
    <col min="10241" max="10495" width="9.109375" style="1"/>
    <col min="10496" max="10496" width="22.88671875" style="1" customWidth="1"/>
    <col min="10497" max="10751" width="9.109375" style="1"/>
    <col min="10752" max="10752" width="22.88671875" style="1" customWidth="1"/>
    <col min="10753" max="11007" width="9.109375" style="1"/>
    <col min="11008" max="11008" width="22.88671875" style="1" customWidth="1"/>
    <col min="11009" max="11263" width="9.109375" style="1"/>
    <col min="11264" max="11264" width="22.88671875" style="1" customWidth="1"/>
    <col min="11265" max="11519" width="9.109375" style="1"/>
    <col min="11520" max="11520" width="22.88671875" style="1" customWidth="1"/>
    <col min="11521" max="11775" width="9.109375" style="1"/>
    <col min="11776" max="11776" width="22.88671875" style="1" customWidth="1"/>
    <col min="11777" max="12031" width="9.109375" style="1"/>
    <col min="12032" max="12032" width="22.88671875" style="1" customWidth="1"/>
    <col min="12033" max="12287" width="9.109375" style="1"/>
    <col min="12288" max="12288" width="22.88671875" style="1" customWidth="1"/>
    <col min="12289" max="12543" width="9.109375" style="1"/>
    <col min="12544" max="12544" width="22.88671875" style="1" customWidth="1"/>
    <col min="12545" max="12799" width="9.109375" style="1"/>
    <col min="12800" max="12800" width="22.88671875" style="1" customWidth="1"/>
    <col min="12801" max="13055" width="9.109375" style="1"/>
    <col min="13056" max="13056" width="22.88671875" style="1" customWidth="1"/>
    <col min="13057" max="13311" width="9.109375" style="1"/>
    <col min="13312" max="13312" width="22.88671875" style="1" customWidth="1"/>
    <col min="13313" max="13567" width="9.109375" style="1"/>
    <col min="13568" max="13568" width="22.88671875" style="1" customWidth="1"/>
    <col min="13569" max="13823" width="9.109375" style="1"/>
    <col min="13824" max="13824" width="22.88671875" style="1" customWidth="1"/>
    <col min="13825" max="14079" width="9.109375" style="1"/>
    <col min="14080" max="14080" width="22.88671875" style="1" customWidth="1"/>
    <col min="14081" max="14335" width="9.109375" style="1"/>
    <col min="14336" max="14336" width="22.88671875" style="1" customWidth="1"/>
    <col min="14337" max="14591" width="9.109375" style="1"/>
    <col min="14592" max="14592" width="22.88671875" style="1" customWidth="1"/>
    <col min="14593" max="14847" width="9.109375" style="1"/>
    <col min="14848" max="14848" width="22.88671875" style="1" customWidth="1"/>
    <col min="14849" max="15103" width="9.109375" style="1"/>
    <col min="15104" max="15104" width="22.88671875" style="1" customWidth="1"/>
    <col min="15105" max="15359" width="9.109375" style="1"/>
    <col min="15360" max="15360" width="22.88671875" style="1" customWidth="1"/>
    <col min="15361" max="15615" width="9.109375" style="1"/>
    <col min="15616" max="15616" width="22.88671875" style="1" customWidth="1"/>
    <col min="15617" max="15871" width="9.109375" style="1"/>
    <col min="15872" max="15872" width="22.88671875" style="1" customWidth="1"/>
    <col min="15873" max="16127" width="9.109375" style="1"/>
    <col min="16128" max="16128" width="22.88671875" style="1" customWidth="1"/>
    <col min="16129" max="16384" width="9.109375" style="1"/>
  </cols>
  <sheetData>
    <row r="1" spans="1:19" ht="20.399999999999999" x14ac:dyDescent="0.35">
      <c r="A1" s="21" t="str">
        <f>'Student Info'!$A$1</f>
        <v>Three Rivers - 23-65565-0123737</v>
      </c>
    </row>
    <row r="2" spans="1:19" ht="17.399999999999999" x14ac:dyDescent="0.3">
      <c r="A2" s="20" t="s">
        <v>814</v>
      </c>
    </row>
    <row r="3" spans="1:19" ht="17.399999999999999" x14ac:dyDescent="0.3">
      <c r="A3" s="20" t="str">
        <f>'Student Info'!H6</f>
        <v>2024-25</v>
      </c>
    </row>
    <row r="5" spans="1:19" ht="17.399999999999999" x14ac:dyDescent="0.3">
      <c r="A5" s="28"/>
      <c r="B5" s="40"/>
      <c r="C5" s="28"/>
      <c r="D5" s="90"/>
      <c r="E5" s="90"/>
      <c r="F5" s="90"/>
      <c r="G5" s="90"/>
      <c r="H5" s="90"/>
      <c r="I5" s="90"/>
      <c r="J5" s="90"/>
      <c r="K5" s="90"/>
      <c r="L5" s="90"/>
      <c r="M5" s="90"/>
      <c r="N5" s="90"/>
      <c r="O5" s="90"/>
      <c r="P5" s="90"/>
      <c r="Q5" s="90"/>
      <c r="R5" s="90"/>
    </row>
    <row r="6" spans="1:19"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c r="S6" s="100" t="s">
        <v>676</v>
      </c>
    </row>
    <row r="7" spans="1:19" ht="17.399999999999999" x14ac:dyDescent="0.3">
      <c r="A7" s="45" t="s">
        <v>789</v>
      </c>
      <c r="B7" s="81"/>
      <c r="D7" s="30"/>
      <c r="F7" s="91"/>
      <c r="G7" s="91"/>
      <c r="H7" s="91"/>
      <c r="I7" s="30"/>
      <c r="J7" s="30"/>
      <c r="K7" s="91"/>
      <c r="L7" s="91"/>
      <c r="M7" s="91"/>
      <c r="N7" s="91"/>
      <c r="O7" s="91"/>
      <c r="P7" s="91"/>
      <c r="Q7" s="91"/>
      <c r="R7" s="91"/>
    </row>
    <row r="8" spans="1:19" ht="17.399999999999999" hidden="1" x14ac:dyDescent="0.3">
      <c r="A8" s="45"/>
      <c r="B8" s="81"/>
      <c r="C8" s="119" t="s">
        <v>815</v>
      </c>
      <c r="D8" s="104"/>
      <c r="F8" s="91"/>
      <c r="G8" s="91"/>
      <c r="H8" s="91"/>
      <c r="I8" s="30"/>
      <c r="J8" s="30"/>
      <c r="K8" s="91"/>
      <c r="L8" s="91"/>
      <c r="M8" s="91"/>
      <c r="N8" s="91"/>
      <c r="O8" s="91"/>
      <c r="P8" s="91"/>
      <c r="Q8" s="91"/>
      <c r="R8" s="91"/>
    </row>
    <row r="9" spans="1:19" ht="17.399999999999999" hidden="1" x14ac:dyDescent="0.3">
      <c r="A9" s="45"/>
      <c r="B9" s="81"/>
      <c r="C9" s="83"/>
      <c r="D9" s="93"/>
      <c r="E9" s="108"/>
      <c r="F9" s="108"/>
      <c r="G9" s="108"/>
      <c r="H9" s="108"/>
      <c r="I9" s="108"/>
      <c r="J9" s="108"/>
      <c r="K9" s="108"/>
      <c r="L9" s="109"/>
      <c r="M9" s="108"/>
      <c r="N9" s="108"/>
      <c r="O9" s="109"/>
      <c r="P9" s="108"/>
      <c r="Q9" s="106"/>
      <c r="R9" s="106"/>
      <c r="S9" s="105"/>
    </row>
    <row r="10" spans="1:19" ht="17.399999999999999" hidden="1" x14ac:dyDescent="0.3">
      <c r="A10" s="45"/>
      <c r="B10" s="81"/>
      <c r="C10" s="83"/>
      <c r="D10" s="93"/>
      <c r="E10" s="110"/>
      <c r="F10" s="110"/>
      <c r="G10" s="108"/>
      <c r="H10" s="110"/>
      <c r="I10" s="110"/>
      <c r="J10" s="108"/>
      <c r="K10" s="110"/>
      <c r="L10" s="109"/>
      <c r="M10" s="111"/>
      <c r="N10" s="111"/>
      <c r="O10" s="111"/>
      <c r="P10" s="112"/>
      <c r="Q10" s="93"/>
      <c r="R10" s="106"/>
      <c r="S10" s="105"/>
    </row>
    <row r="11" spans="1:19" s="30" customFormat="1" ht="17.399999999999999" x14ac:dyDescent="0.3">
      <c r="B11" s="66" t="s">
        <v>777</v>
      </c>
      <c r="C11" s="47"/>
      <c r="D11" s="92"/>
      <c r="E11" s="92"/>
      <c r="F11" s="92"/>
      <c r="G11" s="92"/>
      <c r="H11" s="92"/>
      <c r="I11" s="92"/>
      <c r="J11" s="92"/>
      <c r="K11" s="92"/>
      <c r="L11" s="92"/>
      <c r="M11" s="92"/>
      <c r="N11" s="92"/>
      <c r="O11" s="92"/>
      <c r="P11" s="92"/>
      <c r="Q11" s="92"/>
      <c r="R11" s="92"/>
    </row>
    <row r="12" spans="1:19" s="30" customFormat="1" x14ac:dyDescent="0.3">
      <c r="A12" s="48"/>
      <c r="B12" s="61">
        <f>'Revenue Input'!B8</f>
        <v>8011</v>
      </c>
      <c r="C12" s="61" t="str">
        <f>'Revenue Input'!C8</f>
        <v>LCFF for all grades; state aid portion</v>
      </c>
      <c r="D12" s="60">
        <f>IF('Revenue Input'!$I8="","",IF('Cash Flow %s Yr5'!D12="","",'Cash Flow %s Yr5'!D12*'Revenue Input'!$I8))</f>
        <v>27663.785549999997</v>
      </c>
      <c r="E12" s="60">
        <f>IF('Revenue Input'!$I8="","",IF('Cash Flow %s Yr5'!E12="","",'Cash Flow %s Yr5'!E12*'Revenue Input'!$I8))</f>
        <v>27663.785549999997</v>
      </c>
      <c r="F12" s="60">
        <f>IF('Revenue Input'!$I8="","",IF('Cash Flow %s Yr5'!F12="","",'Cash Flow %s Yr5'!F12*'Revenue Input'!$I8))</f>
        <v>49794.813989999988</v>
      </c>
      <c r="G12" s="60">
        <f>IF('Revenue Input'!$I8="","",IF('Cash Flow %s Yr5'!G12="","",'Cash Flow %s Yr5'!G12*'Revenue Input'!$I8))</f>
        <v>49794.813989999988</v>
      </c>
      <c r="H12" s="60">
        <f>IF('Revenue Input'!$I8="","",IF('Cash Flow %s Yr5'!H12="","",'Cash Flow %s Yr5'!H12*'Revenue Input'!$I8))</f>
        <v>49794.813989999988</v>
      </c>
      <c r="I12" s="60">
        <f>IF('Revenue Input'!$I8="","",IF('Cash Flow %s Yr5'!I12="","",'Cash Flow %s Yr5'!I12*'Revenue Input'!$I8))</f>
        <v>49794.813989999988</v>
      </c>
      <c r="J12" s="60">
        <f>IF('Revenue Input'!$I8="","",IF('Cash Flow %s Yr5'!J12="","",'Cash Flow %s Yr5'!J12*'Revenue Input'!$I8))</f>
        <v>49794.813989999988</v>
      </c>
      <c r="K12" s="60">
        <f>IF('Revenue Input'!$I8="","",IF('Cash Flow %s Yr5'!K12="","",'Cash Flow %s Yr5'!K12*'Revenue Input'!$I8))</f>
        <v>49794.813989999988</v>
      </c>
      <c r="L12" s="60">
        <f>IF('Revenue Input'!$I8="","",IF('Cash Flow %s Yr5'!L12="","",'Cash Flow %s Yr5'!L12*'Revenue Input'!$I8))</f>
        <v>49794.813989999988</v>
      </c>
      <c r="M12" s="60">
        <f>IF('Revenue Input'!$I8="","",IF('Cash Flow %s Yr5'!M12="","",'Cash Flow %s Yr5'!M12*'Revenue Input'!$I8))</f>
        <v>49794.813989999988</v>
      </c>
      <c r="N12" s="60">
        <f>IF('Revenue Input'!$I8="","",IF('Cash Flow %s Yr5'!N12="","",'Cash Flow %s Yr5'!N12*'Revenue Input'!$I8))</f>
        <v>49794.813989999988</v>
      </c>
      <c r="O12" s="60">
        <f>IF('Revenue Input'!$I8="","",IF('Cash Flow %s Yr5'!O12="","",'Cash Flow %s Yr5'!O12*'Revenue Input'!$I8))</f>
        <v>49794.813989999988</v>
      </c>
      <c r="P12" s="60">
        <f>IF('Revenue Input'!$I8="","",IF('Cash Flow %s Yr5'!P12="","",'Cash Flow %s Yr5'!P12*'Revenue Input'!$I8))</f>
        <v>0</v>
      </c>
      <c r="Q12" s="60">
        <f>IF('Revenue Input'!$I8="","",IF('Cash Flow %s Yr5'!Q12="","",'Cash Flow %s Yr5'!Q12*'Revenue Input'!$I8))</f>
        <v>0</v>
      </c>
      <c r="R12" s="60">
        <f>IF('Revenue Input'!$I8="","",IF('Cash Flow %s Yr5'!R12="","",'Cash Flow %s Yr5'!R12*'Revenue Input'!$I8))</f>
        <v>0</v>
      </c>
      <c r="S12" s="105">
        <f>IF(SUM(D12:R12)&gt;0,SUM(D12:R12)/'Revenue Input'!$I8,"")</f>
        <v>1</v>
      </c>
    </row>
    <row r="13" spans="1:19" s="30" customFormat="1" x14ac:dyDescent="0.3">
      <c r="A13" s="48"/>
      <c r="B13" s="61">
        <f>'Revenue Input'!B9</f>
        <v>8012</v>
      </c>
      <c r="C13" s="61" t="str">
        <f>'Revenue Input'!C9</f>
        <v>LCFF for all grades; EPA portion</v>
      </c>
      <c r="D13" s="60">
        <f>IF('Revenue Input'!$I9="","",IF('Cash Flow %s Yr5'!D13="","",'Cash Flow %s Yr5'!D13*'Revenue Input'!$I9))</f>
        <v>0</v>
      </c>
      <c r="E13" s="60">
        <f>IF('Revenue Input'!$I9="","",IF('Cash Flow %s Yr5'!E13="","",'Cash Flow %s Yr5'!E13*'Revenue Input'!$I9))</f>
        <v>0</v>
      </c>
      <c r="F13" s="60">
        <f>IF('Revenue Input'!$I9="","",IF('Cash Flow %s Yr5'!F13="","",'Cash Flow %s Yr5'!F13*'Revenue Input'!$I9))</f>
        <v>27731.072250000012</v>
      </c>
      <c r="G13" s="60">
        <f>IF('Revenue Input'!$I9="","",IF('Cash Flow %s Yr5'!G13="","",'Cash Flow %s Yr5'!G13*'Revenue Input'!$I9))</f>
        <v>0</v>
      </c>
      <c r="H13" s="60">
        <f>IF('Revenue Input'!$I9="","",IF('Cash Flow %s Yr5'!H13="","",'Cash Flow %s Yr5'!H13*'Revenue Input'!$I9))</f>
        <v>0</v>
      </c>
      <c r="I13" s="60">
        <f>IF('Revenue Input'!$I9="","",IF('Cash Flow %s Yr5'!I13="","",'Cash Flow %s Yr5'!I13*'Revenue Input'!$I9))</f>
        <v>27731.072250000012</v>
      </c>
      <c r="J13" s="60">
        <f>IF('Revenue Input'!$I9="","",IF('Cash Flow %s Yr5'!J13="","",'Cash Flow %s Yr5'!J13*'Revenue Input'!$I9))</f>
        <v>0</v>
      </c>
      <c r="K13" s="60">
        <f>IF('Revenue Input'!$I9="","",IF('Cash Flow %s Yr5'!K13="","",'Cash Flow %s Yr5'!K13*'Revenue Input'!$I9))</f>
        <v>0</v>
      </c>
      <c r="L13" s="60">
        <f>IF('Revenue Input'!$I9="","",IF('Cash Flow %s Yr5'!L13="","",'Cash Flow %s Yr5'!L13*'Revenue Input'!$I9))</f>
        <v>27731.072250000012</v>
      </c>
      <c r="M13" s="60">
        <f>IF('Revenue Input'!$I9="","",IF('Cash Flow %s Yr5'!M13="","",'Cash Flow %s Yr5'!M13*'Revenue Input'!$I9))</f>
        <v>0</v>
      </c>
      <c r="N13" s="60">
        <f>IF('Revenue Input'!$I9="","",IF('Cash Flow %s Yr5'!N13="","",'Cash Flow %s Yr5'!N13*'Revenue Input'!$I9))</f>
        <v>0</v>
      </c>
      <c r="O13" s="60">
        <f>IF('Revenue Input'!$I9="","",IF('Cash Flow %s Yr5'!O13="","",'Cash Flow %s Yr5'!O13*'Revenue Input'!$I9))</f>
        <v>27731.072250000012</v>
      </c>
      <c r="P13" s="60">
        <f>IF('Revenue Input'!$I9="","",IF('Cash Flow %s Yr5'!P13="","",'Cash Flow %s Yr5'!P13*'Revenue Input'!$I9))</f>
        <v>0</v>
      </c>
      <c r="Q13" s="60">
        <f>IF('Revenue Input'!$I9="","",IF('Cash Flow %s Yr5'!Q13="","",'Cash Flow %s Yr5'!Q13*'Revenue Input'!$I9))</f>
        <v>0</v>
      </c>
      <c r="R13" s="60">
        <f>IF('Revenue Input'!$I9="","",IF('Cash Flow %s Yr5'!R13="","",'Cash Flow %s Yr5'!R13*'Revenue Input'!$I9))</f>
        <v>0</v>
      </c>
      <c r="S13" s="105">
        <f>IF(SUM(D13:R13)&gt;0,SUM(D13:R13)/'Revenue Input'!$I9,"")</f>
        <v>1</v>
      </c>
    </row>
    <row r="14" spans="1:19" s="30" customFormat="1" x14ac:dyDescent="0.3">
      <c r="A14" s="48"/>
      <c r="B14" s="61">
        <f>'Revenue Input'!B10</f>
        <v>8096</v>
      </c>
      <c r="C14" s="61" t="str">
        <f>'Revenue Input'!C10</f>
        <v>In-Lieu of Property Taxes, all grades</v>
      </c>
      <c r="D14" s="60">
        <f>IF('Revenue Input'!$I10="","",IF('Cash Flow %s Yr5'!D14="","",'Cash Flow %s Yr5'!D14*'Revenue Input'!$I10))</f>
        <v>0</v>
      </c>
      <c r="E14" s="60">
        <f>IF('Revenue Input'!$I10="","",IF('Cash Flow %s Yr5'!E14="","",'Cash Flow %s Yr5'!E14*'Revenue Input'!$I10))</f>
        <v>23101.200000000001</v>
      </c>
      <c r="F14" s="60">
        <f>IF('Revenue Input'!$I10="","",IF('Cash Flow %s Yr5'!F14="","",'Cash Flow %s Yr5'!F14*'Revenue Input'!$I10))</f>
        <v>46202.400000000001</v>
      </c>
      <c r="G14" s="60">
        <f>IF('Revenue Input'!$I10="","",IF('Cash Flow %s Yr5'!G14="","",'Cash Flow %s Yr5'!G14*'Revenue Input'!$I10))</f>
        <v>30801.600000000002</v>
      </c>
      <c r="H14" s="60">
        <f>IF('Revenue Input'!$I10="","",IF('Cash Flow %s Yr5'!H14="","",'Cash Flow %s Yr5'!H14*'Revenue Input'!$I10))</f>
        <v>30801.600000000002</v>
      </c>
      <c r="I14" s="60">
        <f>IF('Revenue Input'!$I10="","",IF('Cash Flow %s Yr5'!I14="","",'Cash Flow %s Yr5'!I14*'Revenue Input'!$I10))</f>
        <v>30801.600000000002</v>
      </c>
      <c r="J14" s="60">
        <f>IF('Revenue Input'!$I10="","",IF('Cash Flow %s Yr5'!J14="","",'Cash Flow %s Yr5'!J14*'Revenue Input'!$I10))</f>
        <v>30801.600000000002</v>
      </c>
      <c r="K14" s="60">
        <f>IF('Revenue Input'!$I10="","",IF('Cash Flow %s Yr5'!K14="","",'Cash Flow %s Yr5'!K14*'Revenue Input'!$I10))</f>
        <v>30801.600000000002</v>
      </c>
      <c r="L14" s="60">
        <f>IF('Revenue Input'!$I10="","",IF('Cash Flow %s Yr5'!L14="","",'Cash Flow %s Yr5'!L14*'Revenue Input'!$I10))</f>
        <v>53902.8</v>
      </c>
      <c r="M14" s="60">
        <f>IF('Revenue Input'!$I10="","",IF('Cash Flow %s Yr5'!M14="","",'Cash Flow %s Yr5'!M14*'Revenue Input'!$I10))</f>
        <v>26951.4</v>
      </c>
      <c r="N14" s="60">
        <f>IF('Revenue Input'!$I10="","",IF('Cash Flow %s Yr5'!N14="","",'Cash Flow %s Yr5'!N14*'Revenue Input'!$I10))</f>
        <v>26951.4</v>
      </c>
      <c r="O14" s="60">
        <f>IF('Revenue Input'!$I10="","",IF('Cash Flow %s Yr5'!O14="","",'Cash Flow %s Yr5'!O14*'Revenue Input'!$I10))</f>
        <v>53902.8</v>
      </c>
      <c r="P14" s="60">
        <f>IF('Revenue Input'!$I10="","",IF('Cash Flow %s Yr5'!P14="","",'Cash Flow %s Yr5'!P14*'Revenue Input'!$I10))</f>
        <v>0</v>
      </c>
      <c r="Q14" s="60">
        <f>IF('Revenue Input'!$I10="","",IF('Cash Flow %s Yr5'!Q14="","",'Cash Flow %s Yr5'!Q14*'Revenue Input'!$I10))</f>
        <v>0</v>
      </c>
      <c r="R14" s="60">
        <f>IF('Revenue Input'!$I10="","",IF('Cash Flow %s Yr5'!R14="","",'Cash Flow %s Yr5'!R14*'Revenue Input'!$I10))</f>
        <v>0</v>
      </c>
      <c r="S14" s="105">
        <f>IF(SUM(D14:R14)&gt;0,SUM(D14:R14)/'Revenue Input'!$I10,"")</f>
        <v>1.0000000000000002</v>
      </c>
    </row>
    <row r="15" spans="1:19" s="30" customFormat="1" x14ac:dyDescent="0.3">
      <c r="A15" s="48"/>
      <c r="B15" s="61">
        <f>'Revenue Input'!B11</f>
        <v>8019</v>
      </c>
      <c r="C15" s="61" t="str">
        <f>'Revenue Input'!C11</f>
        <v>Prior Year Income / Adjustments</v>
      </c>
      <c r="D15" s="60" t="e">
        <f>'Cash Flow $s Yr4'!P160</f>
        <v>#REF!</v>
      </c>
      <c r="E15" s="60" t="e">
        <f>'Cash Flow $s Yr4'!Q160</f>
        <v>#REF!</v>
      </c>
      <c r="F15" s="60" t="e">
        <f>'Cash Flow $s Yr4'!R160</f>
        <v>#REF!</v>
      </c>
      <c r="G15" s="60" t="str">
        <f>IF('Revenue Input'!$I11="","",IF('Cash Flow %s Yr5'!G15="","",'Cash Flow %s Yr5'!G15*'Revenue Input'!$I11))</f>
        <v/>
      </c>
      <c r="H15" s="60" t="str">
        <f>IF('Revenue Input'!$I11="","",IF('Cash Flow %s Yr5'!H15="","",'Cash Flow %s Yr5'!H15*'Revenue Input'!$I11))</f>
        <v/>
      </c>
      <c r="I15" s="60" t="str">
        <f>IF('Revenue Input'!$I11="","",IF('Cash Flow %s Yr5'!I15="","",'Cash Flow %s Yr5'!I15*'Revenue Input'!$I11))</f>
        <v/>
      </c>
      <c r="J15" s="60" t="str">
        <f>IF('Revenue Input'!$I11="","",IF('Cash Flow %s Yr5'!J15="","",'Cash Flow %s Yr5'!J15*'Revenue Input'!$I11))</f>
        <v/>
      </c>
      <c r="K15" s="60" t="str">
        <f>IF('Revenue Input'!$I11="","",IF('Cash Flow %s Yr5'!K15="","",'Cash Flow %s Yr5'!K15*'Revenue Input'!$I11))</f>
        <v/>
      </c>
      <c r="L15" s="60" t="str">
        <f>IF('Revenue Input'!$I11="","",IF('Cash Flow %s Yr5'!L15="","",'Cash Flow %s Yr5'!L15*'Revenue Input'!$I11))</f>
        <v/>
      </c>
      <c r="M15" s="60" t="str">
        <f>IF('Revenue Input'!$I11="","",IF('Cash Flow %s Yr5'!M15="","",'Cash Flow %s Yr5'!M15*'Revenue Input'!$I11))</f>
        <v/>
      </c>
      <c r="N15" s="60" t="str">
        <f>IF('Revenue Input'!$I11="","",IF('Cash Flow %s Yr5'!N15="","",'Cash Flow %s Yr5'!N15*'Revenue Input'!$I11))</f>
        <v/>
      </c>
      <c r="O15" s="60" t="str">
        <f>IF('Revenue Input'!$I11="","",IF('Cash Flow %s Yr5'!O15="","",'Cash Flow %s Yr5'!O15*'Revenue Input'!$I11))</f>
        <v/>
      </c>
      <c r="P15" s="60" t="str">
        <f>IF('Revenue Input'!$I11="","",IF('Cash Flow %s Yr5'!P15="","",'Cash Flow %s Yr5'!P15*'Revenue Input'!$I11))</f>
        <v/>
      </c>
      <c r="Q15" s="60" t="str">
        <f>IF('Revenue Input'!$I11="","",IF('Cash Flow %s Yr5'!Q15="","",'Cash Flow %s Yr5'!Q15*'Revenue Input'!$I11))</f>
        <v/>
      </c>
      <c r="R15" s="60" t="str">
        <f>IF('Revenue Input'!$I11="","",IF('Cash Flow %s Yr5'!R15="","",'Cash Flow %s Yr5'!R15*'Revenue Input'!$I11))</f>
        <v/>
      </c>
      <c r="S15" s="105" t="e">
        <f>IF(SUM(D15:R15)&gt;0,SUM(D15:R15)/'Revenue Input'!$I11,"")</f>
        <v>#REF!</v>
      </c>
    </row>
    <row r="16" spans="1:19" s="30" customFormat="1" x14ac:dyDescent="0.3">
      <c r="A16" s="48"/>
      <c r="B16" s="61">
        <f>'Revenue Input'!B30</f>
        <v>8520</v>
      </c>
      <c r="C16" s="61" t="str">
        <f>'Revenue Input'!C30</f>
        <v>State Child Nutrition Program</v>
      </c>
      <c r="D16" s="60" t="str">
        <f>IF('Revenue Input'!$I30="","",IF('Cash Flow %s Yr5'!D16="","",'Cash Flow %s Yr5'!D16*'Revenue Input'!$I30))</f>
        <v/>
      </c>
      <c r="E16" s="60" t="str">
        <f>IF('Revenue Input'!$I30="","",IF('Cash Flow %s Yr5'!E16="","",'Cash Flow %s Yr5'!E16*'Revenue Input'!$I30))</f>
        <v/>
      </c>
      <c r="F16" s="60" t="str">
        <f>IF('Revenue Input'!$I30="","",IF('Cash Flow %s Yr5'!F16="","",'Cash Flow %s Yr5'!F16*'Revenue Input'!$I30))</f>
        <v/>
      </c>
      <c r="G16" s="60" t="str">
        <f>IF('Revenue Input'!$I30="","",IF('Cash Flow %s Yr5'!G16="","",'Cash Flow %s Yr5'!G16*'Revenue Input'!$I30))</f>
        <v/>
      </c>
      <c r="H16" s="60" t="str">
        <f>IF('Revenue Input'!$I30="","",IF('Cash Flow %s Yr5'!H16="","",'Cash Flow %s Yr5'!H16*'Revenue Input'!$I30))</f>
        <v/>
      </c>
      <c r="I16" s="60" t="str">
        <f>IF('Revenue Input'!$I30="","",IF('Cash Flow %s Yr5'!I16="","",'Cash Flow %s Yr5'!I16*'Revenue Input'!$I30))</f>
        <v/>
      </c>
      <c r="J16" s="60" t="str">
        <f>IF('Revenue Input'!$I30="","",IF('Cash Flow %s Yr5'!J16="","",'Cash Flow %s Yr5'!J16*'Revenue Input'!$I30))</f>
        <v/>
      </c>
      <c r="K16" s="60" t="str">
        <f>IF('Revenue Input'!$I30="","",IF('Cash Flow %s Yr5'!K16="","",'Cash Flow %s Yr5'!K16*'Revenue Input'!$I30))</f>
        <v/>
      </c>
      <c r="L16" s="60" t="str">
        <f>IF('Revenue Input'!$I30="","",IF('Cash Flow %s Yr5'!L16="","",'Cash Flow %s Yr5'!L16*'Revenue Input'!$I30))</f>
        <v/>
      </c>
      <c r="M16" s="60" t="str">
        <f>IF('Revenue Input'!$I30="","",IF('Cash Flow %s Yr5'!M16="","",'Cash Flow %s Yr5'!M16*'Revenue Input'!$I30))</f>
        <v/>
      </c>
      <c r="N16" s="60" t="str">
        <f>IF('Revenue Input'!$I30="","",IF('Cash Flow %s Yr5'!N16="","",'Cash Flow %s Yr5'!N16*'Revenue Input'!$I30))</f>
        <v/>
      </c>
      <c r="O16" s="60" t="str">
        <f>IF('Revenue Input'!$I30="","",IF('Cash Flow %s Yr5'!O16="","",'Cash Flow %s Yr5'!O16*'Revenue Input'!$I30))</f>
        <v/>
      </c>
      <c r="P16" s="60" t="str">
        <f>IF('Revenue Input'!$I30="","",IF('Cash Flow %s Yr5'!P16="","",'Cash Flow %s Yr5'!P16*'Revenue Input'!$I30))</f>
        <v/>
      </c>
      <c r="Q16" s="60" t="str">
        <f>IF('Revenue Input'!$I30="","",IF('Cash Flow %s Yr5'!Q16="","",'Cash Flow %s Yr5'!Q16*'Revenue Input'!$I30))</f>
        <v/>
      </c>
      <c r="R16" s="60" t="str">
        <f>IF('Revenue Input'!$I30="","",IF('Cash Flow %s Yr5'!R16="","",'Cash Flow %s Yr5'!R16*'Revenue Input'!$I30))</f>
        <v/>
      </c>
      <c r="S16" s="105" t="str">
        <f>IF(SUM(D16:R16)&gt;0,SUM(D16:R16)/'Revenue Input'!$I30,"")</f>
        <v/>
      </c>
    </row>
    <row r="17" spans="1:19" s="30" customFormat="1" x14ac:dyDescent="0.3">
      <c r="A17" s="48"/>
      <c r="B17" s="61">
        <f>'Revenue Input'!B31</f>
        <v>8550</v>
      </c>
      <c r="C17" s="61" t="str">
        <f>'Revenue Input'!C31</f>
        <v>Mandate Block Grant</v>
      </c>
      <c r="D17" s="60">
        <f>IF('Revenue Input'!$I31="","",IF('Cash Flow %s Yr5'!D17="","",'Cash Flow %s Yr5'!D17*'Revenue Input'!$I31))</f>
        <v>0</v>
      </c>
      <c r="E17" s="60">
        <f>IF('Revenue Input'!$I31="","",IF('Cash Flow %s Yr5'!E17="","",'Cash Flow %s Yr5'!E17*'Revenue Input'!$I31))</f>
        <v>0</v>
      </c>
      <c r="F17" s="60">
        <f>IF('Revenue Input'!$I31="","",IF('Cash Flow %s Yr5'!F17="","",'Cash Flow %s Yr5'!F17*'Revenue Input'!$I31))</f>
        <v>0</v>
      </c>
      <c r="G17" s="60">
        <f>IF('Revenue Input'!$I31="","",IF('Cash Flow %s Yr5'!G17="","",'Cash Flow %s Yr5'!G17*'Revenue Input'!$I31))</f>
        <v>0</v>
      </c>
      <c r="H17" s="60">
        <f>IF('Revenue Input'!$I31="","",IF('Cash Flow %s Yr5'!H17="","",'Cash Flow %s Yr5'!H17*'Revenue Input'!$I31))</f>
        <v>0</v>
      </c>
      <c r="I17" s="60">
        <f>IF('Revenue Input'!$I31="","",IF('Cash Flow %s Yr5'!I17="","",'Cash Flow %s Yr5'!I17*'Revenue Input'!$I31))</f>
        <v>1081.99395</v>
      </c>
      <c r="J17" s="60">
        <f>IF('Revenue Input'!$I31="","",IF('Cash Flow %s Yr5'!J17="","",'Cash Flow %s Yr5'!J17*'Revenue Input'!$I31))</f>
        <v>0</v>
      </c>
      <c r="K17" s="60">
        <f>IF('Revenue Input'!$I31="","",IF('Cash Flow %s Yr5'!K17="","",'Cash Flow %s Yr5'!K17*'Revenue Input'!$I31))</f>
        <v>1081.99395</v>
      </c>
      <c r="L17" s="60">
        <f>IF('Revenue Input'!$I31="","",IF('Cash Flow %s Yr5'!L17="","",'Cash Flow %s Yr5'!L17*'Revenue Input'!$I31))</f>
        <v>0</v>
      </c>
      <c r="M17" s="60">
        <f>IF('Revenue Input'!$I31="","",IF('Cash Flow %s Yr5'!M17="","",'Cash Flow %s Yr5'!M17*'Revenue Input'!$I31))</f>
        <v>1081.99395</v>
      </c>
      <c r="N17" s="60">
        <f>IF('Revenue Input'!$I31="","",IF('Cash Flow %s Yr5'!N17="","",'Cash Flow %s Yr5'!N17*'Revenue Input'!$I31))</f>
        <v>0</v>
      </c>
      <c r="O17" s="60">
        <f>IF('Revenue Input'!$I31="","",IF('Cash Flow %s Yr5'!O17="","",'Cash Flow %s Yr5'!O17*'Revenue Input'!$I31))</f>
        <v>1081.99395</v>
      </c>
      <c r="P17" s="60">
        <f>IF('Revenue Input'!$I31="","",IF('Cash Flow %s Yr5'!P17="","",'Cash Flow %s Yr5'!P17*'Revenue Input'!$I31))</f>
        <v>0</v>
      </c>
      <c r="Q17" s="60">
        <f>IF('Revenue Input'!$I31="","",IF('Cash Flow %s Yr5'!Q17="","",'Cash Flow %s Yr5'!Q17*'Revenue Input'!$I31))</f>
        <v>0</v>
      </c>
      <c r="R17" s="60">
        <f>IF('Revenue Input'!$I31="","",IF('Cash Flow %s Yr5'!R17="","",'Cash Flow %s Yr5'!R17*'Revenue Input'!$I31))</f>
        <v>0</v>
      </c>
      <c r="S17" s="105">
        <f>IF(SUM(D17:R17)&gt;0,SUM(D17:R17)/'Revenue Input'!$I31,"")</f>
        <v>1</v>
      </c>
    </row>
    <row r="18" spans="1:19" s="30" customFormat="1" x14ac:dyDescent="0.3">
      <c r="A18" s="47"/>
      <c r="B18" s="61">
        <f>'Revenue Input'!B32</f>
        <v>8560</v>
      </c>
      <c r="C18" s="61" t="str">
        <f>'Revenue Input'!C32</f>
        <v>Lottery</v>
      </c>
      <c r="D18" s="60">
        <f>IF('Revenue Input'!$I32="","",IF('Cash Flow %s Yr5'!D18="","",'Cash Flow %s Yr5'!D18*'Revenue Input'!$I32))</f>
        <v>0</v>
      </c>
      <c r="E18" s="60">
        <f>IF('Revenue Input'!$I32="","",IF('Cash Flow %s Yr5'!E18="","",'Cash Flow %s Yr5'!E18*'Revenue Input'!$I32))</f>
        <v>0</v>
      </c>
      <c r="F18" s="60">
        <f>IF('Revenue Input'!$I32="","",IF('Cash Flow %s Yr5'!F18="","",'Cash Flow %s Yr5'!F18*'Revenue Input'!$I32))</f>
        <v>0</v>
      </c>
      <c r="G18" s="60">
        <f>IF('Revenue Input'!$I32="","",IF('Cash Flow %s Yr5'!G18="","",'Cash Flow %s Yr5'!G18*'Revenue Input'!$I32))</f>
        <v>0</v>
      </c>
      <c r="H18" s="60">
        <f>IF('Revenue Input'!$I32="","",IF('Cash Flow %s Yr5'!H18="","",'Cash Flow %s Yr5'!H18*'Revenue Input'!$I32))</f>
        <v>1505.1420000000001</v>
      </c>
      <c r="I18" s="60">
        <f>IF('Revenue Input'!$I32="","",IF('Cash Flow %s Yr5'!I18="","",'Cash Flow %s Yr5'!I18*'Revenue Input'!$I32))</f>
        <v>1505.1420000000001</v>
      </c>
      <c r="J18" s="60">
        <f>IF('Revenue Input'!$I32="","",IF('Cash Flow %s Yr5'!J18="","",'Cash Flow %s Yr5'!J18*'Revenue Input'!$I32))</f>
        <v>1505.1420000000001</v>
      </c>
      <c r="K18" s="60">
        <f>IF('Revenue Input'!$I32="","",IF('Cash Flow %s Yr5'!K18="","",'Cash Flow %s Yr5'!K18*'Revenue Input'!$I32))</f>
        <v>1505.1420000000001</v>
      </c>
      <c r="L18" s="60">
        <f>IF('Revenue Input'!$I32="","",IF('Cash Flow %s Yr5'!L18="","",'Cash Flow %s Yr5'!L18*'Revenue Input'!$I32))</f>
        <v>1505.1420000000001</v>
      </c>
      <c r="M18" s="60">
        <f>IF('Revenue Input'!$I32="","",IF('Cash Flow %s Yr5'!M18="","",'Cash Flow %s Yr5'!M18*'Revenue Input'!$I32))</f>
        <v>1505.1420000000001</v>
      </c>
      <c r="N18" s="60">
        <f>IF('Revenue Input'!$I32="","",IF('Cash Flow %s Yr5'!N18="","",'Cash Flow %s Yr5'!N18*'Revenue Input'!$I32))</f>
        <v>1505.1420000000001</v>
      </c>
      <c r="O18" s="60">
        <f>IF('Revenue Input'!$I32="","",IF('Cash Flow %s Yr5'!O18="","",'Cash Flow %s Yr5'!O18*'Revenue Input'!$I32))</f>
        <v>4515.4259999999995</v>
      </c>
      <c r="P18" s="60">
        <f>IF('Revenue Input'!$I32="","",IF('Cash Flow %s Yr5'!P18="","",'Cash Flow %s Yr5'!P18*'Revenue Input'!$I32))</f>
        <v>0</v>
      </c>
      <c r="Q18" s="60">
        <f>IF('Revenue Input'!$I32="","",IF('Cash Flow %s Yr5'!Q18="","",'Cash Flow %s Yr5'!Q18*'Revenue Input'!$I32))</f>
        <v>0</v>
      </c>
      <c r="R18" s="60">
        <f>IF('Revenue Input'!$I32="","",IF('Cash Flow %s Yr5'!R18="","",'Cash Flow %s Yr5'!R18*'Revenue Input'!$I32))</f>
        <v>0</v>
      </c>
      <c r="S18" s="105">
        <f>IF(SUM(D18:R18)&gt;0,SUM(D18:R18)/'Revenue Input'!$I32,"")</f>
        <v>1</v>
      </c>
    </row>
    <row r="19" spans="1:19" s="30" customFormat="1" x14ac:dyDescent="0.3">
      <c r="A19" s="48"/>
      <c r="B19" s="61">
        <f>'Revenue Input'!B34</f>
        <v>8590</v>
      </c>
      <c r="C19" s="61" t="str">
        <f>'Revenue Input'!C34</f>
        <v xml:space="preserve">Other State Revenues </v>
      </c>
      <c r="D19" s="60" t="str">
        <f>IF('Revenue Input'!$I34="","",IF('Cash Flow %s Yr5'!D19="","",'Cash Flow %s Yr5'!D19*'Revenue Input'!$I34))</f>
        <v/>
      </c>
      <c r="E19" s="60" t="str">
        <f>IF('Revenue Input'!$I34="","",IF('Cash Flow %s Yr5'!E19="","",'Cash Flow %s Yr5'!E19*'Revenue Input'!$I34))</f>
        <v/>
      </c>
      <c r="F19" s="60" t="str">
        <f>IF('Revenue Input'!$I34="","",IF('Cash Flow %s Yr5'!F19="","",'Cash Flow %s Yr5'!F19*'Revenue Input'!$I34))</f>
        <v/>
      </c>
      <c r="G19" s="60" t="str">
        <f>IF('Revenue Input'!$I34="","",IF('Cash Flow %s Yr5'!G19="","",'Cash Flow %s Yr5'!G19*'Revenue Input'!$I34))</f>
        <v/>
      </c>
      <c r="H19" s="60" t="str">
        <f>IF('Revenue Input'!$I34="","",IF('Cash Flow %s Yr5'!H19="","",'Cash Flow %s Yr5'!H19*'Revenue Input'!$I34))</f>
        <v/>
      </c>
      <c r="I19" s="60" t="str">
        <f>IF('Revenue Input'!$I34="","",IF('Cash Flow %s Yr5'!I19="","",'Cash Flow %s Yr5'!I19*'Revenue Input'!$I34))</f>
        <v/>
      </c>
      <c r="J19" s="60" t="str">
        <f>IF('Revenue Input'!$I34="","",IF('Cash Flow %s Yr5'!J19="","",'Cash Flow %s Yr5'!J19*'Revenue Input'!$I34))</f>
        <v/>
      </c>
      <c r="K19" s="60" t="str">
        <f>IF('Revenue Input'!$I34="","",IF('Cash Flow %s Yr5'!K19="","",'Cash Flow %s Yr5'!K19*'Revenue Input'!$I34))</f>
        <v/>
      </c>
      <c r="L19" s="60" t="str">
        <f>IF('Revenue Input'!$I34="","",IF('Cash Flow %s Yr5'!L19="","",'Cash Flow %s Yr5'!L19*'Revenue Input'!$I34))</f>
        <v/>
      </c>
      <c r="M19" s="60" t="str">
        <f>IF('Revenue Input'!$I34="","",IF('Cash Flow %s Yr5'!M19="","",'Cash Flow %s Yr5'!M19*'Revenue Input'!$I34))</f>
        <v/>
      </c>
      <c r="N19" s="60" t="str">
        <f>IF('Revenue Input'!$I34="","",IF('Cash Flow %s Yr5'!N19="","",'Cash Flow %s Yr5'!N19*'Revenue Input'!$I34))</f>
        <v/>
      </c>
      <c r="O19" s="60" t="str">
        <f>IF('Revenue Input'!$I34="","",IF('Cash Flow %s Yr5'!O19="","",'Cash Flow %s Yr5'!O19*'Revenue Input'!$I34))</f>
        <v/>
      </c>
      <c r="P19" s="60" t="str">
        <f>IF('Revenue Input'!$I34="","",IF('Cash Flow %s Yr5'!P19="","",'Cash Flow %s Yr5'!P19*'Revenue Input'!$I34))</f>
        <v/>
      </c>
      <c r="Q19" s="60" t="str">
        <f>IF('Revenue Input'!$I34="","",IF('Cash Flow %s Yr5'!Q19="","",'Cash Flow %s Yr5'!Q19*'Revenue Input'!$I34))</f>
        <v/>
      </c>
      <c r="R19" s="60" t="str">
        <f>IF('Revenue Input'!$I34="","",IF('Cash Flow %s Yr5'!R19="","",'Cash Flow %s Yr5'!R19*'Revenue Input'!$I34))</f>
        <v/>
      </c>
      <c r="S19" s="105" t="str">
        <f>IF(SUM(D19:R19)&gt;0,SUM(D19:R19)/'Revenue Input'!$I34,"")</f>
        <v/>
      </c>
    </row>
    <row r="20" spans="1:19" s="30" customFormat="1" ht="17.399999999999999" x14ac:dyDescent="0.3">
      <c r="A20" s="45"/>
      <c r="B20" s="61">
        <f>'Revenue Input'!B37</f>
        <v>8591</v>
      </c>
      <c r="C20" s="61" t="str">
        <f>'Revenue Input'!C37</f>
        <v>SB740</v>
      </c>
      <c r="D20" s="60">
        <f>IF('Revenue Input'!$I37="","",IF('Cash Flow %s Yr5'!D20="","",'Cash Flow %s Yr5'!D20*'Revenue Input'!$I37))</f>
        <v>0</v>
      </c>
      <c r="E20" s="60">
        <f>IF('Revenue Input'!$I37="","",IF('Cash Flow %s Yr5'!E20="","",'Cash Flow %s Yr5'!E20*'Revenue Input'!$I37))</f>
        <v>0</v>
      </c>
      <c r="F20" s="60">
        <f>IF('Revenue Input'!$I37="","",IF('Cash Flow %s Yr5'!F20="","",'Cash Flow %s Yr5'!F20*'Revenue Input'!$I37))</f>
        <v>0</v>
      </c>
      <c r="G20" s="60">
        <f>IF('Revenue Input'!$I37="","",IF('Cash Flow %s Yr5'!G20="","",'Cash Flow %s Yr5'!G20*'Revenue Input'!$I37))</f>
        <v>0</v>
      </c>
      <c r="H20" s="60">
        <f>IF('Revenue Input'!$I37="","",IF('Cash Flow %s Yr5'!H20="","",'Cash Flow %s Yr5'!H20*'Revenue Input'!$I37))</f>
        <v>22522.5</v>
      </c>
      <c r="I20" s="60">
        <f>IF('Revenue Input'!$I37="","",IF('Cash Flow %s Yr5'!I20="","",'Cash Flow %s Yr5'!I20*'Revenue Input'!$I37))</f>
        <v>0</v>
      </c>
      <c r="J20" s="60">
        <f>IF('Revenue Input'!$I37="","",IF('Cash Flow %s Yr5'!J20="","",'Cash Flow %s Yr5'!J20*'Revenue Input'!$I37))</f>
        <v>0</v>
      </c>
      <c r="K20" s="60">
        <f>IF('Revenue Input'!$I37="","",IF('Cash Flow %s Yr5'!K20="","",'Cash Flow %s Yr5'!K20*'Revenue Input'!$I37))</f>
        <v>0</v>
      </c>
      <c r="L20" s="60">
        <f>IF('Revenue Input'!$I37="","",IF('Cash Flow %s Yr5'!L20="","",'Cash Flow %s Yr5'!L20*'Revenue Input'!$I37))</f>
        <v>0</v>
      </c>
      <c r="M20" s="60">
        <f>IF('Revenue Input'!$I37="","",IF('Cash Flow %s Yr5'!M20="","",'Cash Flow %s Yr5'!M20*'Revenue Input'!$I37))</f>
        <v>0</v>
      </c>
      <c r="N20" s="60">
        <f>IF('Revenue Input'!$I37="","",IF('Cash Flow %s Yr5'!N20="","",'Cash Flow %s Yr5'!N20*'Revenue Input'!$I37))</f>
        <v>0</v>
      </c>
      <c r="O20" s="60">
        <f>IF('Revenue Input'!$I37="","",IF('Cash Flow %s Yr5'!O20="","",'Cash Flow %s Yr5'!O20*'Revenue Input'!$I37))</f>
        <v>12127.5</v>
      </c>
      <c r="P20" s="60">
        <f>IF('Revenue Input'!$I37="","",IF('Cash Flow %s Yr5'!P20="","",'Cash Flow %s Yr5'!P20*'Revenue Input'!$I37))</f>
        <v>0</v>
      </c>
      <c r="Q20" s="60">
        <f>IF('Revenue Input'!$I37="","",IF('Cash Flow %s Yr5'!Q20="","",'Cash Flow %s Yr5'!Q20*'Revenue Input'!$I37))</f>
        <v>0</v>
      </c>
      <c r="R20" s="60">
        <f>IF('Revenue Input'!$I37="","",IF('Cash Flow %s Yr5'!R20="","",'Cash Flow %s Yr5'!R20*'Revenue Input'!$I37))</f>
        <v>0</v>
      </c>
      <c r="S20" s="105">
        <f>IF(SUM(D20:R20)&gt;0,SUM(D20:R20)/'Revenue Input'!$I37,"")</f>
        <v>1</v>
      </c>
    </row>
    <row r="21" spans="1:19" s="30" customFormat="1" ht="17.399999999999999" x14ac:dyDescent="0.3">
      <c r="A21" s="45"/>
      <c r="B21" s="61">
        <f>'Revenue Input'!B38</f>
        <v>8599</v>
      </c>
      <c r="C21" s="61" t="str">
        <f>'Revenue Input'!C38</f>
        <v>Prior Year State Income</v>
      </c>
      <c r="D21" s="60" t="str">
        <f>IF('Revenue Input'!$I38="","",IF('Cash Flow %s Yr5'!D22="","",'Cash Flow %s Yr5'!D22*'Revenue Input'!$I38))</f>
        <v/>
      </c>
      <c r="E21" s="60" t="str">
        <f>IF('Revenue Input'!$I38="","",IF('Cash Flow %s Yr5'!E22="","",'Cash Flow %s Yr5'!E22*'Revenue Input'!$I38))</f>
        <v/>
      </c>
      <c r="F21" s="60" t="str">
        <f>IF('Revenue Input'!$I38="","",IF('Cash Flow %s Yr5'!F22="","",'Cash Flow %s Yr5'!F22*'Revenue Input'!$I38))</f>
        <v/>
      </c>
      <c r="G21" s="60" t="str">
        <f>IF('Revenue Input'!$I38="","",IF('Cash Flow %s Yr5'!G22="","",'Cash Flow %s Yr5'!G22*'Revenue Input'!$I38))</f>
        <v/>
      </c>
      <c r="H21" s="60" t="str">
        <f>IF('Revenue Input'!$I38="","",IF('Cash Flow %s Yr5'!H22="","",'Cash Flow %s Yr5'!H22*'Revenue Input'!$I38))</f>
        <v/>
      </c>
      <c r="I21" s="60" t="str">
        <f>IF('Revenue Input'!$I38="","",IF('Cash Flow %s Yr5'!I22="","",'Cash Flow %s Yr5'!I22*'Revenue Input'!$I38))</f>
        <v/>
      </c>
      <c r="J21" s="60" t="str">
        <f>IF('Revenue Input'!$I38="","",IF('Cash Flow %s Yr5'!J22="","",'Cash Flow %s Yr5'!J22*'Revenue Input'!$I38))</f>
        <v/>
      </c>
      <c r="K21" s="60" t="str">
        <f>IF('Revenue Input'!$I38="","",IF('Cash Flow %s Yr5'!K22="","",'Cash Flow %s Yr5'!K22*'Revenue Input'!$I38))</f>
        <v/>
      </c>
      <c r="L21" s="60" t="str">
        <f>IF('Revenue Input'!$I38="","",IF('Cash Flow %s Yr5'!L22="","",'Cash Flow %s Yr5'!L22*'Revenue Input'!$I38))</f>
        <v/>
      </c>
      <c r="M21" s="60" t="str">
        <f>IF('Revenue Input'!$I38="","",IF('Cash Flow %s Yr5'!M22="","",'Cash Flow %s Yr5'!M22*'Revenue Input'!$I38))</f>
        <v/>
      </c>
      <c r="N21" s="60" t="str">
        <f>IF('Revenue Input'!$I38="","",IF('Cash Flow %s Yr5'!N22="","",'Cash Flow %s Yr5'!N22*'Revenue Input'!$I38))</f>
        <v/>
      </c>
      <c r="O21" s="60" t="str">
        <f>IF('Revenue Input'!$I38="","",IF('Cash Flow %s Yr5'!O22="","",'Cash Flow %s Yr5'!O22*'Revenue Input'!$I38))</f>
        <v/>
      </c>
      <c r="P21" s="60" t="str">
        <f>IF('Revenue Input'!$I38="","",IF('Cash Flow %s Yr5'!P22="","",'Cash Flow %s Yr5'!P22*'Revenue Input'!$I38))</f>
        <v/>
      </c>
      <c r="Q21" s="60" t="str">
        <f>IF('Revenue Input'!$I38="","",IF('Cash Flow %s Yr5'!Q22="","",'Cash Flow %s Yr5'!Q22*'Revenue Input'!$I38))</f>
        <v/>
      </c>
      <c r="R21" s="60" t="str">
        <f>IF('Revenue Input'!$I38="","",IF('Cash Flow %s Yr5'!R22="","",'Cash Flow %s Yr5'!R22*'Revenue Input'!$I38))</f>
        <v/>
      </c>
      <c r="S21" s="105" t="str">
        <f>IF(SUM(D21:R21)&gt;0,SUM(D21:R21)/'Revenue Input'!$I38,"")</f>
        <v/>
      </c>
    </row>
    <row r="22" spans="1:19" s="30" customFormat="1" ht="17.399999999999999" x14ac:dyDescent="0.3">
      <c r="A22" s="45"/>
      <c r="B22" s="61">
        <f>'Revenue Input'!B39</f>
        <v>8792</v>
      </c>
      <c r="C22" s="61" t="str">
        <f>'Revenue Input'!C39</f>
        <v>Special Education - AB 602</v>
      </c>
      <c r="D22" s="60" t="str">
        <f>IF('Revenue Input'!$I39="","",IF('Cash Flow %s Yr5'!D22="","",'Cash Flow %s Yr5'!D22*'Revenue Input'!$I39))</f>
        <v/>
      </c>
      <c r="E22" s="60" t="str">
        <f>IF('Revenue Input'!$I39="","",IF('Cash Flow %s Yr5'!E22="","",'Cash Flow %s Yr5'!E22*'Revenue Input'!$I39))</f>
        <v/>
      </c>
      <c r="F22" s="60" t="str">
        <f>IF('Revenue Input'!$I39="","",IF('Cash Flow %s Yr5'!F22="","",'Cash Flow %s Yr5'!F22*'Revenue Input'!$I39))</f>
        <v/>
      </c>
      <c r="G22" s="60" t="str">
        <f>IF('Revenue Input'!$I39="","",IF('Cash Flow %s Yr5'!G22="","",'Cash Flow %s Yr5'!G22*'Revenue Input'!$I39))</f>
        <v/>
      </c>
      <c r="H22" s="60" t="str">
        <f>IF('Revenue Input'!$I39="","",IF('Cash Flow %s Yr5'!H22="","",'Cash Flow %s Yr5'!H22*'Revenue Input'!$I39))</f>
        <v/>
      </c>
      <c r="I22" s="60" t="str">
        <f>IF('Revenue Input'!$I39="","",IF('Cash Flow %s Yr5'!I22="","",'Cash Flow %s Yr5'!I22*'Revenue Input'!$I39))</f>
        <v/>
      </c>
      <c r="J22" s="60" t="str">
        <f>IF('Revenue Input'!$I39="","",IF('Cash Flow %s Yr5'!J22="","",'Cash Flow %s Yr5'!J22*'Revenue Input'!$I39))</f>
        <v/>
      </c>
      <c r="K22" s="60" t="str">
        <f>IF('Revenue Input'!$I39="","",IF('Cash Flow %s Yr5'!K22="","",'Cash Flow %s Yr5'!K22*'Revenue Input'!$I39))</f>
        <v/>
      </c>
      <c r="L22" s="60" t="str">
        <f>IF('Revenue Input'!$I39="","",IF('Cash Flow %s Yr5'!L22="","",'Cash Flow %s Yr5'!L22*'Revenue Input'!$I39))</f>
        <v/>
      </c>
      <c r="M22" s="60" t="str">
        <f>IF('Revenue Input'!$I39="","",IF('Cash Flow %s Yr5'!M22="","",'Cash Flow %s Yr5'!M22*'Revenue Input'!$I39))</f>
        <v/>
      </c>
      <c r="N22" s="60" t="str">
        <f>IF('Revenue Input'!$I39="","",IF('Cash Flow %s Yr5'!N22="","",'Cash Flow %s Yr5'!N22*'Revenue Input'!$I39))</f>
        <v/>
      </c>
      <c r="O22" s="60" t="str">
        <f>IF('Revenue Input'!$I39="","",IF('Cash Flow %s Yr5'!O22="","",'Cash Flow %s Yr5'!O22*'Revenue Input'!$I39))</f>
        <v/>
      </c>
      <c r="P22" s="60" t="str">
        <f>IF('Revenue Input'!$I39="","",IF('Cash Flow %s Yr5'!P22="","",'Cash Flow %s Yr5'!P22*'Revenue Input'!$I39))</f>
        <v/>
      </c>
      <c r="Q22" s="60" t="str">
        <f>IF('Revenue Input'!$I39="","",IF('Cash Flow %s Yr5'!Q22="","",'Cash Flow %s Yr5'!Q22*'Revenue Input'!$I39))</f>
        <v/>
      </c>
      <c r="R22" s="60" t="str">
        <f>IF('Revenue Input'!$I39="","",IF('Cash Flow %s Yr5'!R22="","",'Cash Flow %s Yr5'!R22*'Revenue Input'!$I39))</f>
        <v/>
      </c>
      <c r="S22" s="105" t="str">
        <f>IF(SUM(D22:R22)&gt;0,SUM(D22:R22)/'Revenue Input'!$I39,"")</f>
        <v/>
      </c>
    </row>
    <row r="23" spans="1:19" s="30" customFormat="1" ht="17.399999999999999" x14ac:dyDescent="0.3">
      <c r="A23" s="45"/>
      <c r="B23" s="69"/>
      <c r="C23" s="33" t="s">
        <v>720</v>
      </c>
      <c r="D23" s="165" t="e">
        <f>SUM(D12:D22)</f>
        <v>#REF!</v>
      </c>
      <c r="E23" s="165" t="e">
        <f t="shared" ref="E23:R23" si="0">SUM(E12:E22)</f>
        <v>#REF!</v>
      </c>
      <c r="F23" s="165" t="e">
        <f t="shared" si="0"/>
        <v>#REF!</v>
      </c>
      <c r="G23" s="165">
        <f t="shared" si="0"/>
        <v>80596.413989999986</v>
      </c>
      <c r="H23" s="165">
        <f t="shared" si="0"/>
        <v>104624.05598999999</v>
      </c>
      <c r="I23" s="165">
        <f t="shared" si="0"/>
        <v>110914.62219000001</v>
      </c>
      <c r="J23" s="165">
        <f t="shared" si="0"/>
        <v>82101.555989999993</v>
      </c>
      <c r="K23" s="165">
        <f t="shared" si="0"/>
        <v>83183.549939999997</v>
      </c>
      <c r="L23" s="165">
        <f t="shared" si="0"/>
        <v>132933.82824</v>
      </c>
      <c r="M23" s="165">
        <f t="shared" si="0"/>
        <v>79333.34994</v>
      </c>
      <c r="N23" s="165">
        <f t="shared" si="0"/>
        <v>78251.355989999996</v>
      </c>
      <c r="O23" s="165">
        <f t="shared" si="0"/>
        <v>149153.60619000002</v>
      </c>
      <c r="P23" s="165">
        <f t="shared" si="0"/>
        <v>0</v>
      </c>
      <c r="Q23" s="165">
        <f t="shared" si="0"/>
        <v>0</v>
      </c>
      <c r="R23" s="165">
        <f t="shared" si="0"/>
        <v>0</v>
      </c>
      <c r="S23" s="105"/>
    </row>
    <row r="24" spans="1:19" s="30" customFormat="1" ht="17.399999999999999" x14ac:dyDescent="0.3">
      <c r="A24" s="45"/>
      <c r="B24" s="68"/>
      <c r="C24" s="48"/>
      <c r="D24" s="120"/>
      <c r="E24" s="120"/>
      <c r="F24" s="120"/>
      <c r="G24" s="120"/>
      <c r="H24" s="120"/>
      <c r="I24" s="120"/>
      <c r="J24" s="120"/>
      <c r="K24" s="120"/>
      <c r="L24" s="120"/>
      <c r="M24" s="120"/>
      <c r="N24" s="120"/>
      <c r="O24" s="120"/>
      <c r="P24" s="120"/>
      <c r="Q24" s="120"/>
      <c r="R24" s="120"/>
    </row>
    <row r="25" spans="1:19" s="30" customFormat="1" ht="17.399999999999999" x14ac:dyDescent="0.3">
      <c r="B25" s="45" t="s">
        <v>781</v>
      </c>
      <c r="C25" s="48"/>
      <c r="D25" s="120"/>
      <c r="E25" s="120"/>
      <c r="F25" s="120"/>
      <c r="G25" s="120"/>
      <c r="H25" s="120"/>
      <c r="I25" s="120"/>
      <c r="J25" s="120"/>
      <c r="K25" s="120"/>
      <c r="L25" s="120"/>
      <c r="M25" s="120"/>
      <c r="N25" s="120"/>
      <c r="O25" s="120"/>
      <c r="P25" s="120"/>
      <c r="Q25" s="120"/>
      <c r="R25" s="120"/>
    </row>
    <row r="26" spans="1:19" s="30" customFormat="1" ht="17.399999999999999" x14ac:dyDescent="0.3">
      <c r="A26" s="45"/>
      <c r="B26" s="61">
        <f>'Revenue Input'!B15</f>
        <v>8181</v>
      </c>
      <c r="C26" s="61" t="str">
        <f>'Revenue Input'!C15</f>
        <v>Special Education - Federal IDEA</v>
      </c>
      <c r="D26" s="60" t="str">
        <f>IF('Revenue Input'!$I15="","",IF('Cash Flow %s Yr5'!D26="","",'Cash Flow %s Yr5'!D26*'Revenue Input'!$I15))</f>
        <v/>
      </c>
      <c r="E26" s="60" t="str">
        <f>IF('Revenue Input'!$I15="","",IF('Cash Flow %s Yr5'!E26="","",'Cash Flow %s Yr5'!E26*'Revenue Input'!$I15))</f>
        <v/>
      </c>
      <c r="F26" s="60" t="str">
        <f>IF('Revenue Input'!$I15="","",IF('Cash Flow %s Yr5'!F26="","",'Cash Flow %s Yr5'!F26*'Revenue Input'!$I15))</f>
        <v/>
      </c>
      <c r="G26" s="60" t="str">
        <f>IF('Revenue Input'!$I15="","",IF('Cash Flow %s Yr5'!G26="","",'Cash Flow %s Yr5'!G26*'Revenue Input'!$I15))</f>
        <v/>
      </c>
      <c r="H26" s="60" t="str">
        <f>IF('Revenue Input'!$I15="","",IF('Cash Flow %s Yr5'!H26="","",'Cash Flow %s Yr5'!H26*'Revenue Input'!$I15))</f>
        <v/>
      </c>
      <c r="I26" s="60" t="str">
        <f>IF('Revenue Input'!$I15="","",IF('Cash Flow %s Yr5'!I26="","",'Cash Flow %s Yr5'!I26*'Revenue Input'!$I15))</f>
        <v/>
      </c>
      <c r="J26" s="60" t="str">
        <f>IF('Revenue Input'!$I15="","",IF('Cash Flow %s Yr5'!J26="","",'Cash Flow %s Yr5'!J26*'Revenue Input'!$I15))</f>
        <v/>
      </c>
      <c r="K26" s="60" t="str">
        <f>IF('Revenue Input'!$I15="","",IF('Cash Flow %s Yr5'!K26="","",'Cash Flow %s Yr5'!K26*'Revenue Input'!$I15))</f>
        <v/>
      </c>
      <c r="L26" s="60" t="str">
        <f>IF('Revenue Input'!$I15="","",IF('Cash Flow %s Yr5'!L26="","",'Cash Flow %s Yr5'!L26*'Revenue Input'!$I15))</f>
        <v/>
      </c>
      <c r="M26" s="60" t="str">
        <f>IF('Revenue Input'!$I15="","",IF('Cash Flow %s Yr5'!M26="","",'Cash Flow %s Yr5'!M26*'Revenue Input'!$I15))</f>
        <v/>
      </c>
      <c r="N26" s="60" t="str">
        <f>IF('Revenue Input'!$I15="","",IF('Cash Flow %s Yr5'!N26="","",'Cash Flow %s Yr5'!N26*'Revenue Input'!$I15))</f>
        <v/>
      </c>
      <c r="O26" s="60" t="str">
        <f>IF('Revenue Input'!$I15="","",IF('Cash Flow %s Yr5'!O26="","",'Cash Flow %s Yr5'!O26*'Revenue Input'!$I15))</f>
        <v/>
      </c>
      <c r="P26" s="60" t="str">
        <f>IF('Revenue Input'!$I15="","",IF('Cash Flow %s Yr5'!P26="","",'Cash Flow %s Yr5'!P26*'Revenue Input'!$I15))</f>
        <v/>
      </c>
      <c r="Q26" s="60" t="str">
        <f>IF('Revenue Input'!$I15="","",IF('Cash Flow %s Yr5'!Q26="","",'Cash Flow %s Yr5'!Q26*'Revenue Input'!$I15))</f>
        <v/>
      </c>
      <c r="R26" s="60" t="str">
        <f>IF('Revenue Input'!$I15="","",IF('Cash Flow %s Yr5'!R26="","",'Cash Flow %s Yr5'!R26*'Revenue Input'!$I15))</f>
        <v/>
      </c>
      <c r="S26" s="105" t="str">
        <f>IF(SUM(D26:R26)&gt;0,SUM(D26:R26)/'Revenue Input'!$I15,"")</f>
        <v/>
      </c>
    </row>
    <row r="27" spans="1:19" s="30" customFormat="1" ht="17.399999999999999" x14ac:dyDescent="0.3">
      <c r="A27" s="45"/>
      <c r="B27" s="61">
        <f>'Revenue Input'!B17</f>
        <v>8290</v>
      </c>
      <c r="C27" s="61" t="str">
        <f>'Revenue Input'!C17</f>
        <v>All Other Federal Revenue, GEER/CRF</v>
      </c>
      <c r="D27" s="60" t="str">
        <f>IF('Revenue Input'!$I17="","",IF('Cash Flow %s Yr5'!D27="","",'Cash Flow %s Yr5'!D27*'Revenue Input'!$I17))</f>
        <v/>
      </c>
      <c r="E27" s="60" t="str">
        <f>IF('Revenue Input'!$I17="","",IF('Cash Flow %s Yr5'!E27="","",'Cash Flow %s Yr5'!E27*'Revenue Input'!$I17))</f>
        <v/>
      </c>
      <c r="F27" s="60" t="str">
        <f>IF('Revenue Input'!$I17="","",IF('Cash Flow %s Yr5'!F27="","",'Cash Flow %s Yr5'!F27*'Revenue Input'!$I17))</f>
        <v/>
      </c>
      <c r="G27" s="60" t="str">
        <f>IF('Revenue Input'!$I17="","",IF('Cash Flow %s Yr5'!G27="","",'Cash Flow %s Yr5'!G27*'Revenue Input'!$I17))</f>
        <v/>
      </c>
      <c r="H27" s="60" t="str">
        <f>IF('Revenue Input'!$I17="","",IF('Cash Flow %s Yr5'!H27="","",'Cash Flow %s Yr5'!H27*'Revenue Input'!$I17))</f>
        <v/>
      </c>
      <c r="I27" s="60" t="str">
        <f>IF('Revenue Input'!$I17="","",IF('Cash Flow %s Yr5'!I27="","",'Cash Flow %s Yr5'!I27*'Revenue Input'!$I17))</f>
        <v/>
      </c>
      <c r="J27" s="60" t="str">
        <f>IF('Revenue Input'!$I17="","",IF('Cash Flow %s Yr5'!J27="","",'Cash Flow %s Yr5'!J27*'Revenue Input'!$I17))</f>
        <v/>
      </c>
      <c r="K27" s="60" t="str">
        <f>IF('Revenue Input'!$I17="","",IF('Cash Flow %s Yr5'!K27="","",'Cash Flow %s Yr5'!K27*'Revenue Input'!$I17))</f>
        <v/>
      </c>
      <c r="L27" s="60" t="str">
        <f>IF('Revenue Input'!$I17="","",IF('Cash Flow %s Yr5'!L27="","",'Cash Flow %s Yr5'!L27*'Revenue Input'!$I17))</f>
        <v/>
      </c>
      <c r="M27" s="60" t="str">
        <f>IF('Revenue Input'!$I17="","",IF('Cash Flow %s Yr5'!M27="","",'Cash Flow %s Yr5'!M27*'Revenue Input'!$I17))</f>
        <v/>
      </c>
      <c r="N27" s="60" t="str">
        <f>IF('Revenue Input'!$I17="","",IF('Cash Flow %s Yr5'!N27="","",'Cash Flow %s Yr5'!N27*'Revenue Input'!$I17))</f>
        <v/>
      </c>
      <c r="O27" s="60" t="str">
        <f>IF('Revenue Input'!$I17="","",IF('Cash Flow %s Yr5'!O27="","",'Cash Flow %s Yr5'!O27*'Revenue Input'!$I17))</f>
        <v/>
      </c>
      <c r="P27" s="60" t="str">
        <f>IF('Revenue Input'!$I17="","",IF('Cash Flow %s Yr5'!P27="","",'Cash Flow %s Yr5'!P27*'Revenue Input'!$I17))</f>
        <v/>
      </c>
      <c r="Q27" s="60" t="str">
        <f>IF('Revenue Input'!$I17="","",IF('Cash Flow %s Yr5'!Q27="","",'Cash Flow %s Yr5'!Q27*'Revenue Input'!$I17))</f>
        <v/>
      </c>
      <c r="R27" s="60" t="str">
        <f>IF('Revenue Input'!$I17="","",IF('Cash Flow %s Yr5'!R27="","",'Cash Flow %s Yr5'!R27*'Revenue Input'!$I17))</f>
        <v/>
      </c>
      <c r="S27" s="105" t="str">
        <f>IF(SUM(D27:R27)&gt;0,SUM(D27:R27)/'Revenue Input'!$I17,"")</f>
        <v/>
      </c>
    </row>
    <row r="28" spans="1:19" s="30" customFormat="1" ht="17.399999999999999" x14ac:dyDescent="0.3">
      <c r="A28" s="45"/>
      <c r="B28" s="61">
        <f>'Revenue Input'!B21</f>
        <v>8291</v>
      </c>
      <c r="C28" s="61" t="str">
        <f>'Revenue Input'!C21</f>
        <v>Title I</v>
      </c>
      <c r="D28" s="60">
        <f>IF('Revenue Input'!$I21="","",IF('Cash Flow %s Yr5'!D28="","",'Cash Flow %s Yr5'!D28*'Revenue Input'!$I21))</f>
        <v>0</v>
      </c>
      <c r="E28" s="60">
        <f>IF('Revenue Input'!$I21="","",IF('Cash Flow %s Yr5'!E28="","",'Cash Flow %s Yr5'!E28*'Revenue Input'!$I21))</f>
        <v>0</v>
      </c>
      <c r="F28" s="60">
        <f>IF('Revenue Input'!$I21="","",IF('Cash Flow %s Yr5'!F28="","",'Cash Flow %s Yr5'!F28*'Revenue Input'!$I21))</f>
        <v>0</v>
      </c>
      <c r="G28" s="60">
        <f>IF('Revenue Input'!$I21="","",IF('Cash Flow %s Yr5'!G28="","",'Cash Flow %s Yr5'!G28*'Revenue Input'!$I21))</f>
        <v>0</v>
      </c>
      <c r="H28" s="60">
        <f>IF('Revenue Input'!$I21="","",IF('Cash Flow %s Yr5'!H28="","",'Cash Flow %s Yr5'!H28*'Revenue Input'!$I21))</f>
        <v>0</v>
      </c>
      <c r="I28" s="60">
        <f>IF('Revenue Input'!$I21="","",IF('Cash Flow %s Yr5'!I28="","",'Cash Flow %s Yr5'!I28*'Revenue Input'!$I21))</f>
        <v>0</v>
      </c>
      <c r="J28" s="60">
        <f>IF('Revenue Input'!$I21="","",IF('Cash Flow %s Yr5'!J28="","",'Cash Flow %s Yr5'!J28*'Revenue Input'!$I21))</f>
        <v>7971.75</v>
      </c>
      <c r="K28" s="60">
        <f>IF('Revenue Input'!$I21="","",IF('Cash Flow %s Yr5'!K28="","",'Cash Flow %s Yr5'!K28*'Revenue Input'!$I21))</f>
        <v>0</v>
      </c>
      <c r="L28" s="60">
        <f>IF('Revenue Input'!$I21="","",IF('Cash Flow %s Yr5'!L28="","",'Cash Flow %s Yr5'!L28*'Revenue Input'!$I21))</f>
        <v>0</v>
      </c>
      <c r="M28" s="60">
        <f>IF('Revenue Input'!$I21="","",IF('Cash Flow %s Yr5'!M28="","",'Cash Flow %s Yr5'!M28*'Revenue Input'!$I21))</f>
        <v>15943.5</v>
      </c>
      <c r="N28" s="60">
        <f>IF('Revenue Input'!$I21="","",IF('Cash Flow %s Yr5'!N28="","",'Cash Flow %s Yr5'!N28*'Revenue Input'!$I21))</f>
        <v>0</v>
      </c>
      <c r="O28" s="60">
        <f>IF('Revenue Input'!$I21="","",IF('Cash Flow %s Yr5'!O28="","",'Cash Flow %s Yr5'!O28*'Revenue Input'!$I21))</f>
        <v>7971.75</v>
      </c>
      <c r="P28" s="60">
        <f>IF('Revenue Input'!$I21="","",IF('Cash Flow %s Yr5'!P28="","",'Cash Flow %s Yr5'!P28*'Revenue Input'!$I21))</f>
        <v>0</v>
      </c>
      <c r="Q28" s="60">
        <f>IF('Revenue Input'!$I21="","",IF('Cash Flow %s Yr5'!Q28="","",'Cash Flow %s Yr5'!Q28*'Revenue Input'!$I21))</f>
        <v>0</v>
      </c>
      <c r="R28" s="60">
        <f>IF('Revenue Input'!$I21="","",IF('Cash Flow %s Yr5'!R28="","",'Cash Flow %s Yr5'!R28*'Revenue Input'!$I21))</f>
        <v>0</v>
      </c>
      <c r="S28" s="105">
        <f>IF(SUM(D28:R28)&gt;0,SUM(D28:R28)/'Revenue Input'!$I21,"")</f>
        <v>1</v>
      </c>
    </row>
    <row r="29" spans="1:19" s="30" customFormat="1" ht="17.399999999999999" x14ac:dyDescent="0.3">
      <c r="A29" s="45"/>
      <c r="B29" s="61">
        <f>'Revenue Input'!B22</f>
        <v>8292</v>
      </c>
      <c r="C29" s="61" t="str">
        <f>'Revenue Input'!C22</f>
        <v>Title II</v>
      </c>
      <c r="D29" s="60">
        <f>IF('Revenue Input'!$I22="","",IF('Cash Flow %s Yr5'!D29="","",'Cash Flow %s Yr5'!D29*'Revenue Input'!$I22))</f>
        <v>0</v>
      </c>
      <c r="E29" s="60">
        <f>IF('Revenue Input'!$I22="","",IF('Cash Flow %s Yr5'!E29="","",'Cash Flow %s Yr5'!E29*'Revenue Input'!$I22))</f>
        <v>0</v>
      </c>
      <c r="F29" s="60">
        <f>IF('Revenue Input'!$I22="","",IF('Cash Flow %s Yr5'!F29="","",'Cash Flow %s Yr5'!F29*'Revenue Input'!$I22))</f>
        <v>0</v>
      </c>
      <c r="G29" s="60">
        <f>IF('Revenue Input'!$I22="","",IF('Cash Flow %s Yr5'!G29="","",'Cash Flow %s Yr5'!G29*'Revenue Input'!$I22))</f>
        <v>0</v>
      </c>
      <c r="H29" s="60">
        <f>IF('Revenue Input'!$I22="","",IF('Cash Flow %s Yr5'!H29="","",'Cash Flow %s Yr5'!H29*'Revenue Input'!$I22))</f>
        <v>0</v>
      </c>
      <c r="I29" s="60">
        <f>IF('Revenue Input'!$I22="","",IF('Cash Flow %s Yr5'!I29="","",'Cash Flow %s Yr5'!I29*'Revenue Input'!$I22))</f>
        <v>0</v>
      </c>
      <c r="J29" s="60">
        <f>IF('Revenue Input'!$I22="","",IF('Cash Flow %s Yr5'!J29="","",'Cash Flow %s Yr5'!J29*'Revenue Input'!$I22))</f>
        <v>1140</v>
      </c>
      <c r="K29" s="60">
        <f>IF('Revenue Input'!$I22="","",IF('Cash Flow %s Yr5'!K29="","",'Cash Flow %s Yr5'!K29*'Revenue Input'!$I22))</f>
        <v>0</v>
      </c>
      <c r="L29" s="60">
        <f>IF('Revenue Input'!$I22="","",IF('Cash Flow %s Yr5'!L29="","",'Cash Flow %s Yr5'!L29*'Revenue Input'!$I22))</f>
        <v>0</v>
      </c>
      <c r="M29" s="60">
        <f>IF('Revenue Input'!$I22="","",IF('Cash Flow %s Yr5'!M29="","",'Cash Flow %s Yr5'!M29*'Revenue Input'!$I22))</f>
        <v>2280</v>
      </c>
      <c r="N29" s="60">
        <f>IF('Revenue Input'!$I22="","",IF('Cash Flow %s Yr5'!N29="","",'Cash Flow %s Yr5'!N29*'Revenue Input'!$I22))</f>
        <v>0</v>
      </c>
      <c r="O29" s="60">
        <f>IF('Revenue Input'!$I22="","",IF('Cash Flow %s Yr5'!O29="","",'Cash Flow %s Yr5'!O29*'Revenue Input'!$I22))</f>
        <v>1140</v>
      </c>
      <c r="P29" s="60">
        <f>IF('Revenue Input'!$I22="","",IF('Cash Flow %s Yr5'!P29="","",'Cash Flow %s Yr5'!P29*'Revenue Input'!$I22))</f>
        <v>0</v>
      </c>
      <c r="Q29" s="60">
        <f>IF('Revenue Input'!$I22="","",IF('Cash Flow %s Yr5'!Q29="","",'Cash Flow %s Yr5'!Q29*'Revenue Input'!$I22))</f>
        <v>0</v>
      </c>
      <c r="R29" s="60">
        <f>IF('Revenue Input'!$I22="","",IF('Cash Flow %s Yr5'!R29="","",'Cash Flow %s Yr5'!R29*'Revenue Input'!$I22))</f>
        <v>0</v>
      </c>
      <c r="S29" s="105">
        <f>IF(SUM(D29:R29)&gt;0,SUM(D29:R29)/'Revenue Input'!$I22,"")</f>
        <v>1</v>
      </c>
    </row>
    <row r="30" spans="1:19" s="30" customFormat="1" ht="17.399999999999999" x14ac:dyDescent="0.3">
      <c r="A30" s="45"/>
      <c r="B30" s="61">
        <f>'Revenue Input'!B23</f>
        <v>8293</v>
      </c>
      <c r="C30" s="61" t="str">
        <f>'Revenue Input'!C23</f>
        <v>Title III</v>
      </c>
      <c r="D30" s="60" t="str">
        <f>IF('Revenue Input'!$I23="","",IF('Cash Flow %s Yr5'!D30="","",'Cash Flow %s Yr5'!D30*'Revenue Input'!$I23))</f>
        <v/>
      </c>
      <c r="E30" s="60" t="str">
        <f>IF('Revenue Input'!$I23="","",IF('Cash Flow %s Yr5'!E30="","",'Cash Flow %s Yr5'!E30*'Revenue Input'!$I23))</f>
        <v/>
      </c>
      <c r="F30" s="60" t="str">
        <f>IF('Revenue Input'!$I23="","",IF('Cash Flow %s Yr5'!F30="","",'Cash Flow %s Yr5'!F30*'Revenue Input'!$I23))</f>
        <v/>
      </c>
      <c r="G30" s="60" t="str">
        <f>IF('Revenue Input'!$I23="","",IF('Cash Flow %s Yr5'!G30="","",'Cash Flow %s Yr5'!G30*'Revenue Input'!$I23))</f>
        <v/>
      </c>
      <c r="H30" s="60" t="str">
        <f>IF('Revenue Input'!$I23="","",IF('Cash Flow %s Yr5'!H30="","",'Cash Flow %s Yr5'!H30*'Revenue Input'!$I23))</f>
        <v/>
      </c>
      <c r="I30" s="60" t="str">
        <f>IF('Revenue Input'!$I23="","",IF('Cash Flow %s Yr5'!I30="","",'Cash Flow %s Yr5'!I30*'Revenue Input'!$I23))</f>
        <v/>
      </c>
      <c r="J30" s="60" t="str">
        <f>IF('Revenue Input'!$I23="","",IF('Cash Flow %s Yr5'!J30="","",'Cash Flow %s Yr5'!J30*'Revenue Input'!$I23))</f>
        <v/>
      </c>
      <c r="K30" s="60" t="str">
        <f>IF('Revenue Input'!$I23="","",IF('Cash Flow %s Yr5'!K30="","",'Cash Flow %s Yr5'!K30*'Revenue Input'!$I23))</f>
        <v/>
      </c>
      <c r="L30" s="60" t="str">
        <f>IF('Revenue Input'!$I23="","",IF('Cash Flow %s Yr5'!L30="","",'Cash Flow %s Yr5'!L30*'Revenue Input'!$I23))</f>
        <v/>
      </c>
      <c r="M30" s="60" t="str">
        <f>IF('Revenue Input'!$I23="","",IF('Cash Flow %s Yr5'!M30="","",'Cash Flow %s Yr5'!M30*'Revenue Input'!$I23))</f>
        <v/>
      </c>
      <c r="N30" s="60" t="str">
        <f>IF('Revenue Input'!$I23="","",IF('Cash Flow %s Yr5'!N30="","",'Cash Flow %s Yr5'!N30*'Revenue Input'!$I23))</f>
        <v/>
      </c>
      <c r="O30" s="60" t="str">
        <f>IF('Revenue Input'!$I23="","",IF('Cash Flow %s Yr5'!O30="","",'Cash Flow %s Yr5'!O30*'Revenue Input'!$I23))</f>
        <v/>
      </c>
      <c r="P30" s="60" t="str">
        <f>IF('Revenue Input'!$I23="","",IF('Cash Flow %s Yr5'!P30="","",'Cash Flow %s Yr5'!P30*'Revenue Input'!$I23))</f>
        <v/>
      </c>
      <c r="Q30" s="60" t="str">
        <f>IF('Revenue Input'!$I23="","",IF('Cash Flow %s Yr5'!Q30="","",'Cash Flow %s Yr5'!Q30*'Revenue Input'!$I23))</f>
        <v/>
      </c>
      <c r="R30" s="60" t="str">
        <f>IF('Revenue Input'!$I23="","",IF('Cash Flow %s Yr5'!R30="","",'Cash Flow %s Yr5'!R30*'Revenue Input'!$I23))</f>
        <v/>
      </c>
      <c r="S30" s="105" t="str">
        <f>IF(SUM(D30:R30)&gt;0,SUM(D30:R30)/'Revenue Input'!$I23,"")</f>
        <v/>
      </c>
    </row>
    <row r="31" spans="1:19" s="30" customFormat="1" ht="17.399999999999999" x14ac:dyDescent="0.3">
      <c r="A31" s="45"/>
      <c r="B31" s="61">
        <f>'Revenue Input'!B24</f>
        <v>8294</v>
      </c>
      <c r="C31" s="61" t="str">
        <f>'Revenue Input'!C24</f>
        <v>Title IV</v>
      </c>
      <c r="D31" s="60">
        <f>IF('Revenue Input'!$I24="","",IF('Cash Flow %s Yr5'!D31="","",'Cash Flow %s Yr5'!D31*'Revenue Input'!$I24))</f>
        <v>0</v>
      </c>
      <c r="E31" s="60">
        <f>IF('Revenue Input'!$I24="","",IF('Cash Flow %s Yr5'!E31="","",'Cash Flow %s Yr5'!E31*'Revenue Input'!$I24))</f>
        <v>0</v>
      </c>
      <c r="F31" s="60">
        <f>IF('Revenue Input'!$I24="","",IF('Cash Flow %s Yr5'!F31="","",'Cash Flow %s Yr5'!F31*'Revenue Input'!$I24))</f>
        <v>0</v>
      </c>
      <c r="G31" s="60">
        <f>IF('Revenue Input'!$I24="","",IF('Cash Flow %s Yr5'!G31="","",'Cash Flow %s Yr5'!G31*'Revenue Input'!$I24))</f>
        <v>0</v>
      </c>
      <c r="H31" s="60">
        <f>IF('Revenue Input'!$I24="","",IF('Cash Flow %s Yr5'!H31="","",'Cash Flow %s Yr5'!H31*'Revenue Input'!$I24))</f>
        <v>0</v>
      </c>
      <c r="I31" s="60">
        <f>IF('Revenue Input'!$I24="","",IF('Cash Flow %s Yr5'!I31="","",'Cash Flow %s Yr5'!I31*'Revenue Input'!$I24))</f>
        <v>0</v>
      </c>
      <c r="J31" s="60">
        <f>IF('Revenue Input'!$I24="","",IF('Cash Flow %s Yr5'!J31="","",'Cash Flow %s Yr5'!J31*'Revenue Input'!$I24))</f>
        <v>2500</v>
      </c>
      <c r="K31" s="60">
        <f>IF('Revenue Input'!$I24="","",IF('Cash Flow %s Yr5'!K31="","",'Cash Flow %s Yr5'!K31*'Revenue Input'!$I24))</f>
        <v>0</v>
      </c>
      <c r="L31" s="60">
        <f>IF('Revenue Input'!$I24="","",IF('Cash Flow %s Yr5'!L31="","",'Cash Flow %s Yr5'!L31*'Revenue Input'!$I24))</f>
        <v>0</v>
      </c>
      <c r="M31" s="60">
        <f>IF('Revenue Input'!$I24="","",IF('Cash Flow %s Yr5'!M31="","",'Cash Flow %s Yr5'!M31*'Revenue Input'!$I24))</f>
        <v>5000</v>
      </c>
      <c r="N31" s="60">
        <f>IF('Revenue Input'!$I24="","",IF('Cash Flow %s Yr5'!N31="","",'Cash Flow %s Yr5'!N31*'Revenue Input'!$I24))</f>
        <v>0</v>
      </c>
      <c r="O31" s="60">
        <f>IF('Revenue Input'!$I24="","",IF('Cash Flow %s Yr5'!O31="","",'Cash Flow %s Yr5'!O31*'Revenue Input'!$I24))</f>
        <v>2500</v>
      </c>
      <c r="P31" s="60">
        <f>IF('Revenue Input'!$I24="","",IF('Cash Flow %s Yr5'!P31="","",'Cash Flow %s Yr5'!P31*'Revenue Input'!$I24))</f>
        <v>0</v>
      </c>
      <c r="Q31" s="60">
        <f>IF('Revenue Input'!$I24="","",IF('Cash Flow %s Yr5'!Q31="","",'Cash Flow %s Yr5'!Q31*'Revenue Input'!$I24))</f>
        <v>0</v>
      </c>
      <c r="R31" s="60">
        <f>IF('Revenue Input'!$I24="","",IF('Cash Flow %s Yr5'!R31="","",'Cash Flow %s Yr5'!R31*'Revenue Input'!$I24))</f>
        <v>0</v>
      </c>
      <c r="S31" s="105">
        <f>IF(SUM(D31:R31)&gt;0,SUM(D31:R31)/'Revenue Input'!$I24,"")</f>
        <v>1</v>
      </c>
    </row>
    <row r="32" spans="1:19" s="30" customFormat="1" ht="17.399999999999999" x14ac:dyDescent="0.3">
      <c r="A32" s="45"/>
      <c r="B32" s="61">
        <f>'Revenue Input'!B25</f>
        <v>8295</v>
      </c>
      <c r="C32" s="61" t="str">
        <f>'Revenue Input'!C25</f>
        <v>Title V</v>
      </c>
      <c r="D32" s="60" t="str">
        <f>IF('Revenue Input'!$I25="","",IF('Cash Flow %s Yr5'!D32="","",'Cash Flow %s Yr5'!D32*'Revenue Input'!$I25))</f>
        <v/>
      </c>
      <c r="E32" s="60" t="str">
        <f>IF('Revenue Input'!$I25="","",IF('Cash Flow %s Yr5'!E32="","",'Cash Flow %s Yr5'!E32*'Revenue Input'!$I25))</f>
        <v/>
      </c>
      <c r="F32" s="60" t="str">
        <f>IF('Revenue Input'!$I25="","",IF('Cash Flow %s Yr5'!F32="","",'Cash Flow %s Yr5'!F32*'Revenue Input'!$I25))</f>
        <v/>
      </c>
      <c r="G32" s="60" t="str">
        <f>IF('Revenue Input'!$I25="","",IF('Cash Flow %s Yr5'!G32="","",'Cash Flow %s Yr5'!G32*'Revenue Input'!$I25))</f>
        <v/>
      </c>
      <c r="H32" s="60" t="str">
        <f>IF('Revenue Input'!$I25="","",IF('Cash Flow %s Yr5'!H32="","",'Cash Flow %s Yr5'!H32*'Revenue Input'!$I25))</f>
        <v/>
      </c>
      <c r="I32" s="60" t="str">
        <f>IF('Revenue Input'!$I25="","",IF('Cash Flow %s Yr5'!I32="","",'Cash Flow %s Yr5'!I32*'Revenue Input'!$I25))</f>
        <v/>
      </c>
      <c r="J32" s="60" t="str">
        <f>IF('Revenue Input'!$I25="","",IF('Cash Flow %s Yr5'!J32="","",'Cash Flow %s Yr5'!J32*'Revenue Input'!$I25))</f>
        <v/>
      </c>
      <c r="K32" s="60" t="str">
        <f>IF('Revenue Input'!$I25="","",IF('Cash Flow %s Yr5'!K32="","",'Cash Flow %s Yr5'!K32*'Revenue Input'!$I25))</f>
        <v/>
      </c>
      <c r="L32" s="60" t="str">
        <f>IF('Revenue Input'!$I25="","",IF('Cash Flow %s Yr5'!L32="","",'Cash Flow %s Yr5'!L32*'Revenue Input'!$I25))</f>
        <v/>
      </c>
      <c r="M32" s="60" t="str">
        <f>IF('Revenue Input'!$I25="","",IF('Cash Flow %s Yr5'!M32="","",'Cash Flow %s Yr5'!M32*'Revenue Input'!$I25))</f>
        <v/>
      </c>
      <c r="N32" s="60" t="str">
        <f>IF('Revenue Input'!$I25="","",IF('Cash Flow %s Yr5'!N32="","",'Cash Flow %s Yr5'!N32*'Revenue Input'!$I25))</f>
        <v/>
      </c>
      <c r="O32" s="60" t="str">
        <f>IF('Revenue Input'!$I25="","",IF('Cash Flow %s Yr5'!O32="","",'Cash Flow %s Yr5'!O32*'Revenue Input'!$I25))</f>
        <v/>
      </c>
      <c r="P32" s="60" t="str">
        <f>IF('Revenue Input'!$I25="","",IF('Cash Flow %s Yr5'!P32="","",'Cash Flow %s Yr5'!P32*'Revenue Input'!$I25))</f>
        <v/>
      </c>
      <c r="Q32" s="60" t="str">
        <f>IF('Revenue Input'!$I25="","",IF('Cash Flow %s Yr5'!Q32="","",'Cash Flow %s Yr5'!Q32*'Revenue Input'!$I25))</f>
        <v/>
      </c>
      <c r="R32" s="60" t="str">
        <f>IF('Revenue Input'!$I25="","",IF('Cash Flow %s Yr5'!R32="","",'Cash Flow %s Yr5'!R32*'Revenue Input'!$I25))</f>
        <v/>
      </c>
      <c r="S32" s="105" t="str">
        <f>IF(SUM(D32:R32)&gt;0,SUM(D32:R32)/'Revenue Input'!$I25,"")</f>
        <v/>
      </c>
    </row>
    <row r="33" spans="1:19" s="30" customFormat="1" ht="17.399999999999999" x14ac:dyDescent="0.3">
      <c r="A33" s="45"/>
      <c r="B33" s="61">
        <f>'Revenue Input'!B26</f>
        <v>8299</v>
      </c>
      <c r="C33" s="61" t="str">
        <f>'Revenue Input'!C26</f>
        <v>Prior Year Federal Revenue</v>
      </c>
      <c r="D33" s="60" t="str">
        <f>IF('Revenue Input'!$I26="","",IF('Cash Flow %s Yr5'!D33="","",'Cash Flow %s Yr5'!D33*'Revenue Input'!$I26))</f>
        <v/>
      </c>
      <c r="E33" s="60" t="str">
        <f>IF('Revenue Input'!$I26="","",IF('Cash Flow %s Yr5'!E33="","",'Cash Flow %s Yr5'!E33*'Revenue Input'!$I26))</f>
        <v/>
      </c>
      <c r="F33" s="60" t="str">
        <f>IF('Revenue Input'!$I26="","",IF('Cash Flow %s Yr5'!F33="","",'Cash Flow %s Yr5'!F33*'Revenue Input'!$I26))</f>
        <v/>
      </c>
      <c r="G33" s="60" t="str">
        <f>IF('Revenue Input'!$I26="","",IF('Cash Flow %s Yr5'!G33="","",'Cash Flow %s Yr5'!G33*'Revenue Input'!$I26))</f>
        <v/>
      </c>
      <c r="H33" s="60" t="str">
        <f>IF('Revenue Input'!$I26="","",IF('Cash Flow %s Yr5'!H33="","",'Cash Flow %s Yr5'!H33*'Revenue Input'!$I26))</f>
        <v/>
      </c>
      <c r="I33" s="60" t="str">
        <f>IF('Revenue Input'!$I26="","",IF('Cash Flow %s Yr5'!I33="","",'Cash Flow %s Yr5'!I33*'Revenue Input'!$I26))</f>
        <v/>
      </c>
      <c r="J33" s="60" t="str">
        <f>IF('Revenue Input'!$I26="","",IF('Cash Flow %s Yr5'!J33="","",'Cash Flow %s Yr5'!J33*'Revenue Input'!$I26))</f>
        <v/>
      </c>
      <c r="K33" s="60" t="str">
        <f>IF('Revenue Input'!$I26="","",IF('Cash Flow %s Yr5'!K33="","",'Cash Flow %s Yr5'!K33*'Revenue Input'!$I26))</f>
        <v/>
      </c>
      <c r="L33" s="60" t="str">
        <f>IF('Revenue Input'!$I26="","",IF('Cash Flow %s Yr5'!L33="","",'Cash Flow %s Yr5'!L33*'Revenue Input'!$I26))</f>
        <v/>
      </c>
      <c r="M33" s="60" t="str">
        <f>IF('Revenue Input'!$I26="","",IF('Cash Flow %s Yr5'!M33="","",'Cash Flow %s Yr5'!M33*'Revenue Input'!$I26))</f>
        <v/>
      </c>
      <c r="N33" s="60" t="str">
        <f>IF('Revenue Input'!$I26="","",IF('Cash Flow %s Yr5'!N33="","",'Cash Flow %s Yr5'!N33*'Revenue Input'!$I26))</f>
        <v/>
      </c>
      <c r="O33" s="60" t="str">
        <f>IF('Revenue Input'!$I26="","",IF('Cash Flow %s Yr5'!O33="","",'Cash Flow %s Yr5'!O33*'Revenue Input'!$I26))</f>
        <v/>
      </c>
      <c r="P33" s="60" t="str">
        <f>IF('Revenue Input'!$I26="","",IF('Cash Flow %s Yr5'!P33="","",'Cash Flow %s Yr5'!P33*'Revenue Input'!$I26))</f>
        <v/>
      </c>
      <c r="Q33" s="60" t="str">
        <f>IF('Revenue Input'!$I26="","",IF('Cash Flow %s Yr5'!Q33="","",'Cash Flow %s Yr5'!Q33*'Revenue Input'!$I26))</f>
        <v/>
      </c>
      <c r="R33" s="60" t="str">
        <f>IF('Revenue Input'!$I26="","",IF('Cash Flow %s Yr5'!R33="","",'Cash Flow %s Yr5'!R33*'Revenue Input'!$I26))</f>
        <v/>
      </c>
      <c r="S33" s="105" t="str">
        <f>IF(SUM(D33:R33)&gt;0,SUM(D33:R33)/'Revenue Input'!$I26,"")</f>
        <v/>
      </c>
    </row>
    <row r="34" spans="1:19" s="30" customFormat="1" ht="17.399999999999999" x14ac:dyDescent="0.3">
      <c r="A34" s="45"/>
      <c r="B34" s="69"/>
      <c r="C34" s="33" t="s">
        <v>720</v>
      </c>
      <c r="D34" s="165">
        <f>SUM(D26:D33)</f>
        <v>0</v>
      </c>
      <c r="E34" s="165">
        <f t="shared" ref="E34:R34" si="1">SUM(E26:E33)</f>
        <v>0</v>
      </c>
      <c r="F34" s="165">
        <f t="shared" si="1"/>
        <v>0</v>
      </c>
      <c r="G34" s="165">
        <f t="shared" si="1"/>
        <v>0</v>
      </c>
      <c r="H34" s="165">
        <f t="shared" si="1"/>
        <v>0</v>
      </c>
      <c r="I34" s="165">
        <f t="shared" si="1"/>
        <v>0</v>
      </c>
      <c r="J34" s="165">
        <f t="shared" si="1"/>
        <v>11611.75</v>
      </c>
      <c r="K34" s="165">
        <f t="shared" si="1"/>
        <v>0</v>
      </c>
      <c r="L34" s="165">
        <f t="shared" si="1"/>
        <v>0</v>
      </c>
      <c r="M34" s="165">
        <f t="shared" si="1"/>
        <v>23223.5</v>
      </c>
      <c r="N34" s="165">
        <f t="shared" si="1"/>
        <v>0</v>
      </c>
      <c r="O34" s="165">
        <f t="shared" si="1"/>
        <v>11611.75</v>
      </c>
      <c r="P34" s="165">
        <f t="shared" si="1"/>
        <v>0</v>
      </c>
      <c r="Q34" s="165">
        <f t="shared" si="1"/>
        <v>0</v>
      </c>
      <c r="R34" s="165">
        <f t="shared" si="1"/>
        <v>0</v>
      </c>
      <c r="S34" s="101"/>
    </row>
    <row r="35" spans="1:19" s="30" customFormat="1" ht="17.399999999999999" x14ac:dyDescent="0.3">
      <c r="A35" s="45"/>
      <c r="B35" s="68"/>
      <c r="C35" s="48"/>
      <c r="D35" s="120"/>
      <c r="E35" s="120"/>
      <c r="F35" s="120"/>
      <c r="G35" s="120"/>
      <c r="H35" s="120"/>
      <c r="I35" s="120"/>
      <c r="J35" s="120"/>
      <c r="K35" s="120"/>
      <c r="L35" s="120"/>
      <c r="M35" s="120"/>
      <c r="N35" s="120"/>
      <c r="O35" s="120"/>
      <c r="P35" s="120"/>
      <c r="Q35" s="120"/>
      <c r="R35" s="120"/>
    </row>
    <row r="36" spans="1:19" s="30" customFormat="1" ht="17.399999999999999" x14ac:dyDescent="0.3">
      <c r="B36" s="45" t="s">
        <v>790</v>
      </c>
      <c r="C36" s="48"/>
      <c r="D36" s="120"/>
      <c r="E36" s="120"/>
      <c r="F36" s="120"/>
      <c r="G36" s="120"/>
      <c r="H36" s="120"/>
      <c r="I36" s="120"/>
      <c r="J36" s="120"/>
      <c r="K36" s="120"/>
      <c r="L36" s="120"/>
      <c r="M36" s="120"/>
      <c r="N36" s="120"/>
      <c r="O36" s="120"/>
      <c r="P36" s="120"/>
      <c r="Q36" s="120"/>
      <c r="R36" s="120"/>
    </row>
    <row r="37" spans="1:19" s="30" customFormat="1" ht="17.399999999999999" x14ac:dyDescent="0.3">
      <c r="A37" s="45"/>
      <c r="B37" s="61">
        <f>'Revenue Input'!B44</f>
        <v>8660</v>
      </c>
      <c r="C37" s="61" t="str">
        <f>'Revenue Input'!C44</f>
        <v>Interest</v>
      </c>
      <c r="D37" s="60">
        <f>IF('Revenue Input'!$I44="","",IF('Cash Flow %s Yr5'!D37="","",'Cash Flow %s Yr5'!D37*'Revenue Input'!$I44))</f>
        <v>890.00900000000001</v>
      </c>
      <c r="E37" s="60">
        <f>IF('Revenue Input'!$I44="","",IF('Cash Flow %s Yr5'!E37="","",'Cash Flow %s Yr5'!E37*'Revenue Input'!$I44))</f>
        <v>890.00900000000001</v>
      </c>
      <c r="F37" s="60">
        <f>IF('Revenue Input'!$I44="","",IF('Cash Flow %s Yr5'!F37="","",'Cash Flow %s Yr5'!F37*'Revenue Input'!$I44))</f>
        <v>890.00900000000001</v>
      </c>
      <c r="G37" s="60">
        <f>IF('Revenue Input'!$I44="","",IF('Cash Flow %s Yr5'!G37="","",'Cash Flow %s Yr5'!G37*'Revenue Input'!$I44))</f>
        <v>890.00900000000001</v>
      </c>
      <c r="H37" s="60">
        <f>IF('Revenue Input'!$I44="","",IF('Cash Flow %s Yr5'!H37="","",'Cash Flow %s Yr5'!H37*'Revenue Input'!$I44))</f>
        <v>890.00900000000001</v>
      </c>
      <c r="I37" s="60">
        <f>IF('Revenue Input'!$I44="","",IF('Cash Flow %s Yr5'!I37="","",'Cash Flow %s Yr5'!I37*'Revenue Input'!$I44))</f>
        <v>890.00900000000001</v>
      </c>
      <c r="J37" s="60">
        <f>IF('Revenue Input'!$I44="","",IF('Cash Flow %s Yr5'!J37="","",'Cash Flow %s Yr5'!J37*'Revenue Input'!$I44))</f>
        <v>890.00900000000001</v>
      </c>
      <c r="K37" s="60">
        <f>IF('Revenue Input'!$I44="","",IF('Cash Flow %s Yr5'!K37="","",'Cash Flow %s Yr5'!K37*'Revenue Input'!$I44))</f>
        <v>890.00900000000001</v>
      </c>
      <c r="L37" s="60">
        <f>IF('Revenue Input'!$I44="","",IF('Cash Flow %s Yr5'!L37="","",'Cash Flow %s Yr5'!L37*'Revenue Input'!$I44))</f>
        <v>900.73200000000008</v>
      </c>
      <c r="M37" s="60">
        <f>IF('Revenue Input'!$I44="","",IF('Cash Flow %s Yr5'!M37="","",'Cash Flow %s Yr5'!M37*'Revenue Input'!$I44))</f>
        <v>900.73200000000008</v>
      </c>
      <c r="N37" s="60">
        <f>IF('Revenue Input'!$I44="","",IF('Cash Flow %s Yr5'!N37="","",'Cash Flow %s Yr5'!N37*'Revenue Input'!$I44))</f>
        <v>900.73200000000008</v>
      </c>
      <c r="O37" s="60">
        <f>IF('Revenue Input'!$I44="","",IF('Cash Flow %s Yr5'!O37="","",'Cash Flow %s Yr5'!O37*'Revenue Input'!$I44))</f>
        <v>900.73200000000008</v>
      </c>
      <c r="P37" s="60">
        <f>IF('Revenue Input'!$I44="","",IF('Cash Flow %s Yr5'!P37="","",'Cash Flow %s Yr5'!P37*'Revenue Input'!$I44))</f>
        <v>0</v>
      </c>
      <c r="Q37" s="60">
        <f>IF('Revenue Input'!$I44="","",IF('Cash Flow %s Yr5'!Q37="","",'Cash Flow %s Yr5'!Q37*'Revenue Input'!$I44))</f>
        <v>0</v>
      </c>
      <c r="R37" s="60">
        <f>IF('Revenue Input'!$I44="","",IF('Cash Flow %s Yr5'!R37="","",'Cash Flow %s Yr5'!R37*'Revenue Input'!$I44))</f>
        <v>0</v>
      </c>
      <c r="S37" s="105">
        <f>IF(SUM(D37:R37)&gt;0,SUM(D37:R37)/'Revenue Input'!$I44,"")</f>
        <v>1</v>
      </c>
    </row>
    <row r="38" spans="1:19" s="30" customFormat="1" ht="17.399999999999999" x14ac:dyDescent="0.3">
      <c r="A38" s="45"/>
      <c r="B38" s="61">
        <f>'Revenue Input'!B45</f>
        <v>8682</v>
      </c>
      <c r="C38" s="61" t="str">
        <f>'Revenue Input'!C45</f>
        <v>Foundation Grants / Donations</v>
      </c>
      <c r="D38" s="60">
        <f>IF('Revenue Input'!$I45="","",IF('Cash Flow %s Yr5'!D38="","",'Cash Flow %s Yr5'!D38*'Revenue Input'!$I45))</f>
        <v>0</v>
      </c>
      <c r="E38" s="60">
        <f>IF('Revenue Input'!$I45="","",IF('Cash Flow %s Yr5'!E38="","",'Cash Flow %s Yr5'!E38*'Revenue Input'!$I45))</f>
        <v>0</v>
      </c>
      <c r="F38" s="60">
        <f>IF('Revenue Input'!$I45="","",IF('Cash Flow %s Yr5'!F38="","",'Cash Flow %s Yr5'!F38*'Revenue Input'!$I45))</f>
        <v>303.60000000000002</v>
      </c>
      <c r="G38" s="60">
        <f>IF('Revenue Input'!$I45="","",IF('Cash Flow %s Yr5'!G38="","",'Cash Flow %s Yr5'!G38*'Revenue Input'!$I45))</f>
        <v>303.60000000000002</v>
      </c>
      <c r="H38" s="60">
        <f>IF('Revenue Input'!$I45="","",IF('Cash Flow %s Yr5'!H38="","",'Cash Flow %s Yr5'!H38*'Revenue Input'!$I45))</f>
        <v>303.60000000000002</v>
      </c>
      <c r="I38" s="60">
        <f>IF('Revenue Input'!$I45="","",IF('Cash Flow %s Yr5'!I38="","",'Cash Flow %s Yr5'!I38*'Revenue Input'!$I45))</f>
        <v>303.60000000000002</v>
      </c>
      <c r="J38" s="60">
        <f>IF('Revenue Input'!$I45="","",IF('Cash Flow %s Yr5'!J38="","",'Cash Flow %s Yr5'!J38*'Revenue Input'!$I45))</f>
        <v>303.60000000000002</v>
      </c>
      <c r="K38" s="60">
        <f>IF('Revenue Input'!$I45="","",IF('Cash Flow %s Yr5'!K38="","",'Cash Flow %s Yr5'!K38*'Revenue Input'!$I45))</f>
        <v>303.60000000000002</v>
      </c>
      <c r="L38" s="60">
        <f>IF('Revenue Input'!$I45="","",IF('Cash Flow %s Yr5'!L38="","",'Cash Flow %s Yr5'!L38*'Revenue Input'!$I45))</f>
        <v>303.60000000000002</v>
      </c>
      <c r="M38" s="60">
        <f>IF('Revenue Input'!$I45="","",IF('Cash Flow %s Yr5'!M38="","",'Cash Flow %s Yr5'!M38*'Revenue Input'!$I45))</f>
        <v>303.60000000000002</v>
      </c>
      <c r="N38" s="60">
        <f>IF('Revenue Input'!$I45="","",IF('Cash Flow %s Yr5'!N38="","",'Cash Flow %s Yr5'!N38*'Revenue Input'!$I45))</f>
        <v>303.60000000000002</v>
      </c>
      <c r="O38" s="60">
        <f>IF('Revenue Input'!$I45="","",IF('Cash Flow %s Yr5'!O38="","",'Cash Flow %s Yr5'!O38*'Revenue Input'!$I45))</f>
        <v>303.60000000000002</v>
      </c>
      <c r="P38" s="60">
        <f>IF('Revenue Input'!$I45="","",IF('Cash Flow %s Yr5'!P38="","",'Cash Flow %s Yr5'!P38*'Revenue Input'!$I45))</f>
        <v>0</v>
      </c>
      <c r="Q38" s="60">
        <f>IF('Revenue Input'!$I45="","",IF('Cash Flow %s Yr5'!Q38="","",'Cash Flow %s Yr5'!Q38*'Revenue Input'!$I45))</f>
        <v>0</v>
      </c>
      <c r="R38" s="60">
        <f>IF('Revenue Input'!$I45="","",IF('Cash Flow %s Yr5'!R38="","",'Cash Flow %s Yr5'!R38*'Revenue Input'!$I45))</f>
        <v>0</v>
      </c>
      <c r="S38" s="105">
        <f>IF(SUM(D38:R38)&gt;0,SUM(D38:R38)/'Revenue Input'!$I45,"")</f>
        <v>0.99999999999999989</v>
      </c>
    </row>
    <row r="39" spans="1:19" s="30" customFormat="1" ht="17.399999999999999" x14ac:dyDescent="0.3">
      <c r="A39" s="45"/>
      <c r="B39" s="61">
        <f>'Revenue Input'!B46</f>
        <v>8684</v>
      </c>
      <c r="C39" s="61" t="str">
        <f>'Revenue Input'!C46</f>
        <v>Student  Body (ASB) Fundraising Revenue</v>
      </c>
      <c r="D39" s="60" t="str">
        <f>IF('Revenue Input'!$I46="","",IF('Cash Flow %s Yr5'!D39="","",'Cash Flow %s Yr5'!D39*'Revenue Input'!$I46))</f>
        <v/>
      </c>
      <c r="E39" s="60" t="str">
        <f>IF('Revenue Input'!$I46="","",IF('Cash Flow %s Yr5'!E39="","",'Cash Flow %s Yr5'!E39*'Revenue Input'!$I46))</f>
        <v/>
      </c>
      <c r="F39" s="60" t="str">
        <f>IF('Revenue Input'!$I46="","",IF('Cash Flow %s Yr5'!F39="","",'Cash Flow %s Yr5'!F39*'Revenue Input'!$I46))</f>
        <v/>
      </c>
      <c r="G39" s="60" t="str">
        <f>IF('Revenue Input'!$I46="","",IF('Cash Flow %s Yr5'!G39="","",'Cash Flow %s Yr5'!G39*'Revenue Input'!$I46))</f>
        <v/>
      </c>
      <c r="H39" s="60" t="str">
        <f>IF('Revenue Input'!$I46="","",IF('Cash Flow %s Yr5'!H39="","",'Cash Flow %s Yr5'!H39*'Revenue Input'!$I46))</f>
        <v/>
      </c>
      <c r="I39" s="60" t="str">
        <f>IF('Revenue Input'!$I46="","",IF('Cash Flow %s Yr5'!I39="","",'Cash Flow %s Yr5'!I39*'Revenue Input'!$I46))</f>
        <v/>
      </c>
      <c r="J39" s="60" t="str">
        <f>IF('Revenue Input'!$I46="","",IF('Cash Flow %s Yr5'!J39="","",'Cash Flow %s Yr5'!J39*'Revenue Input'!$I46))</f>
        <v/>
      </c>
      <c r="K39" s="60" t="str">
        <f>IF('Revenue Input'!$I46="","",IF('Cash Flow %s Yr5'!K39="","",'Cash Flow %s Yr5'!K39*'Revenue Input'!$I46))</f>
        <v/>
      </c>
      <c r="L39" s="60" t="str">
        <f>IF('Revenue Input'!$I46="","",IF('Cash Flow %s Yr5'!L39="","",'Cash Flow %s Yr5'!L39*'Revenue Input'!$I46))</f>
        <v/>
      </c>
      <c r="M39" s="60" t="str">
        <f>IF('Revenue Input'!$I46="","",IF('Cash Flow %s Yr5'!M39="","",'Cash Flow %s Yr5'!M39*'Revenue Input'!$I46))</f>
        <v/>
      </c>
      <c r="N39" s="60" t="str">
        <f>IF('Revenue Input'!$I46="","",IF('Cash Flow %s Yr5'!N39="","",'Cash Flow %s Yr5'!N39*'Revenue Input'!$I46))</f>
        <v/>
      </c>
      <c r="O39" s="60" t="str">
        <f>IF('Revenue Input'!$I46="","",IF('Cash Flow %s Yr5'!O39="","",'Cash Flow %s Yr5'!O39*'Revenue Input'!$I46))</f>
        <v/>
      </c>
      <c r="P39" s="60" t="str">
        <f>IF('Revenue Input'!$I46="","",IF('Cash Flow %s Yr5'!P39="","",'Cash Flow %s Yr5'!P39*'Revenue Input'!$I46))</f>
        <v/>
      </c>
      <c r="Q39" s="60" t="str">
        <f>IF('Revenue Input'!$I46="","",IF('Cash Flow %s Yr5'!Q39="","",'Cash Flow %s Yr5'!Q39*'Revenue Input'!$I46))</f>
        <v/>
      </c>
      <c r="R39" s="60" t="str">
        <f>IF('Revenue Input'!$I46="","",IF('Cash Flow %s Yr5'!R39="","",'Cash Flow %s Yr5'!R39*'Revenue Input'!$I46))</f>
        <v/>
      </c>
      <c r="S39" s="105" t="str">
        <f>IF(SUM(D39:R39)&gt;0,SUM(D39:R39)/'Revenue Input'!$I46,"")</f>
        <v/>
      </c>
    </row>
    <row r="40" spans="1:19" s="30" customFormat="1" x14ac:dyDescent="0.3">
      <c r="A40" s="47"/>
      <c r="B40" s="61">
        <f>'Revenue Input'!B47</f>
        <v>8685</v>
      </c>
      <c r="C40" s="61" t="str">
        <f>'Revenue Input'!C47</f>
        <v>School Site Fundraising</v>
      </c>
      <c r="D40" s="60">
        <f>IF('Revenue Input'!$I47="","",IF('Cash Flow %s Yr5'!D40="","",'Cash Flow %s Yr5'!D40*'Revenue Input'!$I47))</f>
        <v>0</v>
      </c>
      <c r="E40" s="60">
        <f>IF('Revenue Input'!$I47="","",IF('Cash Flow %s Yr5'!E40="","",'Cash Flow %s Yr5'!E40*'Revenue Input'!$I47))</f>
        <v>0</v>
      </c>
      <c r="F40" s="60">
        <f>IF('Revenue Input'!$I47="","",IF('Cash Flow %s Yr5'!F40="","",'Cash Flow %s Yr5'!F40*'Revenue Input'!$I47))</f>
        <v>1793.9</v>
      </c>
      <c r="G40" s="60">
        <f>IF('Revenue Input'!$I47="","",IF('Cash Flow %s Yr5'!G40="","",'Cash Flow %s Yr5'!G40*'Revenue Input'!$I47))</f>
        <v>1793.9</v>
      </c>
      <c r="H40" s="60">
        <f>IF('Revenue Input'!$I47="","",IF('Cash Flow %s Yr5'!H40="","",'Cash Flow %s Yr5'!H40*'Revenue Input'!$I47))</f>
        <v>1793.9</v>
      </c>
      <c r="I40" s="60">
        <f>IF('Revenue Input'!$I47="","",IF('Cash Flow %s Yr5'!I40="","",'Cash Flow %s Yr5'!I40*'Revenue Input'!$I47))</f>
        <v>1793.9</v>
      </c>
      <c r="J40" s="60">
        <f>IF('Revenue Input'!$I47="","",IF('Cash Flow %s Yr5'!J40="","",'Cash Flow %s Yr5'!J40*'Revenue Input'!$I47))</f>
        <v>1793.9</v>
      </c>
      <c r="K40" s="60">
        <f>IF('Revenue Input'!$I47="","",IF('Cash Flow %s Yr5'!K40="","",'Cash Flow %s Yr5'!K40*'Revenue Input'!$I47))</f>
        <v>1793.9</v>
      </c>
      <c r="L40" s="60">
        <f>IF('Revenue Input'!$I47="","",IF('Cash Flow %s Yr5'!L40="","",'Cash Flow %s Yr5'!L40*'Revenue Input'!$I47))</f>
        <v>1793.9</v>
      </c>
      <c r="M40" s="60">
        <f>IF('Revenue Input'!$I47="","",IF('Cash Flow %s Yr5'!M40="","",'Cash Flow %s Yr5'!M40*'Revenue Input'!$I47))</f>
        <v>1793.9</v>
      </c>
      <c r="N40" s="60">
        <f>IF('Revenue Input'!$I47="","",IF('Cash Flow %s Yr5'!N40="","",'Cash Flow %s Yr5'!N40*'Revenue Input'!$I47))</f>
        <v>1793.9</v>
      </c>
      <c r="O40" s="60">
        <f>IF('Revenue Input'!$I47="","",IF('Cash Flow %s Yr5'!O40="","",'Cash Flow %s Yr5'!O40*'Revenue Input'!$I47))</f>
        <v>1793.9</v>
      </c>
      <c r="P40" s="60">
        <f>IF('Revenue Input'!$I47="","",IF('Cash Flow %s Yr5'!P40="","",'Cash Flow %s Yr5'!P40*'Revenue Input'!$I47))</f>
        <v>0</v>
      </c>
      <c r="Q40" s="60">
        <f>IF('Revenue Input'!$I47="","",IF('Cash Flow %s Yr5'!Q40="","",'Cash Flow %s Yr5'!Q40*'Revenue Input'!$I47))</f>
        <v>0</v>
      </c>
      <c r="R40" s="60">
        <f>IF('Revenue Input'!$I47="","",IF('Cash Flow %s Yr5'!R40="","",'Cash Flow %s Yr5'!R40*'Revenue Input'!$I47))</f>
        <v>0</v>
      </c>
      <c r="S40" s="105">
        <f>IF(SUM(D40:R40)&gt;0,SUM(D40:R40)/'Revenue Input'!$I47,"")</f>
        <v>1</v>
      </c>
    </row>
    <row r="41" spans="1:19" s="30" customFormat="1" x14ac:dyDescent="0.3">
      <c r="A41" s="48"/>
      <c r="B41" s="61">
        <f>'Revenue Input'!B48</f>
        <v>8686</v>
      </c>
      <c r="C41" s="61" t="str">
        <f>'Revenue Input'!C48</f>
        <v>Donations</v>
      </c>
      <c r="D41" s="60" t="str">
        <f>IF('Revenue Input'!$I48="","",IF('Cash Flow %s Yr5'!D41="","",'Cash Flow %s Yr5'!D41*'Revenue Input'!$I48))</f>
        <v/>
      </c>
      <c r="E41" s="60" t="str">
        <f>IF('Revenue Input'!$I48="","",IF('Cash Flow %s Yr5'!E41="","",'Cash Flow %s Yr5'!E41*'Revenue Input'!$I48))</f>
        <v/>
      </c>
      <c r="F41" s="60" t="str">
        <f>IF('Revenue Input'!$I48="","",IF('Cash Flow %s Yr5'!F41="","",'Cash Flow %s Yr5'!F41*'Revenue Input'!$I48))</f>
        <v/>
      </c>
      <c r="G41" s="60" t="str">
        <f>IF('Revenue Input'!$I48="","",IF('Cash Flow %s Yr5'!G41="","",'Cash Flow %s Yr5'!G41*'Revenue Input'!$I48))</f>
        <v/>
      </c>
      <c r="H41" s="60" t="str">
        <f>IF('Revenue Input'!$I48="","",IF('Cash Flow %s Yr5'!H41="","",'Cash Flow %s Yr5'!H41*'Revenue Input'!$I48))</f>
        <v/>
      </c>
      <c r="I41" s="60" t="str">
        <f>IF('Revenue Input'!$I48="","",IF('Cash Flow %s Yr5'!I41="","",'Cash Flow %s Yr5'!I41*'Revenue Input'!$I48))</f>
        <v/>
      </c>
      <c r="J41" s="60" t="str">
        <f>IF('Revenue Input'!$I48="","",IF('Cash Flow %s Yr5'!J41="","",'Cash Flow %s Yr5'!J41*'Revenue Input'!$I48))</f>
        <v/>
      </c>
      <c r="K41" s="60" t="str">
        <f>IF('Revenue Input'!$I48="","",IF('Cash Flow %s Yr5'!K41="","",'Cash Flow %s Yr5'!K41*'Revenue Input'!$I48))</f>
        <v/>
      </c>
      <c r="L41" s="60" t="str">
        <f>IF('Revenue Input'!$I48="","",IF('Cash Flow %s Yr5'!L41="","",'Cash Flow %s Yr5'!L41*'Revenue Input'!$I48))</f>
        <v/>
      </c>
      <c r="M41" s="60" t="str">
        <f>IF('Revenue Input'!$I48="","",IF('Cash Flow %s Yr5'!M41="","",'Cash Flow %s Yr5'!M41*'Revenue Input'!$I48))</f>
        <v/>
      </c>
      <c r="N41" s="60" t="str">
        <f>IF('Revenue Input'!$I48="","",IF('Cash Flow %s Yr5'!N41="","",'Cash Flow %s Yr5'!N41*'Revenue Input'!$I48))</f>
        <v/>
      </c>
      <c r="O41" s="60" t="str">
        <f>IF('Revenue Input'!$I48="","",IF('Cash Flow %s Yr5'!O41="","",'Cash Flow %s Yr5'!O41*'Revenue Input'!$I48))</f>
        <v/>
      </c>
      <c r="P41" s="60" t="str">
        <f>IF('Revenue Input'!$I48="","",IF('Cash Flow %s Yr5'!P41="","",'Cash Flow %s Yr5'!P41*'Revenue Input'!$I48))</f>
        <v/>
      </c>
      <c r="Q41" s="60" t="str">
        <f>IF('Revenue Input'!$I48="","",IF('Cash Flow %s Yr5'!Q41="","",'Cash Flow %s Yr5'!Q41*'Revenue Input'!$I48))</f>
        <v/>
      </c>
      <c r="R41" s="60" t="str">
        <f>IF('Revenue Input'!$I48="","",IF('Cash Flow %s Yr5'!R41="","",'Cash Flow %s Yr5'!R41*'Revenue Input'!$I48))</f>
        <v/>
      </c>
      <c r="S41" s="105" t="str">
        <f>IF(SUM(D41:R41)&gt;0,SUM(D41:R41)/'Revenue Input'!$I48,"")</f>
        <v/>
      </c>
    </row>
    <row r="42" spans="1:19" s="30" customFormat="1" ht="17.399999999999999" x14ac:dyDescent="0.3">
      <c r="A42" s="45"/>
      <c r="B42" s="61">
        <f>'Revenue Input'!B49</f>
        <v>8687</v>
      </c>
      <c r="C42" s="61" t="str">
        <f>'Revenue Input'!C49</f>
        <v>Fund Development</v>
      </c>
      <c r="D42" s="60" t="str">
        <f>IF('Revenue Input'!$I49="","",IF('Cash Flow %s Yr5'!D42="","",'Cash Flow %s Yr5'!D42*'Revenue Input'!$I49))</f>
        <v/>
      </c>
      <c r="E42" s="60" t="str">
        <f>IF('Revenue Input'!$I49="","",IF('Cash Flow %s Yr5'!E42="","",'Cash Flow %s Yr5'!E42*'Revenue Input'!$I49))</f>
        <v/>
      </c>
      <c r="F42" s="60" t="str">
        <f>IF('Revenue Input'!$I49="","",IF('Cash Flow %s Yr5'!F42="","",'Cash Flow %s Yr5'!F42*'Revenue Input'!$I49))</f>
        <v/>
      </c>
      <c r="G42" s="60" t="str">
        <f>IF('Revenue Input'!$I49="","",IF('Cash Flow %s Yr5'!G42="","",'Cash Flow %s Yr5'!G42*'Revenue Input'!$I49))</f>
        <v/>
      </c>
      <c r="H42" s="60" t="str">
        <f>IF('Revenue Input'!$I49="","",IF('Cash Flow %s Yr5'!H42="","",'Cash Flow %s Yr5'!H42*'Revenue Input'!$I49))</f>
        <v/>
      </c>
      <c r="I42" s="60" t="str">
        <f>IF('Revenue Input'!$I49="","",IF('Cash Flow %s Yr5'!I42="","",'Cash Flow %s Yr5'!I42*'Revenue Input'!$I49))</f>
        <v/>
      </c>
      <c r="J42" s="60" t="str">
        <f>IF('Revenue Input'!$I49="","",IF('Cash Flow %s Yr5'!J42="","",'Cash Flow %s Yr5'!J42*'Revenue Input'!$I49))</f>
        <v/>
      </c>
      <c r="K42" s="60" t="str">
        <f>IF('Revenue Input'!$I49="","",IF('Cash Flow %s Yr5'!K42="","",'Cash Flow %s Yr5'!K42*'Revenue Input'!$I49))</f>
        <v/>
      </c>
      <c r="L42" s="60" t="str">
        <f>IF('Revenue Input'!$I49="","",IF('Cash Flow %s Yr5'!L42="","",'Cash Flow %s Yr5'!L42*'Revenue Input'!$I49))</f>
        <v/>
      </c>
      <c r="M42" s="60" t="str">
        <f>IF('Revenue Input'!$I49="","",IF('Cash Flow %s Yr5'!M42="","",'Cash Flow %s Yr5'!M42*'Revenue Input'!$I49))</f>
        <v/>
      </c>
      <c r="N42" s="60" t="str">
        <f>IF('Revenue Input'!$I49="","",IF('Cash Flow %s Yr5'!N42="","",'Cash Flow %s Yr5'!N42*'Revenue Input'!$I49))</f>
        <v/>
      </c>
      <c r="O42" s="60" t="str">
        <f>IF('Revenue Input'!$I49="","",IF('Cash Flow %s Yr5'!O42="","",'Cash Flow %s Yr5'!O42*'Revenue Input'!$I49))</f>
        <v/>
      </c>
      <c r="P42" s="60" t="str">
        <f>IF('Revenue Input'!$I49="","",IF('Cash Flow %s Yr5'!P42="","",'Cash Flow %s Yr5'!P42*'Revenue Input'!$I49))</f>
        <v/>
      </c>
      <c r="Q42" s="60" t="str">
        <f>IF('Revenue Input'!$I49="","",IF('Cash Flow %s Yr5'!Q42="","",'Cash Flow %s Yr5'!Q42*'Revenue Input'!$I49))</f>
        <v/>
      </c>
      <c r="R42" s="60" t="str">
        <f>IF('Revenue Input'!$I49="","",IF('Cash Flow %s Yr5'!R42="","",'Cash Flow %s Yr5'!R42*'Revenue Input'!$I49))</f>
        <v/>
      </c>
      <c r="S42" s="105" t="str">
        <f>IF(SUM(D42:R42)&gt;0,SUM(D42:R42)/'Revenue Input'!$I49,"")</f>
        <v/>
      </c>
    </row>
    <row r="43" spans="1:19" s="30" customFormat="1" ht="17.399999999999999" x14ac:dyDescent="0.3">
      <c r="A43" s="45"/>
      <c r="B43" s="61">
        <f>'Revenue Input'!B50</f>
        <v>8688</v>
      </c>
      <c r="C43" s="61" t="str">
        <f>'Revenue Input'!C50</f>
        <v>In Kind Contributions</v>
      </c>
      <c r="D43" s="60" t="str">
        <f>IF('Revenue Input'!$I50="","",IF('Cash Flow %s Yr5'!D43="","",'Cash Flow %s Yr5'!D43*'Revenue Input'!$I50))</f>
        <v/>
      </c>
      <c r="E43" s="60" t="str">
        <f>IF('Revenue Input'!$I50="","",IF('Cash Flow %s Yr5'!E43="","",'Cash Flow %s Yr5'!E43*'Revenue Input'!$I50))</f>
        <v/>
      </c>
      <c r="F43" s="60" t="str">
        <f>IF('Revenue Input'!$I50="","",IF('Cash Flow %s Yr5'!F43="","",'Cash Flow %s Yr5'!F43*'Revenue Input'!$I50))</f>
        <v/>
      </c>
      <c r="G43" s="60" t="str">
        <f>IF('Revenue Input'!$I50="","",IF('Cash Flow %s Yr5'!G43="","",'Cash Flow %s Yr5'!G43*'Revenue Input'!$I50))</f>
        <v/>
      </c>
      <c r="H43" s="60" t="str">
        <f>IF('Revenue Input'!$I50="","",IF('Cash Flow %s Yr5'!H43="","",'Cash Flow %s Yr5'!H43*'Revenue Input'!$I50))</f>
        <v/>
      </c>
      <c r="I43" s="60" t="str">
        <f>IF('Revenue Input'!$I50="","",IF('Cash Flow %s Yr5'!I43="","",'Cash Flow %s Yr5'!I43*'Revenue Input'!$I50))</f>
        <v/>
      </c>
      <c r="J43" s="60" t="str">
        <f>IF('Revenue Input'!$I50="","",IF('Cash Flow %s Yr5'!J43="","",'Cash Flow %s Yr5'!J43*'Revenue Input'!$I50))</f>
        <v/>
      </c>
      <c r="K43" s="60" t="str">
        <f>IF('Revenue Input'!$I50="","",IF('Cash Flow %s Yr5'!K43="","",'Cash Flow %s Yr5'!K43*'Revenue Input'!$I50))</f>
        <v/>
      </c>
      <c r="L43" s="60" t="str">
        <f>IF('Revenue Input'!$I50="","",IF('Cash Flow %s Yr5'!L43="","",'Cash Flow %s Yr5'!L43*'Revenue Input'!$I50))</f>
        <v/>
      </c>
      <c r="M43" s="60" t="str">
        <f>IF('Revenue Input'!$I50="","",IF('Cash Flow %s Yr5'!M43="","",'Cash Flow %s Yr5'!M43*'Revenue Input'!$I50))</f>
        <v/>
      </c>
      <c r="N43" s="60" t="str">
        <f>IF('Revenue Input'!$I50="","",IF('Cash Flow %s Yr5'!N43="","",'Cash Flow %s Yr5'!N43*'Revenue Input'!$I50))</f>
        <v/>
      </c>
      <c r="O43" s="60" t="str">
        <f>IF('Revenue Input'!$I50="","",IF('Cash Flow %s Yr5'!O43="","",'Cash Flow %s Yr5'!O43*'Revenue Input'!$I50))</f>
        <v/>
      </c>
      <c r="P43" s="60" t="str">
        <f>IF('Revenue Input'!$I50="","",IF('Cash Flow %s Yr5'!P43="","",'Cash Flow %s Yr5'!P43*'Revenue Input'!$I50))</f>
        <v/>
      </c>
      <c r="Q43" s="60" t="str">
        <f>IF('Revenue Input'!$I50="","",IF('Cash Flow %s Yr5'!Q43="","",'Cash Flow %s Yr5'!Q43*'Revenue Input'!$I50))</f>
        <v/>
      </c>
      <c r="R43" s="60" t="str">
        <f>IF('Revenue Input'!$I50="","",IF('Cash Flow %s Yr5'!R43="","",'Cash Flow %s Yr5'!R43*'Revenue Input'!$I50))</f>
        <v/>
      </c>
      <c r="S43" s="105" t="str">
        <f>IF(SUM(D43:R43)&gt;0,SUM(D43:R43)/'Revenue Input'!$I50,"")</f>
        <v/>
      </c>
    </row>
    <row r="44" spans="1:19" s="30" customFormat="1" ht="17.399999999999999" x14ac:dyDescent="0.3">
      <c r="A44" s="45"/>
      <c r="B44" s="61" t="e">
        <f>'Revenue Input'!#REF!</f>
        <v>#REF!</v>
      </c>
      <c r="C44" s="61" t="e">
        <f>'Revenue Input'!#REF!</f>
        <v>#REF!</v>
      </c>
      <c r="D44" s="60" t="e">
        <f>IF('Revenue Input'!#REF!="","",IF('Cash Flow %s Yr5'!D44="","",'Cash Flow %s Yr5'!D44*'Revenue Input'!#REF!))</f>
        <v>#REF!</v>
      </c>
      <c r="E44" s="60" t="e">
        <f>IF('Revenue Input'!#REF!="","",IF('Cash Flow %s Yr5'!E44="","",'Cash Flow %s Yr5'!E44*'Revenue Input'!#REF!))</f>
        <v>#REF!</v>
      </c>
      <c r="F44" s="60" t="e">
        <f>IF('Revenue Input'!#REF!="","",IF('Cash Flow %s Yr5'!F44="","",'Cash Flow %s Yr5'!F44*'Revenue Input'!#REF!))</f>
        <v>#REF!</v>
      </c>
      <c r="G44" s="60" t="e">
        <f>IF('Revenue Input'!#REF!="","",IF('Cash Flow %s Yr5'!G44="","",'Cash Flow %s Yr5'!G44*'Revenue Input'!#REF!))</f>
        <v>#REF!</v>
      </c>
      <c r="H44" s="60" t="e">
        <f>IF('Revenue Input'!#REF!="","",IF('Cash Flow %s Yr5'!H44="","",'Cash Flow %s Yr5'!H44*'Revenue Input'!#REF!))</f>
        <v>#REF!</v>
      </c>
      <c r="I44" s="60" t="e">
        <f>IF('Revenue Input'!#REF!="","",IF('Cash Flow %s Yr5'!I44="","",'Cash Flow %s Yr5'!I44*'Revenue Input'!#REF!))</f>
        <v>#REF!</v>
      </c>
      <c r="J44" s="60" t="e">
        <f>IF('Revenue Input'!#REF!="","",IF('Cash Flow %s Yr5'!J44="","",'Cash Flow %s Yr5'!J44*'Revenue Input'!#REF!))</f>
        <v>#REF!</v>
      </c>
      <c r="K44" s="60" t="e">
        <f>IF('Revenue Input'!#REF!="","",IF('Cash Flow %s Yr5'!K44="","",'Cash Flow %s Yr5'!K44*'Revenue Input'!#REF!))</f>
        <v>#REF!</v>
      </c>
      <c r="L44" s="60" t="e">
        <f>IF('Revenue Input'!#REF!="","",IF('Cash Flow %s Yr5'!L44="","",'Cash Flow %s Yr5'!L44*'Revenue Input'!#REF!))</f>
        <v>#REF!</v>
      </c>
      <c r="M44" s="60" t="e">
        <f>IF('Revenue Input'!#REF!="","",IF('Cash Flow %s Yr5'!M44="","",'Cash Flow %s Yr5'!M44*'Revenue Input'!#REF!))</f>
        <v>#REF!</v>
      </c>
      <c r="N44" s="60" t="e">
        <f>IF('Revenue Input'!#REF!="","",IF('Cash Flow %s Yr5'!N44="","",'Cash Flow %s Yr5'!N44*'Revenue Input'!#REF!))</f>
        <v>#REF!</v>
      </c>
      <c r="O44" s="60" t="e">
        <f>IF('Revenue Input'!#REF!="","",IF('Cash Flow %s Yr5'!O44="","",'Cash Flow %s Yr5'!O44*'Revenue Input'!#REF!))</f>
        <v>#REF!</v>
      </c>
      <c r="P44" s="60" t="e">
        <f>IF('Revenue Input'!#REF!="","",IF('Cash Flow %s Yr5'!P44="","",'Cash Flow %s Yr5'!P44*'Revenue Input'!#REF!))</f>
        <v>#REF!</v>
      </c>
      <c r="Q44" s="60" t="e">
        <f>IF('Revenue Input'!#REF!="","",IF('Cash Flow %s Yr5'!Q44="","",'Cash Flow %s Yr5'!Q44*'Revenue Input'!#REF!))</f>
        <v>#REF!</v>
      </c>
      <c r="R44" s="60" t="e">
        <f>IF('Revenue Input'!#REF!="","",IF('Cash Flow %s Yr5'!R44="","",'Cash Flow %s Yr5'!R44*'Revenue Input'!#REF!))</f>
        <v>#REF!</v>
      </c>
      <c r="S44" s="105" t="e">
        <f>IF(SUM(D44:R44)&gt;0,SUM(D44:R44)/'Revenue Input'!#REF!,"")</f>
        <v>#REF!</v>
      </c>
    </row>
    <row r="45" spans="1:19" s="30" customFormat="1" ht="17.399999999999999" x14ac:dyDescent="0.3">
      <c r="A45" s="45"/>
      <c r="B45" s="61" t="e">
        <f>'Revenue Input'!#REF!</f>
        <v>#REF!</v>
      </c>
      <c r="C45" s="61" t="e">
        <f>'Revenue Input'!#REF!</f>
        <v>#REF!</v>
      </c>
      <c r="D45" s="60" t="e">
        <f>IF('Revenue Input'!#REF!="","",IF('Cash Flow %s Yr5'!D45="","",'Cash Flow %s Yr5'!D45*'Revenue Input'!#REF!))</f>
        <v>#REF!</v>
      </c>
      <c r="E45" s="60" t="e">
        <f>IF('Revenue Input'!#REF!="","",IF('Cash Flow %s Yr5'!E45="","",'Cash Flow %s Yr5'!E45*'Revenue Input'!#REF!))</f>
        <v>#REF!</v>
      </c>
      <c r="F45" s="60" t="e">
        <f>IF('Revenue Input'!#REF!="","",IF('Cash Flow %s Yr5'!F45="","",'Cash Flow %s Yr5'!F45*'Revenue Input'!#REF!))</f>
        <v>#REF!</v>
      </c>
      <c r="G45" s="60" t="e">
        <f>IF('Revenue Input'!#REF!="","",IF('Cash Flow %s Yr5'!G45="","",'Cash Flow %s Yr5'!G45*'Revenue Input'!#REF!))</f>
        <v>#REF!</v>
      </c>
      <c r="H45" s="60" t="e">
        <f>IF('Revenue Input'!#REF!="","",IF('Cash Flow %s Yr5'!H45="","",'Cash Flow %s Yr5'!H45*'Revenue Input'!#REF!))</f>
        <v>#REF!</v>
      </c>
      <c r="I45" s="60" t="e">
        <f>IF('Revenue Input'!#REF!="","",IF('Cash Flow %s Yr5'!I45="","",'Cash Flow %s Yr5'!I45*'Revenue Input'!#REF!))</f>
        <v>#REF!</v>
      </c>
      <c r="J45" s="60" t="e">
        <f>IF('Revenue Input'!#REF!="","",IF('Cash Flow %s Yr5'!J45="","",'Cash Flow %s Yr5'!J45*'Revenue Input'!#REF!))</f>
        <v>#REF!</v>
      </c>
      <c r="K45" s="60" t="e">
        <f>IF('Revenue Input'!#REF!="","",IF('Cash Flow %s Yr5'!K45="","",'Cash Flow %s Yr5'!K45*'Revenue Input'!#REF!))</f>
        <v>#REF!</v>
      </c>
      <c r="L45" s="60" t="e">
        <f>IF('Revenue Input'!#REF!="","",IF('Cash Flow %s Yr5'!L45="","",'Cash Flow %s Yr5'!L45*'Revenue Input'!#REF!))</f>
        <v>#REF!</v>
      </c>
      <c r="M45" s="60" t="e">
        <f>IF('Revenue Input'!#REF!="","",IF('Cash Flow %s Yr5'!M45="","",'Cash Flow %s Yr5'!M45*'Revenue Input'!#REF!))</f>
        <v>#REF!</v>
      </c>
      <c r="N45" s="60" t="e">
        <f>IF('Revenue Input'!#REF!="","",IF('Cash Flow %s Yr5'!N45="","",'Cash Flow %s Yr5'!N45*'Revenue Input'!#REF!))</f>
        <v>#REF!</v>
      </c>
      <c r="O45" s="60" t="e">
        <f>IF('Revenue Input'!#REF!="","",IF('Cash Flow %s Yr5'!O45="","",'Cash Flow %s Yr5'!O45*'Revenue Input'!#REF!))</f>
        <v>#REF!</v>
      </c>
      <c r="P45" s="60" t="e">
        <f>IF('Revenue Input'!#REF!="","",IF('Cash Flow %s Yr5'!P45="","",'Cash Flow %s Yr5'!P45*'Revenue Input'!#REF!))</f>
        <v>#REF!</v>
      </c>
      <c r="Q45" s="60" t="e">
        <f>IF('Revenue Input'!#REF!="","",IF('Cash Flow %s Yr5'!Q45="","",'Cash Flow %s Yr5'!Q45*'Revenue Input'!#REF!))</f>
        <v>#REF!</v>
      </c>
      <c r="R45" s="60" t="e">
        <f>IF('Revenue Input'!#REF!="","",IF('Cash Flow %s Yr5'!R45="","",'Cash Flow %s Yr5'!R45*'Revenue Input'!#REF!))</f>
        <v>#REF!</v>
      </c>
      <c r="S45" s="105" t="e">
        <f>IF(SUM(D45:R45)&gt;0,SUM(D45:R45)/'Revenue Input'!#REF!,"")</f>
        <v>#REF!</v>
      </c>
    </row>
    <row r="46" spans="1:19" s="30" customFormat="1" ht="17.399999999999999" x14ac:dyDescent="0.3">
      <c r="A46" s="45"/>
      <c r="B46" s="61">
        <f>'Revenue Input'!B51</f>
        <v>8689</v>
      </c>
      <c r="C46" s="61" t="str">
        <f>'Revenue Input'!C51</f>
        <v xml:space="preserve">All Other Local Revenue </v>
      </c>
      <c r="D46" s="60" t="str">
        <f>IF('Revenue Input'!$I51="","",IF('Cash Flow %s Yr5'!D49="","",'Cash Flow %s Yr5'!D49*'Revenue Input'!$I51))</f>
        <v/>
      </c>
      <c r="E46" s="60" t="str">
        <f>IF('Revenue Input'!$I51="","",IF('Cash Flow %s Yr5'!E49="","",'Cash Flow %s Yr5'!E49*'Revenue Input'!$I51))</f>
        <v/>
      </c>
      <c r="F46" s="60" t="str">
        <f>IF('Revenue Input'!$I51="","",IF('Cash Flow %s Yr5'!F49="","",'Cash Flow %s Yr5'!F49*'Revenue Input'!$I51))</f>
        <v/>
      </c>
      <c r="G46" s="60" t="str">
        <f>IF('Revenue Input'!$I51="","",IF('Cash Flow %s Yr5'!G49="","",'Cash Flow %s Yr5'!G49*'Revenue Input'!$I51))</f>
        <v/>
      </c>
      <c r="H46" s="60" t="str">
        <f>IF('Revenue Input'!$I51="","",IF('Cash Flow %s Yr5'!H49="","",'Cash Flow %s Yr5'!H49*'Revenue Input'!$I51))</f>
        <v/>
      </c>
      <c r="I46" s="60" t="str">
        <f>IF('Revenue Input'!$I51="","",IF('Cash Flow %s Yr5'!I49="","",'Cash Flow %s Yr5'!I49*'Revenue Input'!$I51))</f>
        <v/>
      </c>
      <c r="J46" s="60" t="str">
        <f>IF('Revenue Input'!$I51="","",IF('Cash Flow %s Yr5'!J49="","",'Cash Flow %s Yr5'!J49*'Revenue Input'!$I51))</f>
        <v/>
      </c>
      <c r="K46" s="60" t="str">
        <f>IF('Revenue Input'!$I51="","",IF('Cash Flow %s Yr5'!K49="","",'Cash Flow %s Yr5'!K49*'Revenue Input'!$I51))</f>
        <v/>
      </c>
      <c r="L46" s="60" t="str">
        <f>IF('Revenue Input'!$I51="","",IF('Cash Flow %s Yr5'!L49="","",'Cash Flow %s Yr5'!L49*'Revenue Input'!$I51))</f>
        <v/>
      </c>
      <c r="M46" s="60" t="str">
        <f>IF('Revenue Input'!$I51="","",IF('Cash Flow %s Yr5'!M49="","",'Cash Flow %s Yr5'!M49*'Revenue Input'!$I51))</f>
        <v/>
      </c>
      <c r="N46" s="60" t="str">
        <f>IF('Revenue Input'!$I51="","",IF('Cash Flow %s Yr5'!N49="","",'Cash Flow %s Yr5'!N49*'Revenue Input'!$I51))</f>
        <v/>
      </c>
      <c r="O46" s="60" t="str">
        <f>IF('Revenue Input'!$I51="","",IF('Cash Flow %s Yr5'!O49="","",'Cash Flow %s Yr5'!O49*'Revenue Input'!$I51))</f>
        <v/>
      </c>
      <c r="P46" s="60" t="str">
        <f>IF('Revenue Input'!$I51="","",IF('Cash Flow %s Yr5'!P49="","",'Cash Flow %s Yr5'!P49*'Revenue Input'!$I51))</f>
        <v/>
      </c>
      <c r="Q46" s="60" t="str">
        <f>IF('Revenue Input'!$I51="","",IF('Cash Flow %s Yr5'!Q49="","",'Cash Flow %s Yr5'!Q49*'Revenue Input'!$I51))</f>
        <v/>
      </c>
      <c r="R46" s="60" t="str">
        <f>IF('Revenue Input'!$I51="","",IF('Cash Flow %s Yr5'!R49="","",'Cash Flow %s Yr5'!R49*'Revenue Input'!$I51))</f>
        <v/>
      </c>
      <c r="S46" s="105" t="str">
        <f>IF(SUM(D46:R46)&gt;0,SUM(D46:R46)/'Revenue Input'!$I51,"")</f>
        <v/>
      </c>
    </row>
    <row r="47" spans="1:19" s="30" customFormat="1" ht="17.399999999999999" x14ac:dyDescent="0.3">
      <c r="A47" s="45"/>
      <c r="B47" s="61">
        <f>'Revenue Input'!B52</f>
        <v>8699</v>
      </c>
      <c r="C47" s="61" t="str">
        <f>'Revenue Input'!C52</f>
        <v xml:space="preserve">All Other Local Revenue </v>
      </c>
      <c r="D47" s="60" t="str">
        <f>IF('Revenue Input'!$I52="","",IF('Cash Flow %s Yr5'!D50="","",'Cash Flow %s Yr5'!D50*'Revenue Input'!$I52))</f>
        <v/>
      </c>
      <c r="E47" s="60" t="str">
        <f>IF('Revenue Input'!$I52="","",IF('Cash Flow %s Yr5'!E50="","",'Cash Flow %s Yr5'!E50*'Revenue Input'!$I52))</f>
        <v/>
      </c>
      <c r="F47" s="60" t="str">
        <f>IF('Revenue Input'!$I52="","",IF('Cash Flow %s Yr5'!F50="","",'Cash Flow %s Yr5'!F50*'Revenue Input'!$I52))</f>
        <v/>
      </c>
      <c r="G47" s="60" t="str">
        <f>IF('Revenue Input'!$I52="","",IF('Cash Flow %s Yr5'!G50="","",'Cash Flow %s Yr5'!G50*'Revenue Input'!$I52))</f>
        <v/>
      </c>
      <c r="H47" s="60" t="str">
        <f>IF('Revenue Input'!$I52="","",IF('Cash Flow %s Yr5'!H50="","",'Cash Flow %s Yr5'!H50*'Revenue Input'!$I52))</f>
        <v/>
      </c>
      <c r="I47" s="60" t="str">
        <f>IF('Revenue Input'!$I52="","",IF('Cash Flow %s Yr5'!I50="","",'Cash Flow %s Yr5'!I50*'Revenue Input'!$I52))</f>
        <v/>
      </c>
      <c r="J47" s="60" t="str">
        <f>IF('Revenue Input'!$I52="","",IF('Cash Flow %s Yr5'!J50="","",'Cash Flow %s Yr5'!J50*'Revenue Input'!$I52))</f>
        <v/>
      </c>
      <c r="K47" s="60" t="str">
        <f>IF('Revenue Input'!$I52="","",IF('Cash Flow %s Yr5'!K50="","",'Cash Flow %s Yr5'!K50*'Revenue Input'!$I52))</f>
        <v/>
      </c>
      <c r="L47" s="60" t="str">
        <f>IF('Revenue Input'!$I52="","",IF('Cash Flow %s Yr5'!L50="","",'Cash Flow %s Yr5'!L50*'Revenue Input'!$I52))</f>
        <v/>
      </c>
      <c r="M47" s="60" t="str">
        <f>IF('Revenue Input'!$I52="","",IF('Cash Flow %s Yr5'!M50="","",'Cash Flow %s Yr5'!M50*'Revenue Input'!$I52))</f>
        <v/>
      </c>
      <c r="N47" s="60" t="str">
        <f>IF('Revenue Input'!$I52="","",IF('Cash Flow %s Yr5'!N50="","",'Cash Flow %s Yr5'!N50*'Revenue Input'!$I52))</f>
        <v/>
      </c>
      <c r="O47" s="60" t="str">
        <f>IF('Revenue Input'!$I52="","",IF('Cash Flow %s Yr5'!O50="","",'Cash Flow %s Yr5'!O50*'Revenue Input'!$I52))</f>
        <v/>
      </c>
      <c r="P47" s="60" t="str">
        <f>IF('Revenue Input'!$I52="","",IF('Cash Flow %s Yr5'!P50="","",'Cash Flow %s Yr5'!P50*'Revenue Input'!$I52))</f>
        <v/>
      </c>
      <c r="Q47" s="60" t="str">
        <f>IF('Revenue Input'!$I52="","",IF('Cash Flow %s Yr5'!Q50="","",'Cash Flow %s Yr5'!Q50*'Revenue Input'!$I52))</f>
        <v/>
      </c>
      <c r="R47" s="60" t="str">
        <f>IF('Revenue Input'!$I52="","",IF('Cash Flow %s Yr5'!R50="","",'Cash Flow %s Yr5'!R50*'Revenue Input'!$I52))</f>
        <v/>
      </c>
      <c r="S47" s="105" t="str">
        <f>IF(SUM(D47:R47)&gt;0,SUM(D47:R47)/'Revenue Input'!$I52,"")</f>
        <v/>
      </c>
    </row>
    <row r="48" spans="1:19" s="30" customFormat="1" ht="17.399999999999999" x14ac:dyDescent="0.3">
      <c r="A48" s="45"/>
      <c r="B48" s="61">
        <f>'Revenue Input'!B53</f>
        <v>8792</v>
      </c>
      <c r="C48" s="61" t="str">
        <f>'Revenue Input'!C53</f>
        <v>SPED State/Other Transfers of Apportionments from County</v>
      </c>
      <c r="D48" s="60" t="str">
        <f>IF('Revenue Input'!$I53="","",IF('Cash Flow %s Yr5'!D51="","",'Cash Flow %s Yr5'!D51*'Revenue Input'!$I53))</f>
        <v/>
      </c>
      <c r="E48" s="60" t="str">
        <f>IF('Revenue Input'!$I53="","",IF('Cash Flow %s Yr5'!E51="","",'Cash Flow %s Yr5'!E51*'Revenue Input'!$I53))</f>
        <v/>
      </c>
      <c r="F48" s="60" t="str">
        <f>IF('Revenue Input'!$I53="","",IF('Cash Flow %s Yr5'!F51="","",'Cash Flow %s Yr5'!F51*'Revenue Input'!$I53))</f>
        <v/>
      </c>
      <c r="G48" s="60" t="str">
        <f>IF('Revenue Input'!$I53="","",IF('Cash Flow %s Yr5'!G51="","",'Cash Flow %s Yr5'!G51*'Revenue Input'!$I53))</f>
        <v/>
      </c>
      <c r="H48" s="60" t="str">
        <f>IF('Revenue Input'!$I53="","",IF('Cash Flow %s Yr5'!H51="","",'Cash Flow %s Yr5'!H51*'Revenue Input'!$I53))</f>
        <v/>
      </c>
      <c r="I48" s="60" t="str">
        <f>IF('Revenue Input'!$I53="","",IF('Cash Flow %s Yr5'!I51="","",'Cash Flow %s Yr5'!I51*'Revenue Input'!$I53))</f>
        <v/>
      </c>
      <c r="J48" s="60" t="str">
        <f>IF('Revenue Input'!$I53="","",IF('Cash Flow %s Yr5'!J51="","",'Cash Flow %s Yr5'!J51*'Revenue Input'!$I53))</f>
        <v/>
      </c>
      <c r="K48" s="60" t="str">
        <f>IF('Revenue Input'!$I53="","",IF('Cash Flow %s Yr5'!K51="","",'Cash Flow %s Yr5'!K51*'Revenue Input'!$I53))</f>
        <v/>
      </c>
      <c r="L48" s="60" t="str">
        <f>IF('Revenue Input'!$I53="","",IF('Cash Flow %s Yr5'!L51="","",'Cash Flow %s Yr5'!L51*'Revenue Input'!$I53))</f>
        <v/>
      </c>
      <c r="M48" s="60" t="str">
        <f>IF('Revenue Input'!$I53="","",IF('Cash Flow %s Yr5'!M51="","",'Cash Flow %s Yr5'!M51*'Revenue Input'!$I53))</f>
        <v/>
      </c>
      <c r="N48" s="60" t="str">
        <f>IF('Revenue Input'!$I53="","",IF('Cash Flow %s Yr5'!N51="","",'Cash Flow %s Yr5'!N51*'Revenue Input'!$I53))</f>
        <v/>
      </c>
      <c r="O48" s="60" t="str">
        <f>IF('Revenue Input'!$I53="","",IF('Cash Flow %s Yr5'!O51="","",'Cash Flow %s Yr5'!O51*'Revenue Input'!$I53))</f>
        <v/>
      </c>
      <c r="P48" s="60" t="str">
        <f>IF('Revenue Input'!$I53="","",IF('Cash Flow %s Yr5'!P51="","",'Cash Flow %s Yr5'!P51*'Revenue Input'!$I53))</f>
        <v/>
      </c>
      <c r="Q48" s="60" t="str">
        <f>IF('Revenue Input'!$I53="","",IF('Cash Flow %s Yr5'!Q51="","",'Cash Flow %s Yr5'!Q51*'Revenue Input'!$I53))</f>
        <v/>
      </c>
      <c r="R48" s="60" t="str">
        <f>IF('Revenue Input'!$I53="","",IF('Cash Flow %s Yr5'!R51="","",'Cash Flow %s Yr5'!R51*'Revenue Input'!$I53))</f>
        <v/>
      </c>
      <c r="S48" s="105" t="str">
        <f>IF(SUM(D48:R48)&gt;0,SUM(D48:R48)/'Revenue Input'!$I53,"")</f>
        <v/>
      </c>
    </row>
    <row r="49" spans="1:19" s="30" customFormat="1" ht="17.399999999999999" x14ac:dyDescent="0.3">
      <c r="A49" s="45"/>
      <c r="B49" s="61">
        <f>'Revenue Input'!B55</f>
        <v>8984</v>
      </c>
      <c r="C49" s="61" t="str">
        <f>'Revenue Input'!C55</f>
        <v>Student Body (ASB Fundraising)</v>
      </c>
      <c r="D49" s="60" t="str">
        <f>IF('Revenue Input'!$I55="","",IF('Cash Flow %s Yr5'!D52="","",'Cash Flow %s Yr5'!D52*'Revenue Input'!$I55))</f>
        <v/>
      </c>
      <c r="E49" s="60" t="str">
        <f>IF('Revenue Input'!$I55="","",IF('Cash Flow %s Yr5'!E52="","",'Cash Flow %s Yr5'!E52*'Revenue Input'!$I55))</f>
        <v/>
      </c>
      <c r="F49" s="60" t="str">
        <f>IF('Revenue Input'!$I55="","",IF('Cash Flow %s Yr5'!F52="","",'Cash Flow %s Yr5'!F52*'Revenue Input'!$I55))</f>
        <v/>
      </c>
      <c r="G49" s="60" t="str">
        <f>IF('Revenue Input'!$I55="","",IF('Cash Flow %s Yr5'!G52="","",'Cash Flow %s Yr5'!G52*'Revenue Input'!$I55))</f>
        <v/>
      </c>
      <c r="H49" s="60" t="str">
        <f>IF('Revenue Input'!$I55="","",IF('Cash Flow %s Yr5'!H52="","",'Cash Flow %s Yr5'!H52*'Revenue Input'!$I55))</f>
        <v/>
      </c>
      <c r="I49" s="60" t="str">
        <f>IF('Revenue Input'!$I55="","",IF('Cash Flow %s Yr5'!I52="","",'Cash Flow %s Yr5'!I52*'Revenue Input'!$I55))</f>
        <v/>
      </c>
      <c r="J49" s="60" t="str">
        <f>IF('Revenue Input'!$I55="","",IF('Cash Flow %s Yr5'!J52="","",'Cash Flow %s Yr5'!J52*'Revenue Input'!$I55))</f>
        <v/>
      </c>
      <c r="K49" s="60" t="str">
        <f>IF('Revenue Input'!$I55="","",IF('Cash Flow %s Yr5'!K52="","",'Cash Flow %s Yr5'!K52*'Revenue Input'!$I55))</f>
        <v/>
      </c>
      <c r="L49" s="60" t="str">
        <f>IF('Revenue Input'!$I55="","",IF('Cash Flow %s Yr5'!L52="","",'Cash Flow %s Yr5'!L52*'Revenue Input'!$I55))</f>
        <v/>
      </c>
      <c r="M49" s="60" t="str">
        <f>IF('Revenue Input'!$I55="","",IF('Cash Flow %s Yr5'!M52="","",'Cash Flow %s Yr5'!M52*'Revenue Input'!$I55))</f>
        <v/>
      </c>
      <c r="N49" s="60" t="str">
        <f>IF('Revenue Input'!$I55="","",IF('Cash Flow %s Yr5'!N52="","",'Cash Flow %s Yr5'!N52*'Revenue Input'!$I55))</f>
        <v/>
      </c>
      <c r="O49" s="60" t="str">
        <f>IF('Revenue Input'!$I55="","",IF('Cash Flow %s Yr5'!O52="","",'Cash Flow %s Yr5'!O52*'Revenue Input'!$I55))</f>
        <v/>
      </c>
      <c r="P49" s="60" t="str">
        <f>IF('Revenue Input'!$I55="","",IF('Cash Flow %s Yr5'!P52="","",'Cash Flow %s Yr5'!P52*'Revenue Input'!$I55))</f>
        <v/>
      </c>
      <c r="Q49" s="60" t="str">
        <f>IF('Revenue Input'!$I55="","",IF('Cash Flow %s Yr5'!Q52="","",'Cash Flow %s Yr5'!Q52*'Revenue Input'!$I55))</f>
        <v/>
      </c>
      <c r="R49" s="60" t="str">
        <f>IF('Revenue Input'!$I55="","",IF('Cash Flow %s Yr5'!R52="","",'Cash Flow %s Yr5'!R52*'Revenue Input'!$I55))</f>
        <v/>
      </c>
      <c r="S49" s="105" t="str">
        <f>IF(SUM(D49:R49)&gt;0,SUM(D49:R49)/'Revenue Input'!$I55,"")</f>
        <v/>
      </c>
    </row>
    <row r="50" spans="1:19" s="30" customFormat="1" ht="17.399999999999999" x14ac:dyDescent="0.3">
      <c r="A50" s="45"/>
      <c r="B50" s="68"/>
      <c r="C50" s="33" t="s">
        <v>720</v>
      </c>
      <c r="D50" s="183" t="e">
        <f t="shared" ref="D50:R50" si="2">SUM(D37:D49)</f>
        <v>#REF!</v>
      </c>
      <c r="E50" s="183" t="e">
        <f t="shared" si="2"/>
        <v>#REF!</v>
      </c>
      <c r="F50" s="183" t="e">
        <f t="shared" si="2"/>
        <v>#REF!</v>
      </c>
      <c r="G50" s="183" t="e">
        <f t="shared" si="2"/>
        <v>#REF!</v>
      </c>
      <c r="H50" s="183" t="e">
        <f t="shared" si="2"/>
        <v>#REF!</v>
      </c>
      <c r="I50" s="183" t="e">
        <f t="shared" si="2"/>
        <v>#REF!</v>
      </c>
      <c r="J50" s="183" t="e">
        <f t="shared" si="2"/>
        <v>#REF!</v>
      </c>
      <c r="K50" s="183" t="e">
        <f t="shared" si="2"/>
        <v>#REF!</v>
      </c>
      <c r="L50" s="183" t="e">
        <f t="shared" si="2"/>
        <v>#REF!</v>
      </c>
      <c r="M50" s="183" t="e">
        <f t="shared" si="2"/>
        <v>#REF!</v>
      </c>
      <c r="N50" s="183" t="e">
        <f t="shared" si="2"/>
        <v>#REF!</v>
      </c>
      <c r="O50" s="183" t="e">
        <f t="shared" si="2"/>
        <v>#REF!</v>
      </c>
      <c r="P50" s="183" t="e">
        <f t="shared" si="2"/>
        <v>#REF!</v>
      </c>
      <c r="Q50" s="183" t="e">
        <f t="shared" si="2"/>
        <v>#REF!</v>
      </c>
      <c r="R50" s="183" t="e">
        <f t="shared" si="2"/>
        <v>#REF!</v>
      </c>
      <c r="S50" s="101"/>
    </row>
    <row r="51" spans="1:19" s="30" customFormat="1" ht="17.399999999999999" x14ac:dyDescent="0.3">
      <c r="A51" s="45"/>
      <c r="B51" s="47" t="s">
        <v>676</v>
      </c>
      <c r="C51" s="48"/>
      <c r="D51" s="184" t="e">
        <f t="shared" ref="D51:R51" si="3">SUM(D50,D34,D23)</f>
        <v>#REF!</v>
      </c>
      <c r="E51" s="184" t="e">
        <f t="shared" si="3"/>
        <v>#REF!</v>
      </c>
      <c r="F51" s="184" t="e">
        <f t="shared" si="3"/>
        <v>#REF!</v>
      </c>
      <c r="G51" s="184" t="e">
        <f t="shared" si="3"/>
        <v>#REF!</v>
      </c>
      <c r="H51" s="184" t="e">
        <f t="shared" si="3"/>
        <v>#REF!</v>
      </c>
      <c r="I51" s="184" t="e">
        <f t="shared" si="3"/>
        <v>#REF!</v>
      </c>
      <c r="J51" s="184" t="e">
        <f t="shared" si="3"/>
        <v>#REF!</v>
      </c>
      <c r="K51" s="184" t="e">
        <f t="shared" si="3"/>
        <v>#REF!</v>
      </c>
      <c r="L51" s="184" t="e">
        <f t="shared" si="3"/>
        <v>#REF!</v>
      </c>
      <c r="M51" s="184" t="e">
        <f t="shared" si="3"/>
        <v>#REF!</v>
      </c>
      <c r="N51" s="184" t="e">
        <f t="shared" si="3"/>
        <v>#REF!</v>
      </c>
      <c r="O51" s="184" t="e">
        <f t="shared" si="3"/>
        <v>#REF!</v>
      </c>
      <c r="P51" s="184" t="e">
        <f t="shared" si="3"/>
        <v>#REF!</v>
      </c>
      <c r="Q51" s="184" t="e">
        <f t="shared" si="3"/>
        <v>#REF!</v>
      </c>
      <c r="R51" s="184" t="e">
        <f t="shared" si="3"/>
        <v>#REF!</v>
      </c>
      <c r="S51" s="101"/>
    </row>
    <row r="52" spans="1:19" s="30" customFormat="1" ht="17.399999999999999" x14ac:dyDescent="0.3">
      <c r="A52" s="45"/>
      <c r="B52" s="68"/>
      <c r="C52" s="48"/>
      <c r="D52" s="121"/>
      <c r="E52" s="121"/>
      <c r="F52" s="121"/>
      <c r="G52" s="121"/>
      <c r="H52" s="121"/>
      <c r="I52" s="121"/>
      <c r="J52" s="121"/>
      <c r="K52" s="121"/>
      <c r="L52" s="121"/>
      <c r="M52" s="121"/>
      <c r="N52" s="121"/>
      <c r="O52" s="121"/>
      <c r="P52" s="121"/>
      <c r="Q52" s="121"/>
      <c r="R52" s="121"/>
    </row>
    <row r="53" spans="1:19" s="30" customFormat="1" ht="17.399999999999999" x14ac:dyDescent="0.3">
      <c r="A53" s="45" t="s">
        <v>796</v>
      </c>
      <c r="B53" s="69"/>
      <c r="C53" s="33"/>
      <c r="D53" s="122"/>
      <c r="E53" s="122"/>
      <c r="F53" s="122"/>
      <c r="G53" s="122"/>
      <c r="H53" s="122"/>
      <c r="I53" s="122"/>
      <c r="J53" s="122"/>
      <c r="K53" s="122"/>
      <c r="L53" s="122"/>
      <c r="M53" s="122"/>
      <c r="N53" s="122"/>
      <c r="O53" s="122"/>
      <c r="P53" s="122"/>
      <c r="Q53" s="122"/>
      <c r="R53" s="122"/>
    </row>
    <row r="54" spans="1:19" x14ac:dyDescent="0.3">
      <c r="A54" s="1"/>
      <c r="B54" s="33" t="s">
        <v>732</v>
      </c>
      <c r="C54" s="3"/>
      <c r="D54" s="101"/>
      <c r="E54" s="101"/>
      <c r="F54" s="101"/>
      <c r="G54" s="101"/>
      <c r="H54" s="101"/>
      <c r="I54" s="101"/>
      <c r="J54" s="101"/>
      <c r="K54" s="101"/>
      <c r="L54" s="101"/>
      <c r="M54" s="101"/>
      <c r="N54" s="101"/>
      <c r="O54" s="101"/>
      <c r="P54" s="101"/>
      <c r="Q54" s="101"/>
      <c r="R54" s="101"/>
    </row>
    <row r="55" spans="1:19" x14ac:dyDescent="0.3">
      <c r="A55" s="35"/>
      <c r="B55" s="63" t="str">
        <f>'Expenses Summary'!B8</f>
        <v>1100</v>
      </c>
      <c r="C55" s="63" t="str">
        <f>'Expenses Summary'!C8</f>
        <v>Teachers'  Salaries</v>
      </c>
      <c r="D55" s="60">
        <f>IF('Expenses Summary'!$V8="","",IF('Cash Flow %s Yr5'!D55="","",'Cash Flow %s Yr5'!D55*'Expenses Summary'!$V8))</f>
        <v>4540.4118122400005</v>
      </c>
      <c r="E55" s="60">
        <f>IF('Expenses Summary'!$V8="","",IF('Cash Flow %s Yr5'!E55="","",'Cash Flow %s Yr5'!E55*'Expenses Summary'!$V8))</f>
        <v>11351.029530600001</v>
      </c>
      <c r="F55" s="60">
        <f>IF('Expenses Summary'!$V8="","",IF('Cash Flow %s Yr5'!F55="","",'Cash Flow %s Yr5'!F55*'Expenses Summary'!$V8))</f>
        <v>22702.059061200001</v>
      </c>
      <c r="G55" s="60">
        <f>IF('Expenses Summary'!$V8="","",IF('Cash Flow %s Yr5'!G55="","",'Cash Flow %s Yr5'!G55*'Expenses Summary'!$V8))</f>
        <v>22702.059061200001</v>
      </c>
      <c r="H55" s="60">
        <f>IF('Expenses Summary'!$V8="","",IF('Cash Flow %s Yr5'!H55="","",'Cash Flow %s Yr5'!H55*'Expenses Summary'!$V8))</f>
        <v>22702.059061200001</v>
      </c>
      <c r="I55" s="60">
        <f>IF('Expenses Summary'!$V8="","",IF('Cash Flow %s Yr5'!I55="","",'Cash Flow %s Yr5'!I55*'Expenses Summary'!$V8))</f>
        <v>22702.059061200001</v>
      </c>
      <c r="J55" s="60">
        <f>IF('Expenses Summary'!$V8="","",IF('Cash Flow %s Yr5'!J55="","",'Cash Flow %s Yr5'!J55*'Expenses Summary'!$V8))</f>
        <v>22702.059061200001</v>
      </c>
      <c r="K55" s="60">
        <f>IF('Expenses Summary'!$V8="","",IF('Cash Flow %s Yr5'!K55="","",'Cash Flow %s Yr5'!K55*'Expenses Summary'!$V8))</f>
        <v>22702.059061200001</v>
      </c>
      <c r="L55" s="60">
        <f>IF('Expenses Summary'!$V8="","",IF('Cash Flow %s Yr5'!L55="","",'Cash Flow %s Yr5'!L55*'Expenses Summary'!$V8))</f>
        <v>22702.059061200001</v>
      </c>
      <c r="M55" s="60">
        <f>IF('Expenses Summary'!$V8="","",IF('Cash Flow %s Yr5'!M55="","",'Cash Flow %s Yr5'!M55*'Expenses Summary'!$V8))</f>
        <v>22702.059061200001</v>
      </c>
      <c r="N55" s="60">
        <f>IF('Expenses Summary'!$V8="","",IF('Cash Flow %s Yr5'!N55="","",'Cash Flow %s Yr5'!N55*'Expenses Summary'!$V8))</f>
        <v>22702.059061200001</v>
      </c>
      <c r="O55" s="60">
        <f>IF('Expenses Summary'!$V8="","",IF('Cash Flow %s Yr5'!O55="","",'Cash Flow %s Yr5'!O55*'Expenses Summary'!$V8))</f>
        <v>6810.6177183599993</v>
      </c>
      <c r="P55" s="123"/>
      <c r="Q55" s="123"/>
      <c r="R55" s="123"/>
      <c r="S55" s="105">
        <f>IF(SUM(D55:R55)&gt;0,SUM(D55:R55)/'Expenses Summary'!$V8,"")</f>
        <v>1.0000000000000002</v>
      </c>
    </row>
    <row r="56" spans="1:19" x14ac:dyDescent="0.3">
      <c r="A56" s="35"/>
      <c r="B56" s="63" t="str">
        <f>'Expenses Summary'!B9</f>
        <v>1105</v>
      </c>
      <c r="C56" s="63" t="str">
        <f>'Expenses Summary'!C9</f>
        <v>Teachers'  Stipend</v>
      </c>
      <c r="D56" s="60">
        <f>IF('Expenses Summary'!$V9="","",IF('Cash Flow %s Yr5'!D56="","",'Cash Flow %s Yr5'!D56*'Expenses Summary'!$V9))</f>
        <v>0</v>
      </c>
      <c r="E56" s="60">
        <f>IF('Expenses Summary'!$V9="","",IF('Cash Flow %s Yr5'!E56="","",'Cash Flow %s Yr5'!E56*'Expenses Summary'!$V9))</f>
        <v>0</v>
      </c>
      <c r="F56" s="60">
        <f>IF('Expenses Summary'!$V9="","",IF('Cash Flow %s Yr5'!F56="","",'Cash Flow %s Yr5'!F56*'Expenses Summary'!$V9))</f>
        <v>0</v>
      </c>
      <c r="G56" s="60">
        <f>IF('Expenses Summary'!$V9="","",IF('Cash Flow %s Yr5'!G56="","",'Cash Flow %s Yr5'!G56*'Expenses Summary'!$V9))</f>
        <v>0</v>
      </c>
      <c r="H56" s="60">
        <f>IF('Expenses Summary'!$V9="","",IF('Cash Flow %s Yr5'!H56="","",'Cash Flow %s Yr5'!H56*'Expenses Summary'!$V9))</f>
        <v>0</v>
      </c>
      <c r="I56" s="60">
        <f>IF('Expenses Summary'!$V9="","",IF('Cash Flow %s Yr5'!I56="","",'Cash Flow %s Yr5'!I56*'Expenses Summary'!$V9))</f>
        <v>1000</v>
      </c>
      <c r="J56" s="60">
        <f>IF('Expenses Summary'!$V9="","",IF('Cash Flow %s Yr5'!J56="","",'Cash Flow %s Yr5'!J56*'Expenses Summary'!$V9))</f>
        <v>0</v>
      </c>
      <c r="K56" s="60">
        <f>IF('Expenses Summary'!$V9="","",IF('Cash Flow %s Yr5'!K56="","",'Cash Flow %s Yr5'!K56*'Expenses Summary'!$V9))</f>
        <v>0</v>
      </c>
      <c r="L56" s="60">
        <f>IF('Expenses Summary'!$V9="","",IF('Cash Flow %s Yr5'!L56="","",'Cash Flow %s Yr5'!L56*'Expenses Summary'!$V9))</f>
        <v>0</v>
      </c>
      <c r="M56" s="60">
        <f>IF('Expenses Summary'!$V9="","",IF('Cash Flow %s Yr5'!M56="","",'Cash Flow %s Yr5'!M56*'Expenses Summary'!$V9))</f>
        <v>0</v>
      </c>
      <c r="N56" s="60">
        <f>IF('Expenses Summary'!$V9="","",IF('Cash Flow %s Yr5'!N56="","",'Cash Flow %s Yr5'!N56*'Expenses Summary'!$V9))</f>
        <v>0</v>
      </c>
      <c r="O56" s="60">
        <f>IF('Expenses Summary'!$V9="","",IF('Cash Flow %s Yr5'!O56="","",'Cash Flow %s Yr5'!O56*'Expenses Summary'!$V9))</f>
        <v>1000</v>
      </c>
      <c r="P56" s="123"/>
      <c r="Q56" s="123"/>
      <c r="R56" s="123"/>
      <c r="S56" s="105">
        <f>IF(SUM(D56:R56)&gt;0,SUM(D56:R56)/'Expenses Summary'!$V9,"")</f>
        <v>1</v>
      </c>
    </row>
    <row r="57" spans="1:19" x14ac:dyDescent="0.3">
      <c r="A57" s="35"/>
      <c r="B57" s="63" t="str">
        <f>'Expenses Summary'!B10</f>
        <v>1120</v>
      </c>
      <c r="C57" s="63" t="str">
        <f>'Expenses Summary'!C10</f>
        <v>Substitute Expense</v>
      </c>
      <c r="D57" s="60">
        <f>IF('Expenses Summary'!$V10="","",IF('Cash Flow %s Yr5'!D57="","",'Cash Flow %s Yr5'!D57*'Expenses Summary'!$V10))</f>
        <v>0</v>
      </c>
      <c r="E57" s="60">
        <f>IF('Expenses Summary'!$V10="","",IF('Cash Flow %s Yr5'!E57="","",'Cash Flow %s Yr5'!E57*'Expenses Summary'!$V10))</f>
        <v>0</v>
      </c>
      <c r="F57" s="60">
        <f>IF('Expenses Summary'!$V10="","",IF('Cash Flow %s Yr5'!F57="","",'Cash Flow %s Yr5'!F57*'Expenses Summary'!$V10))</f>
        <v>0</v>
      </c>
      <c r="G57" s="60">
        <f>IF('Expenses Summary'!$V10="","",IF('Cash Flow %s Yr5'!G57="","",'Cash Flow %s Yr5'!G57*'Expenses Summary'!$V10))</f>
        <v>0</v>
      </c>
      <c r="H57" s="60">
        <f>IF('Expenses Summary'!$V10="","",IF('Cash Flow %s Yr5'!H57="","",'Cash Flow %s Yr5'!H57*'Expenses Summary'!$V10))</f>
        <v>0</v>
      </c>
      <c r="I57" s="60">
        <f>IF('Expenses Summary'!$V10="","",IF('Cash Flow %s Yr5'!I57="","",'Cash Flow %s Yr5'!I57*'Expenses Summary'!$V10))</f>
        <v>0</v>
      </c>
      <c r="J57" s="60">
        <f>IF('Expenses Summary'!$V10="","",IF('Cash Flow %s Yr5'!J57="","",'Cash Flow %s Yr5'!J57*'Expenses Summary'!$V10))</f>
        <v>0</v>
      </c>
      <c r="K57" s="60">
        <f>IF('Expenses Summary'!$V10="","",IF('Cash Flow %s Yr5'!K57="","",'Cash Flow %s Yr5'!K57*'Expenses Summary'!$V10))</f>
        <v>0</v>
      </c>
      <c r="L57" s="60">
        <f>IF('Expenses Summary'!$V10="","",IF('Cash Flow %s Yr5'!L57="","",'Cash Flow %s Yr5'!L57*'Expenses Summary'!$V10))</f>
        <v>0</v>
      </c>
      <c r="M57" s="60">
        <f>IF('Expenses Summary'!$V10="","",IF('Cash Flow %s Yr5'!M57="","",'Cash Flow %s Yr5'!M57*'Expenses Summary'!$V10))</f>
        <v>0</v>
      </c>
      <c r="N57" s="60">
        <f>IF('Expenses Summary'!$V10="","",IF('Cash Flow %s Yr5'!N57="","",'Cash Flow %s Yr5'!N57*'Expenses Summary'!$V10))</f>
        <v>0</v>
      </c>
      <c r="O57" s="60">
        <f>IF('Expenses Summary'!$V10="","",IF('Cash Flow %s Yr5'!O57="","",'Cash Flow %s Yr5'!O57*'Expenses Summary'!$V10))</f>
        <v>0</v>
      </c>
      <c r="P57" s="123"/>
      <c r="Q57" s="123"/>
      <c r="R57" s="123"/>
      <c r="S57" s="105" t="str">
        <f>IF(SUM(D57:R57)&gt;0,SUM(D57:R57)/'Expenses Summary'!$V10,"")</f>
        <v/>
      </c>
    </row>
    <row r="58" spans="1:19" x14ac:dyDescent="0.3">
      <c r="A58" s="35"/>
      <c r="B58" s="63" t="str">
        <f>'Expenses Summary'!B11</f>
        <v>1200</v>
      </c>
      <c r="C58" s="63" t="str">
        <f>'Expenses Summary'!C11</f>
        <v>Certificated Pupil Support Salaries</v>
      </c>
      <c r="D58" s="60">
        <f>IF('Expenses Summary'!$V11="","",IF('Cash Flow %s Yr5'!D58="","",'Cash Flow %s Yr5'!D58*'Expenses Summary'!$V11))</f>
        <v>0</v>
      </c>
      <c r="E58" s="60">
        <f>IF('Expenses Summary'!$V11="","",IF('Cash Flow %s Yr5'!E58="","",'Cash Flow %s Yr5'!E58*'Expenses Summary'!$V11))</f>
        <v>0</v>
      </c>
      <c r="F58" s="60">
        <f>IF('Expenses Summary'!$V11="","",IF('Cash Flow %s Yr5'!F58="","",'Cash Flow %s Yr5'!F58*'Expenses Summary'!$V11))</f>
        <v>0</v>
      </c>
      <c r="G58" s="60">
        <f>IF('Expenses Summary'!$V11="","",IF('Cash Flow %s Yr5'!G58="","",'Cash Flow %s Yr5'!G58*'Expenses Summary'!$V11))</f>
        <v>0</v>
      </c>
      <c r="H58" s="60">
        <f>IF('Expenses Summary'!$V11="","",IF('Cash Flow %s Yr5'!H58="","",'Cash Flow %s Yr5'!H58*'Expenses Summary'!$V11))</f>
        <v>0</v>
      </c>
      <c r="I58" s="60">
        <f>IF('Expenses Summary'!$V11="","",IF('Cash Flow %s Yr5'!I58="","",'Cash Flow %s Yr5'!I58*'Expenses Summary'!$V11))</f>
        <v>0</v>
      </c>
      <c r="J58" s="60">
        <f>IF('Expenses Summary'!$V11="","",IF('Cash Flow %s Yr5'!J58="","",'Cash Flow %s Yr5'!J58*'Expenses Summary'!$V11))</f>
        <v>0</v>
      </c>
      <c r="K58" s="60">
        <f>IF('Expenses Summary'!$V11="","",IF('Cash Flow %s Yr5'!K58="","",'Cash Flow %s Yr5'!K58*'Expenses Summary'!$V11))</f>
        <v>0</v>
      </c>
      <c r="L58" s="60">
        <f>IF('Expenses Summary'!$V11="","",IF('Cash Flow %s Yr5'!L58="","",'Cash Flow %s Yr5'!L58*'Expenses Summary'!$V11))</f>
        <v>0</v>
      </c>
      <c r="M58" s="60">
        <f>IF('Expenses Summary'!$V11="","",IF('Cash Flow %s Yr5'!M58="","",'Cash Flow %s Yr5'!M58*'Expenses Summary'!$V11))</f>
        <v>0</v>
      </c>
      <c r="N58" s="60">
        <f>IF('Expenses Summary'!$V11="","",IF('Cash Flow %s Yr5'!N58="","",'Cash Flow %s Yr5'!N58*'Expenses Summary'!$V11))</f>
        <v>0</v>
      </c>
      <c r="O58" s="60">
        <f>IF('Expenses Summary'!$V11="","",IF('Cash Flow %s Yr5'!O58="","",'Cash Flow %s Yr5'!O58*'Expenses Summary'!$V11))</f>
        <v>0</v>
      </c>
      <c r="P58" s="123"/>
      <c r="Q58" s="123"/>
      <c r="R58" s="123"/>
      <c r="S58" s="105" t="str">
        <f>IF(SUM(D58:R58)&gt;0,SUM(D58:R58)/'Expenses Summary'!$V11,"")</f>
        <v/>
      </c>
    </row>
    <row r="59" spans="1:19" x14ac:dyDescent="0.3">
      <c r="A59" s="35"/>
      <c r="B59" s="63" t="str">
        <f>'Expenses Summary'!B13</f>
        <v>1300</v>
      </c>
      <c r="C59" s="63" t="str">
        <f>'Expenses Summary'!C13</f>
        <v>Certificated Supervisor and Administrator Salaries</v>
      </c>
      <c r="D59" s="60">
        <f>IF('Expenses Summary'!$V13="","",IF('Cash Flow %s Yr5'!D59="","",'Cash Flow %s Yr5'!D59*'Expenses Summary'!$V13))</f>
        <v>6122.0030175000002</v>
      </c>
      <c r="E59" s="60">
        <f>IF('Expenses Summary'!$V13="","",IF('Cash Flow %s Yr5'!E59="","",'Cash Flow %s Yr5'!E59*'Expenses Summary'!$V13))</f>
        <v>6122.0030175000002</v>
      </c>
      <c r="F59" s="60">
        <f>IF('Expenses Summary'!$V13="","",IF('Cash Flow %s Yr5'!F59="","",'Cash Flow %s Yr5'!F59*'Expenses Summary'!$V13))</f>
        <v>6122.0030175000002</v>
      </c>
      <c r="G59" s="60">
        <f>IF('Expenses Summary'!$V13="","",IF('Cash Flow %s Yr5'!G59="","",'Cash Flow %s Yr5'!G59*'Expenses Summary'!$V13))</f>
        <v>6122.0030175000002</v>
      </c>
      <c r="H59" s="60">
        <f>IF('Expenses Summary'!$V13="","",IF('Cash Flow %s Yr5'!H59="","",'Cash Flow %s Yr5'!H59*'Expenses Summary'!$V13))</f>
        <v>6122.0030175000002</v>
      </c>
      <c r="I59" s="60">
        <f>IF('Expenses Summary'!$V13="","",IF('Cash Flow %s Yr5'!I59="","",'Cash Flow %s Yr5'!I59*'Expenses Summary'!$V13))</f>
        <v>6122.0030175000002</v>
      </c>
      <c r="J59" s="60">
        <f>IF('Expenses Summary'!$V13="","",IF('Cash Flow %s Yr5'!J59="","",'Cash Flow %s Yr5'!J59*'Expenses Summary'!$V13))</f>
        <v>6122.0030175000002</v>
      </c>
      <c r="K59" s="60">
        <f>IF('Expenses Summary'!$V13="","",IF('Cash Flow %s Yr5'!K59="","",'Cash Flow %s Yr5'!K59*'Expenses Summary'!$V13))</f>
        <v>6122.0030175000002</v>
      </c>
      <c r="L59" s="60">
        <f>IF('Expenses Summary'!$V13="","",IF('Cash Flow %s Yr5'!L59="","",'Cash Flow %s Yr5'!L59*'Expenses Summary'!$V13))</f>
        <v>6195.7620900000002</v>
      </c>
      <c r="M59" s="60">
        <f>IF('Expenses Summary'!$V13="","",IF('Cash Flow %s Yr5'!M59="","",'Cash Flow %s Yr5'!M59*'Expenses Summary'!$V13))</f>
        <v>6195.7620900000002</v>
      </c>
      <c r="N59" s="60">
        <f>IF('Expenses Summary'!$V13="","",IF('Cash Flow %s Yr5'!N59="","",'Cash Flow %s Yr5'!N59*'Expenses Summary'!$V13))</f>
        <v>6195.7620900000002</v>
      </c>
      <c r="O59" s="60">
        <f>IF('Expenses Summary'!$V13="","",IF('Cash Flow %s Yr5'!O59="","",'Cash Flow %s Yr5'!O59*'Expenses Summary'!$V13))</f>
        <v>6195.7620900000002</v>
      </c>
      <c r="P59" s="123"/>
      <c r="Q59" s="123"/>
      <c r="R59" s="123"/>
      <c r="S59" s="105">
        <f>IF(SUM(D59:R59)&gt;0,SUM(D59:R59)/'Expenses Summary'!$V13,"")</f>
        <v>1.0000000000000002</v>
      </c>
    </row>
    <row r="60" spans="1:19" x14ac:dyDescent="0.3">
      <c r="A60" s="35"/>
      <c r="B60" s="63" t="str">
        <f>'Expenses Summary'!B14</f>
        <v>1305</v>
      </c>
      <c r="C60" s="63" t="str">
        <f>'Expenses Summary'!C14</f>
        <v>Certificated Supervisor and Administrator Bonuses</v>
      </c>
      <c r="D60" s="60">
        <f>IF('Expenses Summary'!$V14="","",IF('Cash Flow %s Yr5'!D60="","",'Cash Flow %s Yr5'!D60*'Expenses Summary'!$V14))</f>
        <v>0</v>
      </c>
      <c r="E60" s="60">
        <f>IF('Expenses Summary'!$V14="","",IF('Cash Flow %s Yr5'!E60="","",'Cash Flow %s Yr5'!E60*'Expenses Summary'!$V14))</f>
        <v>0</v>
      </c>
      <c r="F60" s="60">
        <f>IF('Expenses Summary'!$V14="","",IF('Cash Flow %s Yr5'!F60="","",'Cash Flow %s Yr5'!F60*'Expenses Summary'!$V14))</f>
        <v>0</v>
      </c>
      <c r="G60" s="60">
        <f>IF('Expenses Summary'!$V14="","",IF('Cash Flow %s Yr5'!G60="","",'Cash Flow %s Yr5'!G60*'Expenses Summary'!$V14))</f>
        <v>0</v>
      </c>
      <c r="H60" s="60">
        <f>IF('Expenses Summary'!$V14="","",IF('Cash Flow %s Yr5'!H60="","",'Cash Flow %s Yr5'!H60*'Expenses Summary'!$V14))</f>
        <v>0</v>
      </c>
      <c r="I60" s="60">
        <f>IF('Expenses Summary'!$V14="","",IF('Cash Flow %s Yr5'!I60="","",'Cash Flow %s Yr5'!I60*'Expenses Summary'!$V14))</f>
        <v>0</v>
      </c>
      <c r="J60" s="60">
        <f>IF('Expenses Summary'!$V14="","",IF('Cash Flow %s Yr5'!J60="","",'Cash Flow %s Yr5'!J60*'Expenses Summary'!$V14))</f>
        <v>0</v>
      </c>
      <c r="K60" s="60">
        <f>IF('Expenses Summary'!$V14="","",IF('Cash Flow %s Yr5'!K60="","",'Cash Flow %s Yr5'!K60*'Expenses Summary'!$V14))</f>
        <v>0</v>
      </c>
      <c r="L60" s="60">
        <f>IF('Expenses Summary'!$V14="","",IF('Cash Flow %s Yr5'!L60="","",'Cash Flow %s Yr5'!L60*'Expenses Summary'!$V14))</f>
        <v>0</v>
      </c>
      <c r="M60" s="60">
        <f>IF('Expenses Summary'!$V14="","",IF('Cash Flow %s Yr5'!M60="","",'Cash Flow %s Yr5'!M60*'Expenses Summary'!$V14))</f>
        <v>0</v>
      </c>
      <c r="N60" s="60">
        <f>IF('Expenses Summary'!$V14="","",IF('Cash Flow %s Yr5'!N60="","",'Cash Flow %s Yr5'!N60*'Expenses Summary'!$V14))</f>
        <v>0</v>
      </c>
      <c r="O60" s="60">
        <f>IF('Expenses Summary'!$V14="","",IF('Cash Flow %s Yr5'!O60="","",'Cash Flow %s Yr5'!O60*'Expenses Summary'!$V14))</f>
        <v>0</v>
      </c>
      <c r="P60" s="123"/>
      <c r="Q60" s="123"/>
      <c r="R60" s="123"/>
      <c r="S60" s="105" t="str">
        <f>IF(SUM(D60:R60)&gt;0,SUM(D60:R60)/'Expenses Summary'!$V14,"")</f>
        <v/>
      </c>
    </row>
    <row r="61" spans="1:19" x14ac:dyDescent="0.3">
      <c r="A61" s="35"/>
      <c r="B61" s="63" t="str">
        <f>'Expenses Summary'!B15</f>
        <v>1900</v>
      </c>
      <c r="C61" s="63" t="str">
        <f>'Expenses Summary'!C15</f>
        <v>Other Certificated Salaries</v>
      </c>
      <c r="D61" s="60">
        <f>IF('Expenses Summary'!$V15="","",IF('Cash Flow %s Yr5'!D61="","",'Cash Flow %s Yr5'!D61*'Expenses Summary'!$V15))</f>
        <v>0</v>
      </c>
      <c r="E61" s="60">
        <f>IF('Expenses Summary'!$V15="","",IF('Cash Flow %s Yr5'!E61="","",'Cash Flow %s Yr5'!E61*'Expenses Summary'!$V15))</f>
        <v>0</v>
      </c>
      <c r="F61" s="60">
        <f>IF('Expenses Summary'!$V15="","",IF('Cash Flow %s Yr5'!F61="","",'Cash Flow %s Yr5'!F61*'Expenses Summary'!$V15))</f>
        <v>0</v>
      </c>
      <c r="G61" s="60">
        <f>IF('Expenses Summary'!$V15="","",IF('Cash Flow %s Yr5'!G61="","",'Cash Flow %s Yr5'!G61*'Expenses Summary'!$V15))</f>
        <v>0</v>
      </c>
      <c r="H61" s="60">
        <f>IF('Expenses Summary'!$V15="","",IF('Cash Flow %s Yr5'!H61="","",'Cash Flow %s Yr5'!H61*'Expenses Summary'!$V15))</f>
        <v>0</v>
      </c>
      <c r="I61" s="60">
        <f>IF('Expenses Summary'!$V15="","",IF('Cash Flow %s Yr5'!I61="","",'Cash Flow %s Yr5'!I61*'Expenses Summary'!$V15))</f>
        <v>0</v>
      </c>
      <c r="J61" s="60">
        <f>IF('Expenses Summary'!$V15="","",IF('Cash Flow %s Yr5'!J61="","",'Cash Flow %s Yr5'!J61*'Expenses Summary'!$V15))</f>
        <v>0</v>
      </c>
      <c r="K61" s="60">
        <f>IF('Expenses Summary'!$V15="","",IF('Cash Flow %s Yr5'!K61="","",'Cash Flow %s Yr5'!K61*'Expenses Summary'!$V15))</f>
        <v>0</v>
      </c>
      <c r="L61" s="60">
        <f>IF('Expenses Summary'!$V15="","",IF('Cash Flow %s Yr5'!L61="","",'Cash Flow %s Yr5'!L61*'Expenses Summary'!$V15))</f>
        <v>0</v>
      </c>
      <c r="M61" s="60">
        <f>IF('Expenses Summary'!$V15="","",IF('Cash Flow %s Yr5'!M61="","",'Cash Flow %s Yr5'!M61*'Expenses Summary'!$V15))</f>
        <v>0</v>
      </c>
      <c r="N61" s="60">
        <f>IF('Expenses Summary'!$V15="","",IF('Cash Flow %s Yr5'!N61="","",'Cash Flow %s Yr5'!N61*'Expenses Summary'!$V15))</f>
        <v>0</v>
      </c>
      <c r="O61" s="60">
        <f>IF('Expenses Summary'!$V15="","",IF('Cash Flow %s Yr5'!O61="","",'Cash Flow %s Yr5'!O61*'Expenses Summary'!$V15))</f>
        <v>0</v>
      </c>
      <c r="P61" s="123"/>
      <c r="Q61" s="123"/>
      <c r="R61" s="123"/>
      <c r="S61" s="105" t="str">
        <f>IF(SUM(D61:R61)&gt;0,SUM(D61:R61)/'Expenses Summary'!$V15,"")</f>
        <v/>
      </c>
    </row>
    <row r="62" spans="1:19" x14ac:dyDescent="0.3">
      <c r="A62" s="35"/>
      <c r="B62" s="63" t="str">
        <f>'Expenses Summary'!B16</f>
        <v>1910</v>
      </c>
      <c r="C62" s="63" t="str">
        <f>'Expenses Summary'!C16</f>
        <v>Other Certificated Overtime</v>
      </c>
      <c r="D62" s="60">
        <f>IF('Expenses Summary'!$V16="","",IF('Cash Flow %s Yr5'!D62="","",'Cash Flow %s Yr5'!D62*'Expenses Summary'!$V16))</f>
        <v>0</v>
      </c>
      <c r="E62" s="60">
        <f>IF('Expenses Summary'!$V16="","",IF('Cash Flow %s Yr5'!E62="","",'Cash Flow %s Yr5'!E62*'Expenses Summary'!$V16))</f>
        <v>0</v>
      </c>
      <c r="F62" s="60">
        <f>IF('Expenses Summary'!$V16="","",IF('Cash Flow %s Yr5'!F62="","",'Cash Flow %s Yr5'!F62*'Expenses Summary'!$V16))</f>
        <v>0</v>
      </c>
      <c r="G62" s="60">
        <f>IF('Expenses Summary'!$V16="","",IF('Cash Flow %s Yr5'!G62="","",'Cash Flow %s Yr5'!G62*'Expenses Summary'!$V16))</f>
        <v>0</v>
      </c>
      <c r="H62" s="60">
        <f>IF('Expenses Summary'!$V16="","",IF('Cash Flow %s Yr5'!H62="","",'Cash Flow %s Yr5'!H62*'Expenses Summary'!$V16))</f>
        <v>0</v>
      </c>
      <c r="I62" s="60">
        <f>IF('Expenses Summary'!$V16="","",IF('Cash Flow %s Yr5'!I62="","",'Cash Flow %s Yr5'!I62*'Expenses Summary'!$V16))</f>
        <v>0</v>
      </c>
      <c r="J62" s="60">
        <f>IF('Expenses Summary'!$V16="","",IF('Cash Flow %s Yr5'!J62="","",'Cash Flow %s Yr5'!J62*'Expenses Summary'!$V16))</f>
        <v>0</v>
      </c>
      <c r="K62" s="60">
        <f>IF('Expenses Summary'!$V16="","",IF('Cash Flow %s Yr5'!K62="","",'Cash Flow %s Yr5'!K62*'Expenses Summary'!$V16))</f>
        <v>0</v>
      </c>
      <c r="L62" s="60">
        <f>IF('Expenses Summary'!$V16="","",IF('Cash Flow %s Yr5'!L62="","",'Cash Flow %s Yr5'!L62*'Expenses Summary'!$V16))</f>
        <v>0</v>
      </c>
      <c r="M62" s="60">
        <f>IF('Expenses Summary'!$V16="","",IF('Cash Flow %s Yr5'!M62="","",'Cash Flow %s Yr5'!M62*'Expenses Summary'!$V16))</f>
        <v>0</v>
      </c>
      <c r="N62" s="60">
        <f>IF('Expenses Summary'!$V16="","",IF('Cash Flow %s Yr5'!N62="","",'Cash Flow %s Yr5'!N62*'Expenses Summary'!$V16))</f>
        <v>0</v>
      </c>
      <c r="O62" s="60">
        <f>IF('Expenses Summary'!$V16="","",IF('Cash Flow %s Yr5'!O62="","",'Cash Flow %s Yr5'!O62*'Expenses Summary'!$V16))</f>
        <v>0</v>
      </c>
      <c r="P62" s="123"/>
      <c r="Q62" s="123"/>
      <c r="R62" s="123"/>
      <c r="S62" s="105" t="str">
        <f>IF(SUM(D62:R62)&gt;0,SUM(D62:R62)/'Expenses Summary'!$V16,"")</f>
        <v/>
      </c>
    </row>
    <row r="63" spans="1:19" x14ac:dyDescent="0.3">
      <c r="A63" s="35"/>
      <c r="B63" s="35" t="s">
        <v>555</v>
      </c>
      <c r="C63" s="33" t="s">
        <v>720</v>
      </c>
      <c r="D63" s="165">
        <f t="shared" ref="D63:I63" si="4">IF(SUM(D54:D62)&gt;0,SUM(D54:D62),"")</f>
        <v>10662.414829740001</v>
      </c>
      <c r="E63" s="165">
        <f t="shared" si="4"/>
        <v>17473.0325481</v>
      </c>
      <c r="F63" s="165">
        <f t="shared" si="4"/>
        <v>28824.062078700001</v>
      </c>
      <c r="G63" s="165">
        <f t="shared" si="4"/>
        <v>28824.062078700001</v>
      </c>
      <c r="H63" s="165">
        <f t="shared" si="4"/>
        <v>28824.062078700001</v>
      </c>
      <c r="I63" s="165">
        <f t="shared" si="4"/>
        <v>29824.062078700001</v>
      </c>
      <c r="J63" s="165">
        <f t="shared" ref="J63:O63" si="5">IF(SUM(J54:J62)&gt;0,SUM(J54:J62),"")</f>
        <v>28824.062078700001</v>
      </c>
      <c r="K63" s="165">
        <f t="shared" si="5"/>
        <v>28824.062078700001</v>
      </c>
      <c r="L63" s="165">
        <f t="shared" si="5"/>
        <v>28897.821151200002</v>
      </c>
      <c r="M63" s="165">
        <f t="shared" si="5"/>
        <v>28897.821151200002</v>
      </c>
      <c r="N63" s="165">
        <f t="shared" si="5"/>
        <v>28897.821151200002</v>
      </c>
      <c r="O63" s="165">
        <f t="shared" si="5"/>
        <v>14006.37980836</v>
      </c>
      <c r="P63" s="121"/>
      <c r="Q63" s="121"/>
      <c r="R63" s="121"/>
      <c r="S63" s="101"/>
    </row>
    <row r="64" spans="1:19" s="30" customFormat="1" x14ac:dyDescent="0.3">
      <c r="A64" s="35"/>
      <c r="B64" s="39"/>
      <c r="C64" s="3"/>
      <c r="D64" s="124"/>
      <c r="E64" s="124"/>
      <c r="F64" s="124"/>
      <c r="G64" s="124"/>
      <c r="H64" s="124"/>
      <c r="I64" s="124"/>
      <c r="J64" s="124"/>
      <c r="K64" s="124"/>
      <c r="L64" s="124"/>
      <c r="M64" s="124"/>
      <c r="N64" s="124"/>
      <c r="O64" s="124"/>
      <c r="P64" s="124"/>
      <c r="Q64" s="124"/>
      <c r="R64" s="124"/>
    </row>
    <row r="65" spans="1:19" s="30" customFormat="1" x14ac:dyDescent="0.3">
      <c r="B65" s="5" t="s">
        <v>733</v>
      </c>
      <c r="C65" s="3"/>
      <c r="D65" s="124"/>
      <c r="E65" s="124"/>
      <c r="F65" s="124"/>
      <c r="G65" s="124"/>
      <c r="H65" s="124"/>
      <c r="I65" s="124"/>
      <c r="J65" s="124"/>
      <c r="K65" s="124"/>
      <c r="L65" s="124"/>
      <c r="M65" s="124"/>
      <c r="N65" s="124"/>
      <c r="O65" s="124"/>
      <c r="P65" s="124"/>
      <c r="Q65" s="124"/>
      <c r="R65" s="124"/>
    </row>
    <row r="66" spans="1:19" s="30" customFormat="1" x14ac:dyDescent="0.3">
      <c r="A66" s="35"/>
      <c r="B66" s="63" t="str">
        <f>'Expenses Summary'!B20</f>
        <v>2100</v>
      </c>
      <c r="C66" s="63" t="str">
        <f>'Expenses Summary'!C20</f>
        <v>Instructional Aide Salaries</v>
      </c>
      <c r="D66" s="60">
        <f>IF('Expenses Summary'!$V20="","",IF('Cash Flow %s Yr5'!D66="","",'Cash Flow %s Yr5'!D66*'Expenses Summary'!$V20))</f>
        <v>0</v>
      </c>
      <c r="E66" s="60">
        <f>IF('Expenses Summary'!$V20="","",IF('Cash Flow %s Yr5'!E66="","",'Cash Flow %s Yr5'!E66*'Expenses Summary'!$V20))</f>
        <v>6721.4184133500012</v>
      </c>
      <c r="F66" s="60">
        <f>IF('Expenses Summary'!$V20="","",IF('Cash Flow %s Yr5'!F66="","",'Cash Flow %s Yr5'!F66*'Expenses Summary'!$V20))</f>
        <v>13442.836826700002</v>
      </c>
      <c r="G66" s="60">
        <f>IF('Expenses Summary'!$V20="","",IF('Cash Flow %s Yr5'!G66="","",'Cash Flow %s Yr5'!G66*'Expenses Summary'!$V20))</f>
        <v>13442.836826700002</v>
      </c>
      <c r="H66" s="60">
        <f>IF('Expenses Summary'!$V20="","",IF('Cash Flow %s Yr5'!H66="","",'Cash Flow %s Yr5'!H66*'Expenses Summary'!$V20))</f>
        <v>13442.836826700002</v>
      </c>
      <c r="I66" s="60">
        <f>IF('Expenses Summary'!$V20="","",IF('Cash Flow %s Yr5'!I66="","",'Cash Flow %s Yr5'!I66*'Expenses Summary'!$V20))</f>
        <v>13442.836826700002</v>
      </c>
      <c r="J66" s="60">
        <f>IF('Expenses Summary'!$V20="","",IF('Cash Flow %s Yr5'!J66="","",'Cash Flow %s Yr5'!J66*'Expenses Summary'!$V20))</f>
        <v>13442.836826700002</v>
      </c>
      <c r="K66" s="60">
        <f>IF('Expenses Summary'!$V20="","",IF('Cash Flow %s Yr5'!K66="","",'Cash Flow %s Yr5'!K66*'Expenses Summary'!$V20))</f>
        <v>13442.836826700002</v>
      </c>
      <c r="L66" s="60">
        <f>IF('Expenses Summary'!$V20="","",IF('Cash Flow %s Yr5'!L66="","",'Cash Flow %s Yr5'!L66*'Expenses Summary'!$V20))</f>
        <v>13442.836826700002</v>
      </c>
      <c r="M66" s="60">
        <f>IF('Expenses Summary'!$V20="","",IF('Cash Flow %s Yr5'!M66="","",'Cash Flow %s Yr5'!M66*'Expenses Summary'!$V20))</f>
        <v>13442.836826700002</v>
      </c>
      <c r="N66" s="60">
        <f>IF('Expenses Summary'!$V20="","",IF('Cash Flow %s Yr5'!N66="","",'Cash Flow %s Yr5'!N66*'Expenses Summary'!$V20))</f>
        <v>13442.836826700002</v>
      </c>
      <c r="O66" s="60">
        <f>IF('Expenses Summary'!$V20="","",IF('Cash Flow %s Yr5'!O66="","",'Cash Flow %s Yr5'!O66*'Expenses Summary'!$V20))</f>
        <v>6721.4184133500012</v>
      </c>
      <c r="P66" s="123"/>
      <c r="Q66" s="123"/>
      <c r="R66" s="123"/>
      <c r="S66" s="105">
        <f>IF(SUM(D66:R66)&gt;0,SUM(D66:R66)/'Expenses Summary'!$V20,"")</f>
        <v>1.0000000000000002</v>
      </c>
    </row>
    <row r="67" spans="1:19" s="30" customFormat="1" x14ac:dyDescent="0.3">
      <c r="A67" s="35"/>
      <c r="B67" s="63" t="str">
        <f>'Expenses Summary'!B21</f>
        <v>2110</v>
      </c>
      <c r="C67" s="63" t="str">
        <f>'Expenses Summary'!C21</f>
        <v>Instructional Aide Overtime</v>
      </c>
      <c r="D67" s="60">
        <f>IF('Expenses Summary'!$V21="","",IF('Cash Flow %s Yr5'!D67="","",'Cash Flow %s Yr5'!D67*'Expenses Summary'!$V21))</f>
        <v>0</v>
      </c>
      <c r="E67" s="60">
        <f>IF('Expenses Summary'!$V21="","",IF('Cash Flow %s Yr5'!E67="","",'Cash Flow %s Yr5'!E67*'Expenses Summary'!$V21))</f>
        <v>0</v>
      </c>
      <c r="F67" s="60">
        <f>IF('Expenses Summary'!$V21="","",IF('Cash Flow %s Yr5'!F67="","",'Cash Flow %s Yr5'!F67*'Expenses Summary'!$V21))</f>
        <v>69.3</v>
      </c>
      <c r="G67" s="60">
        <f>IF('Expenses Summary'!$V21="","",IF('Cash Flow %s Yr5'!G67="","",'Cash Flow %s Yr5'!G67*'Expenses Summary'!$V21))</f>
        <v>69.3</v>
      </c>
      <c r="H67" s="60">
        <f>IF('Expenses Summary'!$V21="","",IF('Cash Flow %s Yr5'!H67="","",'Cash Flow %s Yr5'!H67*'Expenses Summary'!$V21))</f>
        <v>69.3</v>
      </c>
      <c r="I67" s="60">
        <f>IF('Expenses Summary'!$V21="","",IF('Cash Flow %s Yr5'!I67="","",'Cash Flow %s Yr5'!I67*'Expenses Summary'!$V21))</f>
        <v>69.3</v>
      </c>
      <c r="J67" s="60">
        <f>IF('Expenses Summary'!$V21="","",IF('Cash Flow %s Yr5'!J67="","",'Cash Flow %s Yr5'!J67*'Expenses Summary'!$V21))</f>
        <v>69.3</v>
      </c>
      <c r="K67" s="60">
        <f>IF('Expenses Summary'!$V21="","",IF('Cash Flow %s Yr5'!K67="","",'Cash Flow %s Yr5'!K67*'Expenses Summary'!$V21))</f>
        <v>69.3</v>
      </c>
      <c r="L67" s="60">
        <f>IF('Expenses Summary'!$V21="","",IF('Cash Flow %s Yr5'!L67="","",'Cash Flow %s Yr5'!L67*'Expenses Summary'!$V21))</f>
        <v>69.3</v>
      </c>
      <c r="M67" s="60">
        <f>IF('Expenses Summary'!$V21="","",IF('Cash Flow %s Yr5'!M67="","",'Cash Flow %s Yr5'!M67*'Expenses Summary'!$V21))</f>
        <v>69.3</v>
      </c>
      <c r="N67" s="60">
        <f>IF('Expenses Summary'!$V21="","",IF('Cash Flow %s Yr5'!N67="","",'Cash Flow %s Yr5'!N67*'Expenses Summary'!$V21))</f>
        <v>69.3</v>
      </c>
      <c r="O67" s="60">
        <f>IF('Expenses Summary'!$V21="","",IF('Cash Flow %s Yr5'!O67="","",'Cash Flow %s Yr5'!O67*'Expenses Summary'!$V21))</f>
        <v>69.3</v>
      </c>
      <c r="P67" s="123"/>
      <c r="Q67" s="123"/>
      <c r="R67" s="123"/>
      <c r="S67" s="105">
        <f>IF(SUM(D67:R67)&gt;0,SUM(D67:R67)/'Expenses Summary'!$V21,"")</f>
        <v>0.99999999999999989</v>
      </c>
    </row>
    <row r="68" spans="1:19" s="30" customFormat="1" x14ac:dyDescent="0.3">
      <c r="A68" s="35"/>
      <c r="B68" s="63" t="str">
        <f>'Expenses Summary'!B22</f>
        <v>2200</v>
      </c>
      <c r="C68" s="63" t="str">
        <f>'Expenses Summary'!C22</f>
        <v>Classified Support Salaries</v>
      </c>
      <c r="D68" s="60">
        <f>IF('Expenses Summary'!$V22="","",IF('Cash Flow %s Yr5'!D68="","",'Cash Flow %s Yr5'!D68*'Expenses Summary'!$V22))</f>
        <v>0</v>
      </c>
      <c r="E68" s="60">
        <f>IF('Expenses Summary'!$V22="","",IF('Cash Flow %s Yr5'!E68="","",'Cash Flow %s Yr5'!E68*'Expenses Summary'!$V22))</f>
        <v>1468.8982697500003</v>
      </c>
      <c r="F68" s="60">
        <f>IF('Expenses Summary'!$V22="","",IF('Cash Flow %s Yr5'!F68="","",'Cash Flow %s Yr5'!F68*'Expenses Summary'!$V22))</f>
        <v>2937.7965395000006</v>
      </c>
      <c r="G68" s="60">
        <f>IF('Expenses Summary'!$V22="","",IF('Cash Flow %s Yr5'!G68="","",'Cash Flow %s Yr5'!G68*'Expenses Summary'!$V22))</f>
        <v>2937.7965395000006</v>
      </c>
      <c r="H68" s="60">
        <f>IF('Expenses Summary'!$V22="","",IF('Cash Flow %s Yr5'!H68="","",'Cash Flow %s Yr5'!H68*'Expenses Summary'!$V22))</f>
        <v>2937.7965395000006</v>
      </c>
      <c r="I68" s="60">
        <f>IF('Expenses Summary'!$V22="","",IF('Cash Flow %s Yr5'!I68="","",'Cash Flow %s Yr5'!I68*'Expenses Summary'!$V22))</f>
        <v>2937.7965395000006</v>
      </c>
      <c r="J68" s="60">
        <f>IF('Expenses Summary'!$V22="","",IF('Cash Flow %s Yr5'!J68="","",'Cash Flow %s Yr5'!J68*'Expenses Summary'!$V22))</f>
        <v>2937.7965395000006</v>
      </c>
      <c r="K68" s="60">
        <f>IF('Expenses Summary'!$V22="","",IF('Cash Flow %s Yr5'!K68="","",'Cash Flow %s Yr5'!K68*'Expenses Summary'!$V22))</f>
        <v>2937.7965395000006</v>
      </c>
      <c r="L68" s="60">
        <f>IF('Expenses Summary'!$V22="","",IF('Cash Flow %s Yr5'!L68="","",'Cash Flow %s Yr5'!L68*'Expenses Summary'!$V22))</f>
        <v>2937.7965395000006</v>
      </c>
      <c r="M68" s="60">
        <f>IF('Expenses Summary'!$V22="","",IF('Cash Flow %s Yr5'!M68="","",'Cash Flow %s Yr5'!M68*'Expenses Summary'!$V22))</f>
        <v>2937.7965395000006</v>
      </c>
      <c r="N68" s="60">
        <f>IF('Expenses Summary'!$V22="","",IF('Cash Flow %s Yr5'!N68="","",'Cash Flow %s Yr5'!N68*'Expenses Summary'!$V22))</f>
        <v>2937.7965395000006</v>
      </c>
      <c r="O68" s="60">
        <f>IF('Expenses Summary'!$V22="","",IF('Cash Flow %s Yr5'!O68="","",'Cash Flow %s Yr5'!O68*'Expenses Summary'!$V22))</f>
        <v>1468.8982697500003</v>
      </c>
      <c r="P68" s="123"/>
      <c r="Q68" s="123"/>
      <c r="R68" s="123"/>
      <c r="S68" s="105">
        <f>IF(SUM(D68:R68)&gt;0,SUM(D68:R68)/'Expenses Summary'!$V22,"")</f>
        <v>1</v>
      </c>
    </row>
    <row r="69" spans="1:19" s="30" customFormat="1" x14ac:dyDescent="0.3">
      <c r="A69" s="35"/>
      <c r="B69" s="63" t="str">
        <f>'Expenses Summary'!B23</f>
        <v>2210</v>
      </c>
      <c r="C69" s="63" t="str">
        <f>'Expenses Summary'!C23</f>
        <v>Classified Support Overtime</v>
      </c>
      <c r="D69" s="60">
        <f>IF('Expenses Summary'!$V23="","",IF('Cash Flow %s Yr5'!D69="","",'Cash Flow %s Yr5'!D69*'Expenses Summary'!$V23))</f>
        <v>0</v>
      </c>
      <c r="E69" s="60">
        <f>IF('Expenses Summary'!$V23="","",IF('Cash Flow %s Yr5'!E69="","",'Cash Flow %s Yr5'!E69*'Expenses Summary'!$V23))</f>
        <v>0</v>
      </c>
      <c r="F69" s="60">
        <f>IF('Expenses Summary'!$V23="","",IF('Cash Flow %s Yr5'!F69="","",'Cash Flow %s Yr5'!F69*'Expenses Summary'!$V23))</f>
        <v>0</v>
      </c>
      <c r="G69" s="60">
        <f>IF('Expenses Summary'!$V23="","",IF('Cash Flow %s Yr5'!G69="","",'Cash Flow %s Yr5'!G69*'Expenses Summary'!$V23))</f>
        <v>0</v>
      </c>
      <c r="H69" s="60">
        <f>IF('Expenses Summary'!$V23="","",IF('Cash Flow %s Yr5'!H69="","",'Cash Flow %s Yr5'!H69*'Expenses Summary'!$V23))</f>
        <v>0</v>
      </c>
      <c r="I69" s="60">
        <f>IF('Expenses Summary'!$V23="","",IF('Cash Flow %s Yr5'!I69="","",'Cash Flow %s Yr5'!I69*'Expenses Summary'!$V23))</f>
        <v>0</v>
      </c>
      <c r="J69" s="60">
        <f>IF('Expenses Summary'!$V23="","",IF('Cash Flow %s Yr5'!J69="","",'Cash Flow %s Yr5'!J69*'Expenses Summary'!$V23))</f>
        <v>0</v>
      </c>
      <c r="K69" s="60">
        <f>IF('Expenses Summary'!$V23="","",IF('Cash Flow %s Yr5'!K69="","",'Cash Flow %s Yr5'!K69*'Expenses Summary'!$V23))</f>
        <v>0</v>
      </c>
      <c r="L69" s="60">
        <f>IF('Expenses Summary'!$V23="","",IF('Cash Flow %s Yr5'!L69="","",'Cash Flow %s Yr5'!L69*'Expenses Summary'!$V23))</f>
        <v>0</v>
      </c>
      <c r="M69" s="60">
        <f>IF('Expenses Summary'!$V23="","",IF('Cash Flow %s Yr5'!M69="","",'Cash Flow %s Yr5'!M69*'Expenses Summary'!$V23))</f>
        <v>0</v>
      </c>
      <c r="N69" s="60">
        <f>IF('Expenses Summary'!$V23="","",IF('Cash Flow %s Yr5'!N69="","",'Cash Flow %s Yr5'!N69*'Expenses Summary'!$V23))</f>
        <v>0</v>
      </c>
      <c r="O69" s="60">
        <f>IF('Expenses Summary'!$V23="","",IF('Cash Flow %s Yr5'!O69="","",'Cash Flow %s Yr5'!O69*'Expenses Summary'!$V23))</f>
        <v>0</v>
      </c>
      <c r="P69" s="123"/>
      <c r="Q69" s="123"/>
      <c r="R69" s="123"/>
      <c r="S69" s="105" t="str">
        <f>IF(SUM(D69:R69)&gt;0,SUM(D69:R69)/'Expenses Summary'!$V23,"")</f>
        <v/>
      </c>
    </row>
    <row r="70" spans="1:19" s="30" customFormat="1" x14ac:dyDescent="0.3">
      <c r="A70" s="35"/>
      <c r="B70" s="63" t="str">
        <f>'Expenses Summary'!B24</f>
        <v>2300</v>
      </c>
      <c r="C70" s="63" t="str">
        <f>'Expenses Summary'!C24</f>
        <v>Classified Supervisor and Administrator Salaries</v>
      </c>
      <c r="D70" s="60">
        <f>IF('Expenses Summary'!$V24="","",IF('Cash Flow %s Yr5'!D70="","",'Cash Flow %s Yr5'!D70*'Expenses Summary'!$V24))</f>
        <v>0</v>
      </c>
      <c r="E70" s="60">
        <f>IF('Expenses Summary'!$V24="","",IF('Cash Flow %s Yr5'!E70="","",'Cash Flow %s Yr5'!E70*'Expenses Summary'!$V24))</f>
        <v>0</v>
      </c>
      <c r="F70" s="60">
        <f>IF('Expenses Summary'!$V24="","",IF('Cash Flow %s Yr5'!F70="","",'Cash Flow %s Yr5'!F70*'Expenses Summary'!$V24))</f>
        <v>0</v>
      </c>
      <c r="G70" s="60">
        <f>IF('Expenses Summary'!$V24="","",IF('Cash Flow %s Yr5'!G70="","",'Cash Flow %s Yr5'!G70*'Expenses Summary'!$V24))</f>
        <v>0</v>
      </c>
      <c r="H70" s="60">
        <f>IF('Expenses Summary'!$V24="","",IF('Cash Flow %s Yr5'!H70="","",'Cash Flow %s Yr5'!H70*'Expenses Summary'!$V24))</f>
        <v>0</v>
      </c>
      <c r="I70" s="60">
        <f>IF('Expenses Summary'!$V24="","",IF('Cash Flow %s Yr5'!I70="","",'Cash Flow %s Yr5'!I70*'Expenses Summary'!$V24))</f>
        <v>0</v>
      </c>
      <c r="J70" s="60">
        <f>IF('Expenses Summary'!$V24="","",IF('Cash Flow %s Yr5'!J70="","",'Cash Flow %s Yr5'!J70*'Expenses Summary'!$V24))</f>
        <v>0</v>
      </c>
      <c r="K70" s="60">
        <f>IF('Expenses Summary'!$V24="","",IF('Cash Flow %s Yr5'!K70="","",'Cash Flow %s Yr5'!K70*'Expenses Summary'!$V24))</f>
        <v>0</v>
      </c>
      <c r="L70" s="60">
        <f>IF('Expenses Summary'!$V24="","",IF('Cash Flow %s Yr5'!L70="","",'Cash Flow %s Yr5'!L70*'Expenses Summary'!$V24))</f>
        <v>0</v>
      </c>
      <c r="M70" s="60">
        <f>IF('Expenses Summary'!$V24="","",IF('Cash Flow %s Yr5'!M70="","",'Cash Flow %s Yr5'!M70*'Expenses Summary'!$V24))</f>
        <v>0</v>
      </c>
      <c r="N70" s="60">
        <f>IF('Expenses Summary'!$V24="","",IF('Cash Flow %s Yr5'!N70="","",'Cash Flow %s Yr5'!N70*'Expenses Summary'!$V24))</f>
        <v>0</v>
      </c>
      <c r="O70" s="60">
        <f>IF('Expenses Summary'!$V24="","",IF('Cash Flow %s Yr5'!O70="","",'Cash Flow %s Yr5'!O70*'Expenses Summary'!$V24))</f>
        <v>0</v>
      </c>
      <c r="P70" s="123"/>
      <c r="Q70" s="123"/>
      <c r="R70" s="123"/>
      <c r="S70" s="105" t="str">
        <f>IF(SUM(D70:R70)&gt;0,SUM(D70:R70)/'Expenses Summary'!$V24,"")</f>
        <v/>
      </c>
    </row>
    <row r="71" spans="1:19" s="30" customFormat="1" x14ac:dyDescent="0.3">
      <c r="A71" s="35"/>
      <c r="B71" s="63" t="str">
        <f>'Expenses Summary'!B25</f>
        <v>2400</v>
      </c>
      <c r="C71" s="63" t="str">
        <f>'Expenses Summary'!C25</f>
        <v>Clerical, Technical, and Office Staff Salaries</v>
      </c>
      <c r="D71" s="60">
        <f>IF('Expenses Summary'!$V25="","",IF('Cash Flow %s Yr5'!D71="","",'Cash Flow %s Yr5'!D71*'Expenses Summary'!$V25))</f>
        <v>2429.4103292942</v>
      </c>
      <c r="E71" s="60">
        <f>IF('Expenses Summary'!$V25="","",IF('Cash Flow %s Yr5'!E71="","",'Cash Flow %s Yr5'!E71*'Expenses Summary'!$V25))</f>
        <v>2429.4103292942</v>
      </c>
      <c r="F71" s="60">
        <f>IF('Expenses Summary'!$V25="","",IF('Cash Flow %s Yr5'!F71="","",'Cash Flow %s Yr5'!F71*'Expenses Summary'!$V25))</f>
        <v>2429.4103292942</v>
      </c>
      <c r="G71" s="60">
        <f>IF('Expenses Summary'!$V25="","",IF('Cash Flow %s Yr5'!G71="","",'Cash Flow %s Yr5'!G71*'Expenses Summary'!$V25))</f>
        <v>2429.4103292942</v>
      </c>
      <c r="H71" s="60">
        <f>IF('Expenses Summary'!$V25="","",IF('Cash Flow %s Yr5'!H71="","",'Cash Flow %s Yr5'!H71*'Expenses Summary'!$V25))</f>
        <v>2429.4103292942</v>
      </c>
      <c r="I71" s="60">
        <f>IF('Expenses Summary'!$V25="","",IF('Cash Flow %s Yr5'!I71="","",'Cash Flow %s Yr5'!I71*'Expenses Summary'!$V25))</f>
        <v>2429.4103292942</v>
      </c>
      <c r="J71" s="60">
        <f>IF('Expenses Summary'!$V25="","",IF('Cash Flow %s Yr5'!J71="","",'Cash Flow %s Yr5'!J71*'Expenses Summary'!$V25))</f>
        <v>2429.4103292942</v>
      </c>
      <c r="K71" s="60">
        <f>IF('Expenses Summary'!$V25="","",IF('Cash Flow %s Yr5'!K71="","",'Cash Flow %s Yr5'!K71*'Expenses Summary'!$V25))</f>
        <v>2429.4103292942</v>
      </c>
      <c r="L71" s="60">
        <f>IF('Expenses Summary'!$V25="","",IF('Cash Flow %s Yr5'!L71="","",'Cash Flow %s Yr5'!L71*'Expenses Summary'!$V25))</f>
        <v>2458.6803332616</v>
      </c>
      <c r="M71" s="60">
        <f>IF('Expenses Summary'!$V25="","",IF('Cash Flow %s Yr5'!M71="","",'Cash Flow %s Yr5'!M71*'Expenses Summary'!$V25))</f>
        <v>2458.6803332616</v>
      </c>
      <c r="N71" s="60">
        <f>IF('Expenses Summary'!$V25="","",IF('Cash Flow %s Yr5'!N71="","",'Cash Flow %s Yr5'!N71*'Expenses Summary'!$V25))</f>
        <v>2458.6803332616</v>
      </c>
      <c r="O71" s="60">
        <f>IF('Expenses Summary'!$V25="","",IF('Cash Flow %s Yr5'!O71="","",'Cash Flow %s Yr5'!O71*'Expenses Summary'!$V25))</f>
        <v>2458.6803332616</v>
      </c>
      <c r="P71" s="123"/>
      <c r="Q71" s="123"/>
      <c r="R71" s="123"/>
      <c r="S71" s="105">
        <f>IF(SUM(D71:R71)&gt;0,SUM(D71:R71)/'Expenses Summary'!$V25,"")</f>
        <v>1</v>
      </c>
    </row>
    <row r="72" spans="1:19" s="30" customFormat="1" x14ac:dyDescent="0.3">
      <c r="A72" s="35"/>
      <c r="B72" s="63" t="str">
        <f>'Expenses Summary'!B26</f>
        <v>2410</v>
      </c>
      <c r="C72" s="63" t="str">
        <f>'Expenses Summary'!C26</f>
        <v>Clerical, Technical, and Office Staff Overtime</v>
      </c>
      <c r="D72" s="60">
        <f>IF('Expenses Summary'!$V26="","",IF('Cash Flow %s Yr5'!D72="","",'Cash Flow %s Yr5'!D72*'Expenses Summary'!$V26))</f>
        <v>0</v>
      </c>
      <c r="E72" s="60">
        <f>IF('Expenses Summary'!$V26="","",IF('Cash Flow %s Yr5'!E72="","",'Cash Flow %s Yr5'!E72*'Expenses Summary'!$V26))</f>
        <v>0</v>
      </c>
      <c r="F72" s="60">
        <f>IF('Expenses Summary'!$V26="","",IF('Cash Flow %s Yr5'!F72="","",'Cash Flow %s Yr5'!F72*'Expenses Summary'!$V26))</f>
        <v>0</v>
      </c>
      <c r="G72" s="60">
        <f>IF('Expenses Summary'!$V26="","",IF('Cash Flow %s Yr5'!G72="","",'Cash Flow %s Yr5'!G72*'Expenses Summary'!$V26))</f>
        <v>0</v>
      </c>
      <c r="H72" s="60">
        <f>IF('Expenses Summary'!$V26="","",IF('Cash Flow %s Yr5'!H72="","",'Cash Flow %s Yr5'!H72*'Expenses Summary'!$V26))</f>
        <v>0</v>
      </c>
      <c r="I72" s="60">
        <f>IF('Expenses Summary'!$V26="","",IF('Cash Flow %s Yr5'!I72="","",'Cash Flow %s Yr5'!I72*'Expenses Summary'!$V26))</f>
        <v>0</v>
      </c>
      <c r="J72" s="60">
        <f>IF('Expenses Summary'!$V26="","",IF('Cash Flow %s Yr5'!J72="","",'Cash Flow %s Yr5'!J72*'Expenses Summary'!$V26))</f>
        <v>0</v>
      </c>
      <c r="K72" s="60">
        <f>IF('Expenses Summary'!$V26="","",IF('Cash Flow %s Yr5'!K72="","",'Cash Flow %s Yr5'!K72*'Expenses Summary'!$V26))</f>
        <v>0</v>
      </c>
      <c r="L72" s="60">
        <f>IF('Expenses Summary'!$V26="","",IF('Cash Flow %s Yr5'!L72="","",'Cash Flow %s Yr5'!L72*'Expenses Summary'!$V26))</f>
        <v>0</v>
      </c>
      <c r="M72" s="60">
        <f>IF('Expenses Summary'!$V26="","",IF('Cash Flow %s Yr5'!M72="","",'Cash Flow %s Yr5'!M72*'Expenses Summary'!$V26))</f>
        <v>0</v>
      </c>
      <c r="N72" s="60">
        <f>IF('Expenses Summary'!$V26="","",IF('Cash Flow %s Yr5'!N72="","",'Cash Flow %s Yr5'!N72*'Expenses Summary'!$V26))</f>
        <v>0</v>
      </c>
      <c r="O72" s="60">
        <f>IF('Expenses Summary'!$V26="","",IF('Cash Flow %s Yr5'!O72="","",'Cash Flow %s Yr5'!O72*'Expenses Summary'!$V26))</f>
        <v>0</v>
      </c>
      <c r="P72" s="123"/>
      <c r="Q72" s="123"/>
      <c r="R72" s="123"/>
      <c r="S72" s="105" t="str">
        <f>IF(SUM(D72:R72)&gt;0,SUM(D72:R72)/'Expenses Summary'!$V26,"")</f>
        <v/>
      </c>
    </row>
    <row r="73" spans="1:19" s="30" customFormat="1" x14ac:dyDescent="0.3">
      <c r="A73" s="35"/>
      <c r="B73" s="63" t="str">
        <f>'Expenses Summary'!B27</f>
        <v>2900</v>
      </c>
      <c r="C73" s="63" t="str">
        <f>'Expenses Summary'!C27</f>
        <v>Other Classified Salaries</v>
      </c>
      <c r="D73" s="60">
        <f>IF('Expenses Summary'!$V27="","",IF('Cash Flow %s Yr5'!D73="","",'Cash Flow %s Yr5'!D73*'Expenses Summary'!$V27))</f>
        <v>0</v>
      </c>
      <c r="E73" s="60">
        <f>IF('Expenses Summary'!$V27="","",IF('Cash Flow %s Yr5'!E73="","",'Cash Flow %s Yr5'!E73*'Expenses Summary'!$V27))</f>
        <v>0</v>
      </c>
      <c r="F73" s="60">
        <f>IF('Expenses Summary'!$V27="","",IF('Cash Flow %s Yr5'!F73="","",'Cash Flow %s Yr5'!F73*'Expenses Summary'!$V27))</f>
        <v>0</v>
      </c>
      <c r="G73" s="60">
        <f>IF('Expenses Summary'!$V27="","",IF('Cash Flow %s Yr5'!G73="","",'Cash Flow %s Yr5'!G73*'Expenses Summary'!$V27))</f>
        <v>0</v>
      </c>
      <c r="H73" s="60">
        <f>IF('Expenses Summary'!$V27="","",IF('Cash Flow %s Yr5'!H73="","",'Cash Flow %s Yr5'!H73*'Expenses Summary'!$V27))</f>
        <v>0</v>
      </c>
      <c r="I73" s="60">
        <f>IF('Expenses Summary'!$V27="","",IF('Cash Flow %s Yr5'!I73="","",'Cash Flow %s Yr5'!I73*'Expenses Summary'!$V27))</f>
        <v>0</v>
      </c>
      <c r="J73" s="60">
        <f>IF('Expenses Summary'!$V27="","",IF('Cash Flow %s Yr5'!J73="","",'Cash Flow %s Yr5'!J73*'Expenses Summary'!$V27))</f>
        <v>0</v>
      </c>
      <c r="K73" s="60">
        <f>IF('Expenses Summary'!$V27="","",IF('Cash Flow %s Yr5'!K73="","",'Cash Flow %s Yr5'!K73*'Expenses Summary'!$V27))</f>
        <v>0</v>
      </c>
      <c r="L73" s="60">
        <f>IF('Expenses Summary'!$V27="","",IF('Cash Flow %s Yr5'!L73="","",'Cash Flow %s Yr5'!L73*'Expenses Summary'!$V27))</f>
        <v>0</v>
      </c>
      <c r="M73" s="60">
        <f>IF('Expenses Summary'!$V27="","",IF('Cash Flow %s Yr5'!M73="","",'Cash Flow %s Yr5'!M73*'Expenses Summary'!$V27))</f>
        <v>0</v>
      </c>
      <c r="N73" s="60">
        <f>IF('Expenses Summary'!$V27="","",IF('Cash Flow %s Yr5'!N73="","",'Cash Flow %s Yr5'!N73*'Expenses Summary'!$V27))</f>
        <v>0</v>
      </c>
      <c r="O73" s="60">
        <f>IF('Expenses Summary'!$V27="","",IF('Cash Flow %s Yr5'!O73="","",'Cash Flow %s Yr5'!O73*'Expenses Summary'!$V27))</f>
        <v>0</v>
      </c>
      <c r="P73" s="123"/>
      <c r="Q73" s="123"/>
      <c r="R73" s="123"/>
      <c r="S73" s="105" t="str">
        <f>IF(SUM(D73:R73)&gt;0,SUM(D73:R73)/'Expenses Summary'!$V27,"")</f>
        <v/>
      </c>
    </row>
    <row r="74" spans="1:19" s="30" customFormat="1" x14ac:dyDescent="0.3">
      <c r="A74" s="35"/>
      <c r="B74" s="63" t="str">
        <f>'Expenses Summary'!B28</f>
        <v>2905</v>
      </c>
      <c r="C74" s="63" t="str">
        <f>'Expenses Summary'!C28</f>
        <v>Other Stipends</v>
      </c>
      <c r="D74" s="60">
        <f>IF('Expenses Summary'!$V28="","",IF('Cash Flow %s Yr5'!D74="","",'Cash Flow %s Yr5'!D74*'Expenses Summary'!$V28))</f>
        <v>0</v>
      </c>
      <c r="E74" s="60">
        <f>IF('Expenses Summary'!$V28="","",IF('Cash Flow %s Yr5'!E74="","",'Cash Flow %s Yr5'!E74*'Expenses Summary'!$V28))</f>
        <v>0</v>
      </c>
      <c r="F74" s="60">
        <f>IF('Expenses Summary'!$V28="","",IF('Cash Flow %s Yr5'!F74="","",'Cash Flow %s Yr5'!F74*'Expenses Summary'!$V28))</f>
        <v>0</v>
      </c>
      <c r="G74" s="60">
        <f>IF('Expenses Summary'!$V28="","",IF('Cash Flow %s Yr5'!G74="","",'Cash Flow %s Yr5'!G74*'Expenses Summary'!$V28))</f>
        <v>0</v>
      </c>
      <c r="H74" s="60">
        <f>IF('Expenses Summary'!$V28="","",IF('Cash Flow %s Yr5'!H74="","",'Cash Flow %s Yr5'!H74*'Expenses Summary'!$V28))</f>
        <v>0</v>
      </c>
      <c r="I74" s="60">
        <f>IF('Expenses Summary'!$V28="","",IF('Cash Flow %s Yr5'!I74="","",'Cash Flow %s Yr5'!I74*'Expenses Summary'!$V28))</f>
        <v>0</v>
      </c>
      <c r="J74" s="60">
        <f>IF('Expenses Summary'!$V28="","",IF('Cash Flow %s Yr5'!J74="","",'Cash Flow %s Yr5'!J74*'Expenses Summary'!$V28))</f>
        <v>0</v>
      </c>
      <c r="K74" s="60">
        <f>IF('Expenses Summary'!$V28="","",IF('Cash Flow %s Yr5'!K74="","",'Cash Flow %s Yr5'!K74*'Expenses Summary'!$V28))</f>
        <v>0</v>
      </c>
      <c r="L74" s="60">
        <f>IF('Expenses Summary'!$V28="","",IF('Cash Flow %s Yr5'!L74="","",'Cash Flow %s Yr5'!L74*'Expenses Summary'!$V28))</f>
        <v>0</v>
      </c>
      <c r="M74" s="60">
        <f>IF('Expenses Summary'!$V28="","",IF('Cash Flow %s Yr5'!M74="","",'Cash Flow %s Yr5'!M74*'Expenses Summary'!$V28))</f>
        <v>0</v>
      </c>
      <c r="N74" s="60">
        <f>IF('Expenses Summary'!$V28="","",IF('Cash Flow %s Yr5'!N74="","",'Cash Flow %s Yr5'!N74*'Expenses Summary'!$V28))</f>
        <v>0</v>
      </c>
      <c r="O74" s="60">
        <f>IF('Expenses Summary'!$V28="","",IF('Cash Flow %s Yr5'!O74="","",'Cash Flow %s Yr5'!O74*'Expenses Summary'!$V28))</f>
        <v>0</v>
      </c>
      <c r="P74" s="123"/>
      <c r="Q74" s="123"/>
      <c r="R74" s="123"/>
      <c r="S74" s="105" t="str">
        <f>IF(SUM(D74:R74)&gt;0,SUM(D74:R74)/'Expenses Summary'!$V28,"")</f>
        <v/>
      </c>
    </row>
    <row r="75" spans="1:19" s="30" customFormat="1" x14ac:dyDescent="0.3">
      <c r="A75" s="35"/>
      <c r="B75" s="63" t="str">
        <f>'Expenses Summary'!B29</f>
        <v>2910</v>
      </c>
      <c r="C75" s="63" t="str">
        <f>'Expenses Summary'!C29</f>
        <v>Other Classified Overtime</v>
      </c>
      <c r="D75" s="60">
        <f>IF('Expenses Summary'!$V29="","",IF('Cash Flow %s Yr5'!D75="","",'Cash Flow %s Yr5'!D75*'Expenses Summary'!$V29))</f>
        <v>0</v>
      </c>
      <c r="E75" s="60">
        <f>IF('Expenses Summary'!$V29="","",IF('Cash Flow %s Yr5'!E75="","",'Cash Flow %s Yr5'!E75*'Expenses Summary'!$V29))</f>
        <v>0</v>
      </c>
      <c r="F75" s="60">
        <f>IF('Expenses Summary'!$V29="","",IF('Cash Flow %s Yr5'!F75="","",'Cash Flow %s Yr5'!F75*'Expenses Summary'!$V29))</f>
        <v>0</v>
      </c>
      <c r="G75" s="60">
        <f>IF('Expenses Summary'!$V29="","",IF('Cash Flow %s Yr5'!G75="","",'Cash Flow %s Yr5'!G75*'Expenses Summary'!$V29))</f>
        <v>0</v>
      </c>
      <c r="H75" s="60">
        <f>IF('Expenses Summary'!$V29="","",IF('Cash Flow %s Yr5'!H75="","",'Cash Flow %s Yr5'!H75*'Expenses Summary'!$V29))</f>
        <v>0</v>
      </c>
      <c r="I75" s="60">
        <f>IF('Expenses Summary'!$V29="","",IF('Cash Flow %s Yr5'!I75="","",'Cash Flow %s Yr5'!I75*'Expenses Summary'!$V29))</f>
        <v>0</v>
      </c>
      <c r="J75" s="60">
        <f>IF('Expenses Summary'!$V29="","",IF('Cash Flow %s Yr5'!J75="","",'Cash Flow %s Yr5'!J75*'Expenses Summary'!$V29))</f>
        <v>0</v>
      </c>
      <c r="K75" s="60">
        <f>IF('Expenses Summary'!$V29="","",IF('Cash Flow %s Yr5'!K75="","",'Cash Flow %s Yr5'!K75*'Expenses Summary'!$V29))</f>
        <v>0</v>
      </c>
      <c r="L75" s="60">
        <f>IF('Expenses Summary'!$V29="","",IF('Cash Flow %s Yr5'!L75="","",'Cash Flow %s Yr5'!L75*'Expenses Summary'!$V29))</f>
        <v>0</v>
      </c>
      <c r="M75" s="60">
        <f>IF('Expenses Summary'!$V29="","",IF('Cash Flow %s Yr5'!M75="","",'Cash Flow %s Yr5'!M75*'Expenses Summary'!$V29))</f>
        <v>0</v>
      </c>
      <c r="N75" s="60">
        <f>IF('Expenses Summary'!$V29="","",IF('Cash Flow %s Yr5'!N75="","",'Cash Flow %s Yr5'!N75*'Expenses Summary'!$V29))</f>
        <v>0</v>
      </c>
      <c r="O75" s="60">
        <f>IF('Expenses Summary'!$V29="","",IF('Cash Flow %s Yr5'!O75="","",'Cash Flow %s Yr5'!O75*'Expenses Summary'!$V29))</f>
        <v>0</v>
      </c>
      <c r="P75" s="123"/>
      <c r="Q75" s="123"/>
      <c r="R75" s="123"/>
      <c r="S75" s="105" t="str">
        <f>IF(SUM(D75:R75)&gt;0,SUM(D75:R75)/'Expenses Summary'!$V29,"")</f>
        <v/>
      </c>
    </row>
    <row r="76" spans="1:19" s="30" customFormat="1" x14ac:dyDescent="0.3">
      <c r="A76" s="35"/>
      <c r="B76" s="42" t="s">
        <v>737</v>
      </c>
      <c r="C76" s="33" t="s">
        <v>720</v>
      </c>
      <c r="D76" s="165">
        <f t="shared" ref="D76:I76" si="6">IF(SUM(D65:D75)&gt;0,SUM(D65:D75),"")</f>
        <v>2429.4103292942</v>
      </c>
      <c r="E76" s="165">
        <f t="shared" si="6"/>
        <v>10619.727012394202</v>
      </c>
      <c r="F76" s="165">
        <f t="shared" si="6"/>
        <v>18879.343695494201</v>
      </c>
      <c r="G76" s="165">
        <f t="shared" si="6"/>
        <v>18879.343695494201</v>
      </c>
      <c r="H76" s="165">
        <f t="shared" si="6"/>
        <v>18879.343695494201</v>
      </c>
      <c r="I76" s="165">
        <f t="shared" si="6"/>
        <v>18879.343695494201</v>
      </c>
      <c r="J76" s="165">
        <f t="shared" ref="J76:O76" si="7">IF(SUM(J65:J75)&gt;0,SUM(J65:J75),"")</f>
        <v>18879.343695494201</v>
      </c>
      <c r="K76" s="165">
        <f t="shared" si="7"/>
        <v>18879.343695494201</v>
      </c>
      <c r="L76" s="165">
        <f t="shared" si="7"/>
        <v>18908.613699461603</v>
      </c>
      <c r="M76" s="165">
        <f t="shared" si="7"/>
        <v>18908.613699461603</v>
      </c>
      <c r="N76" s="165">
        <f t="shared" si="7"/>
        <v>18908.613699461603</v>
      </c>
      <c r="O76" s="165">
        <f t="shared" si="7"/>
        <v>10718.297016361601</v>
      </c>
      <c r="P76" s="94"/>
      <c r="Q76" s="94"/>
      <c r="R76" s="94"/>
      <c r="S76" s="101"/>
    </row>
    <row r="77" spans="1:19" s="30" customFormat="1" x14ac:dyDescent="0.3">
      <c r="A77" s="35"/>
      <c r="B77" s="39"/>
      <c r="C77" s="3"/>
      <c r="D77" s="96"/>
      <c r="E77" s="96"/>
      <c r="F77" s="96"/>
      <c r="G77" s="96"/>
      <c r="H77" s="96"/>
      <c r="I77" s="96"/>
      <c r="J77" s="96"/>
      <c r="K77" s="96"/>
      <c r="L77" s="96"/>
      <c r="M77" s="96"/>
      <c r="N77" s="96"/>
      <c r="O77" s="96"/>
      <c r="P77" s="96"/>
      <c r="Q77" s="96"/>
      <c r="R77" s="96"/>
    </row>
    <row r="78" spans="1:19" s="30" customFormat="1" x14ac:dyDescent="0.3">
      <c r="B78" s="33" t="s">
        <v>734</v>
      </c>
      <c r="C78" s="3"/>
      <c r="D78" s="96"/>
      <c r="E78" s="96"/>
      <c r="F78" s="96"/>
      <c r="G78" s="96"/>
      <c r="H78" s="96"/>
      <c r="I78" s="96"/>
      <c r="J78" s="96"/>
      <c r="K78" s="96"/>
      <c r="L78" s="96"/>
      <c r="M78" s="96"/>
      <c r="N78" s="96"/>
      <c r="O78" s="96"/>
      <c r="P78" s="96"/>
      <c r="Q78" s="96"/>
      <c r="R78" s="96"/>
    </row>
    <row r="79" spans="1:19" s="30" customFormat="1" x14ac:dyDescent="0.3">
      <c r="A79" s="35"/>
      <c r="B79" s="63" t="str">
        <f>'Expenses Summary'!B33</f>
        <v>3101</v>
      </c>
      <c r="C79" s="63" t="str">
        <f>'Expenses Summary'!C33</f>
        <v>State Teachers' Retirement System, certificated positions</v>
      </c>
      <c r="D79" s="60">
        <f>IF('Expenses Summary'!$V33="","",IF('Cash Flow %s Yr5'!D79="","",'Cash Flow %s Yr5'!D79*'Expenses Summary'!$V33))</f>
        <v>1017.0280591002401</v>
      </c>
      <c r="E79" s="60">
        <f>IF('Expenses Summary'!$V33="","",IF('Cash Flow %s Yr5'!E79="","",'Cash Flow %s Yr5'!E79*'Expenses Summary'!$V33))</f>
        <v>2542.5701477506004</v>
      </c>
      <c r="F79" s="60">
        <f>IF('Expenses Summary'!$V33="","",IF('Cash Flow %s Yr5'!F79="","",'Cash Flow %s Yr5'!F79*'Expenses Summary'!$V33))</f>
        <v>5085.1402955012009</v>
      </c>
      <c r="G79" s="60">
        <f>IF('Expenses Summary'!$V33="","",IF('Cash Flow %s Yr5'!G79="","",'Cash Flow %s Yr5'!G79*'Expenses Summary'!$V33))</f>
        <v>5085.1402955012009</v>
      </c>
      <c r="H79" s="60">
        <f>IF('Expenses Summary'!$V33="","",IF('Cash Flow %s Yr5'!H79="","",'Cash Flow %s Yr5'!H79*'Expenses Summary'!$V33))</f>
        <v>5085.1402955012009</v>
      </c>
      <c r="I79" s="60">
        <f>IF('Expenses Summary'!$V33="","",IF('Cash Flow %s Yr5'!I79="","",'Cash Flow %s Yr5'!I79*'Expenses Summary'!$V33))</f>
        <v>5085.1402955012009</v>
      </c>
      <c r="J79" s="60">
        <f>IF('Expenses Summary'!$V33="","",IF('Cash Flow %s Yr5'!J79="","",'Cash Flow %s Yr5'!J79*'Expenses Summary'!$V33))</f>
        <v>5085.1402955012009</v>
      </c>
      <c r="K79" s="60">
        <f>IF('Expenses Summary'!$V33="","",IF('Cash Flow %s Yr5'!K79="","",'Cash Flow %s Yr5'!K79*'Expenses Summary'!$V33))</f>
        <v>5085.1402955012009</v>
      </c>
      <c r="L79" s="60">
        <f>IF('Expenses Summary'!$V33="","",IF('Cash Flow %s Yr5'!L79="","",'Cash Flow %s Yr5'!L79*'Expenses Summary'!$V33))</f>
        <v>5085.1402955012009</v>
      </c>
      <c r="M79" s="60">
        <f>IF('Expenses Summary'!$V33="","",IF('Cash Flow %s Yr5'!M79="","",'Cash Flow %s Yr5'!M79*'Expenses Summary'!$V33))</f>
        <v>5085.1402955012009</v>
      </c>
      <c r="N79" s="60">
        <f>IF('Expenses Summary'!$V33="","",IF('Cash Flow %s Yr5'!N79="","",'Cash Flow %s Yr5'!N79*'Expenses Summary'!$V33))</f>
        <v>5085.1402955012009</v>
      </c>
      <c r="O79" s="60">
        <f>IF('Expenses Summary'!$V33="","",IF('Cash Flow %s Yr5'!O79="","",'Cash Flow %s Yr5'!O79*'Expenses Summary'!$V33))</f>
        <v>1525.54208865036</v>
      </c>
      <c r="P79" s="123"/>
      <c r="Q79" s="123"/>
      <c r="R79" s="123"/>
      <c r="S79" s="105">
        <f>IF(SUM(D79:R79)&gt;0,SUM(D79:R79)/'Expenses Summary'!$V33,"")</f>
        <v>1.0000000000000002</v>
      </c>
    </row>
    <row r="80" spans="1:19" s="30" customFormat="1" x14ac:dyDescent="0.3">
      <c r="A80" s="35"/>
      <c r="B80" s="63" t="str">
        <f>'Expenses Summary'!B34</f>
        <v>3202</v>
      </c>
      <c r="C80" s="63" t="str">
        <f>'Expenses Summary'!C34</f>
        <v>Public Employees' Retirement System, classified positions</v>
      </c>
      <c r="D80" s="60">
        <f>IF('Expenses Summary'!$V34="","",IF('Cash Flow %s Yr5'!D80="","",'Cash Flow %s Yr5'!D80*'Expenses Summary'!$V34))</f>
        <v>0</v>
      </c>
      <c r="E80" s="60">
        <f>IF('Expenses Summary'!$V34="","",IF('Cash Flow %s Yr5'!E80="","",'Cash Flow %s Yr5'!E80*'Expenses Summary'!$V34))</f>
        <v>0</v>
      </c>
      <c r="F80" s="60">
        <f>IF('Expenses Summary'!$V34="","",IF('Cash Flow %s Yr5'!F80="","",'Cash Flow %s Yr5'!F80*'Expenses Summary'!$V34))</f>
        <v>0</v>
      </c>
      <c r="G80" s="60">
        <f>IF('Expenses Summary'!$V34="","",IF('Cash Flow %s Yr5'!G80="","",'Cash Flow %s Yr5'!G80*'Expenses Summary'!$V34))</f>
        <v>0</v>
      </c>
      <c r="H80" s="60">
        <f>IF('Expenses Summary'!$V34="","",IF('Cash Flow %s Yr5'!H80="","",'Cash Flow %s Yr5'!H80*'Expenses Summary'!$V34))</f>
        <v>0</v>
      </c>
      <c r="I80" s="60">
        <f>IF('Expenses Summary'!$V34="","",IF('Cash Flow %s Yr5'!I80="","",'Cash Flow %s Yr5'!I80*'Expenses Summary'!$V34))</f>
        <v>0</v>
      </c>
      <c r="J80" s="60">
        <f>IF('Expenses Summary'!$V34="","",IF('Cash Flow %s Yr5'!J80="","",'Cash Flow %s Yr5'!J80*'Expenses Summary'!$V34))</f>
        <v>0</v>
      </c>
      <c r="K80" s="60">
        <f>IF('Expenses Summary'!$V34="","",IF('Cash Flow %s Yr5'!K80="","",'Cash Flow %s Yr5'!K80*'Expenses Summary'!$V34))</f>
        <v>0</v>
      </c>
      <c r="L80" s="60">
        <f>IF('Expenses Summary'!$V34="","",IF('Cash Flow %s Yr5'!L80="","",'Cash Flow %s Yr5'!L80*'Expenses Summary'!$V34))</f>
        <v>0</v>
      </c>
      <c r="M80" s="60">
        <f>IF('Expenses Summary'!$V34="","",IF('Cash Flow %s Yr5'!M80="","",'Cash Flow %s Yr5'!M80*'Expenses Summary'!$V34))</f>
        <v>0</v>
      </c>
      <c r="N80" s="60">
        <f>IF('Expenses Summary'!$V34="","",IF('Cash Flow %s Yr5'!N80="","",'Cash Flow %s Yr5'!N80*'Expenses Summary'!$V34))</f>
        <v>0</v>
      </c>
      <c r="O80" s="60">
        <f>IF('Expenses Summary'!$V34="","",IF('Cash Flow %s Yr5'!O80="","",'Cash Flow %s Yr5'!O80*'Expenses Summary'!$V34))</f>
        <v>0</v>
      </c>
      <c r="P80" s="123"/>
      <c r="Q80" s="123"/>
      <c r="R80" s="123"/>
      <c r="S80" s="105" t="str">
        <f>IF(SUM(D80:R80)&gt;0,SUM(D80:R80)/'Expenses Summary'!$V34,"")</f>
        <v/>
      </c>
    </row>
    <row r="81" spans="1:19" s="30" customFormat="1" x14ac:dyDescent="0.3">
      <c r="A81" s="35"/>
      <c r="B81" s="63" t="str">
        <f>'Expenses Summary'!B35</f>
        <v>3313</v>
      </c>
      <c r="C81" s="63" t="str">
        <f>'Expenses Summary'!C35</f>
        <v>OASDI</v>
      </c>
      <c r="D81" s="60">
        <f>IF('Expenses Summary'!$V35="","",IF('Cash Flow %s Yr5'!D81="","",'Cash Flow %s Yr5'!D81*'Expenses Summary'!$V35))</f>
        <v>1118.4354947762627</v>
      </c>
      <c r="E81" s="60">
        <f>IF('Expenses Summary'!$V35="","",IF('Cash Flow %s Yr5'!E81="","",'Cash Flow %s Yr5'!E81*'Expenses Summary'!$V35))</f>
        <v>1118.4354947762627</v>
      </c>
      <c r="F81" s="60">
        <f>IF('Expenses Summary'!$V35="","",IF('Cash Flow %s Yr5'!F81="","",'Cash Flow %s Yr5'!F81*'Expenses Summary'!$V35))</f>
        <v>1118.4354947762627</v>
      </c>
      <c r="G81" s="60">
        <f>IF('Expenses Summary'!$V35="","",IF('Cash Flow %s Yr5'!G81="","",'Cash Flow %s Yr5'!G81*'Expenses Summary'!$V35))</f>
        <v>1118.4354947762627</v>
      </c>
      <c r="H81" s="60">
        <f>IF('Expenses Summary'!$V35="","",IF('Cash Flow %s Yr5'!H81="","",'Cash Flow %s Yr5'!H81*'Expenses Summary'!$V35))</f>
        <v>1118.4354947762627</v>
      </c>
      <c r="I81" s="60">
        <f>IF('Expenses Summary'!$V35="","",IF('Cash Flow %s Yr5'!I81="","",'Cash Flow %s Yr5'!I81*'Expenses Summary'!$V35))</f>
        <v>1118.4354947762627</v>
      </c>
      <c r="J81" s="60">
        <f>IF('Expenses Summary'!$V35="","",IF('Cash Flow %s Yr5'!J81="","",'Cash Flow %s Yr5'!J81*'Expenses Summary'!$V35))</f>
        <v>1118.4354947762627</v>
      </c>
      <c r="K81" s="60">
        <f>IF('Expenses Summary'!$V35="","",IF('Cash Flow %s Yr5'!K81="","",'Cash Flow %s Yr5'!K81*'Expenses Summary'!$V35))</f>
        <v>1118.4354947762627</v>
      </c>
      <c r="L81" s="60">
        <f>IF('Expenses Summary'!$V35="","",IF('Cash Flow %s Yr5'!L81="","",'Cash Flow %s Yr5'!L81*'Expenses Summary'!$V35))</f>
        <v>1131.9106212193501</v>
      </c>
      <c r="M81" s="60">
        <f>IF('Expenses Summary'!$V35="","",IF('Cash Flow %s Yr5'!M81="","",'Cash Flow %s Yr5'!M81*'Expenses Summary'!$V35))</f>
        <v>1131.9106212193501</v>
      </c>
      <c r="N81" s="60">
        <f>IF('Expenses Summary'!$V35="","",IF('Cash Flow %s Yr5'!N81="","",'Cash Flow %s Yr5'!N81*'Expenses Summary'!$V35))</f>
        <v>1131.9106212193501</v>
      </c>
      <c r="O81" s="60">
        <f>IF('Expenses Summary'!$V35="","",IF('Cash Flow %s Yr5'!O81="","",'Cash Flow %s Yr5'!O81*'Expenses Summary'!$V35))</f>
        <v>1131.9106212193501</v>
      </c>
      <c r="P81" s="123"/>
      <c r="Q81" s="123"/>
      <c r="R81" s="123"/>
      <c r="S81" s="105">
        <f>IF(SUM(D81:R81)&gt;0,SUM(D81:R81)/'Expenses Summary'!$V35,"")</f>
        <v>1</v>
      </c>
    </row>
    <row r="82" spans="1:19" s="30" customFormat="1" x14ac:dyDescent="0.3">
      <c r="A82" s="35"/>
      <c r="B82" s="63" t="str">
        <f>'Expenses Summary'!B36</f>
        <v>3323</v>
      </c>
      <c r="C82" s="63" t="str">
        <f>'Expenses Summary'!C36</f>
        <v>Medicare</v>
      </c>
      <c r="D82" s="60">
        <f>IF('Expenses Summary'!$V36="","",IF('Cash Flow %s Yr5'!D82="","",'Cash Flow %s Yr5'!D82*'Expenses Summary'!$V36))</f>
        <v>597.59672239227484</v>
      </c>
      <c r="E82" s="60">
        <f>IF('Expenses Summary'!$V36="","",IF('Cash Flow %s Yr5'!E82="","",'Cash Flow %s Yr5'!E82*'Expenses Summary'!$V36))</f>
        <v>597.59672239227484</v>
      </c>
      <c r="F82" s="60">
        <f>IF('Expenses Summary'!$V36="","",IF('Cash Flow %s Yr5'!F82="","",'Cash Flow %s Yr5'!F82*'Expenses Summary'!$V36))</f>
        <v>597.59672239227484</v>
      </c>
      <c r="G82" s="60">
        <f>IF('Expenses Summary'!$V36="","",IF('Cash Flow %s Yr5'!G82="","",'Cash Flow %s Yr5'!G82*'Expenses Summary'!$V36))</f>
        <v>597.59672239227484</v>
      </c>
      <c r="H82" s="60">
        <f>IF('Expenses Summary'!$V36="","",IF('Cash Flow %s Yr5'!H82="","",'Cash Flow %s Yr5'!H82*'Expenses Summary'!$V36))</f>
        <v>597.59672239227484</v>
      </c>
      <c r="I82" s="60">
        <f>IF('Expenses Summary'!$V36="","",IF('Cash Flow %s Yr5'!I82="","",'Cash Flow %s Yr5'!I82*'Expenses Summary'!$V36))</f>
        <v>597.59672239227484</v>
      </c>
      <c r="J82" s="60">
        <f>IF('Expenses Summary'!$V36="","",IF('Cash Flow %s Yr5'!J82="","",'Cash Flow %s Yr5'!J82*'Expenses Summary'!$V36))</f>
        <v>597.59672239227484</v>
      </c>
      <c r="K82" s="60">
        <f>IF('Expenses Summary'!$V36="","",IF('Cash Flow %s Yr5'!K82="","",'Cash Flow %s Yr5'!K82*'Expenses Summary'!$V36))</f>
        <v>597.59672239227484</v>
      </c>
      <c r="L82" s="60">
        <f>IF('Expenses Summary'!$V36="","",IF('Cash Flow %s Yr5'!L82="","",'Cash Flow %s Yr5'!L82*'Expenses Summary'!$V36))</f>
        <v>604.79668290302516</v>
      </c>
      <c r="M82" s="60">
        <f>IF('Expenses Summary'!$V36="","",IF('Cash Flow %s Yr5'!M82="","",'Cash Flow %s Yr5'!M82*'Expenses Summary'!$V36))</f>
        <v>604.79668290302516</v>
      </c>
      <c r="N82" s="60">
        <f>IF('Expenses Summary'!$V36="","",IF('Cash Flow %s Yr5'!N82="","",'Cash Flow %s Yr5'!N82*'Expenses Summary'!$V36))</f>
        <v>604.79668290302516</v>
      </c>
      <c r="O82" s="60">
        <f>IF('Expenses Summary'!$V36="","",IF('Cash Flow %s Yr5'!O82="","",'Cash Flow %s Yr5'!O82*'Expenses Summary'!$V36))</f>
        <v>604.79668290302516</v>
      </c>
      <c r="P82" s="123"/>
      <c r="Q82" s="123"/>
      <c r="R82" s="123"/>
      <c r="S82" s="105">
        <f>IF(SUM(D82:R82)&gt;0,SUM(D82:R82)/'Expenses Summary'!$V36,"")</f>
        <v>0.99999999999999978</v>
      </c>
    </row>
    <row r="83" spans="1:19" s="30" customFormat="1" x14ac:dyDescent="0.3">
      <c r="A83" s="35"/>
      <c r="B83" s="63" t="str">
        <f>'Expenses Summary'!B37</f>
        <v>3403</v>
      </c>
      <c r="C83" s="63" t="str">
        <f>'Expenses Summary'!C37</f>
        <v>Health &amp; Welfare Benefits</v>
      </c>
      <c r="D83" s="60">
        <f>IF('Expenses Summary'!$V37="","",IF('Cash Flow %s Yr5'!D83="","",'Cash Flow %s Yr5'!D83*'Expenses Summary'!$V37))</f>
        <v>4433.8600000000006</v>
      </c>
      <c r="E83" s="60">
        <f>IF('Expenses Summary'!$V37="","",IF('Cash Flow %s Yr5'!E83="","",'Cash Flow %s Yr5'!E83*'Expenses Summary'!$V37))</f>
        <v>4433.8600000000006</v>
      </c>
      <c r="F83" s="60">
        <f>IF('Expenses Summary'!$V37="","",IF('Cash Flow %s Yr5'!F83="","",'Cash Flow %s Yr5'!F83*'Expenses Summary'!$V37))</f>
        <v>4433.8600000000006</v>
      </c>
      <c r="G83" s="60">
        <f>IF('Expenses Summary'!$V37="","",IF('Cash Flow %s Yr5'!G83="","",'Cash Flow %s Yr5'!G83*'Expenses Summary'!$V37))</f>
        <v>4433.8600000000006</v>
      </c>
      <c r="H83" s="60">
        <f>IF('Expenses Summary'!$V37="","",IF('Cash Flow %s Yr5'!H83="","",'Cash Flow %s Yr5'!H83*'Expenses Summary'!$V37))</f>
        <v>4433.8600000000006</v>
      </c>
      <c r="I83" s="60">
        <f>IF('Expenses Summary'!$V37="","",IF('Cash Flow %s Yr5'!I83="","",'Cash Flow %s Yr5'!I83*'Expenses Summary'!$V37))</f>
        <v>4433.8600000000006</v>
      </c>
      <c r="J83" s="60">
        <f>IF('Expenses Summary'!$V37="","",IF('Cash Flow %s Yr5'!J83="","",'Cash Flow %s Yr5'!J83*'Expenses Summary'!$V37))</f>
        <v>4433.8600000000006</v>
      </c>
      <c r="K83" s="60">
        <f>IF('Expenses Summary'!$V37="","",IF('Cash Flow %s Yr5'!K83="","",'Cash Flow %s Yr5'!K83*'Expenses Summary'!$V37))</f>
        <v>4433.8600000000006</v>
      </c>
      <c r="L83" s="60">
        <f>IF('Expenses Summary'!$V37="","",IF('Cash Flow %s Yr5'!L83="","",'Cash Flow %s Yr5'!L83*'Expenses Summary'!$V37))</f>
        <v>4487.2800000000007</v>
      </c>
      <c r="M83" s="60">
        <f>IF('Expenses Summary'!$V37="","",IF('Cash Flow %s Yr5'!M83="","",'Cash Flow %s Yr5'!M83*'Expenses Summary'!$V37))</f>
        <v>4487.2800000000007</v>
      </c>
      <c r="N83" s="60">
        <f>IF('Expenses Summary'!$V37="","",IF('Cash Flow %s Yr5'!N83="","",'Cash Flow %s Yr5'!N83*'Expenses Summary'!$V37))</f>
        <v>4487.2800000000007</v>
      </c>
      <c r="O83" s="60">
        <f>IF('Expenses Summary'!$V37="","",IF('Cash Flow %s Yr5'!O83="","",'Cash Flow %s Yr5'!O83*'Expenses Summary'!$V37))</f>
        <v>4487.2800000000007</v>
      </c>
      <c r="P83" s="123"/>
      <c r="Q83" s="123"/>
      <c r="R83" s="123"/>
      <c r="S83" s="105">
        <f>IF(SUM(D83:R83)&gt;0,SUM(D83:R83)/'Expenses Summary'!$V37,"")</f>
        <v>1</v>
      </c>
    </row>
    <row r="84" spans="1:19" s="30" customFormat="1" x14ac:dyDescent="0.3">
      <c r="A84" s="35"/>
      <c r="B84" s="63" t="str">
        <f>'Expenses Summary'!B38</f>
        <v>3503</v>
      </c>
      <c r="C84" s="63" t="str">
        <f>'Expenses Summary'!C38</f>
        <v>State Unemployment Insurance</v>
      </c>
      <c r="D84" s="60">
        <f>IF('Expenses Summary'!$V38="","",IF('Cash Flow %s Yr5'!D84="","",'Cash Flow %s Yr5'!D84*'Expenses Summary'!$V38))</f>
        <v>531.20000000000005</v>
      </c>
      <c r="E84" s="60">
        <f>IF('Expenses Summary'!$V38="","",IF('Cash Flow %s Yr5'!E84="","",'Cash Flow %s Yr5'!E84*'Expenses Summary'!$V38))</f>
        <v>531.20000000000005</v>
      </c>
      <c r="F84" s="60">
        <f>IF('Expenses Summary'!$V38="","",IF('Cash Flow %s Yr5'!F84="","",'Cash Flow %s Yr5'!F84*'Expenses Summary'!$V38))</f>
        <v>531.20000000000005</v>
      </c>
      <c r="G84" s="60">
        <f>IF('Expenses Summary'!$V38="","",IF('Cash Flow %s Yr5'!G84="","",'Cash Flow %s Yr5'!G84*'Expenses Summary'!$V38))</f>
        <v>531.20000000000005</v>
      </c>
      <c r="H84" s="60">
        <f>IF('Expenses Summary'!$V38="","",IF('Cash Flow %s Yr5'!H84="","",'Cash Flow %s Yr5'!H84*'Expenses Summary'!$V38))</f>
        <v>531.20000000000005</v>
      </c>
      <c r="I84" s="60">
        <f>IF('Expenses Summary'!$V38="","",IF('Cash Flow %s Yr5'!I84="","",'Cash Flow %s Yr5'!I84*'Expenses Summary'!$V38))</f>
        <v>531.20000000000005</v>
      </c>
      <c r="J84" s="60">
        <f>IF('Expenses Summary'!$V38="","",IF('Cash Flow %s Yr5'!J84="","",'Cash Flow %s Yr5'!J84*'Expenses Summary'!$V38))</f>
        <v>531.20000000000005</v>
      </c>
      <c r="K84" s="60">
        <f>IF('Expenses Summary'!$V38="","",IF('Cash Flow %s Yr5'!K84="","",'Cash Flow %s Yr5'!K84*'Expenses Summary'!$V38))</f>
        <v>531.20000000000005</v>
      </c>
      <c r="L84" s="60">
        <f>IF('Expenses Summary'!$V38="","",IF('Cash Flow %s Yr5'!L84="","",'Cash Flow %s Yr5'!L84*'Expenses Summary'!$V38))</f>
        <v>537.6</v>
      </c>
      <c r="M84" s="60">
        <f>IF('Expenses Summary'!$V38="","",IF('Cash Flow %s Yr5'!M84="","",'Cash Flow %s Yr5'!M84*'Expenses Summary'!$V38))</f>
        <v>537.6</v>
      </c>
      <c r="N84" s="60">
        <f>IF('Expenses Summary'!$V38="","",IF('Cash Flow %s Yr5'!N84="","",'Cash Flow %s Yr5'!N84*'Expenses Summary'!$V38))</f>
        <v>537.6</v>
      </c>
      <c r="O84" s="60">
        <f>IF('Expenses Summary'!$V38="","",IF('Cash Flow %s Yr5'!O84="","",'Cash Flow %s Yr5'!O84*'Expenses Summary'!$V38))</f>
        <v>537.6</v>
      </c>
      <c r="P84" s="123"/>
      <c r="Q84" s="123"/>
      <c r="R84" s="123"/>
      <c r="S84" s="105">
        <f>IF(SUM(D84:R84)&gt;0,SUM(D84:R84)/'Expenses Summary'!$V38,"")</f>
        <v>1.0000000000000002</v>
      </c>
    </row>
    <row r="85" spans="1:19" s="30" customFormat="1" x14ac:dyDescent="0.3">
      <c r="A85" s="35"/>
      <c r="B85" s="63" t="str">
        <f>'Expenses Summary'!B39</f>
        <v>3603</v>
      </c>
      <c r="C85" s="63" t="str">
        <f>'Expenses Summary'!C39</f>
        <v>Worker Compensation Insurance</v>
      </c>
      <c r="D85" s="60">
        <f>IF('Expenses Summary'!$V39="","",IF('Cash Flow %s Yr5'!D85="","",'Cash Flow %s Yr5'!D85*'Expenses Summary'!$V39))</f>
        <v>822.53000000000009</v>
      </c>
      <c r="E85" s="60">
        <f>IF('Expenses Summary'!$V39="","",IF('Cash Flow %s Yr5'!E85="","",'Cash Flow %s Yr5'!E85*'Expenses Summary'!$V39))</f>
        <v>822.53000000000009</v>
      </c>
      <c r="F85" s="60">
        <f>IF('Expenses Summary'!$V39="","",IF('Cash Flow %s Yr5'!F85="","",'Cash Flow %s Yr5'!F85*'Expenses Summary'!$V39))</f>
        <v>822.53000000000009</v>
      </c>
      <c r="G85" s="60">
        <f>IF('Expenses Summary'!$V39="","",IF('Cash Flow %s Yr5'!G85="","",'Cash Flow %s Yr5'!G85*'Expenses Summary'!$V39))</f>
        <v>822.53000000000009</v>
      </c>
      <c r="H85" s="60">
        <f>IF('Expenses Summary'!$V39="","",IF('Cash Flow %s Yr5'!H85="","",'Cash Flow %s Yr5'!H85*'Expenses Summary'!$V39))</f>
        <v>822.53000000000009</v>
      </c>
      <c r="I85" s="60">
        <f>IF('Expenses Summary'!$V39="","",IF('Cash Flow %s Yr5'!I85="","",'Cash Flow %s Yr5'!I85*'Expenses Summary'!$V39))</f>
        <v>822.53000000000009</v>
      </c>
      <c r="J85" s="60">
        <f>IF('Expenses Summary'!$V39="","",IF('Cash Flow %s Yr5'!J85="","",'Cash Flow %s Yr5'!J85*'Expenses Summary'!$V39))</f>
        <v>822.53000000000009</v>
      </c>
      <c r="K85" s="60">
        <f>IF('Expenses Summary'!$V39="","",IF('Cash Flow %s Yr5'!K85="","",'Cash Flow %s Yr5'!K85*'Expenses Summary'!$V39))</f>
        <v>822.53000000000009</v>
      </c>
      <c r="L85" s="60">
        <f>IF('Expenses Summary'!$V39="","",IF('Cash Flow %s Yr5'!L85="","",'Cash Flow %s Yr5'!L85*'Expenses Summary'!$V39))</f>
        <v>832.44</v>
      </c>
      <c r="M85" s="60">
        <f>IF('Expenses Summary'!$V39="","",IF('Cash Flow %s Yr5'!M85="","",'Cash Flow %s Yr5'!M85*'Expenses Summary'!$V39))</f>
        <v>832.44</v>
      </c>
      <c r="N85" s="60">
        <f>IF('Expenses Summary'!$V39="","",IF('Cash Flow %s Yr5'!N85="","",'Cash Flow %s Yr5'!N85*'Expenses Summary'!$V39))</f>
        <v>832.44</v>
      </c>
      <c r="O85" s="60">
        <f>IF('Expenses Summary'!$V39="","",IF('Cash Flow %s Yr5'!O85="","",'Cash Flow %s Yr5'!O85*'Expenses Summary'!$V39))</f>
        <v>832.44</v>
      </c>
      <c r="P85" s="123"/>
      <c r="Q85" s="123"/>
      <c r="R85" s="123"/>
      <c r="S85" s="105">
        <f>IF(SUM(D85:R85)&gt;0,SUM(D85:R85)/'Expenses Summary'!$V39,"")</f>
        <v>1.0000000000000002</v>
      </c>
    </row>
    <row r="86" spans="1:19" s="30" customFormat="1" x14ac:dyDescent="0.3">
      <c r="A86" s="35"/>
      <c r="B86" s="63" t="str">
        <f>'Expenses Summary'!B40</f>
        <v>3703</v>
      </c>
      <c r="C86" s="63" t="str">
        <f>'Expenses Summary'!C40</f>
        <v>Other Post Employement Benefits</v>
      </c>
      <c r="D86" s="60">
        <f>IF('Expenses Summary'!$V40="","",IF('Cash Flow %s Yr5'!D86="","",'Cash Flow %s Yr5'!D86*'Expenses Summary'!$V40))</f>
        <v>0</v>
      </c>
      <c r="E86" s="60">
        <f>IF('Expenses Summary'!$V40="","",IF('Cash Flow %s Yr5'!E86="","",'Cash Flow %s Yr5'!E86*'Expenses Summary'!$V40))</f>
        <v>0</v>
      </c>
      <c r="F86" s="60">
        <f>IF('Expenses Summary'!$V40="","",IF('Cash Flow %s Yr5'!F86="","",'Cash Flow %s Yr5'!F86*'Expenses Summary'!$V40))</f>
        <v>0</v>
      </c>
      <c r="G86" s="60">
        <f>IF('Expenses Summary'!$V40="","",IF('Cash Flow %s Yr5'!G86="","",'Cash Flow %s Yr5'!G86*'Expenses Summary'!$V40))</f>
        <v>0</v>
      </c>
      <c r="H86" s="60">
        <f>IF('Expenses Summary'!$V40="","",IF('Cash Flow %s Yr5'!H86="","",'Cash Flow %s Yr5'!H86*'Expenses Summary'!$V40))</f>
        <v>0</v>
      </c>
      <c r="I86" s="60">
        <f>IF('Expenses Summary'!$V40="","",IF('Cash Flow %s Yr5'!I86="","",'Cash Flow %s Yr5'!I86*'Expenses Summary'!$V40))</f>
        <v>0</v>
      </c>
      <c r="J86" s="60">
        <f>IF('Expenses Summary'!$V40="","",IF('Cash Flow %s Yr5'!J86="","",'Cash Flow %s Yr5'!J86*'Expenses Summary'!$V40))</f>
        <v>0</v>
      </c>
      <c r="K86" s="60">
        <f>IF('Expenses Summary'!$V40="","",IF('Cash Flow %s Yr5'!K86="","",'Cash Flow %s Yr5'!K86*'Expenses Summary'!$V40))</f>
        <v>0</v>
      </c>
      <c r="L86" s="60">
        <f>IF('Expenses Summary'!$V40="","",IF('Cash Flow %s Yr5'!L86="","",'Cash Flow %s Yr5'!L86*'Expenses Summary'!$V40))</f>
        <v>0</v>
      </c>
      <c r="M86" s="60">
        <f>IF('Expenses Summary'!$V40="","",IF('Cash Flow %s Yr5'!M86="","",'Cash Flow %s Yr5'!M86*'Expenses Summary'!$V40))</f>
        <v>0</v>
      </c>
      <c r="N86" s="60">
        <f>IF('Expenses Summary'!$V40="","",IF('Cash Flow %s Yr5'!N86="","",'Cash Flow %s Yr5'!N86*'Expenses Summary'!$V40))</f>
        <v>0</v>
      </c>
      <c r="O86" s="60">
        <f>IF('Expenses Summary'!$V40="","",IF('Cash Flow %s Yr5'!O86="","",'Cash Flow %s Yr5'!O86*'Expenses Summary'!$V40))</f>
        <v>0</v>
      </c>
      <c r="P86" s="123"/>
      <c r="Q86" s="123"/>
      <c r="R86" s="123"/>
      <c r="S86" s="105" t="str">
        <f>IF(SUM(D86:R86)&gt;0,SUM(D86:R86)/'Expenses Summary'!$V40,"")</f>
        <v/>
      </c>
    </row>
    <row r="87" spans="1:19" s="30" customFormat="1" x14ac:dyDescent="0.3">
      <c r="A87" s="35"/>
      <c r="B87" s="63" t="str">
        <f>'Expenses Summary'!B41</f>
        <v>3903</v>
      </c>
      <c r="C87" s="63" t="str">
        <f>'Expenses Summary'!C41</f>
        <v>Other Benefits</v>
      </c>
      <c r="D87" s="60">
        <f>IF('Expenses Summary'!$V41="","",IF('Cash Flow %s Yr5'!D87="","",'Cash Flow %s Yr5'!D87*'Expenses Summary'!$V41))</f>
        <v>0</v>
      </c>
      <c r="E87" s="60">
        <f>IF('Expenses Summary'!$V41="","",IF('Cash Flow %s Yr5'!E87="","",'Cash Flow %s Yr5'!E87*'Expenses Summary'!$V41))</f>
        <v>0</v>
      </c>
      <c r="F87" s="60">
        <f>IF('Expenses Summary'!$V41="","",IF('Cash Flow %s Yr5'!F87="","",'Cash Flow %s Yr5'!F87*'Expenses Summary'!$V41))</f>
        <v>0</v>
      </c>
      <c r="G87" s="60">
        <f>IF('Expenses Summary'!$V41="","",IF('Cash Flow %s Yr5'!G87="","",'Cash Flow %s Yr5'!G87*'Expenses Summary'!$V41))</f>
        <v>0</v>
      </c>
      <c r="H87" s="60">
        <f>IF('Expenses Summary'!$V41="","",IF('Cash Flow %s Yr5'!H87="","",'Cash Flow %s Yr5'!H87*'Expenses Summary'!$V41))</f>
        <v>0</v>
      </c>
      <c r="I87" s="60">
        <f>IF('Expenses Summary'!$V41="","",IF('Cash Flow %s Yr5'!I87="","",'Cash Flow %s Yr5'!I87*'Expenses Summary'!$V41))</f>
        <v>0</v>
      </c>
      <c r="J87" s="60">
        <f>IF('Expenses Summary'!$V41="","",IF('Cash Flow %s Yr5'!J87="","",'Cash Flow %s Yr5'!J87*'Expenses Summary'!$V41))</f>
        <v>0</v>
      </c>
      <c r="K87" s="60">
        <f>IF('Expenses Summary'!$V41="","",IF('Cash Flow %s Yr5'!K87="","",'Cash Flow %s Yr5'!K87*'Expenses Summary'!$V41))</f>
        <v>0</v>
      </c>
      <c r="L87" s="60">
        <f>IF('Expenses Summary'!$V41="","",IF('Cash Flow %s Yr5'!L87="","",'Cash Flow %s Yr5'!L87*'Expenses Summary'!$V41))</f>
        <v>0</v>
      </c>
      <c r="M87" s="60">
        <f>IF('Expenses Summary'!$V41="","",IF('Cash Flow %s Yr5'!M87="","",'Cash Flow %s Yr5'!M87*'Expenses Summary'!$V41))</f>
        <v>0</v>
      </c>
      <c r="N87" s="60">
        <f>IF('Expenses Summary'!$V41="","",IF('Cash Flow %s Yr5'!N87="","",'Cash Flow %s Yr5'!N87*'Expenses Summary'!$V41))</f>
        <v>0</v>
      </c>
      <c r="O87" s="60">
        <f>IF('Expenses Summary'!$V41="","",IF('Cash Flow %s Yr5'!O87="","",'Cash Flow %s Yr5'!O87*'Expenses Summary'!$V41))</f>
        <v>0</v>
      </c>
      <c r="P87" s="123"/>
      <c r="Q87" s="123"/>
      <c r="R87" s="123"/>
      <c r="S87" s="105" t="str">
        <f>IF(SUM(D87:R87)&gt;0,SUM(D87:R87)/'Expenses Summary'!$V41,"")</f>
        <v/>
      </c>
    </row>
    <row r="88" spans="1:19" s="30" customFormat="1" x14ac:dyDescent="0.3">
      <c r="A88" s="35"/>
      <c r="B88" s="42" t="s">
        <v>738</v>
      </c>
      <c r="C88" s="33" t="s">
        <v>720</v>
      </c>
      <c r="D88" s="165">
        <f t="shared" ref="D88:O88" si="8">IF(SUM(D78:D87)&gt;0,SUM(D78:D87),"")</f>
        <v>8520.6502762687778</v>
      </c>
      <c r="E88" s="165">
        <f t="shared" si="8"/>
        <v>10046.192364919139</v>
      </c>
      <c r="F88" s="165">
        <f t="shared" si="8"/>
        <v>12588.76251266974</v>
      </c>
      <c r="G88" s="165">
        <f t="shared" si="8"/>
        <v>12588.76251266974</v>
      </c>
      <c r="H88" s="165">
        <f t="shared" si="8"/>
        <v>12588.76251266974</v>
      </c>
      <c r="I88" s="165">
        <f t="shared" si="8"/>
        <v>12588.76251266974</v>
      </c>
      <c r="J88" s="165">
        <f t="shared" si="8"/>
        <v>12588.76251266974</v>
      </c>
      <c r="K88" s="165">
        <f t="shared" si="8"/>
        <v>12588.76251266974</v>
      </c>
      <c r="L88" s="165">
        <f t="shared" si="8"/>
        <v>12679.167599623577</v>
      </c>
      <c r="M88" s="165">
        <f t="shared" si="8"/>
        <v>12679.167599623577</v>
      </c>
      <c r="N88" s="165">
        <f t="shared" si="8"/>
        <v>12679.167599623577</v>
      </c>
      <c r="O88" s="165">
        <f t="shared" si="8"/>
        <v>9119.569392772737</v>
      </c>
      <c r="P88" s="94"/>
      <c r="Q88" s="94"/>
      <c r="R88" s="94"/>
      <c r="S88" s="105"/>
    </row>
    <row r="89" spans="1:19" s="30" customFormat="1" x14ac:dyDescent="0.3">
      <c r="A89" s="35"/>
      <c r="B89" s="39"/>
      <c r="C89" s="1"/>
      <c r="D89" s="89"/>
      <c r="E89" s="89"/>
      <c r="F89" s="89"/>
      <c r="G89" s="89"/>
      <c r="H89" s="89"/>
      <c r="I89" s="89"/>
      <c r="J89" s="89"/>
      <c r="K89" s="89"/>
      <c r="L89" s="89"/>
      <c r="M89" s="89"/>
      <c r="N89" s="89"/>
      <c r="O89" s="89"/>
      <c r="P89" s="89"/>
      <c r="Q89" s="89"/>
      <c r="R89" s="89"/>
    </row>
    <row r="90" spans="1:19" s="30" customFormat="1" x14ac:dyDescent="0.3">
      <c r="B90" s="33" t="s">
        <v>677</v>
      </c>
      <c r="C90" s="3"/>
      <c r="D90" s="89"/>
      <c r="E90" s="89"/>
      <c r="F90" s="89"/>
      <c r="G90" s="89"/>
      <c r="H90" s="89"/>
      <c r="I90" s="89"/>
      <c r="J90" s="89"/>
      <c r="K90" s="89"/>
      <c r="L90" s="89"/>
      <c r="M90" s="89"/>
      <c r="N90" s="89"/>
      <c r="O90" s="89"/>
      <c r="P90" s="89"/>
      <c r="Q90" s="89"/>
      <c r="R90" s="89"/>
    </row>
    <row r="91" spans="1:19" s="30" customFormat="1" x14ac:dyDescent="0.3">
      <c r="A91" s="35"/>
      <c r="B91" s="133" t="str">
        <f>'Expenses Summary'!B47</f>
        <v>4100</v>
      </c>
      <c r="C91" s="133" t="str">
        <f>'Expenses Summary'!C47</f>
        <v>Approved Textbooks and Core Curricula Materials</v>
      </c>
      <c r="D91" s="60">
        <f>IF('Expenses Summary'!$V47="","",IF('Cash Flow %s Yr5'!D91="","",'Cash Flow %s Yr5'!D91*'Expenses Summary'!$V47))</f>
        <v>2196.5058278400006</v>
      </c>
      <c r="E91" s="60">
        <f>IF('Expenses Summary'!$V47="","",IF('Cash Flow %s Yr5'!E91="","",'Cash Flow %s Yr5'!E91*'Expenses Summary'!$V47))</f>
        <v>2196.5058278400006</v>
      </c>
      <c r="F91" s="60">
        <f>IF('Expenses Summary'!$V47="","",IF('Cash Flow %s Yr5'!F91="","",'Cash Flow %s Yr5'!F91*'Expenses Summary'!$V47))</f>
        <v>2196.5058278400006</v>
      </c>
      <c r="G91" s="60">
        <f>IF('Expenses Summary'!$V47="","",IF('Cash Flow %s Yr5'!G91="","",'Cash Flow %s Yr5'!G91*'Expenses Summary'!$V47))</f>
        <v>2196.5058278400006</v>
      </c>
      <c r="H91" s="60">
        <f>IF('Expenses Summary'!$V47="","",IF('Cash Flow %s Yr5'!H91="","",'Cash Flow %s Yr5'!H91*'Expenses Summary'!$V47))</f>
        <v>2196.5058278400006</v>
      </c>
      <c r="I91" s="60">
        <f>IF('Expenses Summary'!$V47="","",IF('Cash Flow %s Yr5'!I91="","",'Cash Flow %s Yr5'!I91*'Expenses Summary'!$V47))</f>
        <v>2196.5058278400006</v>
      </c>
      <c r="J91" s="60">
        <f>IF('Expenses Summary'!$V47="","",IF('Cash Flow %s Yr5'!J91="","",'Cash Flow %s Yr5'!J91*'Expenses Summary'!$V47))</f>
        <v>2196.5058278400006</v>
      </c>
      <c r="K91" s="60">
        <f>IF('Expenses Summary'!$V47="","",IF('Cash Flow %s Yr5'!K91="","",'Cash Flow %s Yr5'!K91*'Expenses Summary'!$V47))</f>
        <v>2196.5058278400006</v>
      </c>
      <c r="L91" s="60">
        <f>IF('Expenses Summary'!$V47="","",IF('Cash Flow %s Yr5'!L91="","",'Cash Flow %s Yr5'!L91*'Expenses Summary'!$V47))</f>
        <v>2196.5058278400006</v>
      </c>
      <c r="M91" s="60">
        <f>IF('Expenses Summary'!$V47="","",IF('Cash Flow %s Yr5'!M91="","",'Cash Flow %s Yr5'!M91*'Expenses Summary'!$V47))</f>
        <v>2196.5058278400006</v>
      </c>
      <c r="N91" s="60">
        <f>IF('Expenses Summary'!$V47="","",IF('Cash Flow %s Yr5'!N91="","",'Cash Flow %s Yr5'!N91*'Expenses Summary'!$V47))</f>
        <v>0</v>
      </c>
      <c r="O91" s="60">
        <f>IF('Expenses Summary'!$V47="","",IF('Cash Flow %s Yr5'!O91="","",'Cash Flow %s Yr5'!O91*'Expenses Summary'!$V47))</f>
        <v>0</v>
      </c>
      <c r="P91" s="123"/>
      <c r="Q91" s="123"/>
      <c r="R91" s="123"/>
      <c r="S91" s="105">
        <f>IF(SUM(D91:R91)&gt;0,SUM(D91:R91)/'Expenses Summary'!$V47,"")</f>
        <v>1</v>
      </c>
    </row>
    <row r="92" spans="1:19" x14ac:dyDescent="0.3">
      <c r="A92" s="35"/>
      <c r="B92" s="133" t="str">
        <f>'Expenses Summary'!B48</f>
        <v>4200</v>
      </c>
      <c r="C92" s="133" t="str">
        <f>'Expenses Summary'!C48</f>
        <v>Books and Other Reference Materials</v>
      </c>
      <c r="D92" s="60">
        <f>IF('Expenses Summary'!$V48="","",IF('Cash Flow %s Yr5'!D92="","",'Cash Flow %s Yr5'!D92*'Expenses Summary'!$V48))</f>
        <v>98.842762252800014</v>
      </c>
      <c r="E92" s="60">
        <f>IF('Expenses Summary'!$V48="","",IF('Cash Flow %s Yr5'!E92="","",'Cash Flow %s Yr5'!E92*'Expenses Summary'!$V48))</f>
        <v>197.68552450560003</v>
      </c>
      <c r="F92" s="60">
        <f>IF('Expenses Summary'!$V48="","",IF('Cash Flow %s Yr5'!F92="","",'Cash Flow %s Yr5'!F92*'Expenses Summary'!$V48))</f>
        <v>197.68552450560003</v>
      </c>
      <c r="G92" s="60">
        <f>IF('Expenses Summary'!$V48="","",IF('Cash Flow %s Yr5'!G92="","",'Cash Flow %s Yr5'!G92*'Expenses Summary'!$V48))</f>
        <v>197.68552450560003</v>
      </c>
      <c r="H92" s="60">
        <f>IF('Expenses Summary'!$V48="","",IF('Cash Flow %s Yr5'!H92="","",'Cash Flow %s Yr5'!H92*'Expenses Summary'!$V48))</f>
        <v>197.68552450560003</v>
      </c>
      <c r="I92" s="60">
        <f>IF('Expenses Summary'!$V48="","",IF('Cash Flow %s Yr5'!I92="","",'Cash Flow %s Yr5'!I92*'Expenses Summary'!$V48))</f>
        <v>197.68552450560003</v>
      </c>
      <c r="J92" s="60">
        <f>IF('Expenses Summary'!$V48="","",IF('Cash Flow %s Yr5'!J92="","",'Cash Flow %s Yr5'!J92*'Expenses Summary'!$V48))</f>
        <v>197.68552450560003</v>
      </c>
      <c r="K92" s="60">
        <f>IF('Expenses Summary'!$V48="","",IF('Cash Flow %s Yr5'!K92="","",'Cash Flow %s Yr5'!K92*'Expenses Summary'!$V48))</f>
        <v>197.68552450560003</v>
      </c>
      <c r="L92" s="60">
        <f>IF('Expenses Summary'!$V48="","",IF('Cash Flow %s Yr5'!L92="","",'Cash Flow %s Yr5'!L92*'Expenses Summary'!$V48))</f>
        <v>197.68552450560003</v>
      </c>
      <c r="M92" s="60">
        <f>IF('Expenses Summary'!$V48="","",IF('Cash Flow %s Yr5'!M92="","",'Cash Flow %s Yr5'!M92*'Expenses Summary'!$V48))</f>
        <v>197.68552450560003</v>
      </c>
      <c r="N92" s="60">
        <f>IF('Expenses Summary'!$V48="","",IF('Cash Flow %s Yr5'!N92="","",'Cash Flow %s Yr5'!N92*'Expenses Summary'!$V48))</f>
        <v>98.842762252800014</v>
      </c>
      <c r="O92" s="60">
        <f>IF('Expenses Summary'!$V48="","",IF('Cash Flow %s Yr5'!O92="","",'Cash Flow %s Yr5'!O92*'Expenses Summary'!$V48))</f>
        <v>0</v>
      </c>
      <c r="P92" s="123"/>
      <c r="Q92" s="123"/>
      <c r="R92" s="123"/>
      <c r="S92" s="105">
        <f>IF(SUM(D92:R92)&gt;0,SUM(D92:R92)/'Expenses Summary'!$V48,"")</f>
        <v>0.99999999999999978</v>
      </c>
    </row>
    <row r="93" spans="1:19" x14ac:dyDescent="0.3">
      <c r="A93" s="35"/>
      <c r="B93" s="133" t="str">
        <f>'Expenses Summary'!B49</f>
        <v>4300</v>
      </c>
      <c r="C93" s="133" t="str">
        <f>'Expenses Summary'!C49</f>
        <v>Materials and Supplies</v>
      </c>
      <c r="D93" s="60">
        <f>IF('Expenses Summary'!$V49="","",IF('Cash Flow %s Yr5'!D93="","",'Cash Flow %s Yr5'!D93*'Expenses Summary'!$V49))</f>
        <v>568.80714917744649</v>
      </c>
      <c r="E93" s="60">
        <f>IF('Expenses Summary'!$V49="","",IF('Cash Flow %s Yr5'!E93="","",'Cash Flow %s Yr5'!E93*'Expenses Summary'!$V49))</f>
        <v>568.80714917744649</v>
      </c>
      <c r="F93" s="60">
        <f>IF('Expenses Summary'!$V49="","",IF('Cash Flow %s Yr5'!F93="","",'Cash Flow %s Yr5'!F93*'Expenses Summary'!$V49))</f>
        <v>568.80714917744649</v>
      </c>
      <c r="G93" s="60">
        <f>IF('Expenses Summary'!$V49="","",IF('Cash Flow %s Yr5'!G93="","",'Cash Flow %s Yr5'!G93*'Expenses Summary'!$V49))</f>
        <v>568.80714917744649</v>
      </c>
      <c r="H93" s="60">
        <f>IF('Expenses Summary'!$V49="","",IF('Cash Flow %s Yr5'!H93="","",'Cash Flow %s Yr5'!H93*'Expenses Summary'!$V49))</f>
        <v>568.80714917744649</v>
      </c>
      <c r="I93" s="60">
        <f>IF('Expenses Summary'!$V49="","",IF('Cash Flow %s Yr5'!I93="","",'Cash Flow %s Yr5'!I93*'Expenses Summary'!$V49))</f>
        <v>568.80714917744649</v>
      </c>
      <c r="J93" s="60">
        <f>IF('Expenses Summary'!$V49="","",IF('Cash Flow %s Yr5'!J93="","",'Cash Flow %s Yr5'!J93*'Expenses Summary'!$V49))</f>
        <v>568.80714917744649</v>
      </c>
      <c r="K93" s="60">
        <f>IF('Expenses Summary'!$V49="","",IF('Cash Flow %s Yr5'!K93="","",'Cash Flow %s Yr5'!K93*'Expenses Summary'!$V49))</f>
        <v>568.80714917744649</v>
      </c>
      <c r="L93" s="60">
        <f>IF('Expenses Summary'!$V49="","",IF('Cash Flow %s Yr5'!L93="","",'Cash Flow %s Yr5'!L93*'Expenses Summary'!$V49))</f>
        <v>575.66024736030727</v>
      </c>
      <c r="M93" s="60">
        <f>IF('Expenses Summary'!$V49="","",IF('Cash Flow %s Yr5'!M93="","",'Cash Flow %s Yr5'!M93*'Expenses Summary'!$V49))</f>
        <v>575.66024736030727</v>
      </c>
      <c r="N93" s="60">
        <f>IF('Expenses Summary'!$V49="","",IF('Cash Flow %s Yr5'!N93="","",'Cash Flow %s Yr5'!N93*'Expenses Summary'!$V49))</f>
        <v>575.66024736030727</v>
      </c>
      <c r="O93" s="60">
        <f>IF('Expenses Summary'!$V49="","",IF('Cash Flow %s Yr5'!O93="","",'Cash Flow %s Yr5'!O93*'Expenses Summary'!$V49))</f>
        <v>575.66024736030727</v>
      </c>
      <c r="P93" s="123"/>
      <c r="Q93" s="123"/>
      <c r="R93" s="123"/>
      <c r="S93" s="105">
        <f>IF(SUM(D93:R93)&gt;0,SUM(D93:R93)/'Expenses Summary'!$V49,"")</f>
        <v>0.99999999999999978</v>
      </c>
    </row>
    <row r="94" spans="1:19" x14ac:dyDescent="0.3">
      <c r="A94" s="35"/>
      <c r="B94" s="133" t="str">
        <f>'Expenses Summary'!B50</f>
        <v>4315</v>
      </c>
      <c r="C94" s="133" t="str">
        <f>'Expenses Summary'!C50</f>
        <v>Classroom Materials and Supplies</v>
      </c>
      <c r="D94" s="60">
        <f>IF('Expenses Summary'!$V50="","",IF('Cash Flow %s Yr5'!D94="","",'Cash Flow %s Yr5'!D94*'Expenses Summary'!$V50))</f>
        <v>546.92995113216011</v>
      </c>
      <c r="E94" s="60">
        <f>IF('Expenses Summary'!$V50="","",IF('Cash Flow %s Yr5'!E94="","",'Cash Flow %s Yr5'!E94*'Expenses Summary'!$V50))</f>
        <v>546.92995113216011</v>
      </c>
      <c r="F94" s="60">
        <f>IF('Expenses Summary'!$V50="","",IF('Cash Flow %s Yr5'!F94="","",'Cash Flow %s Yr5'!F94*'Expenses Summary'!$V50))</f>
        <v>546.92995113216011</v>
      </c>
      <c r="G94" s="60">
        <f>IF('Expenses Summary'!$V50="","",IF('Cash Flow %s Yr5'!G94="","",'Cash Flow %s Yr5'!G94*'Expenses Summary'!$V50))</f>
        <v>546.92995113216011</v>
      </c>
      <c r="H94" s="60">
        <f>IF('Expenses Summary'!$V50="","",IF('Cash Flow %s Yr5'!H94="","",'Cash Flow %s Yr5'!H94*'Expenses Summary'!$V50))</f>
        <v>546.92995113216011</v>
      </c>
      <c r="I94" s="60">
        <f>IF('Expenses Summary'!$V50="","",IF('Cash Flow %s Yr5'!I94="","",'Cash Flow %s Yr5'!I94*'Expenses Summary'!$V50))</f>
        <v>546.92995113216011</v>
      </c>
      <c r="J94" s="60">
        <f>IF('Expenses Summary'!$V50="","",IF('Cash Flow %s Yr5'!J94="","",'Cash Flow %s Yr5'!J94*'Expenses Summary'!$V50))</f>
        <v>546.92995113216011</v>
      </c>
      <c r="K94" s="60">
        <f>IF('Expenses Summary'!$V50="","",IF('Cash Flow %s Yr5'!K94="","",'Cash Flow %s Yr5'!K94*'Expenses Summary'!$V50))</f>
        <v>546.92995113216011</v>
      </c>
      <c r="L94" s="60">
        <f>IF('Expenses Summary'!$V50="","",IF('Cash Flow %s Yr5'!L94="","",'Cash Flow %s Yr5'!L94*'Expenses Summary'!$V50))</f>
        <v>546.92995113216011</v>
      </c>
      <c r="M94" s="60">
        <f>IF('Expenses Summary'!$V50="","",IF('Cash Flow %s Yr5'!M94="","",'Cash Flow %s Yr5'!M94*'Expenses Summary'!$V50))</f>
        <v>546.92995113216011</v>
      </c>
      <c r="N94" s="60">
        <f>IF('Expenses Summary'!$V50="","",IF('Cash Flow %s Yr5'!N94="","",'Cash Flow %s Yr5'!N94*'Expenses Summary'!$V50))</f>
        <v>546.92995113216011</v>
      </c>
      <c r="O94" s="60">
        <f>IF('Expenses Summary'!$V50="","",IF('Cash Flow %s Yr5'!O94="","",'Cash Flow %s Yr5'!O94*'Expenses Summary'!$V50))</f>
        <v>546.92995113216011</v>
      </c>
      <c r="P94" s="123"/>
      <c r="Q94" s="123"/>
      <c r="R94" s="123"/>
      <c r="S94" s="105">
        <f>IF(SUM(D94:R94)&gt;0,SUM(D94:R94)/'Expenses Summary'!$V50,"")</f>
        <v>0.99600000000000022</v>
      </c>
    </row>
    <row r="95" spans="1:19" x14ac:dyDescent="0.3">
      <c r="A95" s="35"/>
      <c r="B95" s="133" t="str">
        <f>'Expenses Summary'!B51</f>
        <v>4342</v>
      </c>
      <c r="C95" s="133" t="str">
        <f>'Expenses Summary'!C51</f>
        <v>Materials for Athletics</v>
      </c>
      <c r="D95" s="60">
        <f>IF('Expenses Summary'!$V51="","",IF('Cash Flow %s Yr5'!D95="","",'Cash Flow %s Yr5'!D95*'Expenses Summary'!$V51))</f>
        <v>455.77495927680008</v>
      </c>
      <c r="E95" s="60">
        <f>IF('Expenses Summary'!$V51="","",IF('Cash Flow %s Yr5'!E95="","",'Cash Flow %s Yr5'!E95*'Expenses Summary'!$V51))</f>
        <v>455.77495927680008</v>
      </c>
      <c r="F95" s="60">
        <f>IF('Expenses Summary'!$V51="","",IF('Cash Flow %s Yr5'!F95="","",'Cash Flow %s Yr5'!F95*'Expenses Summary'!$V51))</f>
        <v>455.77495927680008</v>
      </c>
      <c r="G95" s="60">
        <f>IF('Expenses Summary'!$V51="","",IF('Cash Flow %s Yr5'!G95="","",'Cash Flow %s Yr5'!G95*'Expenses Summary'!$V51))</f>
        <v>455.77495927680008</v>
      </c>
      <c r="H95" s="60">
        <f>IF('Expenses Summary'!$V51="","",IF('Cash Flow %s Yr5'!H95="","",'Cash Flow %s Yr5'!H95*'Expenses Summary'!$V51))</f>
        <v>455.77495927680008</v>
      </c>
      <c r="I95" s="60">
        <f>IF('Expenses Summary'!$V51="","",IF('Cash Flow %s Yr5'!I95="","",'Cash Flow %s Yr5'!I95*'Expenses Summary'!$V51))</f>
        <v>455.77495927680008</v>
      </c>
      <c r="J95" s="60">
        <f>IF('Expenses Summary'!$V51="","",IF('Cash Flow %s Yr5'!J95="","",'Cash Flow %s Yr5'!J95*'Expenses Summary'!$V51))</f>
        <v>455.77495927680008</v>
      </c>
      <c r="K95" s="60">
        <f>IF('Expenses Summary'!$V51="","",IF('Cash Flow %s Yr5'!K95="","",'Cash Flow %s Yr5'!K95*'Expenses Summary'!$V51))</f>
        <v>455.77495927680008</v>
      </c>
      <c r="L95" s="60">
        <f>IF('Expenses Summary'!$V51="","",IF('Cash Flow %s Yr5'!L95="","",'Cash Flow %s Yr5'!L95*'Expenses Summary'!$V51))</f>
        <v>461.26622384640012</v>
      </c>
      <c r="M95" s="60">
        <f>IF('Expenses Summary'!$V51="","",IF('Cash Flow %s Yr5'!M95="","",'Cash Flow %s Yr5'!M95*'Expenses Summary'!$V51))</f>
        <v>461.26622384640012</v>
      </c>
      <c r="N95" s="60">
        <f>IF('Expenses Summary'!$V51="","",IF('Cash Flow %s Yr5'!N95="","",'Cash Flow %s Yr5'!N95*'Expenses Summary'!$V51))</f>
        <v>461.26622384640012</v>
      </c>
      <c r="O95" s="60">
        <f>IF('Expenses Summary'!$V51="","",IF('Cash Flow %s Yr5'!O95="","",'Cash Flow %s Yr5'!O95*'Expenses Summary'!$V51))</f>
        <v>461.26622384640012</v>
      </c>
      <c r="P95" s="123"/>
      <c r="Q95" s="123"/>
      <c r="R95" s="123"/>
      <c r="S95" s="105">
        <f>IF(SUM(D95:R95)&gt;0,SUM(D95:R95)/'Expenses Summary'!$V51,"")</f>
        <v>1</v>
      </c>
    </row>
    <row r="96" spans="1:19" x14ac:dyDescent="0.3">
      <c r="A96" s="35"/>
      <c r="B96" s="133" t="str">
        <f>'Expenses Summary'!B52</f>
        <v>4381</v>
      </c>
      <c r="C96" s="133" t="str">
        <f>'Expenses Summary'!C52</f>
        <v>Materials for Plant Maintenance</v>
      </c>
      <c r="D96" s="60">
        <f>IF('Expenses Summary'!$V52="","",IF('Cash Flow %s Yr5'!D96="","",'Cash Flow %s Yr5'!D96*'Expenses Summary'!$V52))</f>
        <v>91.154991855360024</v>
      </c>
      <c r="E96" s="60">
        <f>IF('Expenses Summary'!$V52="","",IF('Cash Flow %s Yr5'!E96="","",'Cash Flow %s Yr5'!E96*'Expenses Summary'!$V52))</f>
        <v>91.154991855360024</v>
      </c>
      <c r="F96" s="60">
        <f>IF('Expenses Summary'!$V52="","",IF('Cash Flow %s Yr5'!F96="","",'Cash Flow %s Yr5'!F96*'Expenses Summary'!$V52))</f>
        <v>91.154991855360024</v>
      </c>
      <c r="G96" s="60">
        <f>IF('Expenses Summary'!$V52="","",IF('Cash Flow %s Yr5'!G96="","",'Cash Flow %s Yr5'!G96*'Expenses Summary'!$V52))</f>
        <v>91.154991855360024</v>
      </c>
      <c r="H96" s="60">
        <f>IF('Expenses Summary'!$V52="","",IF('Cash Flow %s Yr5'!H96="","",'Cash Flow %s Yr5'!H96*'Expenses Summary'!$V52))</f>
        <v>91.154991855360024</v>
      </c>
      <c r="I96" s="60">
        <f>IF('Expenses Summary'!$V52="","",IF('Cash Flow %s Yr5'!I96="","",'Cash Flow %s Yr5'!I96*'Expenses Summary'!$V52))</f>
        <v>91.154991855360024</v>
      </c>
      <c r="J96" s="60">
        <f>IF('Expenses Summary'!$V52="","",IF('Cash Flow %s Yr5'!J96="","",'Cash Flow %s Yr5'!J96*'Expenses Summary'!$V52))</f>
        <v>91.154991855360024</v>
      </c>
      <c r="K96" s="60">
        <f>IF('Expenses Summary'!$V52="","",IF('Cash Flow %s Yr5'!K96="","",'Cash Flow %s Yr5'!K96*'Expenses Summary'!$V52))</f>
        <v>91.154991855360024</v>
      </c>
      <c r="L96" s="60">
        <f>IF('Expenses Summary'!$V52="","",IF('Cash Flow %s Yr5'!L96="","",'Cash Flow %s Yr5'!L96*'Expenses Summary'!$V52))</f>
        <v>91.154991855360024</v>
      </c>
      <c r="M96" s="60">
        <f>IF('Expenses Summary'!$V52="","",IF('Cash Flow %s Yr5'!M96="","",'Cash Flow %s Yr5'!M96*'Expenses Summary'!$V52))</f>
        <v>91.154991855360024</v>
      </c>
      <c r="N96" s="60">
        <f>IF('Expenses Summary'!$V52="","",IF('Cash Flow %s Yr5'!N96="","",'Cash Flow %s Yr5'!N96*'Expenses Summary'!$V52))</f>
        <v>91.154991855360024</v>
      </c>
      <c r="O96" s="60">
        <f>IF('Expenses Summary'!$V52="","",IF('Cash Flow %s Yr5'!O96="","",'Cash Flow %s Yr5'!O96*'Expenses Summary'!$V52))</f>
        <v>91.154991855360024</v>
      </c>
      <c r="P96" s="123"/>
      <c r="Q96" s="123"/>
      <c r="R96" s="123"/>
      <c r="S96" s="105">
        <f>IF(SUM(D96:R96)&gt;0,SUM(D96:R96)/'Expenses Summary'!$V52,"")</f>
        <v>0.99599999999999966</v>
      </c>
    </row>
    <row r="97" spans="1:19" hidden="1" outlineLevel="1" x14ac:dyDescent="0.3">
      <c r="A97" s="35"/>
      <c r="B97" s="133" t="str">
        <f>'Expenses Summary'!B53</f>
        <v>4400</v>
      </c>
      <c r="C97" s="133" t="str">
        <f>'Expenses Summary'!C53</f>
        <v>Noncapitalized Equipment</v>
      </c>
      <c r="D97" s="60">
        <f>IF('Expenses Summary'!$V53="","",IF('Cash Flow %s Yr5'!D97="","",'Cash Flow %s Yr5'!D97*'Expenses Summary'!$V53))</f>
        <v>0</v>
      </c>
      <c r="E97" s="60">
        <f>IF('Expenses Summary'!$V53="","",IF('Cash Flow %s Yr5'!E97="","",'Cash Flow %s Yr5'!E97*'Expenses Summary'!$V53))</f>
        <v>0</v>
      </c>
      <c r="F97" s="60">
        <f>IF('Expenses Summary'!$V53="","",IF('Cash Flow %s Yr5'!F97="","",'Cash Flow %s Yr5'!F97*'Expenses Summary'!$V53))</f>
        <v>549.12645696000016</v>
      </c>
      <c r="G97" s="60">
        <f>IF('Expenses Summary'!$V53="","",IF('Cash Flow %s Yr5'!G97="","",'Cash Flow %s Yr5'!G97*'Expenses Summary'!$V53))</f>
        <v>549.12645696000016</v>
      </c>
      <c r="H97" s="60">
        <f>IF('Expenses Summary'!$V53="","",IF('Cash Flow %s Yr5'!H97="","",'Cash Flow %s Yr5'!H97*'Expenses Summary'!$V53))</f>
        <v>549.12645696000016</v>
      </c>
      <c r="I97" s="60">
        <f>IF('Expenses Summary'!$V53="","",IF('Cash Flow %s Yr5'!I97="","",'Cash Flow %s Yr5'!I97*'Expenses Summary'!$V53))</f>
        <v>549.12645696000016</v>
      </c>
      <c r="J97" s="60">
        <f>IF('Expenses Summary'!$V53="","",IF('Cash Flow %s Yr5'!J97="","",'Cash Flow %s Yr5'!J97*'Expenses Summary'!$V53))</f>
        <v>549.12645696000016</v>
      </c>
      <c r="K97" s="60">
        <f>IF('Expenses Summary'!$V53="","",IF('Cash Flow %s Yr5'!K97="","",'Cash Flow %s Yr5'!K97*'Expenses Summary'!$V53))</f>
        <v>549.12645696000016</v>
      </c>
      <c r="L97" s="60">
        <f>IF('Expenses Summary'!$V53="","",IF('Cash Flow %s Yr5'!L97="","",'Cash Flow %s Yr5'!L97*'Expenses Summary'!$V53))</f>
        <v>549.12645696000016</v>
      </c>
      <c r="M97" s="60">
        <f>IF('Expenses Summary'!$V53="","",IF('Cash Flow %s Yr5'!M97="","",'Cash Flow %s Yr5'!M97*'Expenses Summary'!$V53))</f>
        <v>549.12645696000016</v>
      </c>
      <c r="N97" s="60">
        <f>IF('Expenses Summary'!$V53="","",IF('Cash Flow %s Yr5'!N97="","",'Cash Flow %s Yr5'!N97*'Expenses Summary'!$V53))</f>
        <v>549.12645696000016</v>
      </c>
      <c r="O97" s="60">
        <f>IF('Expenses Summary'!$V53="","",IF('Cash Flow %s Yr5'!O97="","",'Cash Flow %s Yr5'!O97*'Expenses Summary'!$V53))</f>
        <v>549.12645696000016</v>
      </c>
      <c r="P97" s="123"/>
      <c r="Q97" s="123"/>
      <c r="R97" s="123"/>
      <c r="S97" s="105"/>
    </row>
    <row r="98" spans="1:19" hidden="1" outlineLevel="1" x14ac:dyDescent="0.3">
      <c r="A98" s="35"/>
      <c r="B98" s="133" t="str">
        <f>'Expenses Summary'!B55</f>
        <v>4430</v>
      </c>
      <c r="C98" s="133" t="str">
        <f>'Expenses Summary'!C55</f>
        <v>General Student Equipment</v>
      </c>
      <c r="D98" s="60">
        <f>IF('Expenses Summary'!$V55="","",IF('Cash Flow %s Yr5'!D98="","",'Cash Flow %s Yr5'!D98*'Expenses Summary'!$V55))</f>
        <v>0</v>
      </c>
      <c r="E98" s="60">
        <f>IF('Expenses Summary'!$V55="","",IF('Cash Flow %s Yr5'!E98="","",'Cash Flow %s Yr5'!E98*'Expenses Summary'!$V55))</f>
        <v>0</v>
      </c>
      <c r="F98" s="60">
        <f>IF('Expenses Summary'!$V55="","",IF('Cash Flow %s Yr5'!F98="","",'Cash Flow %s Yr5'!F98*'Expenses Summary'!$V55))</f>
        <v>658.95174835200021</v>
      </c>
      <c r="G98" s="60">
        <f>IF('Expenses Summary'!$V55="","",IF('Cash Flow %s Yr5'!G98="","",'Cash Flow %s Yr5'!G98*'Expenses Summary'!$V55))</f>
        <v>658.95174835200021</v>
      </c>
      <c r="H98" s="60">
        <f>IF('Expenses Summary'!$V55="","",IF('Cash Flow %s Yr5'!H98="","",'Cash Flow %s Yr5'!H98*'Expenses Summary'!$V55))</f>
        <v>658.95174835200021</v>
      </c>
      <c r="I98" s="60">
        <f>IF('Expenses Summary'!$V55="","",IF('Cash Flow %s Yr5'!I98="","",'Cash Flow %s Yr5'!I98*'Expenses Summary'!$V55))</f>
        <v>658.95174835200021</v>
      </c>
      <c r="J98" s="60">
        <f>IF('Expenses Summary'!$V55="","",IF('Cash Flow %s Yr5'!J98="","",'Cash Flow %s Yr5'!J98*'Expenses Summary'!$V55))</f>
        <v>658.95174835200021</v>
      </c>
      <c r="K98" s="60">
        <f>IF('Expenses Summary'!$V55="","",IF('Cash Flow %s Yr5'!K98="","",'Cash Flow %s Yr5'!K98*'Expenses Summary'!$V55))</f>
        <v>658.95174835200021</v>
      </c>
      <c r="L98" s="60">
        <f>IF('Expenses Summary'!$V55="","",IF('Cash Flow %s Yr5'!L98="","",'Cash Flow %s Yr5'!L98*'Expenses Summary'!$V55))</f>
        <v>658.95174835200021</v>
      </c>
      <c r="M98" s="60">
        <f>IF('Expenses Summary'!$V55="","",IF('Cash Flow %s Yr5'!M98="","",'Cash Flow %s Yr5'!M98*'Expenses Summary'!$V55))</f>
        <v>658.95174835200021</v>
      </c>
      <c r="N98" s="60">
        <f>IF('Expenses Summary'!$V55="","",IF('Cash Flow %s Yr5'!N98="","",'Cash Flow %s Yr5'!N98*'Expenses Summary'!$V55))</f>
        <v>658.95174835200021</v>
      </c>
      <c r="O98" s="60">
        <f>IF('Expenses Summary'!$V55="","",IF('Cash Flow %s Yr5'!O98="","",'Cash Flow %s Yr5'!O98*'Expenses Summary'!$V55))</f>
        <v>658.95174835200021</v>
      </c>
      <c r="P98" s="123"/>
      <c r="Q98" s="123"/>
      <c r="R98" s="123"/>
      <c r="S98" s="105"/>
    </row>
    <row r="99" spans="1:19" hidden="1" outlineLevel="1" x14ac:dyDescent="0.3">
      <c r="A99" s="35"/>
      <c r="B99" s="133">
        <f>'Expenses Summary'!B56</f>
        <v>0</v>
      </c>
      <c r="C99" s="133">
        <f>'Expenses Summary'!C56</f>
        <v>0</v>
      </c>
      <c r="D99" s="60">
        <f>IF('Expenses Summary'!$V56="","",IF('Cash Flow %s Yr5'!D99="","",'Cash Flow %s Yr5'!D99*'Expenses Summary'!$V56))</f>
        <v>0</v>
      </c>
      <c r="E99" s="60">
        <f>IF('Expenses Summary'!$V56="","",IF('Cash Flow %s Yr5'!E99="","",'Cash Flow %s Yr5'!E99*'Expenses Summary'!$V56))</f>
        <v>0</v>
      </c>
      <c r="F99" s="60">
        <f>IF('Expenses Summary'!$V56="","",IF('Cash Flow %s Yr5'!F99="","",'Cash Flow %s Yr5'!F99*'Expenses Summary'!$V56))</f>
        <v>0</v>
      </c>
      <c r="G99" s="60">
        <f>IF('Expenses Summary'!$V56="","",IF('Cash Flow %s Yr5'!G99="","",'Cash Flow %s Yr5'!G99*'Expenses Summary'!$V56))</f>
        <v>0</v>
      </c>
      <c r="H99" s="60">
        <f>IF('Expenses Summary'!$V56="","",IF('Cash Flow %s Yr5'!H99="","",'Cash Flow %s Yr5'!H99*'Expenses Summary'!$V56))</f>
        <v>0</v>
      </c>
      <c r="I99" s="60">
        <f>IF('Expenses Summary'!$V56="","",IF('Cash Flow %s Yr5'!I99="","",'Cash Flow %s Yr5'!I99*'Expenses Summary'!$V56))</f>
        <v>0</v>
      </c>
      <c r="J99" s="60">
        <f>IF('Expenses Summary'!$V56="","",IF('Cash Flow %s Yr5'!J99="","",'Cash Flow %s Yr5'!J99*'Expenses Summary'!$V56))</f>
        <v>0</v>
      </c>
      <c r="K99" s="60">
        <f>IF('Expenses Summary'!$V56="","",IF('Cash Flow %s Yr5'!K99="","",'Cash Flow %s Yr5'!K99*'Expenses Summary'!$V56))</f>
        <v>0</v>
      </c>
      <c r="L99" s="60">
        <f>IF('Expenses Summary'!$V56="","",IF('Cash Flow %s Yr5'!L99="","",'Cash Flow %s Yr5'!L99*'Expenses Summary'!$V56))</f>
        <v>0</v>
      </c>
      <c r="M99" s="60">
        <f>IF('Expenses Summary'!$V56="","",IF('Cash Flow %s Yr5'!M99="","",'Cash Flow %s Yr5'!M99*'Expenses Summary'!$V56))</f>
        <v>0</v>
      </c>
      <c r="N99" s="60">
        <f>IF('Expenses Summary'!$V56="","",IF('Cash Flow %s Yr5'!N99="","",'Cash Flow %s Yr5'!N99*'Expenses Summary'!$V56))</f>
        <v>0</v>
      </c>
      <c r="O99" s="60">
        <f>IF('Expenses Summary'!$V56="","",IF('Cash Flow %s Yr5'!O99="","",'Cash Flow %s Yr5'!O99*'Expenses Summary'!$V56))</f>
        <v>0</v>
      </c>
      <c r="P99" s="123"/>
      <c r="Q99" s="123"/>
      <c r="R99" s="123"/>
      <c r="S99" s="105"/>
    </row>
    <row r="100" spans="1:19" hidden="1" outlineLevel="1" x14ac:dyDescent="0.3">
      <c r="A100" s="35"/>
      <c r="B100" s="133">
        <f>'Expenses Summary'!B57</f>
        <v>0</v>
      </c>
      <c r="C100" s="133">
        <f>'Expenses Summary'!C57</f>
        <v>0</v>
      </c>
      <c r="D100" s="60">
        <f>IF('Expenses Summary'!$V57="","",IF('Cash Flow %s Yr5'!D100="","",'Cash Flow %s Yr5'!D100*'Expenses Summary'!$V57))</f>
        <v>0</v>
      </c>
      <c r="E100" s="60">
        <f>IF('Expenses Summary'!$V57="","",IF('Cash Flow %s Yr5'!E100="","",'Cash Flow %s Yr5'!E100*'Expenses Summary'!$V57))</f>
        <v>0</v>
      </c>
      <c r="F100" s="60">
        <f>IF('Expenses Summary'!$V57="","",IF('Cash Flow %s Yr5'!F100="","",'Cash Flow %s Yr5'!F100*'Expenses Summary'!$V57))</f>
        <v>0</v>
      </c>
      <c r="G100" s="60">
        <f>IF('Expenses Summary'!$V57="","",IF('Cash Flow %s Yr5'!G100="","",'Cash Flow %s Yr5'!G100*'Expenses Summary'!$V57))</f>
        <v>0</v>
      </c>
      <c r="H100" s="60">
        <f>IF('Expenses Summary'!$V57="","",IF('Cash Flow %s Yr5'!H100="","",'Cash Flow %s Yr5'!H100*'Expenses Summary'!$V57))</f>
        <v>0</v>
      </c>
      <c r="I100" s="60">
        <f>IF('Expenses Summary'!$V57="","",IF('Cash Flow %s Yr5'!I100="","",'Cash Flow %s Yr5'!I100*'Expenses Summary'!$V57))</f>
        <v>0</v>
      </c>
      <c r="J100" s="60">
        <f>IF('Expenses Summary'!$V57="","",IF('Cash Flow %s Yr5'!J100="","",'Cash Flow %s Yr5'!J100*'Expenses Summary'!$V57))</f>
        <v>0</v>
      </c>
      <c r="K100" s="60">
        <f>IF('Expenses Summary'!$V57="","",IF('Cash Flow %s Yr5'!K100="","",'Cash Flow %s Yr5'!K100*'Expenses Summary'!$V57))</f>
        <v>0</v>
      </c>
      <c r="L100" s="60">
        <f>IF('Expenses Summary'!$V57="","",IF('Cash Flow %s Yr5'!L100="","",'Cash Flow %s Yr5'!L100*'Expenses Summary'!$V57))</f>
        <v>0</v>
      </c>
      <c r="M100" s="60">
        <f>IF('Expenses Summary'!$V57="","",IF('Cash Flow %s Yr5'!M100="","",'Cash Flow %s Yr5'!M100*'Expenses Summary'!$V57))</f>
        <v>0</v>
      </c>
      <c r="N100" s="60">
        <f>IF('Expenses Summary'!$V57="","",IF('Cash Flow %s Yr5'!N100="","",'Cash Flow %s Yr5'!N100*'Expenses Summary'!$V57))</f>
        <v>0</v>
      </c>
      <c r="O100" s="60">
        <f>IF('Expenses Summary'!$V57="","",IF('Cash Flow %s Yr5'!O100="","",'Cash Flow %s Yr5'!O100*'Expenses Summary'!$V57))</f>
        <v>0</v>
      </c>
      <c r="P100" s="123"/>
      <c r="Q100" s="123"/>
      <c r="R100" s="123"/>
      <c r="S100" s="105"/>
    </row>
    <row r="101" spans="1:19" hidden="1" outlineLevel="1" x14ac:dyDescent="0.3">
      <c r="A101" s="35"/>
      <c r="B101" s="133">
        <f>'Expenses Summary'!B58</f>
        <v>0</v>
      </c>
      <c r="C101" s="133">
        <f>'Expenses Summary'!C58</f>
        <v>0</v>
      </c>
      <c r="D101" s="60">
        <f>IF('Expenses Summary'!$V58="","",IF('Cash Flow %s Yr5'!D101="","",'Cash Flow %s Yr5'!D101*'Expenses Summary'!$V58))</f>
        <v>0</v>
      </c>
      <c r="E101" s="60">
        <f>IF('Expenses Summary'!$V58="","",IF('Cash Flow %s Yr5'!E101="","",'Cash Flow %s Yr5'!E101*'Expenses Summary'!$V58))</f>
        <v>0</v>
      </c>
      <c r="F101" s="60">
        <f>IF('Expenses Summary'!$V58="","",IF('Cash Flow %s Yr5'!F101="","",'Cash Flow %s Yr5'!F101*'Expenses Summary'!$V58))</f>
        <v>0</v>
      </c>
      <c r="G101" s="60">
        <f>IF('Expenses Summary'!$V58="","",IF('Cash Flow %s Yr5'!G101="","",'Cash Flow %s Yr5'!G101*'Expenses Summary'!$V58))</f>
        <v>0</v>
      </c>
      <c r="H101" s="60">
        <f>IF('Expenses Summary'!$V58="","",IF('Cash Flow %s Yr5'!H101="","",'Cash Flow %s Yr5'!H101*'Expenses Summary'!$V58))</f>
        <v>0</v>
      </c>
      <c r="I101" s="60">
        <f>IF('Expenses Summary'!$V58="","",IF('Cash Flow %s Yr5'!I101="","",'Cash Flow %s Yr5'!I101*'Expenses Summary'!$V58))</f>
        <v>0</v>
      </c>
      <c r="J101" s="60">
        <f>IF('Expenses Summary'!$V58="","",IF('Cash Flow %s Yr5'!J101="","",'Cash Flow %s Yr5'!J101*'Expenses Summary'!$V58))</f>
        <v>0</v>
      </c>
      <c r="K101" s="60">
        <f>IF('Expenses Summary'!$V58="","",IF('Cash Flow %s Yr5'!K101="","",'Cash Flow %s Yr5'!K101*'Expenses Summary'!$V58))</f>
        <v>0</v>
      </c>
      <c r="L101" s="60">
        <f>IF('Expenses Summary'!$V58="","",IF('Cash Flow %s Yr5'!L101="","",'Cash Flow %s Yr5'!L101*'Expenses Summary'!$V58))</f>
        <v>0</v>
      </c>
      <c r="M101" s="60">
        <f>IF('Expenses Summary'!$V58="","",IF('Cash Flow %s Yr5'!M101="","",'Cash Flow %s Yr5'!M101*'Expenses Summary'!$V58))</f>
        <v>0</v>
      </c>
      <c r="N101" s="60">
        <f>IF('Expenses Summary'!$V58="","",IF('Cash Flow %s Yr5'!N101="","",'Cash Flow %s Yr5'!N101*'Expenses Summary'!$V58))</f>
        <v>0</v>
      </c>
      <c r="O101" s="60">
        <f>IF('Expenses Summary'!$V58="","",IF('Cash Flow %s Yr5'!O101="","",'Cash Flow %s Yr5'!O101*'Expenses Summary'!$V58))</f>
        <v>0</v>
      </c>
      <c r="P101" s="123"/>
      <c r="Q101" s="123"/>
      <c r="R101" s="123"/>
      <c r="S101" s="105"/>
    </row>
    <row r="102" spans="1:19" hidden="1" outlineLevel="1" x14ac:dyDescent="0.3">
      <c r="A102" s="35"/>
      <c r="B102" s="133">
        <f>'Expenses Summary'!B59</f>
        <v>0</v>
      </c>
      <c r="C102" s="133">
        <f>'Expenses Summary'!C59</f>
        <v>0</v>
      </c>
      <c r="D102" s="60">
        <f>IF('Expenses Summary'!$V59="","",IF('Cash Flow %s Yr5'!D102="","",'Cash Flow %s Yr5'!D102*'Expenses Summary'!$V59))</f>
        <v>0</v>
      </c>
      <c r="E102" s="60">
        <f>IF('Expenses Summary'!$V59="","",IF('Cash Flow %s Yr5'!E102="","",'Cash Flow %s Yr5'!E102*'Expenses Summary'!$V59))</f>
        <v>0</v>
      </c>
      <c r="F102" s="60">
        <f>IF('Expenses Summary'!$V59="","",IF('Cash Flow %s Yr5'!F102="","",'Cash Flow %s Yr5'!F102*'Expenses Summary'!$V59))</f>
        <v>0</v>
      </c>
      <c r="G102" s="60">
        <f>IF('Expenses Summary'!$V59="","",IF('Cash Flow %s Yr5'!G102="","",'Cash Flow %s Yr5'!G102*'Expenses Summary'!$V59))</f>
        <v>0</v>
      </c>
      <c r="H102" s="60">
        <f>IF('Expenses Summary'!$V59="","",IF('Cash Flow %s Yr5'!H102="","",'Cash Flow %s Yr5'!H102*'Expenses Summary'!$V59))</f>
        <v>0</v>
      </c>
      <c r="I102" s="60">
        <f>IF('Expenses Summary'!$V59="","",IF('Cash Flow %s Yr5'!I102="","",'Cash Flow %s Yr5'!I102*'Expenses Summary'!$V59))</f>
        <v>0</v>
      </c>
      <c r="J102" s="60">
        <f>IF('Expenses Summary'!$V59="","",IF('Cash Flow %s Yr5'!J102="","",'Cash Flow %s Yr5'!J102*'Expenses Summary'!$V59))</f>
        <v>0</v>
      </c>
      <c r="K102" s="60">
        <f>IF('Expenses Summary'!$V59="","",IF('Cash Flow %s Yr5'!K102="","",'Cash Flow %s Yr5'!K102*'Expenses Summary'!$V59))</f>
        <v>0</v>
      </c>
      <c r="L102" s="60">
        <f>IF('Expenses Summary'!$V59="","",IF('Cash Flow %s Yr5'!L102="","",'Cash Flow %s Yr5'!L102*'Expenses Summary'!$V59))</f>
        <v>0</v>
      </c>
      <c r="M102" s="60">
        <f>IF('Expenses Summary'!$V59="","",IF('Cash Flow %s Yr5'!M102="","",'Cash Flow %s Yr5'!M102*'Expenses Summary'!$V59))</f>
        <v>0</v>
      </c>
      <c r="N102" s="60">
        <f>IF('Expenses Summary'!$V59="","",IF('Cash Flow %s Yr5'!N102="","",'Cash Flow %s Yr5'!N102*'Expenses Summary'!$V59))</f>
        <v>0</v>
      </c>
      <c r="O102" s="60">
        <f>IF('Expenses Summary'!$V59="","",IF('Cash Flow %s Yr5'!O102="","",'Cash Flow %s Yr5'!O102*'Expenses Summary'!$V59))</f>
        <v>0</v>
      </c>
      <c r="P102" s="123"/>
      <c r="Q102" s="123"/>
      <c r="R102" s="123"/>
      <c r="S102" s="105"/>
    </row>
    <row r="103" spans="1:19" hidden="1" outlineLevel="1" x14ac:dyDescent="0.3">
      <c r="A103" s="35"/>
      <c r="B103" s="133">
        <f>'Expenses Summary'!B60</f>
        <v>0</v>
      </c>
      <c r="C103" s="133">
        <f>'Expenses Summary'!C60</f>
        <v>0</v>
      </c>
      <c r="D103" s="60">
        <f>IF('Expenses Summary'!$V60="","",IF('Cash Flow %s Yr5'!D103="","",'Cash Flow %s Yr5'!D103*'Expenses Summary'!$V60))</f>
        <v>0</v>
      </c>
      <c r="E103" s="60">
        <f>IF('Expenses Summary'!$V60="","",IF('Cash Flow %s Yr5'!E103="","",'Cash Flow %s Yr5'!E103*'Expenses Summary'!$V60))</f>
        <v>0</v>
      </c>
      <c r="F103" s="60">
        <f>IF('Expenses Summary'!$V60="","",IF('Cash Flow %s Yr5'!F103="","",'Cash Flow %s Yr5'!F103*'Expenses Summary'!$V60))</f>
        <v>0</v>
      </c>
      <c r="G103" s="60">
        <f>IF('Expenses Summary'!$V60="","",IF('Cash Flow %s Yr5'!G103="","",'Cash Flow %s Yr5'!G103*'Expenses Summary'!$V60))</f>
        <v>0</v>
      </c>
      <c r="H103" s="60">
        <f>IF('Expenses Summary'!$V60="","",IF('Cash Flow %s Yr5'!H103="","",'Cash Flow %s Yr5'!H103*'Expenses Summary'!$V60))</f>
        <v>0</v>
      </c>
      <c r="I103" s="60">
        <f>IF('Expenses Summary'!$V60="","",IF('Cash Flow %s Yr5'!I103="","",'Cash Flow %s Yr5'!I103*'Expenses Summary'!$V60))</f>
        <v>0</v>
      </c>
      <c r="J103" s="60">
        <f>IF('Expenses Summary'!$V60="","",IF('Cash Flow %s Yr5'!J103="","",'Cash Flow %s Yr5'!J103*'Expenses Summary'!$V60))</f>
        <v>0</v>
      </c>
      <c r="K103" s="60">
        <f>IF('Expenses Summary'!$V60="","",IF('Cash Flow %s Yr5'!K103="","",'Cash Flow %s Yr5'!K103*'Expenses Summary'!$V60))</f>
        <v>0</v>
      </c>
      <c r="L103" s="60">
        <f>IF('Expenses Summary'!$V60="","",IF('Cash Flow %s Yr5'!L103="","",'Cash Flow %s Yr5'!L103*'Expenses Summary'!$V60))</f>
        <v>0</v>
      </c>
      <c r="M103" s="60">
        <f>IF('Expenses Summary'!$V60="","",IF('Cash Flow %s Yr5'!M103="","",'Cash Flow %s Yr5'!M103*'Expenses Summary'!$V60))</f>
        <v>0</v>
      </c>
      <c r="N103" s="60">
        <f>IF('Expenses Summary'!$V60="","",IF('Cash Flow %s Yr5'!N103="","",'Cash Flow %s Yr5'!N103*'Expenses Summary'!$V60))</f>
        <v>0</v>
      </c>
      <c r="O103" s="60">
        <f>IF('Expenses Summary'!$V60="","",IF('Cash Flow %s Yr5'!O103="","",'Cash Flow %s Yr5'!O103*'Expenses Summary'!$V60))</f>
        <v>0</v>
      </c>
      <c r="P103" s="123"/>
      <c r="Q103" s="123"/>
      <c r="R103" s="123"/>
      <c r="S103" s="105"/>
    </row>
    <row r="104" spans="1:19" hidden="1" outlineLevel="1" x14ac:dyDescent="0.3">
      <c r="A104" s="35"/>
      <c r="B104" s="133">
        <f>'Expenses Summary'!B61</f>
        <v>0</v>
      </c>
      <c r="C104" s="133">
        <f>'Expenses Summary'!C61</f>
        <v>0</v>
      </c>
      <c r="D104" s="60">
        <f>IF('Expenses Summary'!$V61="","",IF('Cash Flow %s Yr5'!D104="","",'Cash Flow %s Yr5'!D104*'Expenses Summary'!$V61))</f>
        <v>0</v>
      </c>
      <c r="E104" s="60">
        <f>IF('Expenses Summary'!$V61="","",IF('Cash Flow %s Yr5'!E104="","",'Cash Flow %s Yr5'!E104*'Expenses Summary'!$V61))</f>
        <v>0</v>
      </c>
      <c r="F104" s="60">
        <f>IF('Expenses Summary'!$V61="","",IF('Cash Flow %s Yr5'!F104="","",'Cash Flow %s Yr5'!F104*'Expenses Summary'!$V61))</f>
        <v>0</v>
      </c>
      <c r="G104" s="60">
        <f>IF('Expenses Summary'!$V61="","",IF('Cash Flow %s Yr5'!G104="","",'Cash Flow %s Yr5'!G104*'Expenses Summary'!$V61))</f>
        <v>0</v>
      </c>
      <c r="H104" s="60">
        <f>IF('Expenses Summary'!$V61="","",IF('Cash Flow %s Yr5'!H104="","",'Cash Flow %s Yr5'!H104*'Expenses Summary'!$V61))</f>
        <v>0</v>
      </c>
      <c r="I104" s="60">
        <f>IF('Expenses Summary'!$V61="","",IF('Cash Flow %s Yr5'!I104="","",'Cash Flow %s Yr5'!I104*'Expenses Summary'!$V61))</f>
        <v>0</v>
      </c>
      <c r="J104" s="60">
        <f>IF('Expenses Summary'!$V61="","",IF('Cash Flow %s Yr5'!J104="","",'Cash Flow %s Yr5'!J104*'Expenses Summary'!$V61))</f>
        <v>0</v>
      </c>
      <c r="K104" s="60">
        <f>IF('Expenses Summary'!$V61="","",IF('Cash Flow %s Yr5'!K104="","",'Cash Flow %s Yr5'!K104*'Expenses Summary'!$V61))</f>
        <v>0</v>
      </c>
      <c r="L104" s="60">
        <f>IF('Expenses Summary'!$V61="","",IF('Cash Flow %s Yr5'!L104="","",'Cash Flow %s Yr5'!L104*'Expenses Summary'!$V61))</f>
        <v>0</v>
      </c>
      <c r="M104" s="60">
        <f>IF('Expenses Summary'!$V61="","",IF('Cash Flow %s Yr5'!M104="","",'Cash Flow %s Yr5'!M104*'Expenses Summary'!$V61))</f>
        <v>0</v>
      </c>
      <c r="N104" s="60">
        <f>IF('Expenses Summary'!$V61="","",IF('Cash Flow %s Yr5'!N104="","",'Cash Flow %s Yr5'!N104*'Expenses Summary'!$V61))</f>
        <v>0</v>
      </c>
      <c r="O104" s="60">
        <f>IF('Expenses Summary'!$V61="","",IF('Cash Flow %s Yr5'!O104="","",'Cash Flow %s Yr5'!O104*'Expenses Summary'!$V61))</f>
        <v>0</v>
      </c>
      <c r="P104" s="123"/>
      <c r="Q104" s="123"/>
      <c r="R104" s="123"/>
      <c r="S104" s="105"/>
    </row>
    <row r="105" spans="1:19" hidden="1" outlineLevel="1" x14ac:dyDescent="0.3">
      <c r="A105" s="35"/>
      <c r="B105" s="133">
        <f>'Expenses Summary'!B62</f>
        <v>0</v>
      </c>
      <c r="C105" s="133">
        <f>'Expenses Summary'!C62</f>
        <v>0</v>
      </c>
      <c r="D105" s="60">
        <f>IF('Expenses Summary'!$V62="","",IF('Cash Flow %s Yr5'!D105="","",'Cash Flow %s Yr5'!D105*'Expenses Summary'!$V62))</f>
        <v>0</v>
      </c>
      <c r="E105" s="60">
        <f>IF('Expenses Summary'!$V62="","",IF('Cash Flow %s Yr5'!E105="","",'Cash Flow %s Yr5'!E105*'Expenses Summary'!$V62))</f>
        <v>0</v>
      </c>
      <c r="F105" s="60">
        <f>IF('Expenses Summary'!$V62="","",IF('Cash Flow %s Yr5'!F105="","",'Cash Flow %s Yr5'!F105*'Expenses Summary'!$V62))</f>
        <v>0</v>
      </c>
      <c r="G105" s="60">
        <f>IF('Expenses Summary'!$V62="","",IF('Cash Flow %s Yr5'!G105="","",'Cash Flow %s Yr5'!G105*'Expenses Summary'!$V62))</f>
        <v>0</v>
      </c>
      <c r="H105" s="60">
        <f>IF('Expenses Summary'!$V62="","",IF('Cash Flow %s Yr5'!H105="","",'Cash Flow %s Yr5'!H105*'Expenses Summary'!$V62))</f>
        <v>0</v>
      </c>
      <c r="I105" s="60">
        <f>IF('Expenses Summary'!$V62="","",IF('Cash Flow %s Yr5'!I105="","",'Cash Flow %s Yr5'!I105*'Expenses Summary'!$V62))</f>
        <v>0</v>
      </c>
      <c r="J105" s="60">
        <f>IF('Expenses Summary'!$V62="","",IF('Cash Flow %s Yr5'!J105="","",'Cash Flow %s Yr5'!J105*'Expenses Summary'!$V62))</f>
        <v>0</v>
      </c>
      <c r="K105" s="60">
        <f>IF('Expenses Summary'!$V62="","",IF('Cash Flow %s Yr5'!K105="","",'Cash Flow %s Yr5'!K105*'Expenses Summary'!$V62))</f>
        <v>0</v>
      </c>
      <c r="L105" s="60">
        <f>IF('Expenses Summary'!$V62="","",IF('Cash Flow %s Yr5'!L105="","",'Cash Flow %s Yr5'!L105*'Expenses Summary'!$V62))</f>
        <v>0</v>
      </c>
      <c r="M105" s="60">
        <f>IF('Expenses Summary'!$V62="","",IF('Cash Flow %s Yr5'!M105="","",'Cash Flow %s Yr5'!M105*'Expenses Summary'!$V62))</f>
        <v>0</v>
      </c>
      <c r="N105" s="60">
        <f>IF('Expenses Summary'!$V62="","",IF('Cash Flow %s Yr5'!N105="","",'Cash Flow %s Yr5'!N105*'Expenses Summary'!$V62))</f>
        <v>0</v>
      </c>
      <c r="O105" s="60">
        <f>IF('Expenses Summary'!$V62="","",IF('Cash Flow %s Yr5'!O105="","",'Cash Flow %s Yr5'!O105*'Expenses Summary'!$V62))</f>
        <v>0</v>
      </c>
      <c r="P105" s="123"/>
      <c r="Q105" s="123"/>
      <c r="R105" s="123"/>
      <c r="S105" s="105"/>
    </row>
    <row r="106" spans="1:19" hidden="1" outlineLevel="1" x14ac:dyDescent="0.3">
      <c r="A106" s="35"/>
      <c r="B106" s="133">
        <f>'Expenses Summary'!B63</f>
        <v>0</v>
      </c>
      <c r="C106" s="133">
        <f>'Expenses Summary'!C63</f>
        <v>0</v>
      </c>
      <c r="D106" s="60">
        <f>IF('Expenses Summary'!$V63="","",IF('Cash Flow %s Yr5'!D106="","",'Cash Flow %s Yr5'!D106*'Expenses Summary'!$V63))</f>
        <v>0</v>
      </c>
      <c r="E106" s="60">
        <f>IF('Expenses Summary'!$V63="","",IF('Cash Flow %s Yr5'!E106="","",'Cash Flow %s Yr5'!E106*'Expenses Summary'!$V63))</f>
        <v>0</v>
      </c>
      <c r="F106" s="60">
        <f>IF('Expenses Summary'!$V63="","",IF('Cash Flow %s Yr5'!F106="","",'Cash Flow %s Yr5'!F106*'Expenses Summary'!$V63))</f>
        <v>0</v>
      </c>
      <c r="G106" s="60">
        <f>IF('Expenses Summary'!$V63="","",IF('Cash Flow %s Yr5'!G106="","",'Cash Flow %s Yr5'!G106*'Expenses Summary'!$V63))</f>
        <v>0</v>
      </c>
      <c r="H106" s="60">
        <f>IF('Expenses Summary'!$V63="","",IF('Cash Flow %s Yr5'!H106="","",'Cash Flow %s Yr5'!H106*'Expenses Summary'!$V63))</f>
        <v>0</v>
      </c>
      <c r="I106" s="60">
        <f>IF('Expenses Summary'!$V63="","",IF('Cash Flow %s Yr5'!I106="","",'Cash Flow %s Yr5'!I106*'Expenses Summary'!$V63))</f>
        <v>0</v>
      </c>
      <c r="J106" s="60">
        <f>IF('Expenses Summary'!$V63="","",IF('Cash Flow %s Yr5'!J106="","",'Cash Flow %s Yr5'!J106*'Expenses Summary'!$V63))</f>
        <v>0</v>
      </c>
      <c r="K106" s="60">
        <f>IF('Expenses Summary'!$V63="","",IF('Cash Flow %s Yr5'!K106="","",'Cash Flow %s Yr5'!K106*'Expenses Summary'!$V63))</f>
        <v>0</v>
      </c>
      <c r="L106" s="60">
        <f>IF('Expenses Summary'!$V63="","",IF('Cash Flow %s Yr5'!L106="","",'Cash Flow %s Yr5'!L106*'Expenses Summary'!$V63))</f>
        <v>0</v>
      </c>
      <c r="M106" s="60">
        <f>IF('Expenses Summary'!$V63="","",IF('Cash Flow %s Yr5'!M106="","",'Cash Flow %s Yr5'!M106*'Expenses Summary'!$V63))</f>
        <v>0</v>
      </c>
      <c r="N106" s="60">
        <f>IF('Expenses Summary'!$V63="","",IF('Cash Flow %s Yr5'!N106="","",'Cash Flow %s Yr5'!N106*'Expenses Summary'!$V63))</f>
        <v>0</v>
      </c>
      <c r="O106" s="60">
        <f>IF('Expenses Summary'!$V63="","",IF('Cash Flow %s Yr5'!O106="","",'Cash Flow %s Yr5'!O106*'Expenses Summary'!$V63))</f>
        <v>0</v>
      </c>
      <c r="P106" s="123"/>
      <c r="Q106" s="123"/>
      <c r="R106" s="123"/>
      <c r="S106" s="105"/>
    </row>
    <row r="107" spans="1:19" s="30" customFormat="1" collapsed="1" x14ac:dyDescent="0.3">
      <c r="A107" s="35"/>
      <c r="B107" s="133" t="str">
        <f>'Expenses Summary'!B64</f>
        <v>4700</v>
      </c>
      <c r="C107" s="133" t="str">
        <f>'Expenses Summary'!C64</f>
        <v>Food and Food Supplies</v>
      </c>
      <c r="D107" s="60">
        <f>IF('Expenses Summary'!$V64="","",IF('Cash Flow %s Yr5'!D107="","",'Cash Flow %s Yr5'!D107*'Expenses Summary'!$V64))</f>
        <v>0</v>
      </c>
      <c r="E107" s="60">
        <f>IF('Expenses Summary'!$V64="","",IF('Cash Flow %s Yr5'!E107="","",'Cash Flow %s Yr5'!E107*'Expenses Summary'!$V64))</f>
        <v>0</v>
      </c>
      <c r="F107" s="60">
        <f>IF('Expenses Summary'!$V64="","",IF('Cash Flow %s Yr5'!F107="","",'Cash Flow %s Yr5'!F107*'Expenses Summary'!$V64))</f>
        <v>2855.4575761920005</v>
      </c>
      <c r="G107" s="60">
        <f>IF('Expenses Summary'!$V64="","",IF('Cash Flow %s Yr5'!G107="","",'Cash Flow %s Yr5'!G107*'Expenses Summary'!$V64))</f>
        <v>2855.4575761920005</v>
      </c>
      <c r="H107" s="60">
        <f>IF('Expenses Summary'!$V64="","",IF('Cash Flow %s Yr5'!H107="","",'Cash Flow %s Yr5'!H107*'Expenses Summary'!$V64))</f>
        <v>2855.4575761920005</v>
      </c>
      <c r="I107" s="60">
        <f>IF('Expenses Summary'!$V64="","",IF('Cash Flow %s Yr5'!I107="","",'Cash Flow %s Yr5'!I107*'Expenses Summary'!$V64))</f>
        <v>2855.4575761920005</v>
      </c>
      <c r="J107" s="60">
        <f>IF('Expenses Summary'!$V64="","",IF('Cash Flow %s Yr5'!J107="","",'Cash Flow %s Yr5'!J107*'Expenses Summary'!$V64))</f>
        <v>2855.4575761920005</v>
      </c>
      <c r="K107" s="60">
        <f>IF('Expenses Summary'!$V64="","",IF('Cash Flow %s Yr5'!K107="","",'Cash Flow %s Yr5'!K107*'Expenses Summary'!$V64))</f>
        <v>2855.4575761920005</v>
      </c>
      <c r="L107" s="60">
        <f>IF('Expenses Summary'!$V64="","",IF('Cash Flow %s Yr5'!L107="","",'Cash Flow %s Yr5'!L107*'Expenses Summary'!$V64))</f>
        <v>2855.4575761920005</v>
      </c>
      <c r="M107" s="60">
        <f>IF('Expenses Summary'!$V64="","",IF('Cash Flow %s Yr5'!M107="","",'Cash Flow %s Yr5'!M107*'Expenses Summary'!$V64))</f>
        <v>2855.4575761920005</v>
      </c>
      <c r="N107" s="60">
        <f>IF('Expenses Summary'!$V64="","",IF('Cash Flow %s Yr5'!N107="","",'Cash Flow %s Yr5'!N107*'Expenses Summary'!$V64))</f>
        <v>2855.4575761920005</v>
      </c>
      <c r="O107" s="60">
        <f>IF('Expenses Summary'!$V64="","",IF('Cash Flow %s Yr5'!O107="","",'Cash Flow %s Yr5'!O107*'Expenses Summary'!$V64))</f>
        <v>2855.4575761920005</v>
      </c>
      <c r="P107" s="123"/>
      <c r="Q107" s="123"/>
      <c r="R107" s="123"/>
      <c r="S107" s="105">
        <f>IF(SUM(D107:R107)&gt;0,SUM(D107:R107)/'Expenses Summary'!$V64,"")</f>
        <v>0.99999999999999989</v>
      </c>
    </row>
    <row r="108" spans="1:19" s="30" customFormat="1" x14ac:dyDescent="0.3">
      <c r="A108" s="35"/>
      <c r="B108" s="32" t="s">
        <v>558</v>
      </c>
      <c r="C108" s="33" t="s">
        <v>720</v>
      </c>
      <c r="D108" s="165">
        <f t="shared" ref="D108:O108" si="9">IF(SUM(D90:D107)&gt;0,SUM(D90:D107),"")</f>
        <v>3958.0156415345673</v>
      </c>
      <c r="E108" s="165">
        <f t="shared" si="9"/>
        <v>4056.858403787367</v>
      </c>
      <c r="F108" s="165">
        <f t="shared" si="9"/>
        <v>8120.3941852913676</v>
      </c>
      <c r="G108" s="165">
        <f t="shared" si="9"/>
        <v>8120.3941852913676</v>
      </c>
      <c r="H108" s="165">
        <f t="shared" si="9"/>
        <v>8120.3941852913676</v>
      </c>
      <c r="I108" s="165">
        <f t="shared" si="9"/>
        <v>8120.3941852913676</v>
      </c>
      <c r="J108" s="165">
        <f t="shared" si="9"/>
        <v>8120.3941852913676</v>
      </c>
      <c r="K108" s="165">
        <f t="shared" si="9"/>
        <v>8120.3941852913676</v>
      </c>
      <c r="L108" s="165">
        <f t="shared" si="9"/>
        <v>8132.7385480438288</v>
      </c>
      <c r="M108" s="165">
        <f t="shared" si="9"/>
        <v>8132.7385480438288</v>
      </c>
      <c r="N108" s="165">
        <f t="shared" si="9"/>
        <v>5837.3899579510289</v>
      </c>
      <c r="O108" s="165">
        <f t="shared" si="9"/>
        <v>5738.5471956982292</v>
      </c>
      <c r="P108" s="102"/>
      <c r="Q108" s="102"/>
      <c r="R108" s="102"/>
      <c r="S108" s="101"/>
    </row>
    <row r="109" spans="1:19" s="30" customFormat="1" x14ac:dyDescent="0.3">
      <c r="A109" s="35"/>
      <c r="B109" s="4"/>
      <c r="C109" s="3"/>
      <c r="D109" s="89"/>
      <c r="E109" s="89"/>
      <c r="F109" s="89"/>
      <c r="G109" s="89"/>
      <c r="H109" s="89"/>
      <c r="I109" s="89"/>
      <c r="J109" s="89"/>
      <c r="K109" s="89"/>
      <c r="L109" s="89"/>
      <c r="M109" s="89"/>
      <c r="N109" s="89"/>
      <c r="O109" s="89"/>
      <c r="P109" s="89"/>
      <c r="Q109" s="89"/>
      <c r="R109" s="89"/>
    </row>
    <row r="110" spans="1:19" s="30" customFormat="1" x14ac:dyDescent="0.3">
      <c r="B110" s="5" t="s">
        <v>721</v>
      </c>
      <c r="C110" s="3"/>
      <c r="D110" s="89"/>
      <c r="E110" s="89"/>
      <c r="F110" s="89"/>
      <c r="G110" s="89"/>
      <c r="H110" s="89"/>
      <c r="I110" s="89"/>
      <c r="J110" s="89"/>
      <c r="K110" s="89"/>
      <c r="L110" s="89"/>
      <c r="M110" s="89"/>
      <c r="N110" s="89"/>
      <c r="O110" s="89"/>
      <c r="P110" s="89"/>
      <c r="Q110" s="89"/>
      <c r="R110" s="89"/>
    </row>
    <row r="111" spans="1:19" s="30" customFormat="1" x14ac:dyDescent="0.3">
      <c r="A111" s="35"/>
      <c r="B111" s="133" t="str">
        <f>'Expenses Summary'!B68</f>
        <v>5200</v>
      </c>
      <c r="C111" s="133" t="str">
        <f>'Expenses Summary'!C68</f>
        <v>Travel and Conferences</v>
      </c>
      <c r="D111" s="60">
        <f>IF('Expenses Summary'!$V68="","",IF('Cash Flow %s Yr5'!D111="","",'Cash Flow %s Yr5'!D111*'Expenses Summary'!$V68))</f>
        <v>0</v>
      </c>
      <c r="E111" s="60">
        <f>IF('Expenses Summary'!$V68="","",IF('Cash Flow %s Yr5'!E111="","",'Cash Flow %s Yr5'!E111*'Expenses Summary'!$V68))</f>
        <v>0</v>
      </c>
      <c r="F111" s="60">
        <f>IF('Expenses Summary'!$V68="","",IF('Cash Flow %s Yr5'!F111="","",'Cash Flow %s Yr5'!F111*'Expenses Summary'!$V68))</f>
        <v>508.05179797939206</v>
      </c>
      <c r="G111" s="60">
        <f>IF('Expenses Summary'!$V68="","",IF('Cash Flow %s Yr5'!G111="","",'Cash Flow %s Yr5'!G111*'Expenses Summary'!$V68))</f>
        <v>169.35059932646402</v>
      </c>
      <c r="H111" s="60">
        <f>IF('Expenses Summary'!$V68="","",IF('Cash Flow %s Yr5'!H111="","",'Cash Flow %s Yr5'!H111*'Expenses Summary'!$V68))</f>
        <v>169.35059932646402</v>
      </c>
      <c r="I111" s="60">
        <f>IF('Expenses Summary'!$V68="","",IF('Cash Flow %s Yr5'!I111="","",'Cash Flow %s Yr5'!I111*'Expenses Summary'!$V68))</f>
        <v>169.35059932646402</v>
      </c>
      <c r="J111" s="60">
        <f>IF('Expenses Summary'!$V68="","",IF('Cash Flow %s Yr5'!J111="","",'Cash Flow %s Yr5'!J111*'Expenses Summary'!$V68))</f>
        <v>169.35059932646402</v>
      </c>
      <c r="K111" s="60">
        <f>IF('Expenses Summary'!$V68="","",IF('Cash Flow %s Yr5'!K111="","",'Cash Flow %s Yr5'!K111*'Expenses Summary'!$V68))</f>
        <v>169.35059932646402</v>
      </c>
      <c r="L111" s="60">
        <f>IF('Expenses Summary'!$V68="","",IF('Cash Flow %s Yr5'!L111="","",'Cash Flow %s Yr5'!L111*'Expenses Summary'!$V68))</f>
        <v>169.35059932646402</v>
      </c>
      <c r="M111" s="60">
        <f>IF('Expenses Summary'!$V68="","",IF('Cash Flow %s Yr5'!M111="","",'Cash Flow %s Yr5'!M111*'Expenses Summary'!$V68))</f>
        <v>169.35059932646402</v>
      </c>
      <c r="N111" s="60">
        <f>IF('Expenses Summary'!$V68="","",IF('Cash Flow %s Yr5'!N111="","",'Cash Flow %s Yr5'!N111*'Expenses Summary'!$V68))</f>
        <v>0</v>
      </c>
      <c r="O111" s="60">
        <f>IF('Expenses Summary'!$V68="","",IF('Cash Flow %s Yr5'!O111="","",'Cash Flow %s Yr5'!O111*'Expenses Summary'!$V68))</f>
        <v>0</v>
      </c>
      <c r="P111" s="123"/>
      <c r="Q111" s="123"/>
      <c r="R111" s="123"/>
      <c r="S111" s="105">
        <f>IF(SUM(D111:R111)&gt;0,SUM(D111:R111)/'Expenses Summary'!$V68,"")</f>
        <v>0.99999999999999989</v>
      </c>
    </row>
    <row r="112" spans="1:19" s="30" customFormat="1" x14ac:dyDescent="0.3">
      <c r="A112" s="35"/>
      <c r="B112" s="133" t="str">
        <f>'Expenses Summary'!B69</f>
        <v>5210</v>
      </c>
      <c r="C112" s="133" t="str">
        <f>'Expenses Summary'!C69</f>
        <v>Training and Development Expense</v>
      </c>
      <c r="D112" s="60">
        <f>IF('Expenses Summary'!$V69="","",IF('Cash Flow %s Yr5'!D112="","",'Cash Flow %s Yr5'!D112*'Expenses Summary'!$V69))</f>
        <v>0</v>
      </c>
      <c r="E112" s="60">
        <f>IF('Expenses Summary'!$V69="","",IF('Cash Flow %s Yr5'!E112="","",'Cash Flow %s Yr5'!E112*'Expenses Summary'!$V69))</f>
        <v>0</v>
      </c>
      <c r="F112" s="60">
        <f>IF('Expenses Summary'!$V69="","",IF('Cash Flow %s Yr5'!F112="","",'Cash Flow %s Yr5'!F112*'Expenses Summary'!$V69))</f>
        <v>1693.5059932646402</v>
      </c>
      <c r="G112" s="60">
        <f>IF('Expenses Summary'!$V69="","",IF('Cash Flow %s Yr5'!G112="","",'Cash Flow %s Yr5'!G112*'Expenses Summary'!$V69))</f>
        <v>564.50199775488011</v>
      </c>
      <c r="H112" s="60">
        <f>IF('Expenses Summary'!$V69="","",IF('Cash Flow %s Yr5'!H112="","",'Cash Flow %s Yr5'!H112*'Expenses Summary'!$V69))</f>
        <v>564.50199775488011</v>
      </c>
      <c r="I112" s="60">
        <f>IF('Expenses Summary'!$V69="","",IF('Cash Flow %s Yr5'!I112="","",'Cash Flow %s Yr5'!I112*'Expenses Summary'!$V69))</f>
        <v>564.50199775488011</v>
      </c>
      <c r="J112" s="60">
        <f>IF('Expenses Summary'!$V69="","",IF('Cash Flow %s Yr5'!J112="","",'Cash Flow %s Yr5'!J112*'Expenses Summary'!$V69))</f>
        <v>564.50199775488011</v>
      </c>
      <c r="K112" s="60">
        <f>IF('Expenses Summary'!$V69="","",IF('Cash Flow %s Yr5'!K112="","",'Cash Flow %s Yr5'!K112*'Expenses Summary'!$V69))</f>
        <v>564.50199775488011</v>
      </c>
      <c r="L112" s="60">
        <f>IF('Expenses Summary'!$V69="","",IF('Cash Flow %s Yr5'!L112="","",'Cash Flow %s Yr5'!L112*'Expenses Summary'!$V69))</f>
        <v>564.50199775488011</v>
      </c>
      <c r="M112" s="60">
        <f>IF('Expenses Summary'!$V69="","",IF('Cash Flow %s Yr5'!M112="","",'Cash Flow %s Yr5'!M112*'Expenses Summary'!$V69))</f>
        <v>564.50199775488011</v>
      </c>
      <c r="N112" s="60">
        <f>IF('Expenses Summary'!$V69="","",IF('Cash Flow %s Yr5'!N112="","",'Cash Flow %s Yr5'!N112*'Expenses Summary'!$V69))</f>
        <v>0</v>
      </c>
      <c r="O112" s="60">
        <f>IF('Expenses Summary'!$V69="","",IF('Cash Flow %s Yr5'!O112="","",'Cash Flow %s Yr5'!O112*'Expenses Summary'!$V69))</f>
        <v>0</v>
      </c>
      <c r="P112" s="123"/>
      <c r="Q112" s="123"/>
      <c r="R112" s="123"/>
      <c r="S112" s="105">
        <f>IF(SUM(D112:R112)&gt;0,SUM(D112:R112)/'Expenses Summary'!$V69,"")</f>
        <v>1</v>
      </c>
    </row>
    <row r="113" spans="1:19" s="30" customFormat="1" x14ac:dyDescent="0.3">
      <c r="A113" s="35"/>
      <c r="B113" s="133" t="str">
        <f>'Expenses Summary'!B70</f>
        <v>5300</v>
      </c>
      <c r="C113" s="133" t="str">
        <f>'Expenses Summary'!C70</f>
        <v>Dues and Memberships</v>
      </c>
      <c r="D113" s="60">
        <f>IF('Expenses Summary'!$V70="","",IF('Cash Flow %s Yr5'!D113="","",'Cash Flow %s Yr5'!D113*'Expenses Summary'!$V70))</f>
        <v>0</v>
      </c>
      <c r="E113" s="60">
        <f>IF('Expenses Summary'!$V70="","",IF('Cash Flow %s Yr5'!E113="","",'Cash Flow %s Yr5'!E113*'Expenses Summary'!$V70))</f>
        <v>0</v>
      </c>
      <c r="F113" s="60">
        <f>IF('Expenses Summary'!$V70="","",IF('Cash Flow %s Yr5'!F113="","",'Cash Flow %s Yr5'!F113*'Expenses Summary'!$V70))</f>
        <v>3387.0119865292804</v>
      </c>
      <c r="G113" s="60">
        <f>IF('Expenses Summary'!$V70="","",IF('Cash Flow %s Yr5'!G113="","",'Cash Flow %s Yr5'!G113*'Expenses Summary'!$V70))</f>
        <v>1129.0039955097602</v>
      </c>
      <c r="H113" s="60">
        <f>IF('Expenses Summary'!$V70="","",IF('Cash Flow %s Yr5'!H113="","",'Cash Flow %s Yr5'!H113*'Expenses Summary'!$V70))</f>
        <v>1129.0039955097602</v>
      </c>
      <c r="I113" s="60">
        <f>IF('Expenses Summary'!$V70="","",IF('Cash Flow %s Yr5'!I113="","",'Cash Flow %s Yr5'!I113*'Expenses Summary'!$V70))</f>
        <v>1129.0039955097602</v>
      </c>
      <c r="J113" s="60">
        <f>IF('Expenses Summary'!$V70="","",IF('Cash Flow %s Yr5'!J113="","",'Cash Flow %s Yr5'!J113*'Expenses Summary'!$V70))</f>
        <v>1129.0039955097602</v>
      </c>
      <c r="K113" s="60">
        <f>IF('Expenses Summary'!$V70="","",IF('Cash Flow %s Yr5'!K113="","",'Cash Flow %s Yr5'!K113*'Expenses Summary'!$V70))</f>
        <v>1129.0039955097602</v>
      </c>
      <c r="L113" s="60">
        <f>IF('Expenses Summary'!$V70="","",IF('Cash Flow %s Yr5'!L113="","",'Cash Flow %s Yr5'!L113*'Expenses Summary'!$V70))</f>
        <v>1129.0039955097602</v>
      </c>
      <c r="M113" s="60">
        <f>IF('Expenses Summary'!$V70="","",IF('Cash Flow %s Yr5'!M113="","",'Cash Flow %s Yr5'!M113*'Expenses Summary'!$V70))</f>
        <v>1129.0039955097602</v>
      </c>
      <c r="N113" s="60">
        <f>IF('Expenses Summary'!$V70="","",IF('Cash Flow %s Yr5'!N113="","",'Cash Flow %s Yr5'!N113*'Expenses Summary'!$V70))</f>
        <v>0</v>
      </c>
      <c r="O113" s="60">
        <f>IF('Expenses Summary'!$V70="","",IF('Cash Flow %s Yr5'!O113="","",'Cash Flow %s Yr5'!O113*'Expenses Summary'!$V70))</f>
        <v>0</v>
      </c>
      <c r="P113" s="123"/>
      <c r="Q113" s="123"/>
      <c r="R113" s="123"/>
      <c r="S113" s="105">
        <f>IF(SUM(D113:R113)&gt;0,SUM(D113:R113)/'Expenses Summary'!$V70,"")</f>
        <v>1</v>
      </c>
    </row>
    <row r="114" spans="1:19" s="30" customFormat="1" x14ac:dyDescent="0.3">
      <c r="A114" s="35"/>
      <c r="B114" s="133" t="str">
        <f>'Expenses Summary'!B71</f>
        <v>5400</v>
      </c>
      <c r="C114" s="133" t="str">
        <f>'Expenses Summary'!C71</f>
        <v>Insurance</v>
      </c>
      <c r="D114" s="60">
        <f>IF('Expenses Summary'!$V71="","",IF('Cash Flow %s Yr5'!D114="","",'Cash Flow %s Yr5'!D114*'Expenses Summary'!$V71))</f>
        <v>0</v>
      </c>
      <c r="E114" s="60">
        <f>IF('Expenses Summary'!$V71="","",IF('Cash Flow %s Yr5'!E114="","",'Cash Flow %s Yr5'!E114*'Expenses Summary'!$V71))</f>
        <v>0</v>
      </c>
      <c r="F114" s="60">
        <f>IF('Expenses Summary'!$V71="","",IF('Cash Flow %s Yr5'!F114="","",'Cash Flow %s Yr5'!F114*'Expenses Summary'!$V71))</f>
        <v>7907.4209802240011</v>
      </c>
      <c r="G114" s="60">
        <f>IF('Expenses Summary'!$V71="","",IF('Cash Flow %s Yr5'!G114="","",'Cash Flow %s Yr5'!G114*'Expenses Summary'!$V71))</f>
        <v>2635.8069934080008</v>
      </c>
      <c r="H114" s="60">
        <f>IF('Expenses Summary'!$V71="","",IF('Cash Flow %s Yr5'!H114="","",'Cash Flow %s Yr5'!H114*'Expenses Summary'!$V71))</f>
        <v>2635.8069934080008</v>
      </c>
      <c r="I114" s="60">
        <f>IF('Expenses Summary'!$V71="","",IF('Cash Flow %s Yr5'!I114="","",'Cash Flow %s Yr5'!I114*'Expenses Summary'!$V71))</f>
        <v>2635.8069934080008</v>
      </c>
      <c r="J114" s="60">
        <f>IF('Expenses Summary'!$V71="","",IF('Cash Flow %s Yr5'!J114="","",'Cash Flow %s Yr5'!J114*'Expenses Summary'!$V71))</f>
        <v>2635.8069934080008</v>
      </c>
      <c r="K114" s="60">
        <f>IF('Expenses Summary'!$V71="","",IF('Cash Flow %s Yr5'!K114="","",'Cash Flow %s Yr5'!K114*'Expenses Summary'!$V71))</f>
        <v>2635.8069934080008</v>
      </c>
      <c r="L114" s="60">
        <f>IF('Expenses Summary'!$V71="","",IF('Cash Flow %s Yr5'!L114="","",'Cash Flow %s Yr5'!L114*'Expenses Summary'!$V71))</f>
        <v>2635.8069934080008</v>
      </c>
      <c r="M114" s="60">
        <f>IF('Expenses Summary'!$V71="","",IF('Cash Flow %s Yr5'!M114="","",'Cash Flow %s Yr5'!M114*'Expenses Summary'!$V71))</f>
        <v>2635.8069934080008</v>
      </c>
      <c r="N114" s="60">
        <f>IF('Expenses Summary'!$V71="","",IF('Cash Flow %s Yr5'!N114="","",'Cash Flow %s Yr5'!N114*'Expenses Summary'!$V71))</f>
        <v>0</v>
      </c>
      <c r="O114" s="60">
        <f>IF('Expenses Summary'!$V71="","",IF('Cash Flow %s Yr5'!O114="","",'Cash Flow %s Yr5'!O114*'Expenses Summary'!$V71))</f>
        <v>0</v>
      </c>
      <c r="P114" s="123"/>
      <c r="Q114" s="123"/>
      <c r="R114" s="123"/>
      <c r="S114" s="105">
        <f>IF(SUM(D114:R114)&gt;0,SUM(D114:R114)/'Expenses Summary'!$V71,"")</f>
        <v>1.0000000000000002</v>
      </c>
    </row>
    <row r="115" spans="1:19" s="30" customFormat="1" x14ac:dyDescent="0.3">
      <c r="A115" s="35"/>
      <c r="B115" s="133" t="str">
        <f>'Expenses Summary'!B72</f>
        <v>5450</v>
      </c>
      <c r="C115" s="133" t="str">
        <f>'Expenses Summary'!C72</f>
        <v>Property Tax</v>
      </c>
      <c r="D115" s="60">
        <f>IF('Expenses Summary'!$V72="","",IF('Cash Flow %s Yr5'!D115="","",'Cash Flow %s Yr5'!D115*'Expenses Summary'!$V72))</f>
        <v>0</v>
      </c>
      <c r="E115" s="60">
        <f>IF('Expenses Summary'!$V72="","",IF('Cash Flow %s Yr5'!E115="","",'Cash Flow %s Yr5'!E115*'Expenses Summary'!$V72))</f>
        <v>0</v>
      </c>
      <c r="F115" s="60">
        <f>IF('Expenses Summary'!$V72="","",IF('Cash Flow %s Yr5'!F115="","",'Cash Flow %s Yr5'!F115*'Expenses Summary'!$V72))</f>
        <v>0</v>
      </c>
      <c r="G115" s="60">
        <f>IF('Expenses Summary'!$V72="","",IF('Cash Flow %s Yr5'!G115="","",'Cash Flow %s Yr5'!G115*'Expenses Summary'!$V72))</f>
        <v>0</v>
      </c>
      <c r="H115" s="60">
        <f>IF('Expenses Summary'!$V72="","",IF('Cash Flow %s Yr5'!H115="","",'Cash Flow %s Yr5'!H115*'Expenses Summary'!$V72))</f>
        <v>0</v>
      </c>
      <c r="I115" s="60">
        <f>IF('Expenses Summary'!$V72="","",IF('Cash Flow %s Yr5'!I115="","",'Cash Flow %s Yr5'!I115*'Expenses Summary'!$V72))</f>
        <v>0</v>
      </c>
      <c r="J115" s="60">
        <f>IF('Expenses Summary'!$V72="","",IF('Cash Flow %s Yr5'!J115="","",'Cash Flow %s Yr5'!J115*'Expenses Summary'!$V72))</f>
        <v>0</v>
      </c>
      <c r="K115" s="60">
        <f>IF('Expenses Summary'!$V72="","",IF('Cash Flow %s Yr5'!K115="","",'Cash Flow %s Yr5'!K115*'Expenses Summary'!$V72))</f>
        <v>0</v>
      </c>
      <c r="L115" s="60">
        <f>IF('Expenses Summary'!$V72="","",IF('Cash Flow %s Yr5'!L115="","",'Cash Flow %s Yr5'!L115*'Expenses Summary'!$V72))</f>
        <v>0</v>
      </c>
      <c r="M115" s="60">
        <f>IF('Expenses Summary'!$V72="","",IF('Cash Flow %s Yr5'!M115="","",'Cash Flow %s Yr5'!M115*'Expenses Summary'!$V72))</f>
        <v>0</v>
      </c>
      <c r="N115" s="60">
        <f>IF('Expenses Summary'!$V72="","",IF('Cash Flow %s Yr5'!N115="","",'Cash Flow %s Yr5'!N115*'Expenses Summary'!$V72))</f>
        <v>0</v>
      </c>
      <c r="O115" s="60">
        <f>IF('Expenses Summary'!$V72="","",IF('Cash Flow %s Yr5'!O115="","",'Cash Flow %s Yr5'!O115*'Expenses Summary'!$V72))</f>
        <v>0</v>
      </c>
      <c r="P115" s="123"/>
      <c r="Q115" s="123"/>
      <c r="R115" s="123"/>
      <c r="S115" s="105" t="str">
        <f>IF(SUM(D115:R115)&gt;0,SUM(D115:R115)/'Expenses Summary'!$V72,"")</f>
        <v/>
      </c>
    </row>
    <row r="116" spans="1:19" s="30" customFormat="1" x14ac:dyDescent="0.3">
      <c r="A116" s="35"/>
      <c r="B116" s="133" t="str">
        <f>'Expenses Summary'!B73</f>
        <v>5500</v>
      </c>
      <c r="C116" s="133" t="str">
        <f>'Expenses Summary'!C73</f>
        <v>Operation and Housekeeping Services/Supplies</v>
      </c>
      <c r="D116" s="60">
        <f>IF('Expenses Summary'!$V73="","",IF('Cash Flow %s Yr5'!D116="","",'Cash Flow %s Yr5'!D116*'Expenses Summary'!$V73))</f>
        <v>1823.0998371072003</v>
      </c>
      <c r="E116" s="60">
        <f>IF('Expenses Summary'!$V73="","",IF('Cash Flow %s Yr5'!E116="","",'Cash Flow %s Yr5'!E116*'Expenses Summary'!$V73))</f>
        <v>1823.0998371072003</v>
      </c>
      <c r="F116" s="60">
        <f>IF('Expenses Summary'!$V73="","",IF('Cash Flow %s Yr5'!F116="","",'Cash Flow %s Yr5'!F116*'Expenses Summary'!$V73))</f>
        <v>1823.0998371072003</v>
      </c>
      <c r="G116" s="60">
        <f>IF('Expenses Summary'!$V73="","",IF('Cash Flow %s Yr5'!G116="","",'Cash Flow %s Yr5'!G116*'Expenses Summary'!$V73))</f>
        <v>1823.0998371072003</v>
      </c>
      <c r="H116" s="60">
        <f>IF('Expenses Summary'!$V73="","",IF('Cash Flow %s Yr5'!H116="","",'Cash Flow %s Yr5'!H116*'Expenses Summary'!$V73))</f>
        <v>1823.0998371072003</v>
      </c>
      <c r="I116" s="60">
        <f>IF('Expenses Summary'!$V73="","",IF('Cash Flow %s Yr5'!I116="","",'Cash Flow %s Yr5'!I116*'Expenses Summary'!$V73))</f>
        <v>1823.0998371072003</v>
      </c>
      <c r="J116" s="60">
        <f>IF('Expenses Summary'!$V73="","",IF('Cash Flow %s Yr5'!J116="","",'Cash Flow %s Yr5'!J116*'Expenses Summary'!$V73))</f>
        <v>1823.0998371072003</v>
      </c>
      <c r="K116" s="60">
        <f>IF('Expenses Summary'!$V73="","",IF('Cash Flow %s Yr5'!K116="","",'Cash Flow %s Yr5'!K116*'Expenses Summary'!$V73))</f>
        <v>1823.0998371072003</v>
      </c>
      <c r="L116" s="60">
        <f>IF('Expenses Summary'!$V73="","",IF('Cash Flow %s Yr5'!L116="","",'Cash Flow %s Yr5'!L116*'Expenses Summary'!$V73))</f>
        <v>1845.0648953856005</v>
      </c>
      <c r="M116" s="60">
        <f>IF('Expenses Summary'!$V73="","",IF('Cash Flow %s Yr5'!M116="","",'Cash Flow %s Yr5'!M116*'Expenses Summary'!$V73))</f>
        <v>1845.0648953856005</v>
      </c>
      <c r="N116" s="60">
        <f>IF('Expenses Summary'!$V73="","",IF('Cash Flow %s Yr5'!N116="","",'Cash Flow %s Yr5'!N116*'Expenses Summary'!$V73))</f>
        <v>1845.0648953856005</v>
      </c>
      <c r="O116" s="60">
        <f>IF('Expenses Summary'!$V73="","",IF('Cash Flow %s Yr5'!O116="","",'Cash Flow %s Yr5'!O116*'Expenses Summary'!$V73))</f>
        <v>1845.0648953856005</v>
      </c>
      <c r="P116" s="123"/>
      <c r="Q116" s="123"/>
      <c r="R116" s="123"/>
      <c r="S116" s="105">
        <f>IF(SUM(D116:R116)&gt;0,SUM(D116:R116)/'Expenses Summary'!$V73,"")</f>
        <v>1</v>
      </c>
    </row>
    <row r="117" spans="1:19" s="30" customFormat="1" x14ac:dyDescent="0.3">
      <c r="A117" s="35"/>
      <c r="B117" s="133" t="str">
        <f>'Expenses Summary'!B74</f>
        <v>5501</v>
      </c>
      <c r="C117" s="133" t="str">
        <f>'Expenses Summary'!C74</f>
        <v>Utilities</v>
      </c>
      <c r="D117" s="60">
        <f>IF('Expenses Summary'!$V74="","",IF('Cash Flow %s Yr5'!D117="","",'Cash Flow %s Yr5'!D117*'Expenses Summary'!$V74))</f>
        <v>0</v>
      </c>
      <c r="E117" s="60">
        <f>IF('Expenses Summary'!$V74="","",IF('Cash Flow %s Yr5'!E117="","",'Cash Flow %s Yr5'!E117*'Expenses Summary'!$V74))</f>
        <v>0</v>
      </c>
      <c r="F117" s="60">
        <f>IF('Expenses Summary'!$V74="","",IF('Cash Flow %s Yr5'!F117="","",'Cash Flow %s Yr5'!F117*'Expenses Summary'!$V74))</f>
        <v>0</v>
      </c>
      <c r="G117" s="60">
        <f>IF('Expenses Summary'!$V74="","",IF('Cash Flow %s Yr5'!G117="","",'Cash Flow %s Yr5'!G117*'Expenses Summary'!$V74))</f>
        <v>0</v>
      </c>
      <c r="H117" s="60">
        <f>IF('Expenses Summary'!$V74="","",IF('Cash Flow %s Yr5'!H117="","",'Cash Flow %s Yr5'!H117*'Expenses Summary'!$V74))</f>
        <v>0</v>
      </c>
      <c r="I117" s="60">
        <f>IF('Expenses Summary'!$V74="","",IF('Cash Flow %s Yr5'!I117="","",'Cash Flow %s Yr5'!I117*'Expenses Summary'!$V74))</f>
        <v>0</v>
      </c>
      <c r="J117" s="60">
        <f>IF('Expenses Summary'!$V74="","",IF('Cash Flow %s Yr5'!J117="","",'Cash Flow %s Yr5'!J117*'Expenses Summary'!$V74))</f>
        <v>0</v>
      </c>
      <c r="K117" s="60">
        <f>IF('Expenses Summary'!$V74="","",IF('Cash Flow %s Yr5'!K117="","",'Cash Flow %s Yr5'!K117*'Expenses Summary'!$V74))</f>
        <v>0</v>
      </c>
      <c r="L117" s="60">
        <f>IF('Expenses Summary'!$V74="","",IF('Cash Flow %s Yr5'!L117="","",'Cash Flow %s Yr5'!L117*'Expenses Summary'!$V74))</f>
        <v>0</v>
      </c>
      <c r="M117" s="60">
        <f>IF('Expenses Summary'!$V74="","",IF('Cash Flow %s Yr5'!M117="","",'Cash Flow %s Yr5'!M117*'Expenses Summary'!$V74))</f>
        <v>0</v>
      </c>
      <c r="N117" s="60">
        <f>IF('Expenses Summary'!$V74="","",IF('Cash Flow %s Yr5'!N117="","",'Cash Flow %s Yr5'!N117*'Expenses Summary'!$V74))</f>
        <v>0</v>
      </c>
      <c r="O117" s="60">
        <f>IF('Expenses Summary'!$V74="","",IF('Cash Flow %s Yr5'!O117="","",'Cash Flow %s Yr5'!O117*'Expenses Summary'!$V74))</f>
        <v>0</v>
      </c>
      <c r="P117" s="123"/>
      <c r="Q117" s="123"/>
      <c r="R117" s="123"/>
      <c r="S117" s="105" t="str">
        <f>IF(SUM(D117:R117)&gt;0,SUM(D117:R117)/'Expenses Summary'!$V74,"")</f>
        <v/>
      </c>
    </row>
    <row r="118" spans="1:19" s="30" customFormat="1" x14ac:dyDescent="0.3">
      <c r="A118" s="35"/>
      <c r="B118" s="133" t="str">
        <f>'Expenses Summary'!B75</f>
        <v>5505</v>
      </c>
      <c r="C118" s="133" t="str">
        <f>'Expenses Summary'!C75</f>
        <v>Student Transportation / Field Trips</v>
      </c>
      <c r="D118" s="60">
        <f>IF('Expenses Summary'!$V75="","",IF('Cash Flow %s Yr5'!D118="","",'Cash Flow %s Yr5'!D118*'Expenses Summary'!$V75))</f>
        <v>0</v>
      </c>
      <c r="E118" s="60">
        <f>IF('Expenses Summary'!$V75="","",IF('Cash Flow %s Yr5'!E118="","",'Cash Flow %s Yr5'!E118*'Expenses Summary'!$V75))</f>
        <v>0</v>
      </c>
      <c r="F118" s="60">
        <f>IF('Expenses Summary'!$V75="","",IF('Cash Flow %s Yr5'!F118="","",'Cash Flow %s Yr5'!F118*'Expenses Summary'!$V75))</f>
        <v>0</v>
      </c>
      <c r="G118" s="60">
        <f>IF('Expenses Summary'!$V75="","",IF('Cash Flow %s Yr5'!G118="","",'Cash Flow %s Yr5'!G118*'Expenses Summary'!$V75))</f>
        <v>0</v>
      </c>
      <c r="H118" s="60">
        <f>IF('Expenses Summary'!$V75="","",IF('Cash Flow %s Yr5'!H118="","",'Cash Flow %s Yr5'!H118*'Expenses Summary'!$V75))</f>
        <v>0</v>
      </c>
      <c r="I118" s="60">
        <f>IF('Expenses Summary'!$V75="","",IF('Cash Flow %s Yr5'!I118="","",'Cash Flow %s Yr5'!I118*'Expenses Summary'!$V75))</f>
        <v>0</v>
      </c>
      <c r="J118" s="60">
        <f>IF('Expenses Summary'!$V75="","",IF('Cash Flow %s Yr5'!J118="","",'Cash Flow %s Yr5'!J118*'Expenses Summary'!$V75))</f>
        <v>0</v>
      </c>
      <c r="K118" s="60">
        <f>IF('Expenses Summary'!$V75="","",IF('Cash Flow %s Yr5'!K118="","",'Cash Flow %s Yr5'!K118*'Expenses Summary'!$V75))</f>
        <v>0</v>
      </c>
      <c r="L118" s="60">
        <f>IF('Expenses Summary'!$V75="","",IF('Cash Flow %s Yr5'!L118="","",'Cash Flow %s Yr5'!L118*'Expenses Summary'!$V75))</f>
        <v>0</v>
      </c>
      <c r="M118" s="60">
        <f>IF('Expenses Summary'!$V75="","",IF('Cash Flow %s Yr5'!M118="","",'Cash Flow %s Yr5'!M118*'Expenses Summary'!$V75))</f>
        <v>0</v>
      </c>
      <c r="N118" s="60">
        <f>IF('Expenses Summary'!$V75="","",IF('Cash Flow %s Yr5'!N118="","",'Cash Flow %s Yr5'!N118*'Expenses Summary'!$V75))</f>
        <v>0</v>
      </c>
      <c r="O118" s="60">
        <f>IF('Expenses Summary'!$V75="","",IF('Cash Flow %s Yr5'!O118="","",'Cash Flow %s Yr5'!O118*'Expenses Summary'!$V75))</f>
        <v>0</v>
      </c>
      <c r="P118" s="123"/>
      <c r="Q118" s="123"/>
      <c r="R118" s="123"/>
      <c r="S118" s="105" t="str">
        <f>IF(SUM(D118:R118)&gt;0,SUM(D118:R118)/'Expenses Summary'!$V75,"")</f>
        <v/>
      </c>
    </row>
    <row r="119" spans="1:19" s="30" customFormat="1" x14ac:dyDescent="0.3">
      <c r="A119" s="35"/>
      <c r="B119" s="133" t="str">
        <f>'Expenses Summary'!B76</f>
        <v>5600</v>
      </c>
      <c r="C119" s="133" t="str">
        <f>'Expenses Summary'!C76</f>
        <v>Space Rental/Leases Expense</v>
      </c>
      <c r="D119" s="60">
        <f>IF('Expenses Summary'!$V76="","",IF('Cash Flow %s Yr5'!D119="","",'Cash Flow %s Yr5'!D119*'Expenses Summary'!$V76))</f>
        <v>4741.8826763158277</v>
      </c>
      <c r="E119" s="60">
        <f>IF('Expenses Summary'!$V76="","",IF('Cash Flow %s Yr5'!E119="","",'Cash Flow %s Yr5'!E119*'Expenses Summary'!$V76))</f>
        <v>4741.8826763158277</v>
      </c>
      <c r="F119" s="60">
        <f>IF('Expenses Summary'!$V76="","",IF('Cash Flow %s Yr5'!F119="","",'Cash Flow %s Yr5'!F119*'Expenses Summary'!$V76))</f>
        <v>4741.8826763158277</v>
      </c>
      <c r="G119" s="60">
        <f>IF('Expenses Summary'!$V76="","",IF('Cash Flow %s Yr5'!G119="","",'Cash Flow %s Yr5'!G119*'Expenses Summary'!$V76))</f>
        <v>4741.8826763158277</v>
      </c>
      <c r="H119" s="60">
        <f>IF('Expenses Summary'!$V76="","",IF('Cash Flow %s Yr5'!H119="","",'Cash Flow %s Yr5'!H119*'Expenses Summary'!$V76))</f>
        <v>4741.8826763158277</v>
      </c>
      <c r="I119" s="60">
        <f>IF('Expenses Summary'!$V76="","",IF('Cash Flow %s Yr5'!I119="","",'Cash Flow %s Yr5'!I119*'Expenses Summary'!$V76))</f>
        <v>4741.8826763158277</v>
      </c>
      <c r="J119" s="60">
        <f>IF('Expenses Summary'!$V76="","",IF('Cash Flow %s Yr5'!J119="","",'Cash Flow %s Yr5'!J119*'Expenses Summary'!$V76))</f>
        <v>4741.8826763158277</v>
      </c>
      <c r="K119" s="60">
        <f>IF('Expenses Summary'!$V76="","",IF('Cash Flow %s Yr5'!K119="","",'Cash Flow %s Yr5'!K119*'Expenses Summary'!$V76))</f>
        <v>4741.8826763158277</v>
      </c>
      <c r="L119" s="60">
        <f>IF('Expenses Summary'!$V76="","",IF('Cash Flow %s Yr5'!L119="","",'Cash Flow %s Yr5'!L119*'Expenses Summary'!$V76))</f>
        <v>4799.0137928979466</v>
      </c>
      <c r="M119" s="60">
        <f>IF('Expenses Summary'!$V76="","",IF('Cash Flow %s Yr5'!M119="","",'Cash Flow %s Yr5'!M119*'Expenses Summary'!$V76))</f>
        <v>4799.0137928979466</v>
      </c>
      <c r="N119" s="60">
        <f>IF('Expenses Summary'!$V76="","",IF('Cash Flow %s Yr5'!N119="","",'Cash Flow %s Yr5'!N119*'Expenses Summary'!$V76))</f>
        <v>4799.0137928979466</v>
      </c>
      <c r="O119" s="60">
        <f>IF('Expenses Summary'!$V76="","",IF('Cash Flow %s Yr5'!O119="","",'Cash Flow %s Yr5'!O119*'Expenses Summary'!$V76))</f>
        <v>4799.0137928979466</v>
      </c>
      <c r="P119" s="123"/>
      <c r="Q119" s="123"/>
      <c r="R119" s="123"/>
      <c r="S119" s="105">
        <f>IF(SUM(D119:R119)&gt;0,SUM(D119:R119)/'Expenses Summary'!$V76,"")</f>
        <v>1</v>
      </c>
    </row>
    <row r="120" spans="1:19" s="30" customFormat="1" x14ac:dyDescent="0.3">
      <c r="A120" s="35"/>
      <c r="B120" s="133" t="str">
        <f>'Expenses Summary'!B77</f>
        <v>5601</v>
      </c>
      <c r="C120" s="133" t="str">
        <f>'Expenses Summary'!C77</f>
        <v>Building Maintenance</v>
      </c>
      <c r="D120" s="60">
        <f>IF('Expenses Summary'!$V77="","",IF('Cash Flow %s Yr5'!D120="","",'Cash Flow %s Yr5'!D120*'Expenses Summary'!$V77))</f>
        <v>0</v>
      </c>
      <c r="E120" s="60">
        <f>IF('Expenses Summary'!$V77="","",IF('Cash Flow %s Yr5'!E120="","",'Cash Flow %s Yr5'!E120*'Expenses Summary'!$V77))</f>
        <v>0</v>
      </c>
      <c r="F120" s="60">
        <f>IF('Expenses Summary'!$V77="","",IF('Cash Flow %s Yr5'!F120="","",'Cash Flow %s Yr5'!F120*'Expenses Summary'!$V77))</f>
        <v>0</v>
      </c>
      <c r="G120" s="60">
        <f>IF('Expenses Summary'!$V77="","",IF('Cash Flow %s Yr5'!G120="","",'Cash Flow %s Yr5'!G120*'Expenses Summary'!$V77))</f>
        <v>0</v>
      </c>
      <c r="H120" s="60">
        <f>IF('Expenses Summary'!$V77="","",IF('Cash Flow %s Yr5'!H120="","",'Cash Flow %s Yr5'!H120*'Expenses Summary'!$V77))</f>
        <v>0</v>
      </c>
      <c r="I120" s="60">
        <f>IF('Expenses Summary'!$V77="","",IF('Cash Flow %s Yr5'!I120="","",'Cash Flow %s Yr5'!I120*'Expenses Summary'!$V77))</f>
        <v>0</v>
      </c>
      <c r="J120" s="60">
        <f>IF('Expenses Summary'!$V77="","",IF('Cash Flow %s Yr5'!J120="","",'Cash Flow %s Yr5'!J120*'Expenses Summary'!$V77))</f>
        <v>0</v>
      </c>
      <c r="K120" s="60">
        <f>IF('Expenses Summary'!$V77="","",IF('Cash Flow %s Yr5'!K120="","",'Cash Flow %s Yr5'!K120*'Expenses Summary'!$V77))</f>
        <v>0</v>
      </c>
      <c r="L120" s="60">
        <f>IF('Expenses Summary'!$V77="","",IF('Cash Flow %s Yr5'!L120="","",'Cash Flow %s Yr5'!L120*'Expenses Summary'!$V77))</f>
        <v>0</v>
      </c>
      <c r="M120" s="60">
        <f>IF('Expenses Summary'!$V77="","",IF('Cash Flow %s Yr5'!M120="","",'Cash Flow %s Yr5'!M120*'Expenses Summary'!$V77))</f>
        <v>0</v>
      </c>
      <c r="N120" s="60">
        <f>IF('Expenses Summary'!$V77="","",IF('Cash Flow %s Yr5'!N120="","",'Cash Flow %s Yr5'!N120*'Expenses Summary'!$V77))</f>
        <v>0</v>
      </c>
      <c r="O120" s="60">
        <f>IF('Expenses Summary'!$V77="","",IF('Cash Flow %s Yr5'!O120="","",'Cash Flow %s Yr5'!O120*'Expenses Summary'!$V77))</f>
        <v>0</v>
      </c>
      <c r="P120" s="123"/>
      <c r="Q120" s="123"/>
      <c r="R120" s="123"/>
      <c r="S120" s="105" t="str">
        <f>IF(SUM(D120:R120)&gt;0,SUM(D120:R120)/'Expenses Summary'!$V77,"")</f>
        <v/>
      </c>
    </row>
    <row r="121" spans="1:19" s="30" customFormat="1" x14ac:dyDescent="0.3">
      <c r="A121" s="35"/>
      <c r="B121" s="133" t="str">
        <f>'Expenses Summary'!B78</f>
        <v>5602</v>
      </c>
      <c r="C121" s="133" t="str">
        <f>'Expenses Summary'!C78</f>
        <v>Other Space Rental</v>
      </c>
      <c r="D121" s="60">
        <f>IF('Expenses Summary'!$V78="","",IF('Cash Flow %s Yr5'!D121="","",'Cash Flow %s Yr5'!D121*'Expenses Summary'!$V78))</f>
        <v>324.22736743049296</v>
      </c>
      <c r="E121" s="60">
        <f>IF('Expenses Summary'!$V78="","",IF('Cash Flow %s Yr5'!E121="","",'Cash Flow %s Yr5'!E121*'Expenses Summary'!$V78))</f>
        <v>324.22736743049296</v>
      </c>
      <c r="F121" s="60">
        <f>IF('Expenses Summary'!$V78="","",IF('Cash Flow %s Yr5'!F121="","",'Cash Flow %s Yr5'!F121*'Expenses Summary'!$V78))</f>
        <v>324.22736743049296</v>
      </c>
      <c r="G121" s="60">
        <f>IF('Expenses Summary'!$V78="","",IF('Cash Flow %s Yr5'!G121="","",'Cash Flow %s Yr5'!G121*'Expenses Summary'!$V78))</f>
        <v>324.22736743049296</v>
      </c>
      <c r="H121" s="60">
        <f>IF('Expenses Summary'!$V78="","",IF('Cash Flow %s Yr5'!H121="","",'Cash Flow %s Yr5'!H121*'Expenses Summary'!$V78))</f>
        <v>324.22736743049296</v>
      </c>
      <c r="I121" s="60">
        <f>IF('Expenses Summary'!$V78="","",IF('Cash Flow %s Yr5'!I121="","",'Cash Flow %s Yr5'!I121*'Expenses Summary'!$V78))</f>
        <v>324.22736743049296</v>
      </c>
      <c r="J121" s="60">
        <f>IF('Expenses Summary'!$V78="","",IF('Cash Flow %s Yr5'!J121="","",'Cash Flow %s Yr5'!J121*'Expenses Summary'!$V78))</f>
        <v>324.22736743049296</v>
      </c>
      <c r="K121" s="60">
        <f>IF('Expenses Summary'!$V78="","",IF('Cash Flow %s Yr5'!K121="","",'Cash Flow %s Yr5'!K121*'Expenses Summary'!$V78))</f>
        <v>324.22736743049296</v>
      </c>
      <c r="L121" s="60">
        <f>IF('Expenses Summary'!$V78="","",IF('Cash Flow %s Yr5'!L121="","",'Cash Flow %s Yr5'!L121*'Expenses Summary'!$V78))</f>
        <v>328.1337212549567</v>
      </c>
      <c r="M121" s="60">
        <f>IF('Expenses Summary'!$V78="","",IF('Cash Flow %s Yr5'!M121="","",'Cash Flow %s Yr5'!M121*'Expenses Summary'!$V78))</f>
        <v>328.1337212549567</v>
      </c>
      <c r="N121" s="60">
        <f>IF('Expenses Summary'!$V78="","",IF('Cash Flow %s Yr5'!N121="","",'Cash Flow %s Yr5'!N121*'Expenses Summary'!$V78))</f>
        <v>328.1337212549567</v>
      </c>
      <c r="O121" s="60">
        <f>IF('Expenses Summary'!$V78="","",IF('Cash Flow %s Yr5'!O121="","",'Cash Flow %s Yr5'!O121*'Expenses Summary'!$V78))</f>
        <v>328.1337212549567</v>
      </c>
      <c r="P121" s="123"/>
      <c r="Q121" s="123"/>
      <c r="R121" s="123"/>
      <c r="S121" s="105">
        <f>IF(SUM(D121:R121)&gt;0,SUM(D121:R121)/'Expenses Summary'!$V78,"")</f>
        <v>0.99999999999999989</v>
      </c>
    </row>
    <row r="122" spans="1:19" s="30" customFormat="1" x14ac:dyDescent="0.3">
      <c r="A122" s="35"/>
      <c r="B122" s="133" t="str">
        <f>'Expenses Summary'!B79</f>
        <v>5605</v>
      </c>
      <c r="C122" s="133" t="str">
        <f>'Expenses Summary'!C79</f>
        <v>Equipment Rental/Lease Expense</v>
      </c>
      <c r="D122" s="60">
        <f>IF('Expenses Summary'!$V79="","",IF('Cash Flow %s Yr5'!D122="","",'Cash Flow %s Yr5'!D122*'Expenses Summary'!$V79))</f>
        <v>0</v>
      </c>
      <c r="E122" s="60">
        <f>IF('Expenses Summary'!$V79="","",IF('Cash Flow %s Yr5'!E122="","",'Cash Flow %s Yr5'!E122*'Expenses Summary'!$V79))</f>
        <v>0</v>
      </c>
      <c r="F122" s="60">
        <f>IF('Expenses Summary'!$V79="","",IF('Cash Flow %s Yr5'!F122="","",'Cash Flow %s Yr5'!F122*'Expenses Summary'!$V79))</f>
        <v>0</v>
      </c>
      <c r="G122" s="60">
        <f>IF('Expenses Summary'!$V79="","",IF('Cash Flow %s Yr5'!G122="","",'Cash Flow %s Yr5'!G122*'Expenses Summary'!$V79))</f>
        <v>0</v>
      </c>
      <c r="H122" s="60">
        <f>IF('Expenses Summary'!$V79="","",IF('Cash Flow %s Yr5'!H122="","",'Cash Flow %s Yr5'!H122*'Expenses Summary'!$V79))</f>
        <v>0</v>
      </c>
      <c r="I122" s="60">
        <f>IF('Expenses Summary'!$V79="","",IF('Cash Flow %s Yr5'!I122="","",'Cash Flow %s Yr5'!I122*'Expenses Summary'!$V79))</f>
        <v>0</v>
      </c>
      <c r="J122" s="60">
        <f>IF('Expenses Summary'!$V79="","",IF('Cash Flow %s Yr5'!J122="","",'Cash Flow %s Yr5'!J122*'Expenses Summary'!$V79))</f>
        <v>0</v>
      </c>
      <c r="K122" s="60">
        <f>IF('Expenses Summary'!$V79="","",IF('Cash Flow %s Yr5'!K122="","",'Cash Flow %s Yr5'!K122*'Expenses Summary'!$V79))</f>
        <v>0</v>
      </c>
      <c r="L122" s="60">
        <f>IF('Expenses Summary'!$V79="","",IF('Cash Flow %s Yr5'!L122="","",'Cash Flow %s Yr5'!L122*'Expenses Summary'!$V79))</f>
        <v>0</v>
      </c>
      <c r="M122" s="60">
        <f>IF('Expenses Summary'!$V79="","",IF('Cash Flow %s Yr5'!M122="","",'Cash Flow %s Yr5'!M122*'Expenses Summary'!$V79))</f>
        <v>0</v>
      </c>
      <c r="N122" s="60">
        <f>IF('Expenses Summary'!$V79="","",IF('Cash Flow %s Yr5'!N122="","",'Cash Flow %s Yr5'!N122*'Expenses Summary'!$V79))</f>
        <v>0</v>
      </c>
      <c r="O122" s="60">
        <f>IF('Expenses Summary'!$V79="","",IF('Cash Flow %s Yr5'!O122="","",'Cash Flow %s Yr5'!O122*'Expenses Summary'!$V79))</f>
        <v>0</v>
      </c>
      <c r="P122" s="123"/>
      <c r="Q122" s="123"/>
      <c r="R122" s="123"/>
      <c r="S122" s="105" t="str">
        <f>IF(SUM(D122:R122)&gt;0,SUM(D122:R122)/'Expenses Summary'!$V79,"")</f>
        <v/>
      </c>
    </row>
    <row r="123" spans="1:19" s="30" customFormat="1" x14ac:dyDescent="0.3">
      <c r="A123" s="35"/>
      <c r="B123" s="133" t="str">
        <f>'Expenses Summary'!B80</f>
        <v>5610</v>
      </c>
      <c r="C123" s="133" t="str">
        <f>'Expenses Summary'!C80</f>
        <v>Equipment Repair</v>
      </c>
      <c r="D123" s="60">
        <f>IF('Expenses Summary'!$V80="","",IF('Cash Flow %s Yr5'!D123="","",'Cash Flow %s Yr5'!D123*'Expenses Summary'!$V80))</f>
        <v>41.019746334912007</v>
      </c>
      <c r="E123" s="60">
        <f>IF('Expenses Summary'!$V80="","",IF('Cash Flow %s Yr5'!E123="","",'Cash Flow %s Yr5'!E123*'Expenses Summary'!$V80))</f>
        <v>41.019746334912007</v>
      </c>
      <c r="F123" s="60">
        <f>IF('Expenses Summary'!$V80="","",IF('Cash Flow %s Yr5'!F123="","",'Cash Flow %s Yr5'!F123*'Expenses Summary'!$V80))</f>
        <v>41.019746334912007</v>
      </c>
      <c r="G123" s="60">
        <f>IF('Expenses Summary'!$V80="","",IF('Cash Flow %s Yr5'!G123="","",'Cash Flow %s Yr5'!G123*'Expenses Summary'!$V80))</f>
        <v>41.019746334912007</v>
      </c>
      <c r="H123" s="60">
        <f>IF('Expenses Summary'!$V80="","",IF('Cash Flow %s Yr5'!H123="","",'Cash Flow %s Yr5'!H123*'Expenses Summary'!$V80))</f>
        <v>41.019746334912007</v>
      </c>
      <c r="I123" s="60">
        <f>IF('Expenses Summary'!$V80="","",IF('Cash Flow %s Yr5'!I123="","",'Cash Flow %s Yr5'!I123*'Expenses Summary'!$V80))</f>
        <v>41.019746334912007</v>
      </c>
      <c r="J123" s="60">
        <f>IF('Expenses Summary'!$V80="","",IF('Cash Flow %s Yr5'!J123="","",'Cash Flow %s Yr5'!J123*'Expenses Summary'!$V80))</f>
        <v>41.019746334912007</v>
      </c>
      <c r="K123" s="60">
        <f>IF('Expenses Summary'!$V80="","",IF('Cash Flow %s Yr5'!K123="","",'Cash Flow %s Yr5'!K123*'Expenses Summary'!$V80))</f>
        <v>41.019746334912007</v>
      </c>
      <c r="L123" s="60">
        <f>IF('Expenses Summary'!$V80="","",IF('Cash Flow %s Yr5'!L123="","",'Cash Flow %s Yr5'!L123*'Expenses Summary'!$V80))</f>
        <v>41.513960146176011</v>
      </c>
      <c r="M123" s="60">
        <f>IF('Expenses Summary'!$V80="","",IF('Cash Flow %s Yr5'!M123="","",'Cash Flow %s Yr5'!M123*'Expenses Summary'!$V80))</f>
        <v>41.513960146176011</v>
      </c>
      <c r="N123" s="60">
        <f>IF('Expenses Summary'!$V80="","",IF('Cash Flow %s Yr5'!N123="","",'Cash Flow %s Yr5'!N123*'Expenses Summary'!$V80))</f>
        <v>41.513960146176011</v>
      </c>
      <c r="O123" s="60">
        <f>IF('Expenses Summary'!$V80="","",IF('Cash Flow %s Yr5'!O123="","",'Cash Flow %s Yr5'!O123*'Expenses Summary'!$V80))</f>
        <v>41.513960146176011</v>
      </c>
      <c r="P123" s="123"/>
      <c r="Q123" s="123"/>
      <c r="R123" s="123"/>
      <c r="S123" s="105">
        <f>IF(SUM(D123:R123)&gt;0,SUM(D123:R123)/'Expenses Summary'!$V80,"")</f>
        <v>1.0000000000000002</v>
      </c>
    </row>
    <row r="124" spans="1:19" s="30" customFormat="1" x14ac:dyDescent="0.3">
      <c r="A124" s="35"/>
      <c r="B124" s="133" t="str">
        <f>'Expenses Summary'!B81</f>
        <v>5800</v>
      </c>
      <c r="C124" s="133" t="str">
        <f>'Expenses Summary'!C81</f>
        <v>Professional/Consulting Services and Operating Expenditures</v>
      </c>
      <c r="D124" s="60">
        <f>IF('Expenses Summary'!$V81="","",IF('Cash Flow %s Yr5'!D124="","",'Cash Flow %s Yr5'!D124*'Expenses Summary'!$V81))</f>
        <v>273.46497556608006</v>
      </c>
      <c r="E124" s="60">
        <f>IF('Expenses Summary'!$V81="","",IF('Cash Flow %s Yr5'!E124="","",'Cash Flow %s Yr5'!E124*'Expenses Summary'!$V81))</f>
        <v>273.46497556608006</v>
      </c>
      <c r="F124" s="60">
        <f>IF('Expenses Summary'!$V81="","",IF('Cash Flow %s Yr5'!F124="","",'Cash Flow %s Yr5'!F124*'Expenses Summary'!$V81))</f>
        <v>273.46497556608006</v>
      </c>
      <c r="G124" s="60">
        <f>IF('Expenses Summary'!$V81="","",IF('Cash Flow %s Yr5'!G124="","",'Cash Flow %s Yr5'!G124*'Expenses Summary'!$V81))</f>
        <v>273.46497556608006</v>
      </c>
      <c r="H124" s="60">
        <f>IF('Expenses Summary'!$V81="","",IF('Cash Flow %s Yr5'!H124="","",'Cash Flow %s Yr5'!H124*'Expenses Summary'!$V81))</f>
        <v>273.46497556608006</v>
      </c>
      <c r="I124" s="60">
        <f>IF('Expenses Summary'!$V81="","",IF('Cash Flow %s Yr5'!I124="","",'Cash Flow %s Yr5'!I124*'Expenses Summary'!$V81))</f>
        <v>273.46497556608006</v>
      </c>
      <c r="J124" s="60">
        <f>IF('Expenses Summary'!$V81="","",IF('Cash Flow %s Yr5'!J124="","",'Cash Flow %s Yr5'!J124*'Expenses Summary'!$V81))</f>
        <v>273.46497556608006</v>
      </c>
      <c r="K124" s="60">
        <f>IF('Expenses Summary'!$V81="","",IF('Cash Flow %s Yr5'!K124="","",'Cash Flow %s Yr5'!K124*'Expenses Summary'!$V81))</f>
        <v>273.46497556608006</v>
      </c>
      <c r="L124" s="60">
        <f>IF('Expenses Summary'!$V81="","",IF('Cash Flow %s Yr5'!L124="","",'Cash Flow %s Yr5'!L124*'Expenses Summary'!$V81))</f>
        <v>276.75973430784006</v>
      </c>
      <c r="M124" s="60">
        <f>IF('Expenses Summary'!$V81="","",IF('Cash Flow %s Yr5'!M124="","",'Cash Flow %s Yr5'!M124*'Expenses Summary'!$V81))</f>
        <v>276.75973430784006</v>
      </c>
      <c r="N124" s="60">
        <f>IF('Expenses Summary'!$V81="","",IF('Cash Flow %s Yr5'!N124="","",'Cash Flow %s Yr5'!N124*'Expenses Summary'!$V81))</f>
        <v>276.75973430784006</v>
      </c>
      <c r="O124" s="60">
        <f>IF('Expenses Summary'!$V81="","",IF('Cash Flow %s Yr5'!O124="","",'Cash Flow %s Yr5'!O124*'Expenses Summary'!$V81))</f>
        <v>276.75973430784006</v>
      </c>
      <c r="P124" s="123"/>
      <c r="Q124" s="123"/>
      <c r="R124" s="123"/>
      <c r="S124" s="105">
        <f>IF(SUM(D124:R124)&gt;0,SUM(D124:R124)/'Expenses Summary'!$V81,"")</f>
        <v>1</v>
      </c>
    </row>
    <row r="125" spans="1:19" s="30" customFormat="1" x14ac:dyDescent="0.3">
      <c r="A125" s="35"/>
      <c r="B125" s="133" t="str">
        <f>'Expenses Summary'!B82</f>
        <v>5803</v>
      </c>
      <c r="C125" s="133" t="str">
        <f>'Expenses Summary'!C82</f>
        <v>Banking and Payroll Service Fees</v>
      </c>
      <c r="D125" s="60">
        <f>IF('Expenses Summary'!$V82="","",IF('Cash Flow %s Yr5'!D125="","",'Cash Flow %s Yr5'!D125*'Expenses Summary'!$V82))</f>
        <v>546.92995113216011</v>
      </c>
      <c r="E125" s="60">
        <f>IF('Expenses Summary'!$V82="","",IF('Cash Flow %s Yr5'!E125="","",'Cash Flow %s Yr5'!E125*'Expenses Summary'!$V82))</f>
        <v>546.92995113216011</v>
      </c>
      <c r="F125" s="60">
        <f>IF('Expenses Summary'!$V82="","",IF('Cash Flow %s Yr5'!F125="","",'Cash Flow %s Yr5'!F125*'Expenses Summary'!$V82))</f>
        <v>546.92995113216011</v>
      </c>
      <c r="G125" s="60">
        <f>IF('Expenses Summary'!$V82="","",IF('Cash Flow %s Yr5'!G125="","",'Cash Flow %s Yr5'!G125*'Expenses Summary'!$V82))</f>
        <v>546.92995113216011</v>
      </c>
      <c r="H125" s="60">
        <f>IF('Expenses Summary'!$V82="","",IF('Cash Flow %s Yr5'!H125="","",'Cash Flow %s Yr5'!H125*'Expenses Summary'!$V82))</f>
        <v>546.92995113216011</v>
      </c>
      <c r="I125" s="60">
        <f>IF('Expenses Summary'!$V82="","",IF('Cash Flow %s Yr5'!I125="","",'Cash Flow %s Yr5'!I125*'Expenses Summary'!$V82))</f>
        <v>546.92995113216011</v>
      </c>
      <c r="J125" s="60">
        <f>IF('Expenses Summary'!$V82="","",IF('Cash Flow %s Yr5'!J125="","",'Cash Flow %s Yr5'!J125*'Expenses Summary'!$V82))</f>
        <v>546.92995113216011</v>
      </c>
      <c r="K125" s="60">
        <f>IF('Expenses Summary'!$V82="","",IF('Cash Flow %s Yr5'!K125="","",'Cash Flow %s Yr5'!K125*'Expenses Summary'!$V82))</f>
        <v>546.92995113216011</v>
      </c>
      <c r="L125" s="60">
        <f>IF('Expenses Summary'!$V82="","",IF('Cash Flow %s Yr5'!L125="","",'Cash Flow %s Yr5'!L125*'Expenses Summary'!$V82))</f>
        <v>553.51946861568013</v>
      </c>
      <c r="M125" s="60">
        <f>IF('Expenses Summary'!$V82="","",IF('Cash Flow %s Yr5'!M125="","",'Cash Flow %s Yr5'!M125*'Expenses Summary'!$V82))</f>
        <v>553.51946861568013</v>
      </c>
      <c r="N125" s="60">
        <f>IF('Expenses Summary'!$V82="","",IF('Cash Flow %s Yr5'!N125="","",'Cash Flow %s Yr5'!N125*'Expenses Summary'!$V82))</f>
        <v>553.51946861568013</v>
      </c>
      <c r="O125" s="60">
        <f>IF('Expenses Summary'!$V82="","",IF('Cash Flow %s Yr5'!O125="","",'Cash Flow %s Yr5'!O125*'Expenses Summary'!$V82))</f>
        <v>553.51946861568013</v>
      </c>
      <c r="P125" s="123"/>
      <c r="Q125" s="123"/>
      <c r="R125" s="123"/>
      <c r="S125" s="105">
        <f>IF(SUM(D125:R125)&gt;0,SUM(D125:R125)/'Expenses Summary'!$V82,"")</f>
        <v>1</v>
      </c>
    </row>
    <row r="126" spans="1:19" s="30" customFormat="1" x14ac:dyDescent="0.3">
      <c r="A126" s="35"/>
      <c r="B126" s="133" t="str">
        <f>'Expenses Summary'!B83</f>
        <v>5805</v>
      </c>
      <c r="C126" s="133" t="str">
        <f>'Expenses Summary'!C83</f>
        <v xml:space="preserve">Legal Services </v>
      </c>
      <c r="D126" s="60">
        <f>IF('Expenses Summary'!$V83="","",IF('Cash Flow %s Yr5'!D126="","",'Cash Flow %s Yr5'!D126*'Expenses Summary'!$V83))</f>
        <v>364.61996742144009</v>
      </c>
      <c r="E126" s="60">
        <f>IF('Expenses Summary'!$V83="","",IF('Cash Flow %s Yr5'!E126="","",'Cash Flow %s Yr5'!E126*'Expenses Summary'!$V83))</f>
        <v>364.61996742144009</v>
      </c>
      <c r="F126" s="60">
        <f>IF('Expenses Summary'!$V83="","",IF('Cash Flow %s Yr5'!F126="","",'Cash Flow %s Yr5'!F126*'Expenses Summary'!$V83))</f>
        <v>364.61996742144009</v>
      </c>
      <c r="G126" s="60">
        <f>IF('Expenses Summary'!$V83="","",IF('Cash Flow %s Yr5'!G126="","",'Cash Flow %s Yr5'!G126*'Expenses Summary'!$V83))</f>
        <v>364.61996742144009</v>
      </c>
      <c r="H126" s="60">
        <f>IF('Expenses Summary'!$V83="","",IF('Cash Flow %s Yr5'!H126="","",'Cash Flow %s Yr5'!H126*'Expenses Summary'!$V83))</f>
        <v>364.61996742144009</v>
      </c>
      <c r="I126" s="60">
        <f>IF('Expenses Summary'!$V83="","",IF('Cash Flow %s Yr5'!I126="","",'Cash Flow %s Yr5'!I126*'Expenses Summary'!$V83))</f>
        <v>364.61996742144009</v>
      </c>
      <c r="J126" s="60">
        <f>IF('Expenses Summary'!$V83="","",IF('Cash Flow %s Yr5'!J126="","",'Cash Flow %s Yr5'!J126*'Expenses Summary'!$V83))</f>
        <v>364.61996742144009</v>
      </c>
      <c r="K126" s="60">
        <f>IF('Expenses Summary'!$V83="","",IF('Cash Flow %s Yr5'!K126="","",'Cash Flow %s Yr5'!K126*'Expenses Summary'!$V83))</f>
        <v>364.61996742144009</v>
      </c>
      <c r="L126" s="60">
        <f>IF('Expenses Summary'!$V83="","",IF('Cash Flow %s Yr5'!L126="","",'Cash Flow %s Yr5'!L126*'Expenses Summary'!$V83))</f>
        <v>369.01297907712012</v>
      </c>
      <c r="M126" s="60">
        <f>IF('Expenses Summary'!$V83="","",IF('Cash Flow %s Yr5'!M126="","",'Cash Flow %s Yr5'!M126*'Expenses Summary'!$V83))</f>
        <v>369.01297907712012</v>
      </c>
      <c r="N126" s="60">
        <f>IF('Expenses Summary'!$V83="","",IF('Cash Flow %s Yr5'!N126="","",'Cash Flow %s Yr5'!N126*'Expenses Summary'!$V83))</f>
        <v>369.01297907712012</v>
      </c>
      <c r="O126" s="60">
        <f>IF('Expenses Summary'!$V83="","",IF('Cash Flow %s Yr5'!O126="","",'Cash Flow %s Yr5'!O126*'Expenses Summary'!$V83))</f>
        <v>369.01297907712012</v>
      </c>
      <c r="P126" s="123"/>
      <c r="Q126" s="123"/>
      <c r="R126" s="123"/>
      <c r="S126" s="105">
        <f>IF(SUM(D126:R126)&gt;0,SUM(D126:R126)/'Expenses Summary'!$V83,"")</f>
        <v>1</v>
      </c>
    </row>
    <row r="127" spans="1:19" s="30" customFormat="1" x14ac:dyDescent="0.3">
      <c r="A127" s="35"/>
      <c r="B127" s="133" t="str">
        <f>'Expenses Summary'!B84</f>
        <v>5806</v>
      </c>
      <c r="C127" s="133" t="str">
        <f>'Expenses Summary'!C84</f>
        <v>Audit Services</v>
      </c>
      <c r="D127" s="60">
        <f>IF('Expenses Summary'!$V84="","",IF('Cash Flow %s Yr5'!D127="","",'Cash Flow %s Yr5'!D127*'Expenses Summary'!$V84))</f>
        <v>0</v>
      </c>
      <c r="E127" s="60">
        <f>IF('Expenses Summary'!$V84="","",IF('Cash Flow %s Yr5'!E127="","",'Cash Flow %s Yr5'!E127*'Expenses Summary'!$V84))</f>
        <v>0</v>
      </c>
      <c r="F127" s="60">
        <f>IF('Expenses Summary'!$V84="","",IF('Cash Flow %s Yr5'!F127="","",'Cash Flow %s Yr5'!F127*'Expenses Summary'!$V84))</f>
        <v>0</v>
      </c>
      <c r="G127" s="60">
        <f>IF('Expenses Summary'!$V84="","",IF('Cash Flow %s Yr5'!G127="","",'Cash Flow %s Yr5'!G127*'Expenses Summary'!$V84))</f>
        <v>0</v>
      </c>
      <c r="H127" s="60">
        <f>IF('Expenses Summary'!$V84="","",IF('Cash Flow %s Yr5'!H127="","",'Cash Flow %s Yr5'!H127*'Expenses Summary'!$V84))</f>
        <v>3294.7587417600007</v>
      </c>
      <c r="I127" s="60">
        <f>IF('Expenses Summary'!$V84="","",IF('Cash Flow %s Yr5'!I127="","",'Cash Flow %s Yr5'!I127*'Expenses Summary'!$V84))</f>
        <v>0</v>
      </c>
      <c r="J127" s="60">
        <f>IF('Expenses Summary'!$V84="","",IF('Cash Flow %s Yr5'!J127="","",'Cash Flow %s Yr5'!J127*'Expenses Summary'!$V84))</f>
        <v>0</v>
      </c>
      <c r="K127" s="60">
        <f>IF('Expenses Summary'!$V84="","",IF('Cash Flow %s Yr5'!K127="","",'Cash Flow %s Yr5'!K127*'Expenses Summary'!$V84))</f>
        <v>0</v>
      </c>
      <c r="L127" s="60">
        <f>IF('Expenses Summary'!$V84="","",IF('Cash Flow %s Yr5'!L127="","",'Cash Flow %s Yr5'!L127*'Expenses Summary'!$V84))</f>
        <v>0</v>
      </c>
      <c r="M127" s="60">
        <f>IF('Expenses Summary'!$V84="","",IF('Cash Flow %s Yr5'!M127="","",'Cash Flow %s Yr5'!M127*'Expenses Summary'!$V84))</f>
        <v>0</v>
      </c>
      <c r="N127" s="60">
        <f>IF('Expenses Summary'!$V84="","",IF('Cash Flow %s Yr5'!N127="","",'Cash Flow %s Yr5'!N127*'Expenses Summary'!$V84))</f>
        <v>3294.7587417600007</v>
      </c>
      <c r="O127" s="60">
        <f>IF('Expenses Summary'!$V84="","",IF('Cash Flow %s Yr5'!O127="","",'Cash Flow %s Yr5'!O127*'Expenses Summary'!$V84))</f>
        <v>0</v>
      </c>
      <c r="P127" s="123"/>
      <c r="Q127" s="123"/>
      <c r="R127" s="123"/>
      <c r="S127" s="105">
        <f>IF(SUM(D127:R127)&gt;0,SUM(D127:R127)/'Expenses Summary'!$V84,"")</f>
        <v>1</v>
      </c>
    </row>
    <row r="128" spans="1:19" s="30" customFormat="1" x14ac:dyDescent="0.3">
      <c r="A128" s="35"/>
      <c r="B128" s="133" t="str">
        <f>'Expenses Summary'!B85</f>
        <v>5810</v>
      </c>
      <c r="C128" s="133" t="str">
        <f>'Expenses Summary'!C85</f>
        <v>Educational Consultants</v>
      </c>
      <c r="D128" s="60">
        <f>IF('Expenses Summary'!$V85="","",IF('Cash Flow %s Yr5'!D128="","",'Cash Flow %s Yr5'!D128*'Expenses Summary'!$V85))</f>
        <v>341.83121945760007</v>
      </c>
      <c r="E128" s="60">
        <f>IF('Expenses Summary'!$V85="","",IF('Cash Flow %s Yr5'!E128="","",'Cash Flow %s Yr5'!E128*'Expenses Summary'!$V85))</f>
        <v>341.83121945760007</v>
      </c>
      <c r="F128" s="60">
        <f>IF('Expenses Summary'!$V85="","",IF('Cash Flow %s Yr5'!F128="","",'Cash Flow %s Yr5'!F128*'Expenses Summary'!$V85))</f>
        <v>341.83121945760007</v>
      </c>
      <c r="G128" s="60">
        <f>IF('Expenses Summary'!$V85="","",IF('Cash Flow %s Yr5'!G128="","",'Cash Flow %s Yr5'!G128*'Expenses Summary'!$V85))</f>
        <v>341.83121945760007</v>
      </c>
      <c r="H128" s="60">
        <f>IF('Expenses Summary'!$V85="","",IF('Cash Flow %s Yr5'!H128="","",'Cash Flow %s Yr5'!H128*'Expenses Summary'!$V85))</f>
        <v>341.83121945760007</v>
      </c>
      <c r="I128" s="60">
        <f>IF('Expenses Summary'!$V85="","",IF('Cash Flow %s Yr5'!I128="","",'Cash Flow %s Yr5'!I128*'Expenses Summary'!$V85))</f>
        <v>341.83121945760007</v>
      </c>
      <c r="J128" s="60">
        <f>IF('Expenses Summary'!$V85="","",IF('Cash Flow %s Yr5'!J128="","",'Cash Flow %s Yr5'!J128*'Expenses Summary'!$V85))</f>
        <v>341.83121945760007</v>
      </c>
      <c r="K128" s="60">
        <f>IF('Expenses Summary'!$V85="","",IF('Cash Flow %s Yr5'!K128="","",'Cash Flow %s Yr5'!K128*'Expenses Summary'!$V85))</f>
        <v>341.83121945760007</v>
      </c>
      <c r="L128" s="60">
        <f>IF('Expenses Summary'!$V85="","",IF('Cash Flow %s Yr5'!L128="","",'Cash Flow %s Yr5'!L128*'Expenses Summary'!$V85))</f>
        <v>345.94966788480008</v>
      </c>
      <c r="M128" s="60">
        <f>IF('Expenses Summary'!$V85="","",IF('Cash Flow %s Yr5'!M128="","",'Cash Flow %s Yr5'!M128*'Expenses Summary'!$V85))</f>
        <v>345.94966788480008</v>
      </c>
      <c r="N128" s="60">
        <f>IF('Expenses Summary'!$V85="","",IF('Cash Flow %s Yr5'!N128="","",'Cash Flow %s Yr5'!N128*'Expenses Summary'!$V85))</f>
        <v>345.94966788480008</v>
      </c>
      <c r="O128" s="60">
        <f>IF('Expenses Summary'!$V85="","",IF('Cash Flow %s Yr5'!O128="","",'Cash Flow %s Yr5'!O128*'Expenses Summary'!$V85))</f>
        <v>345.94966788480008</v>
      </c>
      <c r="P128" s="123"/>
      <c r="Q128" s="123"/>
      <c r="R128" s="123"/>
      <c r="S128" s="105">
        <f>IF(SUM(D128:R128)&gt;0,SUM(D128:R128)/'Expenses Summary'!$V85,"")</f>
        <v>1</v>
      </c>
    </row>
    <row r="129" spans="1:19" s="30" customFormat="1" x14ac:dyDescent="0.3">
      <c r="A129" s="35"/>
      <c r="B129" s="133" t="str">
        <f>'Expenses Summary'!B86</f>
        <v>5811</v>
      </c>
      <c r="C129" s="133" t="str">
        <f>'Expenses Summary'!C86</f>
        <v>Student Transportation / Events</v>
      </c>
      <c r="D129" s="60">
        <f>IF('Expenses Summary'!$V86="","",IF('Cash Flow %s Yr5'!D129="","",'Cash Flow %s Yr5'!D129*'Expenses Summary'!$V86))</f>
        <v>0</v>
      </c>
      <c r="E129" s="60">
        <f>IF('Expenses Summary'!$V86="","",IF('Cash Flow %s Yr5'!E129="","",'Cash Flow %s Yr5'!E129*'Expenses Summary'!$V86))</f>
        <v>0</v>
      </c>
      <c r="F129" s="60">
        <f>IF('Expenses Summary'!$V86="","",IF('Cash Flow %s Yr5'!F129="","",'Cash Flow %s Yr5'!F129*'Expenses Summary'!$V86))</f>
        <v>0</v>
      </c>
      <c r="G129" s="60">
        <f>IF('Expenses Summary'!$V86="","",IF('Cash Flow %s Yr5'!G129="","",'Cash Flow %s Yr5'!G129*'Expenses Summary'!$V86))</f>
        <v>0</v>
      </c>
      <c r="H129" s="60">
        <f>IF('Expenses Summary'!$V86="","",IF('Cash Flow %s Yr5'!H129="","",'Cash Flow %s Yr5'!H129*'Expenses Summary'!$V86))</f>
        <v>0</v>
      </c>
      <c r="I129" s="60">
        <f>IF('Expenses Summary'!$V86="","",IF('Cash Flow %s Yr5'!I129="","",'Cash Flow %s Yr5'!I129*'Expenses Summary'!$V86))</f>
        <v>0</v>
      </c>
      <c r="J129" s="60">
        <f>IF('Expenses Summary'!$V86="","",IF('Cash Flow %s Yr5'!J129="","",'Cash Flow %s Yr5'!J129*'Expenses Summary'!$V86))</f>
        <v>0</v>
      </c>
      <c r="K129" s="60">
        <f>IF('Expenses Summary'!$V86="","",IF('Cash Flow %s Yr5'!K129="","",'Cash Flow %s Yr5'!K129*'Expenses Summary'!$V86))</f>
        <v>0</v>
      </c>
      <c r="L129" s="60">
        <f>IF('Expenses Summary'!$V86="","",IF('Cash Flow %s Yr5'!L129="","",'Cash Flow %s Yr5'!L129*'Expenses Summary'!$V86))</f>
        <v>0</v>
      </c>
      <c r="M129" s="60">
        <f>IF('Expenses Summary'!$V86="","",IF('Cash Flow %s Yr5'!M129="","",'Cash Flow %s Yr5'!M129*'Expenses Summary'!$V86))</f>
        <v>0</v>
      </c>
      <c r="N129" s="60">
        <f>IF('Expenses Summary'!$V86="","",IF('Cash Flow %s Yr5'!N129="","",'Cash Flow %s Yr5'!N129*'Expenses Summary'!$V86))</f>
        <v>0</v>
      </c>
      <c r="O129" s="60">
        <f>IF('Expenses Summary'!$V86="","",IF('Cash Flow %s Yr5'!O129="","",'Cash Flow %s Yr5'!O129*'Expenses Summary'!$V86))</f>
        <v>0</v>
      </c>
      <c r="P129" s="123"/>
      <c r="Q129" s="123"/>
      <c r="R129" s="123"/>
      <c r="S129" s="105" t="str">
        <f>IF(SUM(D129:R129)&gt;0,SUM(D129:R129)/'Expenses Summary'!$V86,"")</f>
        <v/>
      </c>
    </row>
    <row r="130" spans="1:19" s="30" customFormat="1" x14ac:dyDescent="0.3">
      <c r="A130" s="35"/>
      <c r="B130" s="133" t="str">
        <f>'Expenses Summary'!B88</f>
        <v>5815</v>
      </c>
      <c r="C130" s="133" t="str">
        <f>'Expenses Summary'!C88</f>
        <v>Advertising / Recruiting</v>
      </c>
      <c r="D130" s="60">
        <f>IF('Expenses Summary'!$V88="","",IF('Cash Flow %s Yr5'!D130="","",'Cash Flow %s Yr5'!D130*'Expenses Summary'!$V88))</f>
        <v>45.757883968791376</v>
      </c>
      <c r="E130" s="60">
        <f>IF('Expenses Summary'!$V88="","",IF('Cash Flow %s Yr5'!E130="","",'Cash Flow %s Yr5'!E130*'Expenses Summary'!$V88))</f>
        <v>45.757883968791376</v>
      </c>
      <c r="F130" s="60">
        <f>IF('Expenses Summary'!$V88="","",IF('Cash Flow %s Yr5'!F130="","",'Cash Flow %s Yr5'!F130*'Expenses Summary'!$V88))</f>
        <v>45.757883968791376</v>
      </c>
      <c r="G130" s="60">
        <f>IF('Expenses Summary'!$V88="","",IF('Cash Flow %s Yr5'!G130="","",'Cash Flow %s Yr5'!G130*'Expenses Summary'!$V88))</f>
        <v>45.757883968791376</v>
      </c>
      <c r="H130" s="60">
        <f>IF('Expenses Summary'!$V88="","",IF('Cash Flow %s Yr5'!H130="","",'Cash Flow %s Yr5'!H130*'Expenses Summary'!$V88))</f>
        <v>45.757883968791376</v>
      </c>
      <c r="I130" s="60">
        <f>IF('Expenses Summary'!$V88="","",IF('Cash Flow %s Yr5'!I130="","",'Cash Flow %s Yr5'!I130*'Expenses Summary'!$V88))</f>
        <v>45.757883968791376</v>
      </c>
      <c r="J130" s="60">
        <f>IF('Expenses Summary'!$V88="","",IF('Cash Flow %s Yr5'!J130="","",'Cash Flow %s Yr5'!J130*'Expenses Summary'!$V88))</f>
        <v>45.757883968791376</v>
      </c>
      <c r="K130" s="60">
        <f>IF('Expenses Summary'!$V88="","",IF('Cash Flow %s Yr5'!K130="","",'Cash Flow %s Yr5'!K130*'Expenses Summary'!$V88))</f>
        <v>45.757883968791376</v>
      </c>
      <c r="L130" s="60">
        <f>IF('Expenses Summary'!$V88="","",IF('Cash Flow %s Yr5'!L130="","",'Cash Flow %s Yr5'!L130*'Expenses Summary'!$V88))</f>
        <v>45.757883968791376</v>
      </c>
      <c r="M130" s="60">
        <f>IF('Expenses Summary'!$V88="","",IF('Cash Flow %s Yr5'!M130="","",'Cash Flow %s Yr5'!M130*'Expenses Summary'!$V88))</f>
        <v>45.757883968791376</v>
      </c>
      <c r="N130" s="60">
        <f>IF('Expenses Summary'!$V88="","",IF('Cash Flow %s Yr5'!N130="","",'Cash Flow %s Yr5'!N130*'Expenses Summary'!$V88))</f>
        <v>45.757883968791376</v>
      </c>
      <c r="O130" s="60">
        <f>IF('Expenses Summary'!$V88="","",IF('Cash Flow %s Yr5'!O130="","",'Cash Flow %s Yr5'!O130*'Expenses Summary'!$V88))</f>
        <v>45.789458740066571</v>
      </c>
      <c r="P130" s="123"/>
      <c r="Q130" s="123"/>
      <c r="R130" s="123"/>
      <c r="S130" s="105">
        <f>IF(SUM(D130:R130)&gt;0,SUM(D130:R130)/'Expenses Summary'!$V88,"")</f>
        <v>0.99999949999999982</v>
      </c>
    </row>
    <row r="131" spans="1:19" s="30" customFormat="1" x14ac:dyDescent="0.3">
      <c r="A131" s="35"/>
      <c r="B131" s="133" t="str">
        <f>'Expenses Summary'!B89</f>
        <v>5820</v>
      </c>
      <c r="C131" s="133" t="str">
        <f>'Expenses Summary'!C89</f>
        <v>Fundraising Expense</v>
      </c>
      <c r="D131" s="60">
        <f>IF('Expenses Summary'!$V89="","",IF('Cash Flow %s Yr5'!D131="","",'Cash Flow %s Yr5'!D131*'Expenses Summary'!$V89))</f>
        <v>915.15767937582734</v>
      </c>
      <c r="E131" s="60">
        <f>IF('Expenses Summary'!$V89="","",IF('Cash Flow %s Yr5'!E131="","",'Cash Flow %s Yr5'!E131*'Expenses Summary'!$V89))</f>
        <v>915.15767937582734</v>
      </c>
      <c r="F131" s="60">
        <f>IF('Expenses Summary'!$V89="","",IF('Cash Flow %s Yr5'!F131="","",'Cash Flow %s Yr5'!F131*'Expenses Summary'!$V89))</f>
        <v>915.15767937582734</v>
      </c>
      <c r="G131" s="60">
        <f>IF('Expenses Summary'!$V89="","",IF('Cash Flow %s Yr5'!G131="","",'Cash Flow %s Yr5'!G131*'Expenses Summary'!$V89))</f>
        <v>915.15767937582734</v>
      </c>
      <c r="H131" s="60">
        <f>IF('Expenses Summary'!$V89="","",IF('Cash Flow %s Yr5'!H131="","",'Cash Flow %s Yr5'!H131*'Expenses Summary'!$V89))</f>
        <v>915.15767937582734</v>
      </c>
      <c r="I131" s="60">
        <f>IF('Expenses Summary'!$V89="","",IF('Cash Flow %s Yr5'!I131="","",'Cash Flow %s Yr5'!I131*'Expenses Summary'!$V89))</f>
        <v>915.15767937582734</v>
      </c>
      <c r="J131" s="60">
        <f>IF('Expenses Summary'!$V89="","",IF('Cash Flow %s Yr5'!J131="","",'Cash Flow %s Yr5'!J131*'Expenses Summary'!$V89))</f>
        <v>915.15767937582734</v>
      </c>
      <c r="K131" s="60">
        <f>IF('Expenses Summary'!$V89="","",IF('Cash Flow %s Yr5'!K131="","",'Cash Flow %s Yr5'!K131*'Expenses Summary'!$V89))</f>
        <v>915.15767937582734</v>
      </c>
      <c r="L131" s="60">
        <f>IF('Expenses Summary'!$V89="","",IF('Cash Flow %s Yr5'!L131="","",'Cash Flow %s Yr5'!L131*'Expenses Summary'!$V89))</f>
        <v>915.15767937582734</v>
      </c>
      <c r="M131" s="60">
        <f>IF('Expenses Summary'!$V89="","",IF('Cash Flow %s Yr5'!M131="","",'Cash Flow %s Yr5'!M131*'Expenses Summary'!$V89))</f>
        <v>915.15767937582734</v>
      </c>
      <c r="N131" s="60">
        <f>IF('Expenses Summary'!$V89="","",IF('Cash Flow %s Yr5'!N131="","",'Cash Flow %s Yr5'!N131*'Expenses Summary'!$V89))</f>
        <v>915.15767937582734</v>
      </c>
      <c r="O131" s="60">
        <f>IF('Expenses Summary'!$V89="","",IF('Cash Flow %s Yr5'!O131="","",'Cash Flow %s Yr5'!O131*'Expenses Summary'!$V89))</f>
        <v>915.78917480133134</v>
      </c>
      <c r="P131" s="123"/>
      <c r="Q131" s="123"/>
      <c r="R131" s="123"/>
      <c r="S131" s="105">
        <f>IF(SUM(D131:R131)&gt;0,SUM(D131:R131)/'Expenses Summary'!$V89,"")</f>
        <v>0.99999949999999993</v>
      </c>
    </row>
    <row r="132" spans="1:19" s="30" customFormat="1" x14ac:dyDescent="0.3">
      <c r="A132" s="35"/>
      <c r="B132" s="133" t="str">
        <f>'Expenses Summary'!B91</f>
        <v>5836</v>
      </c>
      <c r="C132" s="133" t="str">
        <f>'Expenses Summary'!C91</f>
        <v>Transportation Services</v>
      </c>
      <c r="D132" s="60" t="str">
        <f>IF('Expenses Summary'!$V91="","",IF('Cash Flow %s Yr5'!D132="","",'Cash Flow %s Yr5'!D132*'Expenses Summary'!$V91))</f>
        <v/>
      </c>
      <c r="E132" s="60" t="str">
        <f>IF('Expenses Summary'!$V91="","",IF('Cash Flow %s Yr5'!E132="","",'Cash Flow %s Yr5'!E132*'Expenses Summary'!$V91))</f>
        <v/>
      </c>
      <c r="F132" s="60" t="str">
        <f>IF('Expenses Summary'!$V91="","",IF('Cash Flow %s Yr5'!F132="","",'Cash Flow %s Yr5'!F132*'Expenses Summary'!$V91))</f>
        <v/>
      </c>
      <c r="G132" s="60" t="str">
        <f>IF('Expenses Summary'!$V91="","",IF('Cash Flow %s Yr5'!G132="","",'Cash Flow %s Yr5'!G132*'Expenses Summary'!$V91))</f>
        <v/>
      </c>
      <c r="H132" s="60" t="str">
        <f>IF('Expenses Summary'!$V91="","",IF('Cash Flow %s Yr5'!H132="","",'Cash Flow %s Yr5'!H132*'Expenses Summary'!$V91))</f>
        <v/>
      </c>
      <c r="I132" s="60" t="str">
        <f>IF('Expenses Summary'!$V91="","",IF('Cash Flow %s Yr5'!I132="","",'Cash Flow %s Yr5'!I132*'Expenses Summary'!$V91))</f>
        <v/>
      </c>
      <c r="J132" s="60" t="str">
        <f>IF('Expenses Summary'!$V91="","",IF('Cash Flow %s Yr5'!J132="","",'Cash Flow %s Yr5'!J132*'Expenses Summary'!$V91))</f>
        <v/>
      </c>
      <c r="K132" s="60" t="str">
        <f>IF('Expenses Summary'!$V91="","",IF('Cash Flow %s Yr5'!K132="","",'Cash Flow %s Yr5'!K132*'Expenses Summary'!$V91))</f>
        <v/>
      </c>
      <c r="L132" s="60" t="str">
        <f>IF('Expenses Summary'!$V91="","",IF('Cash Flow %s Yr5'!L132="","",'Cash Flow %s Yr5'!L132*'Expenses Summary'!$V91))</f>
        <v/>
      </c>
      <c r="M132" s="60" t="str">
        <f>IF('Expenses Summary'!$V91="","",IF('Cash Flow %s Yr5'!M132="","",'Cash Flow %s Yr5'!M132*'Expenses Summary'!$V91))</f>
        <v/>
      </c>
      <c r="N132" s="60" t="str">
        <f>IF('Expenses Summary'!$V91="","",IF('Cash Flow %s Yr5'!N132="","",'Cash Flow %s Yr5'!N132*'Expenses Summary'!$V91))</f>
        <v/>
      </c>
      <c r="O132" s="60" t="str">
        <f>IF('Expenses Summary'!$V91="","",IF('Cash Flow %s Yr5'!O132="","",'Cash Flow %s Yr5'!O132*'Expenses Summary'!$V91))</f>
        <v/>
      </c>
      <c r="P132" s="123"/>
      <c r="Q132" s="123"/>
      <c r="R132" s="123"/>
      <c r="S132" s="105" t="str">
        <f>IF(SUM(D132:R132)&gt;0,SUM(D132:R132)/'Expenses Summary'!$V91,"")</f>
        <v/>
      </c>
    </row>
    <row r="133" spans="1:19" s="30" customFormat="1" hidden="1" outlineLevel="1" x14ac:dyDescent="0.3">
      <c r="A133" s="35"/>
      <c r="B133" s="133" t="str">
        <f>'Expenses Summary'!B92</f>
        <v>5842</v>
      </c>
      <c r="C133" s="133" t="str">
        <f>'Expenses Summary'!C92</f>
        <v>Services Student Athletics</v>
      </c>
      <c r="D133" s="60">
        <f>IF('Expenses Summary'!$V92="","",IF('Cash Flow %s Yr5'!D133="","",'Cash Flow %s Yr5'!D133*'Expenses Summary'!$V92))</f>
        <v>0</v>
      </c>
      <c r="E133" s="60">
        <f>IF('Expenses Summary'!$V92="","",IF('Cash Flow %s Yr5'!E133="","",'Cash Flow %s Yr5'!E133*'Expenses Summary'!$V92))</f>
        <v>0</v>
      </c>
      <c r="F133" s="60">
        <f>IF('Expenses Summary'!$V92="","",IF('Cash Flow %s Yr5'!F133="","",'Cash Flow %s Yr5'!F133*'Expenses Summary'!$V92))</f>
        <v>0</v>
      </c>
      <c r="G133" s="60">
        <f>IF('Expenses Summary'!$V92="","",IF('Cash Flow %s Yr5'!G133="","",'Cash Flow %s Yr5'!G133*'Expenses Summary'!$V92))</f>
        <v>0</v>
      </c>
      <c r="H133" s="60">
        <f>IF('Expenses Summary'!$V92="","",IF('Cash Flow %s Yr5'!H133="","",'Cash Flow %s Yr5'!H133*'Expenses Summary'!$V92))</f>
        <v>0</v>
      </c>
      <c r="I133" s="60">
        <f>IF('Expenses Summary'!$V92="","",IF('Cash Flow %s Yr5'!I133="","",'Cash Flow %s Yr5'!I133*'Expenses Summary'!$V92))</f>
        <v>0</v>
      </c>
      <c r="J133" s="60">
        <f>IF('Expenses Summary'!$V92="","",IF('Cash Flow %s Yr5'!J133="","",'Cash Flow %s Yr5'!J133*'Expenses Summary'!$V92))</f>
        <v>0</v>
      </c>
      <c r="K133" s="60">
        <f>IF('Expenses Summary'!$V92="","",IF('Cash Flow %s Yr5'!K133="","",'Cash Flow %s Yr5'!K133*'Expenses Summary'!$V92))</f>
        <v>0</v>
      </c>
      <c r="L133" s="60">
        <f>IF('Expenses Summary'!$V92="","",IF('Cash Flow %s Yr5'!L133="","",'Cash Flow %s Yr5'!L133*'Expenses Summary'!$V92))</f>
        <v>0</v>
      </c>
      <c r="M133" s="60">
        <f>IF('Expenses Summary'!$V92="","",IF('Cash Flow %s Yr5'!M133="","",'Cash Flow %s Yr5'!M133*'Expenses Summary'!$V92))</f>
        <v>0</v>
      </c>
      <c r="N133" s="60">
        <f>IF('Expenses Summary'!$V92="","",IF('Cash Flow %s Yr5'!N133="","",'Cash Flow %s Yr5'!N133*'Expenses Summary'!$V92))</f>
        <v>0</v>
      </c>
      <c r="O133" s="60">
        <f>IF('Expenses Summary'!$V92="","",IF('Cash Flow %s Yr5'!O133="","",'Cash Flow %s Yr5'!O133*'Expenses Summary'!$V92))</f>
        <v>0</v>
      </c>
      <c r="P133" s="123"/>
      <c r="Q133" s="123"/>
      <c r="R133" s="123"/>
      <c r="S133" s="105"/>
    </row>
    <row r="134" spans="1:19" s="30" customFormat="1" hidden="1" outlineLevel="1" x14ac:dyDescent="0.3">
      <c r="A134" s="35"/>
      <c r="B134" s="133" t="str">
        <f>'Expenses Summary'!B93</f>
        <v>5850</v>
      </c>
      <c r="C134" s="133" t="str">
        <f>'Expenses Summary'!C93</f>
        <v>Scholarships</v>
      </c>
      <c r="D134" s="60" t="str">
        <f>IF('Expenses Summary'!$V93="","",IF('Cash Flow %s Yr5'!D134="","",'Cash Flow %s Yr5'!D134*'Expenses Summary'!$V93))</f>
        <v/>
      </c>
      <c r="E134" s="60" t="str">
        <f>IF('Expenses Summary'!$V93="","",IF('Cash Flow %s Yr5'!E134="","",'Cash Flow %s Yr5'!E134*'Expenses Summary'!$V93))</f>
        <v/>
      </c>
      <c r="F134" s="60" t="str">
        <f>IF('Expenses Summary'!$V93="","",IF('Cash Flow %s Yr5'!F134="","",'Cash Flow %s Yr5'!F134*'Expenses Summary'!$V93))</f>
        <v/>
      </c>
      <c r="G134" s="60" t="str">
        <f>IF('Expenses Summary'!$V93="","",IF('Cash Flow %s Yr5'!G134="","",'Cash Flow %s Yr5'!G134*'Expenses Summary'!$V93))</f>
        <v/>
      </c>
      <c r="H134" s="60" t="str">
        <f>IF('Expenses Summary'!$V93="","",IF('Cash Flow %s Yr5'!H134="","",'Cash Flow %s Yr5'!H134*'Expenses Summary'!$V93))</f>
        <v/>
      </c>
      <c r="I134" s="60" t="str">
        <f>IF('Expenses Summary'!$V93="","",IF('Cash Flow %s Yr5'!I134="","",'Cash Flow %s Yr5'!I134*'Expenses Summary'!$V93))</f>
        <v/>
      </c>
      <c r="J134" s="60" t="str">
        <f>IF('Expenses Summary'!$V93="","",IF('Cash Flow %s Yr5'!J134="","",'Cash Flow %s Yr5'!J134*'Expenses Summary'!$V93))</f>
        <v/>
      </c>
      <c r="K134" s="60" t="str">
        <f>IF('Expenses Summary'!$V93="","",IF('Cash Flow %s Yr5'!K134="","",'Cash Flow %s Yr5'!K134*'Expenses Summary'!$V93))</f>
        <v/>
      </c>
      <c r="L134" s="60" t="str">
        <f>IF('Expenses Summary'!$V93="","",IF('Cash Flow %s Yr5'!L134="","",'Cash Flow %s Yr5'!L134*'Expenses Summary'!$V93))</f>
        <v/>
      </c>
      <c r="M134" s="60" t="str">
        <f>IF('Expenses Summary'!$V93="","",IF('Cash Flow %s Yr5'!M134="","",'Cash Flow %s Yr5'!M134*'Expenses Summary'!$V93))</f>
        <v/>
      </c>
      <c r="N134" s="60" t="str">
        <f>IF('Expenses Summary'!$V93="","",IF('Cash Flow %s Yr5'!N134="","",'Cash Flow %s Yr5'!N134*'Expenses Summary'!$V93))</f>
        <v/>
      </c>
      <c r="O134" s="60" t="str">
        <f>IF('Expenses Summary'!$V93="","",IF('Cash Flow %s Yr5'!O134="","",'Cash Flow %s Yr5'!O134*'Expenses Summary'!$V93))</f>
        <v/>
      </c>
      <c r="P134" s="123"/>
      <c r="Q134" s="123"/>
      <c r="R134" s="123"/>
      <c r="S134" s="105"/>
    </row>
    <row r="135" spans="1:19" s="30" customFormat="1" hidden="1" outlineLevel="1" x14ac:dyDescent="0.3">
      <c r="A135" s="35"/>
      <c r="B135" s="133" t="str">
        <f>'Expenses Summary'!B94</f>
        <v>5873</v>
      </c>
      <c r="C135" s="133" t="str">
        <f>'Expenses Summary'!C94</f>
        <v>Financial Services</v>
      </c>
      <c r="D135" s="60">
        <f>IF('Expenses Summary'!$V94="","",IF('Cash Flow %s Yr5'!D135="","",'Cash Flow %s Yr5'!D135*'Expenses Summary'!$V94))</f>
        <v>0</v>
      </c>
      <c r="E135" s="60">
        <f>IF('Expenses Summary'!$V94="","",IF('Cash Flow %s Yr5'!E135="","",'Cash Flow %s Yr5'!E135*'Expenses Summary'!$V94))</f>
        <v>0</v>
      </c>
      <c r="F135" s="60">
        <f>IF('Expenses Summary'!$V94="","",IF('Cash Flow %s Yr5'!F135="","",'Cash Flow %s Yr5'!F135*'Expenses Summary'!$V94))</f>
        <v>5110.1337600000006</v>
      </c>
      <c r="G135" s="60">
        <f>IF('Expenses Summary'!$V94="","",IF('Cash Flow %s Yr5'!G135="","",'Cash Flow %s Yr5'!G135*'Expenses Summary'!$V94))</f>
        <v>5110.1337600000006</v>
      </c>
      <c r="H135" s="60">
        <f>IF('Expenses Summary'!$V94="","",IF('Cash Flow %s Yr5'!H135="","",'Cash Flow %s Yr5'!H135*'Expenses Summary'!$V94))</f>
        <v>5110.1337600000006</v>
      </c>
      <c r="I135" s="60">
        <f>IF('Expenses Summary'!$V94="","",IF('Cash Flow %s Yr5'!I135="","",'Cash Flow %s Yr5'!I135*'Expenses Summary'!$V94))</f>
        <v>5110.1337600000006</v>
      </c>
      <c r="J135" s="60">
        <f>IF('Expenses Summary'!$V94="","",IF('Cash Flow %s Yr5'!J135="","",'Cash Flow %s Yr5'!J135*'Expenses Summary'!$V94))</f>
        <v>5110.1337600000006</v>
      </c>
      <c r="K135" s="60">
        <f>IF('Expenses Summary'!$V94="","",IF('Cash Flow %s Yr5'!K135="","",'Cash Flow %s Yr5'!K135*'Expenses Summary'!$V94))</f>
        <v>5110.1337600000006</v>
      </c>
      <c r="L135" s="60">
        <f>IF('Expenses Summary'!$V94="","",IF('Cash Flow %s Yr5'!L135="","",'Cash Flow %s Yr5'!L135*'Expenses Summary'!$V94))</f>
        <v>5110.1337600000006</v>
      </c>
      <c r="M135" s="60">
        <f>IF('Expenses Summary'!$V94="","",IF('Cash Flow %s Yr5'!M135="","",'Cash Flow %s Yr5'!M135*'Expenses Summary'!$V94))</f>
        <v>5110.1337600000006</v>
      </c>
      <c r="N135" s="60">
        <f>IF('Expenses Summary'!$V94="","",IF('Cash Flow %s Yr5'!N135="","",'Cash Flow %s Yr5'!N135*'Expenses Summary'!$V94))</f>
        <v>5110.1337600000006</v>
      </c>
      <c r="O135" s="60">
        <f>IF('Expenses Summary'!$V94="","",IF('Cash Flow %s Yr5'!O135="","",'Cash Flow %s Yr5'!O135*'Expenses Summary'!$V94))</f>
        <v>5110.1337600000006</v>
      </c>
      <c r="P135" s="123"/>
      <c r="Q135" s="123"/>
      <c r="R135" s="123"/>
      <c r="S135" s="105"/>
    </row>
    <row r="136" spans="1:19" s="30" customFormat="1" hidden="1" outlineLevel="1" x14ac:dyDescent="0.3">
      <c r="A136" s="35"/>
      <c r="B136" s="133" t="str">
        <f>'Expenses Summary'!B96</f>
        <v>5875</v>
      </c>
      <c r="C136" s="133" t="str">
        <f>'Expenses Summary'!C96</f>
        <v>District Oversight Fee</v>
      </c>
      <c r="D136" s="60">
        <f>IF('Expenses Summary'!$V96="","",IF('Cash Flow %s Yr5'!D136="","",'Cash Flow %s Yr5'!D136*'Expenses Summary'!$V96))</f>
        <v>0</v>
      </c>
      <c r="E136" s="60">
        <f>IF('Expenses Summary'!$V96="","",IF('Cash Flow %s Yr5'!E136="","",'Cash Flow %s Yr5'!E136*'Expenses Summary'!$V96))</f>
        <v>0</v>
      </c>
      <c r="F136" s="60">
        <f>IF('Expenses Summary'!$V96="","",IF('Cash Flow %s Yr5'!F136="","",'Cash Flow %s Yr5'!F136*'Expenses Summary'!$V96))</f>
        <v>1049.22</v>
      </c>
      <c r="G136" s="60">
        <f>IF('Expenses Summary'!$V96="","",IF('Cash Flow %s Yr5'!G136="","",'Cash Flow %s Yr5'!G136*'Expenses Summary'!$V96))</f>
        <v>1049.22</v>
      </c>
      <c r="H136" s="60">
        <f>IF('Expenses Summary'!$V96="","",IF('Cash Flow %s Yr5'!H136="","",'Cash Flow %s Yr5'!H136*'Expenses Summary'!$V96))</f>
        <v>1049.22</v>
      </c>
      <c r="I136" s="60">
        <f>IF('Expenses Summary'!$V96="","",IF('Cash Flow %s Yr5'!I136="","",'Cash Flow %s Yr5'!I136*'Expenses Summary'!$V96))</f>
        <v>1049.22</v>
      </c>
      <c r="J136" s="60">
        <f>IF('Expenses Summary'!$V96="","",IF('Cash Flow %s Yr5'!J136="","",'Cash Flow %s Yr5'!J136*'Expenses Summary'!$V96))</f>
        <v>1049.22</v>
      </c>
      <c r="K136" s="60">
        <f>IF('Expenses Summary'!$V96="","",IF('Cash Flow %s Yr5'!K136="","",'Cash Flow %s Yr5'!K136*'Expenses Summary'!$V96))</f>
        <v>1049.22</v>
      </c>
      <c r="L136" s="60">
        <f>IF('Expenses Summary'!$V96="","",IF('Cash Flow %s Yr5'!L136="","",'Cash Flow %s Yr5'!L136*'Expenses Summary'!$V96))</f>
        <v>1049.22</v>
      </c>
      <c r="M136" s="60">
        <f>IF('Expenses Summary'!$V96="","",IF('Cash Flow %s Yr5'!M136="","",'Cash Flow %s Yr5'!M136*'Expenses Summary'!$V96))</f>
        <v>1049.22</v>
      </c>
      <c r="N136" s="60">
        <f>IF('Expenses Summary'!$V96="","",IF('Cash Flow %s Yr5'!N136="","",'Cash Flow %s Yr5'!N136*'Expenses Summary'!$V96))</f>
        <v>1049.22</v>
      </c>
      <c r="O136" s="60">
        <f>IF('Expenses Summary'!$V96="","",IF('Cash Flow %s Yr5'!O136="","",'Cash Flow %s Yr5'!O136*'Expenses Summary'!$V96))</f>
        <v>1049.22</v>
      </c>
      <c r="P136" s="123"/>
      <c r="Q136" s="123"/>
      <c r="R136" s="123"/>
      <c r="S136" s="105"/>
    </row>
    <row r="137" spans="1:19" s="30" customFormat="1" hidden="1" outlineLevel="1" x14ac:dyDescent="0.3">
      <c r="A137" s="35"/>
      <c r="B137" s="133" t="str">
        <f>'Expenses Summary'!B97</f>
        <v>5877</v>
      </c>
      <c r="C137" s="133" t="str">
        <f>'Expenses Summary'!C97</f>
        <v>IT Services</v>
      </c>
      <c r="D137" s="60">
        <f>IF('Expenses Summary'!$V97="","",IF('Cash Flow %s Yr5'!D137="","",'Cash Flow %s Yr5'!D137*'Expenses Summary'!$V97))</f>
        <v>0</v>
      </c>
      <c r="E137" s="60">
        <f>IF('Expenses Summary'!$V97="","",IF('Cash Flow %s Yr5'!E137="","",'Cash Flow %s Yr5'!E137*'Expenses Summary'!$V97))</f>
        <v>0</v>
      </c>
      <c r="F137" s="60">
        <f>IF('Expenses Summary'!$V97="","",IF('Cash Flow %s Yr5'!F137="","",'Cash Flow %s Yr5'!F137*'Expenses Summary'!$V97))</f>
        <v>109.82529139200004</v>
      </c>
      <c r="G137" s="60">
        <f>IF('Expenses Summary'!$V97="","",IF('Cash Flow %s Yr5'!G137="","",'Cash Flow %s Yr5'!G137*'Expenses Summary'!$V97))</f>
        <v>109.82529139200004</v>
      </c>
      <c r="H137" s="60">
        <f>IF('Expenses Summary'!$V97="","",IF('Cash Flow %s Yr5'!H137="","",'Cash Flow %s Yr5'!H137*'Expenses Summary'!$V97))</f>
        <v>109.82529139200004</v>
      </c>
      <c r="I137" s="60">
        <f>IF('Expenses Summary'!$V97="","",IF('Cash Flow %s Yr5'!I137="","",'Cash Flow %s Yr5'!I137*'Expenses Summary'!$V97))</f>
        <v>109.82529139200004</v>
      </c>
      <c r="J137" s="60">
        <f>IF('Expenses Summary'!$V97="","",IF('Cash Flow %s Yr5'!J137="","",'Cash Flow %s Yr5'!J137*'Expenses Summary'!$V97))</f>
        <v>109.82529139200004</v>
      </c>
      <c r="K137" s="60">
        <f>IF('Expenses Summary'!$V97="","",IF('Cash Flow %s Yr5'!K137="","",'Cash Flow %s Yr5'!K137*'Expenses Summary'!$V97))</f>
        <v>109.82529139200004</v>
      </c>
      <c r="L137" s="60">
        <f>IF('Expenses Summary'!$V97="","",IF('Cash Flow %s Yr5'!L137="","",'Cash Flow %s Yr5'!L137*'Expenses Summary'!$V97))</f>
        <v>109.82529139200004</v>
      </c>
      <c r="M137" s="60">
        <f>IF('Expenses Summary'!$V97="","",IF('Cash Flow %s Yr5'!M137="","",'Cash Flow %s Yr5'!M137*'Expenses Summary'!$V97))</f>
        <v>109.82529139200004</v>
      </c>
      <c r="N137" s="60">
        <f>IF('Expenses Summary'!$V97="","",IF('Cash Flow %s Yr5'!N137="","",'Cash Flow %s Yr5'!N137*'Expenses Summary'!$V97))</f>
        <v>109.82529139200004</v>
      </c>
      <c r="O137" s="60">
        <f>IF('Expenses Summary'!$V97="","",IF('Cash Flow %s Yr5'!O137="","",'Cash Flow %s Yr5'!O137*'Expenses Summary'!$V97))</f>
        <v>109.82529139200004</v>
      </c>
      <c r="P137" s="123"/>
      <c r="Q137" s="123"/>
      <c r="R137" s="123"/>
      <c r="S137" s="105"/>
    </row>
    <row r="138" spans="1:19" s="30" customFormat="1" hidden="1" outlineLevel="1" x14ac:dyDescent="0.3">
      <c r="A138" s="35"/>
      <c r="B138" s="133" t="str">
        <f>'Expenses Summary'!B98</f>
        <v>5885</v>
      </c>
      <c r="C138" s="133" t="str">
        <f>'Expenses Summary'!C98</f>
        <v>Summer School Program</v>
      </c>
      <c r="D138" s="60" t="str">
        <f>IF('Expenses Summary'!$V98="","",IF('Cash Flow %s Yr5'!D138="","",'Cash Flow %s Yr5'!D138*'Expenses Summary'!$V98))</f>
        <v/>
      </c>
      <c r="E138" s="60" t="str">
        <f>IF('Expenses Summary'!$V98="","",IF('Cash Flow %s Yr5'!E138="","",'Cash Flow %s Yr5'!E138*'Expenses Summary'!$V98))</f>
        <v/>
      </c>
      <c r="F138" s="60" t="str">
        <f>IF('Expenses Summary'!$V98="","",IF('Cash Flow %s Yr5'!F138="","",'Cash Flow %s Yr5'!F138*'Expenses Summary'!$V98))</f>
        <v/>
      </c>
      <c r="G138" s="60" t="str">
        <f>IF('Expenses Summary'!$V98="","",IF('Cash Flow %s Yr5'!G138="","",'Cash Flow %s Yr5'!G138*'Expenses Summary'!$V98))</f>
        <v/>
      </c>
      <c r="H138" s="60" t="str">
        <f>IF('Expenses Summary'!$V98="","",IF('Cash Flow %s Yr5'!H138="","",'Cash Flow %s Yr5'!H138*'Expenses Summary'!$V98))</f>
        <v/>
      </c>
      <c r="I138" s="60" t="str">
        <f>IF('Expenses Summary'!$V98="","",IF('Cash Flow %s Yr5'!I138="","",'Cash Flow %s Yr5'!I138*'Expenses Summary'!$V98))</f>
        <v/>
      </c>
      <c r="J138" s="60" t="str">
        <f>IF('Expenses Summary'!$V98="","",IF('Cash Flow %s Yr5'!J138="","",'Cash Flow %s Yr5'!J138*'Expenses Summary'!$V98))</f>
        <v/>
      </c>
      <c r="K138" s="60" t="str">
        <f>IF('Expenses Summary'!$V98="","",IF('Cash Flow %s Yr5'!K138="","",'Cash Flow %s Yr5'!K138*'Expenses Summary'!$V98))</f>
        <v/>
      </c>
      <c r="L138" s="60" t="str">
        <f>IF('Expenses Summary'!$V98="","",IF('Cash Flow %s Yr5'!L138="","",'Cash Flow %s Yr5'!L138*'Expenses Summary'!$V98))</f>
        <v/>
      </c>
      <c r="M138" s="60" t="str">
        <f>IF('Expenses Summary'!$V98="","",IF('Cash Flow %s Yr5'!M138="","",'Cash Flow %s Yr5'!M138*'Expenses Summary'!$V98))</f>
        <v/>
      </c>
      <c r="N138" s="60" t="str">
        <f>IF('Expenses Summary'!$V98="","",IF('Cash Flow %s Yr5'!N138="","",'Cash Flow %s Yr5'!N138*'Expenses Summary'!$V98))</f>
        <v/>
      </c>
      <c r="O138" s="60" t="str">
        <f>IF('Expenses Summary'!$V98="","",IF('Cash Flow %s Yr5'!O138="","",'Cash Flow %s Yr5'!O138*'Expenses Summary'!$V98))</f>
        <v/>
      </c>
      <c r="P138" s="123"/>
      <c r="Q138" s="123"/>
      <c r="R138" s="123"/>
      <c r="S138" s="105"/>
    </row>
    <row r="139" spans="1:19" s="30" customFormat="1" hidden="1" outlineLevel="1" x14ac:dyDescent="0.3">
      <c r="A139" s="35"/>
      <c r="B139" s="133" t="str">
        <f>'Expenses Summary'!B99</f>
        <v>5890</v>
      </c>
      <c r="C139" s="133" t="str">
        <f>'Expenses Summary'!C99</f>
        <v>Interest Expense / Misc. Fees</v>
      </c>
      <c r="D139" s="60">
        <f>IF('Expenses Summary'!$V99="","",IF('Cash Flow %s Yr5'!D139="","",'Cash Flow %s Yr5'!D139*'Expenses Summary'!$V99))</f>
        <v>0</v>
      </c>
      <c r="E139" s="60">
        <f>IF('Expenses Summary'!$V99="","",IF('Cash Flow %s Yr5'!E139="","",'Cash Flow %s Yr5'!E139*'Expenses Summary'!$V99))</f>
        <v>0</v>
      </c>
      <c r="F139" s="60">
        <f>IF('Expenses Summary'!$V99="","",IF('Cash Flow %s Yr5'!F139="","",'Cash Flow %s Yr5'!F139*'Expenses Summary'!$V99))</f>
        <v>0</v>
      </c>
      <c r="G139" s="60">
        <f>IF('Expenses Summary'!$V99="","",IF('Cash Flow %s Yr5'!G139="","",'Cash Flow %s Yr5'!G139*'Expenses Summary'!$V99))</f>
        <v>0</v>
      </c>
      <c r="H139" s="60">
        <f>IF('Expenses Summary'!$V99="","",IF('Cash Flow %s Yr5'!H139="","",'Cash Flow %s Yr5'!H139*'Expenses Summary'!$V99))</f>
        <v>0</v>
      </c>
      <c r="I139" s="60">
        <f>IF('Expenses Summary'!$V99="","",IF('Cash Flow %s Yr5'!I139="","",'Cash Flow %s Yr5'!I139*'Expenses Summary'!$V99))</f>
        <v>0</v>
      </c>
      <c r="J139" s="60">
        <f>IF('Expenses Summary'!$V99="","",IF('Cash Flow %s Yr5'!J139="","",'Cash Flow %s Yr5'!J139*'Expenses Summary'!$V99))</f>
        <v>0</v>
      </c>
      <c r="K139" s="60">
        <f>IF('Expenses Summary'!$V99="","",IF('Cash Flow %s Yr5'!K139="","",'Cash Flow %s Yr5'!K139*'Expenses Summary'!$V99))</f>
        <v>0</v>
      </c>
      <c r="L139" s="60">
        <f>IF('Expenses Summary'!$V99="","",IF('Cash Flow %s Yr5'!L139="","",'Cash Flow %s Yr5'!L139*'Expenses Summary'!$V99))</f>
        <v>0</v>
      </c>
      <c r="M139" s="60">
        <f>IF('Expenses Summary'!$V99="","",IF('Cash Flow %s Yr5'!M139="","",'Cash Flow %s Yr5'!M139*'Expenses Summary'!$V99))</f>
        <v>0</v>
      </c>
      <c r="N139" s="60">
        <f>IF('Expenses Summary'!$V99="","",IF('Cash Flow %s Yr5'!N139="","",'Cash Flow %s Yr5'!N139*'Expenses Summary'!$V99))</f>
        <v>0</v>
      </c>
      <c r="O139" s="60">
        <f>IF('Expenses Summary'!$V99="","",IF('Cash Flow %s Yr5'!O139="","",'Cash Flow %s Yr5'!O139*'Expenses Summary'!$V99))</f>
        <v>0</v>
      </c>
      <c r="P139" s="123"/>
      <c r="Q139" s="123"/>
      <c r="R139" s="123"/>
      <c r="S139" s="105"/>
    </row>
    <row r="140" spans="1:19" s="30" customFormat="1" hidden="1" outlineLevel="1" x14ac:dyDescent="0.3">
      <c r="A140" s="35"/>
      <c r="B140" s="133" t="str">
        <f>'Expenses Summary'!B100</f>
        <v>5900</v>
      </c>
      <c r="C140" s="133" t="str">
        <f>'Expenses Summary'!C100</f>
        <v>Communications</v>
      </c>
      <c r="D140" s="60">
        <f>IF('Expenses Summary'!$V100="","",IF('Cash Flow %s Yr5'!D140="","",'Cash Flow %s Yr5'!D140*'Expenses Summary'!$V100))</f>
        <v>0</v>
      </c>
      <c r="E140" s="60">
        <f>IF('Expenses Summary'!$V100="","",IF('Cash Flow %s Yr5'!E140="","",'Cash Flow %s Yr5'!E140*'Expenses Summary'!$V100))</f>
        <v>0</v>
      </c>
      <c r="F140" s="60">
        <f>IF('Expenses Summary'!$V100="","",IF('Cash Flow %s Yr5'!F140="","",'Cash Flow %s Yr5'!F140*'Expenses Summary'!$V100))</f>
        <v>620.95219753036804</v>
      </c>
      <c r="G140" s="60">
        <f>IF('Expenses Summary'!$V100="","",IF('Cash Flow %s Yr5'!G140="","",'Cash Flow %s Yr5'!G140*'Expenses Summary'!$V100))</f>
        <v>620.95219753036804</v>
      </c>
      <c r="H140" s="60">
        <f>IF('Expenses Summary'!$V100="","",IF('Cash Flow %s Yr5'!H140="","",'Cash Flow %s Yr5'!H140*'Expenses Summary'!$V100))</f>
        <v>620.95219753036804</v>
      </c>
      <c r="I140" s="60">
        <f>IF('Expenses Summary'!$V100="","",IF('Cash Flow %s Yr5'!I140="","",'Cash Flow %s Yr5'!I140*'Expenses Summary'!$V100))</f>
        <v>620.95219753036804</v>
      </c>
      <c r="J140" s="60">
        <f>IF('Expenses Summary'!$V100="","",IF('Cash Flow %s Yr5'!J140="","",'Cash Flow %s Yr5'!J140*'Expenses Summary'!$V100))</f>
        <v>620.95219753036804</v>
      </c>
      <c r="K140" s="60">
        <f>IF('Expenses Summary'!$V100="","",IF('Cash Flow %s Yr5'!K140="","",'Cash Flow %s Yr5'!K140*'Expenses Summary'!$V100))</f>
        <v>620.95219753036804</v>
      </c>
      <c r="L140" s="60">
        <f>IF('Expenses Summary'!$V100="","",IF('Cash Flow %s Yr5'!L140="","",'Cash Flow %s Yr5'!L140*'Expenses Summary'!$V100))</f>
        <v>620.95219753036804</v>
      </c>
      <c r="M140" s="60">
        <f>IF('Expenses Summary'!$V100="","",IF('Cash Flow %s Yr5'!M140="","",'Cash Flow %s Yr5'!M140*'Expenses Summary'!$V100))</f>
        <v>620.95219753036804</v>
      </c>
      <c r="N140" s="60">
        <f>IF('Expenses Summary'!$V100="","",IF('Cash Flow %s Yr5'!N140="","",'Cash Flow %s Yr5'!N140*'Expenses Summary'!$V100))</f>
        <v>620.95219753036804</v>
      </c>
      <c r="O140" s="60">
        <f>IF('Expenses Summary'!$V100="","",IF('Cash Flow %s Yr5'!O140="","",'Cash Flow %s Yr5'!O140*'Expenses Summary'!$V100))</f>
        <v>620.95219753036804</v>
      </c>
      <c r="P140" s="123"/>
      <c r="Q140" s="123"/>
      <c r="R140" s="123"/>
      <c r="S140" s="105"/>
    </row>
    <row r="141" spans="1:19" s="30" customFormat="1" hidden="1" outlineLevel="1" x14ac:dyDescent="0.3">
      <c r="A141" s="35"/>
      <c r="B141" s="133" t="str">
        <f>'Expenses Summary'!B101</f>
        <v>7010</v>
      </c>
      <c r="C141" s="133" t="str">
        <f>'Expenses Summary'!C101</f>
        <v>Special Education Encroachment</v>
      </c>
      <c r="D141" s="60">
        <f>IF('Expenses Summary'!$V101="","",IF('Cash Flow %s Yr5'!D141="","",'Cash Flow %s Yr5'!D141*'Expenses Summary'!$V101))</f>
        <v>0</v>
      </c>
      <c r="E141" s="60">
        <f>IF('Expenses Summary'!$V101="","",IF('Cash Flow %s Yr5'!E141="","",'Cash Flow %s Yr5'!E141*'Expenses Summary'!$V101))</f>
        <v>0</v>
      </c>
      <c r="F141" s="60">
        <f>IF('Expenses Summary'!$V101="","",IF('Cash Flow %s Yr5'!F141="","",'Cash Flow %s Yr5'!F141*'Expenses Summary'!$V101))</f>
        <v>9607.2389999999996</v>
      </c>
      <c r="G141" s="60">
        <f>IF('Expenses Summary'!$V101="","",IF('Cash Flow %s Yr5'!G141="","",'Cash Flow %s Yr5'!G141*'Expenses Summary'!$V101))</f>
        <v>9607.2389999999996</v>
      </c>
      <c r="H141" s="60">
        <f>IF('Expenses Summary'!$V101="","",IF('Cash Flow %s Yr5'!H141="","",'Cash Flow %s Yr5'!H141*'Expenses Summary'!$V101))</f>
        <v>9607.2389999999996</v>
      </c>
      <c r="I141" s="60">
        <f>IF('Expenses Summary'!$V101="","",IF('Cash Flow %s Yr5'!I141="","",'Cash Flow %s Yr5'!I141*'Expenses Summary'!$V101))</f>
        <v>9607.2389999999996</v>
      </c>
      <c r="J141" s="60">
        <f>IF('Expenses Summary'!$V101="","",IF('Cash Flow %s Yr5'!J141="","",'Cash Flow %s Yr5'!J141*'Expenses Summary'!$V101))</f>
        <v>9607.2389999999996</v>
      </c>
      <c r="K141" s="60">
        <f>IF('Expenses Summary'!$V101="","",IF('Cash Flow %s Yr5'!K141="","",'Cash Flow %s Yr5'!K141*'Expenses Summary'!$V101))</f>
        <v>9607.2389999999996</v>
      </c>
      <c r="L141" s="60">
        <f>IF('Expenses Summary'!$V101="","",IF('Cash Flow %s Yr5'!L141="","",'Cash Flow %s Yr5'!L141*'Expenses Summary'!$V101))</f>
        <v>9607.2389999999996</v>
      </c>
      <c r="M141" s="60">
        <f>IF('Expenses Summary'!$V101="","",IF('Cash Flow %s Yr5'!M141="","",'Cash Flow %s Yr5'!M141*'Expenses Summary'!$V101))</f>
        <v>9607.2389999999996</v>
      </c>
      <c r="N141" s="60">
        <f>IF('Expenses Summary'!$V101="","",IF('Cash Flow %s Yr5'!N141="","",'Cash Flow %s Yr5'!N141*'Expenses Summary'!$V101))</f>
        <v>9607.2389999999996</v>
      </c>
      <c r="O141" s="60">
        <f>IF('Expenses Summary'!$V101="","",IF('Cash Flow %s Yr5'!O141="","",'Cash Flow %s Yr5'!O141*'Expenses Summary'!$V101))</f>
        <v>9607.2389999999996</v>
      </c>
      <c r="P141" s="123"/>
      <c r="Q141" s="123"/>
      <c r="R141" s="123"/>
      <c r="S141" s="105"/>
    </row>
    <row r="142" spans="1:19" s="30" customFormat="1" hidden="1" outlineLevel="1" x14ac:dyDescent="0.3">
      <c r="A142" s="35"/>
      <c r="B142" s="133" t="e">
        <f>'Expenses Summary'!#REF!</f>
        <v>#REF!</v>
      </c>
      <c r="C142" s="133" t="e">
        <f>'Expenses Summary'!#REF!</f>
        <v>#REF!</v>
      </c>
      <c r="D142" s="60" t="e">
        <f>IF('Expenses Summary'!#REF!="","",IF('Cash Flow %s Yr5'!D142="","",'Cash Flow %s Yr5'!D142*'Expenses Summary'!#REF!))</f>
        <v>#REF!</v>
      </c>
      <c r="E142" s="60" t="e">
        <f>IF('Expenses Summary'!#REF!="","",IF('Cash Flow %s Yr5'!E142="","",'Cash Flow %s Yr5'!E142*'Expenses Summary'!#REF!))</f>
        <v>#REF!</v>
      </c>
      <c r="F142" s="60" t="e">
        <f>IF('Expenses Summary'!#REF!="","",IF('Cash Flow %s Yr5'!F142="","",'Cash Flow %s Yr5'!F142*'Expenses Summary'!#REF!))</f>
        <v>#REF!</v>
      </c>
      <c r="G142" s="60" t="e">
        <f>IF('Expenses Summary'!#REF!="","",IF('Cash Flow %s Yr5'!G142="","",'Cash Flow %s Yr5'!G142*'Expenses Summary'!#REF!))</f>
        <v>#REF!</v>
      </c>
      <c r="H142" s="60" t="e">
        <f>IF('Expenses Summary'!#REF!="","",IF('Cash Flow %s Yr5'!H142="","",'Cash Flow %s Yr5'!H142*'Expenses Summary'!#REF!))</f>
        <v>#REF!</v>
      </c>
      <c r="I142" s="60" t="e">
        <f>IF('Expenses Summary'!#REF!="","",IF('Cash Flow %s Yr5'!I142="","",'Cash Flow %s Yr5'!I142*'Expenses Summary'!#REF!))</f>
        <v>#REF!</v>
      </c>
      <c r="J142" s="60" t="e">
        <f>IF('Expenses Summary'!#REF!="","",IF('Cash Flow %s Yr5'!J142="","",'Cash Flow %s Yr5'!J142*'Expenses Summary'!#REF!))</f>
        <v>#REF!</v>
      </c>
      <c r="K142" s="60" t="e">
        <f>IF('Expenses Summary'!#REF!="","",IF('Cash Flow %s Yr5'!K142="","",'Cash Flow %s Yr5'!K142*'Expenses Summary'!#REF!))</f>
        <v>#REF!</v>
      </c>
      <c r="L142" s="60" t="e">
        <f>IF('Expenses Summary'!#REF!="","",IF('Cash Flow %s Yr5'!L142="","",'Cash Flow %s Yr5'!L142*'Expenses Summary'!#REF!))</f>
        <v>#REF!</v>
      </c>
      <c r="M142" s="60" t="e">
        <f>IF('Expenses Summary'!#REF!="","",IF('Cash Flow %s Yr5'!M142="","",'Cash Flow %s Yr5'!M142*'Expenses Summary'!#REF!))</f>
        <v>#REF!</v>
      </c>
      <c r="N142" s="60" t="e">
        <f>IF('Expenses Summary'!#REF!="","",IF('Cash Flow %s Yr5'!N142="","",'Cash Flow %s Yr5'!N142*'Expenses Summary'!#REF!))</f>
        <v>#REF!</v>
      </c>
      <c r="O142" s="60" t="e">
        <f>IF('Expenses Summary'!#REF!="","",IF('Cash Flow %s Yr5'!O142="","",'Cash Flow %s Yr5'!O142*'Expenses Summary'!#REF!))</f>
        <v>#REF!</v>
      </c>
      <c r="P142" s="123"/>
      <c r="Q142" s="123"/>
      <c r="R142" s="123"/>
      <c r="S142" s="105" t="e">
        <f>IF(SUM(D142:R142)&gt;0,SUM(D142:R142)/'Expenses Summary'!#REF!,"")</f>
        <v>#REF!</v>
      </c>
    </row>
    <row r="143" spans="1:19" s="30" customFormat="1" collapsed="1" x14ac:dyDescent="0.3">
      <c r="A143" s="35"/>
      <c r="B143" s="133" t="str">
        <f>'Expenses Summary'!B102</f>
        <v>5999</v>
      </c>
      <c r="C143" s="133" t="str">
        <f>'Expenses Summary'!C102</f>
        <v>Expense Suspense</v>
      </c>
      <c r="D143" s="60" t="str">
        <f>IF('Expenses Summary'!$V102="","",IF('Cash Flow %s Yr5'!D143="","",'Cash Flow %s Yr5'!D143*'Expenses Summary'!$V102))</f>
        <v/>
      </c>
      <c r="E143" s="60" t="str">
        <f>IF('Expenses Summary'!$V102="","",IF('Cash Flow %s Yr5'!E143="","",'Cash Flow %s Yr5'!E143*'Expenses Summary'!$V102))</f>
        <v/>
      </c>
      <c r="F143" s="60" t="str">
        <f>IF('Expenses Summary'!$V102="","",IF('Cash Flow %s Yr5'!F143="","",'Cash Flow %s Yr5'!F143*'Expenses Summary'!$V102))</f>
        <v/>
      </c>
      <c r="G143" s="60" t="str">
        <f>IF('Expenses Summary'!$V102="","",IF('Cash Flow %s Yr5'!G143="","",'Cash Flow %s Yr5'!G143*'Expenses Summary'!$V102))</f>
        <v/>
      </c>
      <c r="H143" s="60" t="str">
        <f>IF('Expenses Summary'!$V102="","",IF('Cash Flow %s Yr5'!H143="","",'Cash Flow %s Yr5'!H143*'Expenses Summary'!$V102))</f>
        <v/>
      </c>
      <c r="I143" s="60" t="str">
        <f>IF('Expenses Summary'!$V102="","",IF('Cash Flow %s Yr5'!I143="","",'Cash Flow %s Yr5'!I143*'Expenses Summary'!$V102))</f>
        <v/>
      </c>
      <c r="J143" s="60" t="str">
        <f>IF('Expenses Summary'!$V102="","",IF('Cash Flow %s Yr5'!J143="","",'Cash Flow %s Yr5'!J143*'Expenses Summary'!$V102))</f>
        <v/>
      </c>
      <c r="K143" s="60" t="str">
        <f>IF('Expenses Summary'!$V102="","",IF('Cash Flow %s Yr5'!K143="","",'Cash Flow %s Yr5'!K143*'Expenses Summary'!$V102))</f>
        <v/>
      </c>
      <c r="L143" s="60" t="str">
        <f>IF('Expenses Summary'!$V102="","",IF('Cash Flow %s Yr5'!L143="","",'Cash Flow %s Yr5'!L143*'Expenses Summary'!$V102))</f>
        <v/>
      </c>
      <c r="M143" s="60" t="str">
        <f>IF('Expenses Summary'!$V102="","",IF('Cash Flow %s Yr5'!M143="","",'Cash Flow %s Yr5'!M143*'Expenses Summary'!$V102))</f>
        <v/>
      </c>
      <c r="N143" s="60" t="str">
        <f>IF('Expenses Summary'!$V102="","",IF('Cash Flow %s Yr5'!N143="","",'Cash Flow %s Yr5'!N143*'Expenses Summary'!$V102))</f>
        <v/>
      </c>
      <c r="O143" s="60" t="str">
        <f>IF('Expenses Summary'!$V102="","",IF('Cash Flow %s Yr5'!O143="","",'Cash Flow %s Yr5'!O143*'Expenses Summary'!$V102))</f>
        <v/>
      </c>
      <c r="P143" s="123"/>
      <c r="Q143" s="123"/>
      <c r="R143" s="123"/>
      <c r="S143" s="105" t="str">
        <f>IF(SUM(D143:R143)&gt;0,SUM(D143:R143)/'Expenses Summary'!$V102,"")</f>
        <v/>
      </c>
    </row>
    <row r="144" spans="1:19" s="30" customFormat="1" x14ac:dyDescent="0.3">
      <c r="A144" s="35"/>
      <c r="B144" s="32" t="s">
        <v>559</v>
      </c>
      <c r="C144" s="33" t="s">
        <v>720</v>
      </c>
      <c r="D144" s="165" t="e">
        <f>IF(SUM(D110:D143)&gt;0,SUM(D110:D143),"")</f>
        <v>#REF!</v>
      </c>
      <c r="E144" s="165" t="e">
        <f t="shared" ref="E144:O144" si="10">IF(SUM(E110:E143)&gt;0,SUM(E110:E143),"")</f>
        <v>#REF!</v>
      </c>
      <c r="F144" s="165" t="e">
        <f t="shared" si="10"/>
        <v>#REF!</v>
      </c>
      <c r="G144" s="165" t="e">
        <f t="shared" si="10"/>
        <v>#REF!</v>
      </c>
      <c r="H144" s="165" t="e">
        <f t="shared" si="10"/>
        <v>#REF!</v>
      </c>
      <c r="I144" s="165" t="e">
        <f t="shared" si="10"/>
        <v>#REF!</v>
      </c>
      <c r="J144" s="165" t="e">
        <f t="shared" si="10"/>
        <v>#REF!</v>
      </c>
      <c r="K144" s="165" t="e">
        <f t="shared" si="10"/>
        <v>#REF!</v>
      </c>
      <c r="L144" s="165" t="e">
        <f t="shared" si="10"/>
        <v>#REF!</v>
      </c>
      <c r="M144" s="165" t="e">
        <f t="shared" si="10"/>
        <v>#REF!</v>
      </c>
      <c r="N144" s="165" t="e">
        <f t="shared" si="10"/>
        <v>#REF!</v>
      </c>
      <c r="O144" s="165" t="e">
        <f t="shared" si="10"/>
        <v>#REF!</v>
      </c>
      <c r="P144" s="102"/>
      <c r="Q144" s="102"/>
      <c r="R144" s="102"/>
      <c r="S144" s="101"/>
    </row>
    <row r="145" spans="1:19" s="30" customFormat="1" x14ac:dyDescent="0.3">
      <c r="A145" s="35"/>
      <c r="B145" s="4"/>
      <c r="C145" s="3"/>
      <c r="D145" s="89"/>
      <c r="E145" s="89"/>
      <c r="F145" s="89"/>
      <c r="G145" s="89"/>
      <c r="H145" s="89"/>
      <c r="I145" s="89"/>
      <c r="J145" s="89"/>
      <c r="K145" s="89"/>
      <c r="L145" s="89"/>
      <c r="M145" s="89"/>
      <c r="N145" s="89"/>
      <c r="O145" s="89"/>
      <c r="P145" s="89"/>
      <c r="Q145" s="89"/>
      <c r="R145" s="89"/>
    </row>
    <row r="146" spans="1:19" s="30" customFormat="1" x14ac:dyDescent="0.3">
      <c r="B146" s="33" t="s">
        <v>722</v>
      </c>
      <c r="C146" s="3"/>
      <c r="D146" s="89"/>
      <c r="E146" s="89"/>
      <c r="F146" s="89"/>
      <c r="G146" s="89"/>
      <c r="H146" s="89"/>
      <c r="I146" s="89"/>
      <c r="J146" s="89"/>
      <c r="K146" s="89"/>
      <c r="L146" s="89"/>
      <c r="M146" s="89"/>
      <c r="N146" s="89"/>
      <c r="O146" s="89"/>
      <c r="P146" s="89"/>
      <c r="Q146" s="89"/>
      <c r="R146" s="89"/>
    </row>
    <row r="147" spans="1:19" s="30" customFormat="1" x14ac:dyDescent="0.3">
      <c r="A147" s="35"/>
      <c r="B147" s="133" t="str">
        <f>'Expenses Summary'!B106</f>
        <v>6900</v>
      </c>
      <c r="C147" s="133" t="str">
        <f>'Expenses Summary'!C106</f>
        <v xml:space="preserve">Depreciation Expense      </v>
      </c>
      <c r="D147" s="60">
        <f>IF('Expenses Summary'!$V106="","",IF('Cash Flow %s Yr5'!D147="","",'Cash Flow %s Yr5'!D147*'Expenses Summary'!$V106))</f>
        <v>0</v>
      </c>
      <c r="E147" s="60">
        <f>IF('Expenses Summary'!$V106="","",IF('Cash Flow %s Yr5'!E147="","",'Cash Flow %s Yr5'!E147*'Expenses Summary'!$V106))</f>
        <v>0</v>
      </c>
      <c r="F147" s="60">
        <f>IF('Expenses Summary'!$V106="","",IF('Cash Flow %s Yr5'!F147="","",'Cash Flow %s Yr5'!F147*'Expenses Summary'!$V106))</f>
        <v>0</v>
      </c>
      <c r="G147" s="60">
        <f>IF('Expenses Summary'!$V106="","",IF('Cash Flow %s Yr5'!G147="","",'Cash Flow %s Yr5'!G147*'Expenses Summary'!$V106))</f>
        <v>0</v>
      </c>
      <c r="H147" s="60">
        <f>IF('Expenses Summary'!$V106="","",IF('Cash Flow %s Yr5'!H147="","",'Cash Flow %s Yr5'!H147*'Expenses Summary'!$V106))</f>
        <v>0</v>
      </c>
      <c r="I147" s="60">
        <f>IF('Expenses Summary'!$V106="","",IF('Cash Flow %s Yr5'!I147="","",'Cash Flow %s Yr5'!I147*'Expenses Summary'!$V106))</f>
        <v>0</v>
      </c>
      <c r="J147" s="60">
        <f>IF('Expenses Summary'!$V106="","",IF('Cash Flow %s Yr5'!J147="","",'Cash Flow %s Yr5'!J147*'Expenses Summary'!$V106))</f>
        <v>0</v>
      </c>
      <c r="K147" s="60">
        <f>IF('Expenses Summary'!$V106="","",IF('Cash Flow %s Yr5'!K147="","",'Cash Flow %s Yr5'!K147*'Expenses Summary'!$V106))</f>
        <v>0</v>
      </c>
      <c r="L147" s="60">
        <f>IF('Expenses Summary'!$V106="","",IF('Cash Flow %s Yr5'!L147="","",'Cash Flow %s Yr5'!L147*'Expenses Summary'!$V106))</f>
        <v>0</v>
      </c>
      <c r="M147" s="60">
        <f>IF('Expenses Summary'!$V106="","",IF('Cash Flow %s Yr5'!M147="","",'Cash Flow %s Yr5'!M147*'Expenses Summary'!$V106))</f>
        <v>0</v>
      </c>
      <c r="N147" s="60">
        <f>IF('Expenses Summary'!$V106="","",IF('Cash Flow %s Yr5'!N147="","",'Cash Flow %s Yr5'!N147*'Expenses Summary'!$V106))</f>
        <v>0</v>
      </c>
      <c r="O147" s="60">
        <f>IF('Expenses Summary'!$V106="","",IF('Cash Flow %s Yr5'!O147="","",'Cash Flow %s Yr5'!O147*'Expenses Summary'!$V106))</f>
        <v>2908.72</v>
      </c>
      <c r="P147" s="123"/>
      <c r="Q147" s="123"/>
      <c r="R147" s="123"/>
      <c r="S147" s="105">
        <f>IF(SUM(D147:R147)&gt;0,SUM(D147:R147)/'Expenses Summary'!$V106,"")</f>
        <v>1</v>
      </c>
    </row>
    <row r="148" spans="1:19" s="30" customFormat="1" x14ac:dyDescent="0.3">
      <c r="A148" s="35"/>
      <c r="B148" s="32" t="s">
        <v>560</v>
      </c>
      <c r="C148" s="33" t="s">
        <v>720</v>
      </c>
      <c r="D148" s="165" t="str">
        <f t="shared" ref="D148:O148" si="11">IF(SUM(D146:D147)&gt;0,SUM(D146:D147),"")</f>
        <v/>
      </c>
      <c r="E148" s="165" t="str">
        <f t="shared" si="11"/>
        <v/>
      </c>
      <c r="F148" s="165" t="str">
        <f t="shared" si="11"/>
        <v/>
      </c>
      <c r="G148" s="165" t="str">
        <f t="shared" si="11"/>
        <v/>
      </c>
      <c r="H148" s="165" t="str">
        <f t="shared" si="11"/>
        <v/>
      </c>
      <c r="I148" s="165" t="str">
        <f t="shared" si="11"/>
        <v/>
      </c>
      <c r="J148" s="165" t="str">
        <f t="shared" si="11"/>
        <v/>
      </c>
      <c r="K148" s="165" t="str">
        <f t="shared" si="11"/>
        <v/>
      </c>
      <c r="L148" s="165" t="str">
        <f t="shared" si="11"/>
        <v/>
      </c>
      <c r="M148" s="165" t="str">
        <f t="shared" si="11"/>
        <v/>
      </c>
      <c r="N148" s="165" t="str">
        <f t="shared" si="11"/>
        <v/>
      </c>
      <c r="O148" s="165">
        <f t="shared" si="11"/>
        <v>2908.72</v>
      </c>
      <c r="P148" s="102"/>
      <c r="Q148" s="102"/>
      <c r="R148" s="102"/>
      <c r="S148" s="101"/>
    </row>
    <row r="149" spans="1:19" s="30" customFormat="1" x14ac:dyDescent="0.3">
      <c r="A149" s="35"/>
      <c r="B149" s="4"/>
      <c r="C149" s="3"/>
      <c r="D149" s="98"/>
      <c r="E149" s="98"/>
      <c r="F149" s="98"/>
      <c r="G149" s="89"/>
      <c r="H149" s="89"/>
      <c r="I149" s="89"/>
      <c r="J149" s="89"/>
      <c r="K149" s="89"/>
      <c r="L149" s="89"/>
      <c r="M149" s="89"/>
      <c r="N149" s="89"/>
      <c r="O149" s="89"/>
      <c r="P149" s="89"/>
      <c r="Q149" s="89"/>
      <c r="R149" s="89"/>
    </row>
    <row r="150" spans="1:19" s="30" customFormat="1" x14ac:dyDescent="0.3">
      <c r="B150" s="33" t="s">
        <v>723</v>
      </c>
      <c r="C150" s="3"/>
      <c r="D150" s="98"/>
      <c r="E150" s="98"/>
      <c r="F150" s="98"/>
      <c r="G150" s="89"/>
      <c r="H150" s="89"/>
      <c r="I150" s="89"/>
      <c r="J150" s="89"/>
      <c r="K150" s="89"/>
      <c r="L150" s="89"/>
      <c r="M150" s="89"/>
      <c r="N150" s="89"/>
      <c r="O150" s="89"/>
      <c r="P150" s="89"/>
      <c r="Q150" s="89"/>
      <c r="R150" s="89"/>
    </row>
    <row r="151" spans="1:19" s="30" customFormat="1" x14ac:dyDescent="0.3">
      <c r="A151" s="35"/>
      <c r="B151" s="133" t="str">
        <f>'Expenses Summary'!B110</f>
        <v>7000</v>
      </c>
      <c r="C151" s="133" t="str">
        <f>'Expenses Summary'!C110</f>
        <v>Miscellaneous Expense</v>
      </c>
      <c r="D151" s="60">
        <f>IF('Expenses Summary'!$V110="","",IF('Cash Flow %s Yr5'!D151="","",'Cash Flow %s Yr5'!D151*'Expenses Summary'!$V110))</f>
        <v>0</v>
      </c>
      <c r="E151" s="60">
        <f>IF('Expenses Summary'!$V110="","",IF('Cash Flow %s Yr5'!E151="","",'Cash Flow %s Yr5'!E151*'Expenses Summary'!$V110))</f>
        <v>0</v>
      </c>
      <c r="F151" s="60">
        <f>IF('Expenses Summary'!$V110="","",IF('Cash Flow %s Yr5'!F151="","",'Cash Flow %s Yr5'!F151*'Expenses Summary'!$V110))</f>
        <v>0</v>
      </c>
      <c r="G151" s="60">
        <f>IF('Expenses Summary'!$V110="","",IF('Cash Flow %s Yr5'!G151="","",'Cash Flow %s Yr5'!G151*'Expenses Summary'!$V110))</f>
        <v>0</v>
      </c>
      <c r="H151" s="60">
        <f>IF('Expenses Summary'!$V110="","",IF('Cash Flow %s Yr5'!H151="","",'Cash Flow %s Yr5'!H151*'Expenses Summary'!$V110))</f>
        <v>0</v>
      </c>
      <c r="I151" s="60">
        <f>IF('Expenses Summary'!$V110="","",IF('Cash Flow %s Yr5'!I151="","",'Cash Flow %s Yr5'!I151*'Expenses Summary'!$V110))</f>
        <v>0</v>
      </c>
      <c r="J151" s="60">
        <f>IF('Expenses Summary'!$V110="","",IF('Cash Flow %s Yr5'!J151="","",'Cash Flow %s Yr5'!J151*'Expenses Summary'!$V110))</f>
        <v>0</v>
      </c>
      <c r="K151" s="60">
        <f>IF('Expenses Summary'!$V110="","",IF('Cash Flow %s Yr5'!K151="","",'Cash Flow %s Yr5'!K151*'Expenses Summary'!$V110))</f>
        <v>0</v>
      </c>
      <c r="L151" s="60">
        <f>IF('Expenses Summary'!$V110="","",IF('Cash Flow %s Yr5'!L151="","",'Cash Flow %s Yr5'!L151*'Expenses Summary'!$V110))</f>
        <v>0</v>
      </c>
      <c r="M151" s="60">
        <f>IF('Expenses Summary'!$V110="","",IF('Cash Flow %s Yr5'!M151="","",'Cash Flow %s Yr5'!M151*'Expenses Summary'!$V110))</f>
        <v>0</v>
      </c>
      <c r="N151" s="60">
        <f>IF('Expenses Summary'!$V110="","",IF('Cash Flow %s Yr5'!N151="","",'Cash Flow %s Yr5'!N151*'Expenses Summary'!$V110))</f>
        <v>0</v>
      </c>
      <c r="O151" s="60">
        <f>IF('Expenses Summary'!$V110="","",IF('Cash Flow %s Yr5'!O151="","",'Cash Flow %s Yr5'!O151*'Expenses Summary'!$V110))</f>
        <v>0</v>
      </c>
      <c r="P151" s="123"/>
      <c r="Q151" s="123"/>
      <c r="R151" s="123"/>
      <c r="S151" s="105" t="str">
        <f>IF(SUM(D151:R151)&gt;0,SUM(D151:R151)/'Expenses Summary'!$V110,"")</f>
        <v/>
      </c>
    </row>
    <row r="152" spans="1:19" s="30" customFormat="1" x14ac:dyDescent="0.3">
      <c r="A152" s="35"/>
      <c r="B152" s="133" t="e">
        <f>'Expenses Summary'!#REF!</f>
        <v>#REF!</v>
      </c>
      <c r="C152" s="133" t="e">
        <f>'Expenses Summary'!#REF!</f>
        <v>#REF!</v>
      </c>
      <c r="D152" s="60" t="e">
        <f>IF('Expenses Summary'!#REF!="","",IF('Cash Flow %s Yr5'!D152="","",'Cash Flow %s Yr5'!D152*'Expenses Summary'!#REF!))</f>
        <v>#REF!</v>
      </c>
      <c r="E152" s="60" t="e">
        <f>IF('Expenses Summary'!#REF!="","",IF('Cash Flow %s Yr5'!E152="","",'Cash Flow %s Yr5'!E152*'Expenses Summary'!#REF!))</f>
        <v>#REF!</v>
      </c>
      <c r="F152" s="60" t="e">
        <f>IF('Expenses Summary'!#REF!="","",IF('Cash Flow %s Yr5'!F152="","",'Cash Flow %s Yr5'!F152*'Expenses Summary'!#REF!))</f>
        <v>#REF!</v>
      </c>
      <c r="G152" s="60" t="e">
        <f>IF('Expenses Summary'!#REF!="","",IF('Cash Flow %s Yr5'!G152="","",'Cash Flow %s Yr5'!G152*'Expenses Summary'!#REF!))</f>
        <v>#REF!</v>
      </c>
      <c r="H152" s="60" t="e">
        <f>IF('Expenses Summary'!#REF!="","",IF('Cash Flow %s Yr5'!H152="","",'Cash Flow %s Yr5'!H152*'Expenses Summary'!#REF!))</f>
        <v>#REF!</v>
      </c>
      <c r="I152" s="60" t="e">
        <f>IF('Expenses Summary'!#REF!="","",IF('Cash Flow %s Yr5'!I152="","",'Cash Flow %s Yr5'!I152*'Expenses Summary'!#REF!))</f>
        <v>#REF!</v>
      </c>
      <c r="J152" s="60" t="e">
        <f>IF('Expenses Summary'!#REF!="","",IF('Cash Flow %s Yr5'!J152="","",'Cash Flow %s Yr5'!J152*'Expenses Summary'!#REF!))</f>
        <v>#REF!</v>
      </c>
      <c r="K152" s="60" t="e">
        <f>IF('Expenses Summary'!#REF!="","",IF('Cash Flow %s Yr5'!K152="","",'Cash Flow %s Yr5'!K152*'Expenses Summary'!#REF!))</f>
        <v>#REF!</v>
      </c>
      <c r="L152" s="60" t="e">
        <f>IF('Expenses Summary'!#REF!="","",IF('Cash Flow %s Yr5'!L152="","",'Cash Flow %s Yr5'!L152*'Expenses Summary'!#REF!))</f>
        <v>#REF!</v>
      </c>
      <c r="M152" s="60" t="e">
        <f>IF('Expenses Summary'!#REF!="","",IF('Cash Flow %s Yr5'!M152="","",'Cash Flow %s Yr5'!M152*'Expenses Summary'!#REF!))</f>
        <v>#REF!</v>
      </c>
      <c r="N152" s="60" t="e">
        <f>IF('Expenses Summary'!#REF!="","",IF('Cash Flow %s Yr5'!N152="","",'Cash Flow %s Yr5'!N152*'Expenses Summary'!#REF!))</f>
        <v>#REF!</v>
      </c>
      <c r="O152" s="60" t="e">
        <f>IF('Expenses Summary'!#REF!="","",IF('Cash Flow %s Yr5'!O152="","",'Cash Flow %s Yr5'!O152*'Expenses Summary'!#REF!))</f>
        <v>#REF!</v>
      </c>
      <c r="P152" s="123"/>
      <c r="Q152" s="123"/>
      <c r="R152" s="123"/>
      <c r="S152" s="105" t="e">
        <f>IF(SUM(D152:R152)&gt;0,SUM(D152:R152)/'Expenses Summary'!#REF!,"")</f>
        <v>#REF!</v>
      </c>
    </row>
    <row r="153" spans="1:19" s="30" customFormat="1" x14ac:dyDescent="0.3">
      <c r="A153" s="35"/>
      <c r="B153" s="133" t="str">
        <f>'Expenses Summary'!B111</f>
        <v>7438</v>
      </c>
      <c r="C153" s="133" t="str">
        <f>'Expenses Summary'!C111</f>
        <v xml:space="preserve">Debt </v>
      </c>
      <c r="D153" s="60">
        <f>IF('Expenses Summary'!$V111="","",IF('Cash Flow %s Yr5'!D153="","",'Cash Flow %s Yr5'!D153*'Expenses Summary'!$V111))</f>
        <v>0</v>
      </c>
      <c r="E153" s="60">
        <f>IF('Expenses Summary'!$V111="","",IF('Cash Flow %s Yr5'!E153="","",'Cash Flow %s Yr5'!E153*'Expenses Summary'!$V111))</f>
        <v>0</v>
      </c>
      <c r="F153" s="60">
        <f>IF('Expenses Summary'!$V111="","",IF('Cash Flow %s Yr5'!F153="","",'Cash Flow %s Yr5'!F153*'Expenses Summary'!$V111))</f>
        <v>0</v>
      </c>
      <c r="G153" s="60">
        <f>IF('Expenses Summary'!$V111="","",IF('Cash Flow %s Yr5'!G153="","",'Cash Flow %s Yr5'!G153*'Expenses Summary'!$V111))</f>
        <v>0</v>
      </c>
      <c r="H153" s="60">
        <f>IF('Expenses Summary'!$V111="","",IF('Cash Flow %s Yr5'!H153="","",'Cash Flow %s Yr5'!H153*'Expenses Summary'!$V111))</f>
        <v>0</v>
      </c>
      <c r="I153" s="60">
        <f>IF('Expenses Summary'!$V111="","",IF('Cash Flow %s Yr5'!I153="","",'Cash Flow %s Yr5'!I153*'Expenses Summary'!$V111))</f>
        <v>0</v>
      </c>
      <c r="J153" s="60">
        <f>IF('Expenses Summary'!$V111="","",IF('Cash Flow %s Yr5'!J153="","",'Cash Flow %s Yr5'!J153*'Expenses Summary'!$V111))</f>
        <v>0</v>
      </c>
      <c r="K153" s="60">
        <f>IF('Expenses Summary'!$V111="","",IF('Cash Flow %s Yr5'!K153="","",'Cash Flow %s Yr5'!K153*'Expenses Summary'!$V111))</f>
        <v>0</v>
      </c>
      <c r="L153" s="60">
        <f>IF('Expenses Summary'!$V111="","",IF('Cash Flow %s Yr5'!L153="","",'Cash Flow %s Yr5'!L153*'Expenses Summary'!$V111))</f>
        <v>0</v>
      </c>
      <c r="M153" s="60">
        <f>IF('Expenses Summary'!$V111="","",IF('Cash Flow %s Yr5'!M153="","",'Cash Flow %s Yr5'!M153*'Expenses Summary'!$V111))</f>
        <v>0</v>
      </c>
      <c r="N153" s="60">
        <f>IF('Expenses Summary'!$V111="","",IF('Cash Flow %s Yr5'!N153="","",'Cash Flow %s Yr5'!N153*'Expenses Summary'!$V111))</f>
        <v>0</v>
      </c>
      <c r="O153" s="60">
        <f>IF('Expenses Summary'!$V111="","",IF('Cash Flow %s Yr5'!O153="","",'Cash Flow %s Yr5'!O153*'Expenses Summary'!$V111))</f>
        <v>0</v>
      </c>
      <c r="P153" s="123"/>
      <c r="Q153" s="123"/>
      <c r="R153" s="123"/>
      <c r="S153" s="105" t="str">
        <f>IF(SUM(D153:R153)&gt;0,SUM(D153:R153)/'Expenses Summary'!$V111,"")</f>
        <v/>
      </c>
    </row>
    <row r="154" spans="1:19" s="30" customFormat="1" x14ac:dyDescent="0.3">
      <c r="A154" s="35"/>
      <c r="B154" s="133" t="str">
        <f>'Expenses Summary'!B112</f>
        <v>8910</v>
      </c>
      <c r="C154" s="133" t="str">
        <f>'Expenses Summary'!C112</f>
        <v>Transfer in From LLC</v>
      </c>
      <c r="D154" s="60">
        <f>IF('Expenses Summary'!$V112="","",IF('Cash Flow %s Yr5'!D154="","",'Cash Flow %s Yr5'!D154*'Expenses Summary'!$V112))</f>
        <v>0</v>
      </c>
      <c r="E154" s="60">
        <f>IF('Expenses Summary'!$V112="","",IF('Cash Flow %s Yr5'!E154="","",'Cash Flow %s Yr5'!E154*'Expenses Summary'!$V112))</f>
        <v>0</v>
      </c>
      <c r="F154" s="60">
        <f>IF('Expenses Summary'!$V112="","",IF('Cash Flow %s Yr5'!F154="","",'Cash Flow %s Yr5'!F154*'Expenses Summary'!$V112))</f>
        <v>0</v>
      </c>
      <c r="G154" s="60">
        <f>IF('Expenses Summary'!$V112="","",IF('Cash Flow %s Yr5'!G154="","",'Cash Flow %s Yr5'!G154*'Expenses Summary'!$V112))</f>
        <v>0</v>
      </c>
      <c r="H154" s="60">
        <f>IF('Expenses Summary'!$V112="","",IF('Cash Flow %s Yr5'!H154="","",'Cash Flow %s Yr5'!H154*'Expenses Summary'!$V112))</f>
        <v>0</v>
      </c>
      <c r="I154" s="60">
        <f>IF('Expenses Summary'!$V112="","",IF('Cash Flow %s Yr5'!I154="","",'Cash Flow %s Yr5'!I154*'Expenses Summary'!$V112))</f>
        <v>0</v>
      </c>
      <c r="J154" s="60">
        <f>IF('Expenses Summary'!$V112="","",IF('Cash Flow %s Yr5'!J154="","",'Cash Flow %s Yr5'!J154*'Expenses Summary'!$V112))</f>
        <v>0</v>
      </c>
      <c r="K154" s="60">
        <f>IF('Expenses Summary'!$V112="","",IF('Cash Flow %s Yr5'!K154="","",'Cash Flow %s Yr5'!K154*'Expenses Summary'!$V112))</f>
        <v>0</v>
      </c>
      <c r="L154" s="60">
        <f>IF('Expenses Summary'!$V112="","",IF('Cash Flow %s Yr5'!L154="","",'Cash Flow %s Yr5'!L154*'Expenses Summary'!$V112))</f>
        <v>0</v>
      </c>
      <c r="M154" s="60">
        <f>IF('Expenses Summary'!$V112="","",IF('Cash Flow %s Yr5'!M154="","",'Cash Flow %s Yr5'!M154*'Expenses Summary'!$V112))</f>
        <v>0</v>
      </c>
      <c r="N154" s="60">
        <f>IF('Expenses Summary'!$V112="","",IF('Cash Flow %s Yr5'!N154="","",'Cash Flow %s Yr5'!N154*'Expenses Summary'!$V112))</f>
        <v>0</v>
      </c>
      <c r="O154" s="60">
        <f>IF('Expenses Summary'!$V112="","",IF('Cash Flow %s Yr5'!O154="","",'Cash Flow %s Yr5'!O154*'Expenses Summary'!$V112))</f>
        <v>0</v>
      </c>
      <c r="P154" s="123"/>
      <c r="Q154" s="123"/>
      <c r="R154" s="123"/>
      <c r="S154" s="105" t="str">
        <f>IF(SUM(D154:R154)&gt;0,SUM(D154:R154)/'Expenses Summary'!$V112,"")</f>
        <v/>
      </c>
    </row>
    <row r="155" spans="1:19" s="30" customFormat="1" x14ac:dyDescent="0.3">
      <c r="A155" s="35"/>
      <c r="B155" s="32" t="s">
        <v>684</v>
      </c>
      <c r="C155" s="33" t="s">
        <v>724</v>
      </c>
      <c r="D155" s="183" t="e">
        <f t="shared" ref="D155:O155" si="12">IF(SUM(D150:D154)&gt;0,SUM(D150:D154),"")</f>
        <v>#REF!</v>
      </c>
      <c r="E155" s="183" t="e">
        <f t="shared" si="12"/>
        <v>#REF!</v>
      </c>
      <c r="F155" s="183" t="e">
        <f t="shared" si="12"/>
        <v>#REF!</v>
      </c>
      <c r="G155" s="183" t="e">
        <f t="shared" si="12"/>
        <v>#REF!</v>
      </c>
      <c r="H155" s="183" t="e">
        <f t="shared" si="12"/>
        <v>#REF!</v>
      </c>
      <c r="I155" s="183" t="e">
        <f t="shared" si="12"/>
        <v>#REF!</v>
      </c>
      <c r="J155" s="183" t="e">
        <f t="shared" si="12"/>
        <v>#REF!</v>
      </c>
      <c r="K155" s="183" t="e">
        <f t="shared" si="12"/>
        <v>#REF!</v>
      </c>
      <c r="L155" s="183" t="e">
        <f t="shared" si="12"/>
        <v>#REF!</v>
      </c>
      <c r="M155" s="183" t="e">
        <f t="shared" si="12"/>
        <v>#REF!</v>
      </c>
      <c r="N155" s="183" t="e">
        <f t="shared" si="12"/>
        <v>#REF!</v>
      </c>
      <c r="O155" s="183" t="e">
        <f t="shared" si="12"/>
        <v>#REF!</v>
      </c>
      <c r="P155" s="126"/>
      <c r="Q155" s="126"/>
      <c r="R155" s="126"/>
    </row>
    <row r="156" spans="1:19" s="30" customFormat="1" x14ac:dyDescent="0.3">
      <c r="A156" s="33" t="s">
        <v>731</v>
      </c>
      <c r="B156" s="4"/>
      <c r="C156" s="3"/>
      <c r="D156" s="165" t="e">
        <f t="shared" ref="D156:O156" si="13">IF(SUM(D155,D148,D144,D108,D88,D76,D63)&gt;0,SUM(D155,D148,D144,D108,D88,D76,D63),"")</f>
        <v>#REF!</v>
      </c>
      <c r="E156" s="165" t="e">
        <f t="shared" si="13"/>
        <v>#REF!</v>
      </c>
      <c r="F156" s="165" t="e">
        <f t="shared" si="13"/>
        <v>#REF!</v>
      </c>
      <c r="G156" s="165" t="e">
        <f t="shared" si="13"/>
        <v>#REF!</v>
      </c>
      <c r="H156" s="165" t="e">
        <f t="shared" si="13"/>
        <v>#REF!</v>
      </c>
      <c r="I156" s="165" t="e">
        <f t="shared" si="13"/>
        <v>#REF!</v>
      </c>
      <c r="J156" s="165" t="e">
        <f t="shared" si="13"/>
        <v>#REF!</v>
      </c>
      <c r="K156" s="165" t="e">
        <f t="shared" si="13"/>
        <v>#REF!</v>
      </c>
      <c r="L156" s="165" t="e">
        <f t="shared" si="13"/>
        <v>#REF!</v>
      </c>
      <c r="M156" s="165" t="e">
        <f t="shared" si="13"/>
        <v>#REF!</v>
      </c>
      <c r="N156" s="165" t="e">
        <f t="shared" si="13"/>
        <v>#REF!</v>
      </c>
      <c r="O156" s="165" t="e">
        <f t="shared" si="13"/>
        <v>#REF!</v>
      </c>
      <c r="P156" s="89"/>
      <c r="Q156" s="89"/>
      <c r="R156" s="89"/>
    </row>
    <row r="157" spans="1:19" s="30" customFormat="1" x14ac:dyDescent="0.3">
      <c r="A157" s="33"/>
      <c r="B157" s="4"/>
      <c r="C157" s="3"/>
      <c r="D157" s="44"/>
      <c r="E157" s="44"/>
      <c r="F157" s="44"/>
      <c r="G157" s="44"/>
      <c r="H157" s="44"/>
      <c r="I157" s="44"/>
      <c r="J157" s="44"/>
      <c r="K157" s="44"/>
      <c r="L157" s="44"/>
      <c r="M157" s="44"/>
      <c r="N157" s="44"/>
      <c r="O157" s="44"/>
      <c r="P157" s="89"/>
      <c r="Q157" s="89"/>
      <c r="R157" s="89"/>
    </row>
    <row r="158" spans="1:19" s="30" customFormat="1" x14ac:dyDescent="0.3">
      <c r="A158" s="35"/>
      <c r="B158" s="33" t="s">
        <v>818</v>
      </c>
      <c r="C158" s="3"/>
      <c r="D158" s="98"/>
      <c r="E158" s="98"/>
      <c r="F158" s="98"/>
      <c r="G158" s="89"/>
      <c r="H158" s="89"/>
      <c r="I158" s="89"/>
      <c r="J158" s="89"/>
      <c r="K158" s="89"/>
      <c r="L158" s="89"/>
      <c r="M158" s="89"/>
      <c r="N158" s="89"/>
      <c r="O158" s="89"/>
      <c r="P158" s="89"/>
      <c r="Q158" s="89"/>
      <c r="R158" s="89"/>
    </row>
    <row r="159" spans="1:19" s="30" customFormat="1" x14ac:dyDescent="0.3">
      <c r="A159" s="35"/>
      <c r="B159" s="62"/>
      <c r="C159" s="62" t="str">
        <f>'Cash Flow %s Yr5'!C158</f>
        <v>Cash balance at previous year end</v>
      </c>
      <c r="D159" s="60" t="e">
        <f>'Cash Flow $s Yr4'!O169</f>
        <v>#REF!</v>
      </c>
      <c r="E159" s="60">
        <f>'Cash Flow %s Yr5'!E158*'Cash Flow %s Yr5'!$X158</f>
        <v>0</v>
      </c>
      <c r="F159" s="60">
        <f>'Cash Flow %s Yr5'!F158*'Cash Flow %s Yr5'!$X158</f>
        <v>0</v>
      </c>
      <c r="G159" s="60">
        <f>'Cash Flow %s Yr5'!G158*'Cash Flow %s Yr5'!$X158</f>
        <v>0</v>
      </c>
      <c r="H159" s="60">
        <f>'Cash Flow %s Yr5'!H158*'Cash Flow %s Yr5'!$X158</f>
        <v>0</v>
      </c>
      <c r="I159" s="60">
        <f>'Cash Flow %s Yr5'!I158*'Cash Flow %s Yr5'!$X158</f>
        <v>0</v>
      </c>
      <c r="J159" s="60">
        <f>'Cash Flow %s Yr5'!J158*'Cash Flow %s Yr5'!$X158</f>
        <v>0</v>
      </c>
      <c r="K159" s="60">
        <f>'Cash Flow %s Yr5'!K158*'Cash Flow %s Yr5'!$X158</f>
        <v>0</v>
      </c>
      <c r="L159" s="60">
        <f>'Cash Flow %s Yr5'!L158*'Cash Flow %s Yr5'!$X158</f>
        <v>0</v>
      </c>
      <c r="M159" s="60">
        <f>'Cash Flow %s Yr5'!M158*'Cash Flow %s Yr5'!$X158</f>
        <v>0</v>
      </c>
      <c r="N159" s="60">
        <f>'Cash Flow %s Yr5'!N158*'Cash Flow %s Yr5'!$X158</f>
        <v>0</v>
      </c>
      <c r="O159" s="60">
        <f>'Cash Flow %s Yr5'!O158*'Cash Flow %s Yr5'!$X158</f>
        <v>0</v>
      </c>
      <c r="P159" s="97"/>
      <c r="Q159" s="97"/>
      <c r="R159" s="97"/>
    </row>
    <row r="160" spans="1:19" s="30" customFormat="1" x14ac:dyDescent="0.3">
      <c r="A160" s="35"/>
      <c r="B160" s="62"/>
      <c r="C160" s="129" t="str">
        <f>'Cash Flow %s Yr5'!C159</f>
        <v>Accounts Receivable</v>
      </c>
      <c r="D160" s="60" t="e">
        <f>'Cash Flow %s Yr5'!D159*'Cash Flow $s Yr4'!$O160</f>
        <v>#REF!</v>
      </c>
      <c r="E160" s="60" t="e">
        <f>'Cash Flow %s Yr5'!E159*'Cash Flow $s Yr4'!$O160</f>
        <v>#REF!</v>
      </c>
      <c r="F160" s="60" t="e">
        <f>'Cash Flow %s Yr5'!F159*'Cash Flow $s Yr4'!$O160</f>
        <v>#REF!</v>
      </c>
      <c r="G160" s="60" t="e">
        <f>'Cash Flow %s Yr5'!G159*'Cash Flow $s Yr4'!$O160</f>
        <v>#REF!</v>
      </c>
      <c r="H160" s="60" t="e">
        <f>'Cash Flow %s Yr5'!H159*'Cash Flow $s Yr4'!$O160</f>
        <v>#REF!</v>
      </c>
      <c r="I160" s="60" t="e">
        <f>'Cash Flow %s Yr5'!I159*'Cash Flow $s Yr4'!$O160</f>
        <v>#REF!</v>
      </c>
      <c r="J160" s="60" t="e">
        <f>'Cash Flow %s Yr5'!J159*'Cash Flow $s Yr4'!$O160</f>
        <v>#REF!</v>
      </c>
      <c r="K160" s="60" t="e">
        <f>'Cash Flow %s Yr5'!K159*'Cash Flow $s Yr4'!$O160</f>
        <v>#REF!</v>
      </c>
      <c r="L160" s="60" t="e">
        <f>'Cash Flow %s Yr5'!L159*'Cash Flow $s Yr4'!$O160</f>
        <v>#REF!</v>
      </c>
      <c r="M160" s="60" t="e">
        <f>'Cash Flow %s Yr5'!M159*'Cash Flow $s Yr4'!$O160</f>
        <v>#REF!</v>
      </c>
      <c r="N160" s="60" t="e">
        <f>'Cash Flow %s Yr5'!N159*'Cash Flow $s Yr4'!$O160</f>
        <v>#REF!</v>
      </c>
      <c r="O160" s="60" t="e">
        <f>'Cash Flow %s Yr5'!O159*'Cash Flow $s Yr4'!$O160</f>
        <v>#REF!</v>
      </c>
      <c r="P160" s="182" t="e">
        <f>P51</f>
        <v>#REF!</v>
      </c>
      <c r="Q160" s="182" t="e">
        <f>Q51</f>
        <v>#REF!</v>
      </c>
      <c r="R160" s="182" t="e">
        <f>R51</f>
        <v>#REF!</v>
      </c>
    </row>
    <row r="161" spans="1:18" s="30" customFormat="1" x14ac:dyDescent="0.3">
      <c r="A161" s="35"/>
      <c r="B161" s="62"/>
      <c r="C161" s="129" t="str">
        <f>'Cash Flow %s Yr5'!C160</f>
        <v>Accounts Payable</v>
      </c>
      <c r="D161" s="60" t="e">
        <f>'Cash Flow %s Yr5'!D160*'Cash Flow $s Yr4'!$O161</f>
        <v>#REF!</v>
      </c>
      <c r="E161" s="60" t="e">
        <f>'Cash Flow %s Yr5'!E160*'Cash Flow $s Yr4'!$O161</f>
        <v>#REF!</v>
      </c>
      <c r="F161" s="60" t="e">
        <f>'Cash Flow %s Yr5'!F160*'Cash Flow $s Yr4'!$O161</f>
        <v>#REF!</v>
      </c>
      <c r="G161" s="60" t="e">
        <f>'Cash Flow %s Yr5'!G160*'Cash Flow $s Yr4'!$O161</f>
        <v>#REF!</v>
      </c>
      <c r="H161" s="60" t="e">
        <f>'Cash Flow %s Yr5'!H160*'Cash Flow $s Yr4'!$O161</f>
        <v>#REF!</v>
      </c>
      <c r="I161" s="60" t="e">
        <f>'Cash Flow %s Yr5'!I160*'Cash Flow $s Yr4'!$O161</f>
        <v>#REF!</v>
      </c>
      <c r="J161" s="60" t="e">
        <f>'Cash Flow %s Yr5'!J160*'Cash Flow $s Yr4'!$O161</f>
        <v>#REF!</v>
      </c>
      <c r="K161" s="60" t="e">
        <f>'Cash Flow %s Yr5'!K160*'Cash Flow $s Yr4'!$O161</f>
        <v>#REF!</v>
      </c>
      <c r="L161" s="60" t="e">
        <f>'Cash Flow %s Yr5'!L160*'Cash Flow $s Yr4'!$O161</f>
        <v>#REF!</v>
      </c>
      <c r="M161" s="60" t="e">
        <f>'Cash Flow %s Yr5'!M160*'Cash Flow $s Yr4'!$O161</f>
        <v>#REF!</v>
      </c>
      <c r="N161" s="60" t="e">
        <f>'Cash Flow %s Yr5'!N160*'Cash Flow $s Yr4'!$O161</f>
        <v>#REF!</v>
      </c>
      <c r="O161" s="60" t="e">
        <f>'Cash Flow %s Yr5'!O160*'Cash Flow $s Yr4'!$O161</f>
        <v>#REF!</v>
      </c>
      <c r="P161" s="97"/>
      <c r="Q161" s="97"/>
      <c r="R161" s="97"/>
    </row>
    <row r="162" spans="1:18" s="30" customFormat="1" x14ac:dyDescent="0.3">
      <c r="A162" s="35"/>
      <c r="B162" s="62"/>
      <c r="C162" s="129" t="str">
        <f>'Cash Flow %s Yr5'!C161</f>
        <v>Loan Principal Payable</v>
      </c>
      <c r="D162" s="60"/>
      <c r="E162" s="60"/>
      <c r="F162" s="60"/>
      <c r="G162" s="60"/>
      <c r="H162" s="60"/>
      <c r="I162" s="60"/>
      <c r="J162" s="60"/>
      <c r="K162" s="60"/>
      <c r="L162" s="60"/>
      <c r="M162" s="60"/>
      <c r="N162" s="60"/>
      <c r="O162" s="60"/>
      <c r="P162" s="97"/>
      <c r="Q162" s="97"/>
      <c r="R162" s="97"/>
    </row>
    <row r="163" spans="1:18" s="30" customFormat="1" x14ac:dyDescent="0.3">
      <c r="A163" s="35"/>
      <c r="B163" s="118"/>
      <c r="C163" s="33" t="s">
        <v>724</v>
      </c>
      <c r="D163" s="79" t="e">
        <f>D159+D160-D161-D162</f>
        <v>#REF!</v>
      </c>
      <c r="E163" s="79" t="e">
        <f t="shared" ref="E163:O163" si="14">E159+E160-E161-E162</f>
        <v>#REF!</v>
      </c>
      <c r="F163" s="79" t="e">
        <f t="shared" si="14"/>
        <v>#REF!</v>
      </c>
      <c r="G163" s="79" t="e">
        <f t="shared" si="14"/>
        <v>#REF!</v>
      </c>
      <c r="H163" s="79" t="e">
        <f t="shared" si="14"/>
        <v>#REF!</v>
      </c>
      <c r="I163" s="79" t="e">
        <f t="shared" si="14"/>
        <v>#REF!</v>
      </c>
      <c r="J163" s="79" t="e">
        <f t="shared" si="14"/>
        <v>#REF!</v>
      </c>
      <c r="K163" s="79" t="e">
        <f t="shared" si="14"/>
        <v>#REF!</v>
      </c>
      <c r="L163" s="79" t="e">
        <f t="shared" si="14"/>
        <v>#REF!</v>
      </c>
      <c r="M163" s="79" t="e">
        <f t="shared" si="14"/>
        <v>#REF!</v>
      </c>
      <c r="N163" s="79" t="e">
        <f t="shared" si="14"/>
        <v>#REF!</v>
      </c>
      <c r="O163" s="79" t="e">
        <f t="shared" si="14"/>
        <v>#REF!</v>
      </c>
      <c r="P163" s="102"/>
      <c r="Q163" s="102"/>
      <c r="R163" s="102"/>
    </row>
    <row r="164" spans="1:18" s="39" customFormat="1" ht="16.2" thickBot="1" x14ac:dyDescent="0.35">
      <c r="A164" s="35"/>
      <c r="C164" s="1"/>
      <c r="D164" s="89"/>
      <c r="E164" s="89"/>
      <c r="F164" s="89"/>
      <c r="G164" s="89"/>
      <c r="H164" s="89"/>
      <c r="I164" s="89"/>
      <c r="J164" s="89"/>
      <c r="K164" s="89"/>
      <c r="L164" s="89"/>
      <c r="M164" s="89"/>
      <c r="N164" s="89"/>
      <c r="O164" s="89"/>
      <c r="P164" s="89"/>
      <c r="Q164" s="89"/>
      <c r="R164" s="89"/>
    </row>
    <row r="165" spans="1:18" s="39" customFormat="1" ht="16.2" thickBot="1" x14ac:dyDescent="0.35">
      <c r="A165" s="70" t="s">
        <v>825</v>
      </c>
      <c r="B165" s="125"/>
      <c r="C165" s="71"/>
      <c r="D165" s="145" t="e">
        <f t="shared" ref="D165:O165" si="15">D51-D156</f>
        <v>#REF!</v>
      </c>
      <c r="E165" s="145" t="e">
        <f t="shared" si="15"/>
        <v>#REF!</v>
      </c>
      <c r="F165" s="145" t="e">
        <f t="shared" si="15"/>
        <v>#REF!</v>
      </c>
      <c r="G165" s="145" t="e">
        <f t="shared" si="15"/>
        <v>#REF!</v>
      </c>
      <c r="H165" s="145" t="e">
        <f t="shared" si="15"/>
        <v>#REF!</v>
      </c>
      <c r="I165" s="145" t="e">
        <f t="shared" si="15"/>
        <v>#REF!</v>
      </c>
      <c r="J165" s="145" t="e">
        <f t="shared" si="15"/>
        <v>#REF!</v>
      </c>
      <c r="K165" s="145" t="e">
        <f t="shared" si="15"/>
        <v>#REF!</v>
      </c>
      <c r="L165" s="145" t="e">
        <f t="shared" si="15"/>
        <v>#REF!</v>
      </c>
      <c r="M165" s="145" t="e">
        <f t="shared" si="15"/>
        <v>#REF!</v>
      </c>
      <c r="N165" s="145" t="e">
        <f t="shared" si="15"/>
        <v>#REF!</v>
      </c>
      <c r="O165" s="146" t="e">
        <f t="shared" si="15"/>
        <v>#REF!</v>
      </c>
      <c r="P165" s="89"/>
      <c r="Q165" s="89"/>
      <c r="R165" s="89"/>
    </row>
    <row r="166" spans="1:18" s="39" customFormat="1" ht="16.2" thickBot="1" x14ac:dyDescent="0.35">
      <c r="A166" s="35"/>
      <c r="C166" s="1"/>
      <c r="D166" s="147"/>
      <c r="E166" s="147"/>
      <c r="F166" s="147"/>
      <c r="G166" s="147"/>
      <c r="H166" s="147"/>
      <c r="I166" s="147"/>
      <c r="J166" s="147"/>
      <c r="K166" s="147"/>
      <c r="L166" s="147"/>
      <c r="M166" s="147"/>
      <c r="N166" s="147"/>
      <c r="O166" s="147"/>
      <c r="P166" s="89"/>
      <c r="Q166" s="89"/>
      <c r="R166" s="89"/>
    </row>
    <row r="167" spans="1:18" s="39" customFormat="1" ht="16.2" thickBot="1" x14ac:dyDescent="0.35">
      <c r="A167" s="70" t="s">
        <v>816</v>
      </c>
      <c r="B167" s="125"/>
      <c r="C167" s="71"/>
      <c r="D167" s="145" t="e">
        <f>D163+D165</f>
        <v>#REF!</v>
      </c>
      <c r="E167" s="145" t="e">
        <f t="shared" ref="E167:O167" si="16">E163+E165</f>
        <v>#REF!</v>
      </c>
      <c r="F167" s="145" t="e">
        <f t="shared" si="16"/>
        <v>#REF!</v>
      </c>
      <c r="G167" s="145" t="e">
        <f t="shared" si="16"/>
        <v>#REF!</v>
      </c>
      <c r="H167" s="145" t="e">
        <f t="shared" si="16"/>
        <v>#REF!</v>
      </c>
      <c r="I167" s="145" t="e">
        <f t="shared" si="16"/>
        <v>#REF!</v>
      </c>
      <c r="J167" s="145" t="e">
        <f t="shared" si="16"/>
        <v>#REF!</v>
      </c>
      <c r="K167" s="145" t="e">
        <f t="shared" si="16"/>
        <v>#REF!</v>
      </c>
      <c r="L167" s="145" t="e">
        <f t="shared" si="16"/>
        <v>#REF!</v>
      </c>
      <c r="M167" s="145" t="e">
        <f t="shared" si="16"/>
        <v>#REF!</v>
      </c>
      <c r="N167" s="145" t="e">
        <f t="shared" si="16"/>
        <v>#REF!</v>
      </c>
      <c r="O167" s="146" t="e">
        <f t="shared" si="16"/>
        <v>#REF!</v>
      </c>
      <c r="P167" s="89"/>
      <c r="Q167" s="89"/>
      <c r="R167" s="89"/>
    </row>
    <row r="168" spans="1:18" s="39" customFormat="1" ht="16.2" thickBot="1" x14ac:dyDescent="0.35">
      <c r="A168" s="35"/>
      <c r="C168" s="1"/>
      <c r="D168" s="89"/>
      <c r="E168" s="89"/>
      <c r="F168" s="89"/>
      <c r="G168" s="89"/>
      <c r="H168" s="89"/>
      <c r="I168" s="89"/>
      <c r="J168" s="89"/>
      <c r="K168" s="89"/>
      <c r="L168" s="89"/>
      <c r="M168" s="89"/>
      <c r="N168" s="89"/>
      <c r="O168" s="89"/>
      <c r="P168" s="89"/>
      <c r="Q168" s="89"/>
      <c r="R168" s="89"/>
    </row>
    <row r="169" spans="1:18" s="39" customFormat="1" ht="16.2" thickBot="1" x14ac:dyDescent="0.35">
      <c r="A169" s="70" t="s">
        <v>826</v>
      </c>
      <c r="B169" s="125"/>
      <c r="C169" s="71"/>
      <c r="D169" s="145" t="e">
        <f>D167</f>
        <v>#REF!</v>
      </c>
      <c r="E169" s="145" t="e">
        <f>D169+E167</f>
        <v>#REF!</v>
      </c>
      <c r="F169" s="145" t="e">
        <f t="shared" ref="F169:O169" si="17">E169+F167</f>
        <v>#REF!</v>
      </c>
      <c r="G169" s="145" t="e">
        <f t="shared" si="17"/>
        <v>#REF!</v>
      </c>
      <c r="H169" s="145" t="e">
        <f t="shared" si="17"/>
        <v>#REF!</v>
      </c>
      <c r="I169" s="145" t="e">
        <f t="shared" si="17"/>
        <v>#REF!</v>
      </c>
      <c r="J169" s="145" t="e">
        <f t="shared" si="17"/>
        <v>#REF!</v>
      </c>
      <c r="K169" s="145" t="e">
        <f t="shared" si="17"/>
        <v>#REF!</v>
      </c>
      <c r="L169" s="145" t="e">
        <f t="shared" si="17"/>
        <v>#REF!</v>
      </c>
      <c r="M169" s="145" t="e">
        <f t="shared" si="17"/>
        <v>#REF!</v>
      </c>
      <c r="N169" s="145" t="e">
        <f t="shared" si="17"/>
        <v>#REF!</v>
      </c>
      <c r="O169" s="146" t="e">
        <f t="shared" si="17"/>
        <v>#REF!</v>
      </c>
      <c r="P169" s="89"/>
      <c r="Q169" s="89"/>
      <c r="R169" s="89"/>
    </row>
    <row r="170" spans="1:18" s="39" customFormat="1" x14ac:dyDescent="0.3">
      <c r="A170" s="35"/>
      <c r="C170" s="1"/>
      <c r="D170" s="89"/>
      <c r="E170" s="89"/>
      <c r="F170" s="89"/>
      <c r="G170" s="89"/>
      <c r="H170" s="89"/>
      <c r="I170" s="89"/>
      <c r="J170" s="89"/>
      <c r="K170" s="89"/>
      <c r="L170" s="89"/>
      <c r="M170" s="89"/>
      <c r="N170" s="89"/>
      <c r="O170" s="89"/>
      <c r="P170" s="89"/>
      <c r="Q170" s="89"/>
      <c r="R170" s="89"/>
    </row>
    <row r="171" spans="1:18" s="39" customFormat="1" x14ac:dyDescent="0.3">
      <c r="A171" s="35"/>
      <c r="C171" s="1"/>
      <c r="D171" s="89"/>
      <c r="E171" s="89"/>
      <c r="F171" s="89"/>
      <c r="G171" s="89"/>
      <c r="H171" s="89"/>
      <c r="I171" s="89"/>
      <c r="J171" s="89"/>
      <c r="K171" s="89"/>
      <c r="L171" s="89"/>
      <c r="M171" s="89"/>
      <c r="N171" s="89"/>
      <c r="O171" s="89"/>
      <c r="P171" s="89"/>
      <c r="Q171" s="89"/>
      <c r="R171" s="89"/>
    </row>
    <row r="172" spans="1:18" s="39" customFormat="1" x14ac:dyDescent="0.3">
      <c r="A172" s="35"/>
      <c r="C172" s="1"/>
      <c r="D172" s="89"/>
      <c r="E172" s="89"/>
      <c r="F172" s="89"/>
      <c r="G172" s="89"/>
      <c r="H172" s="89"/>
      <c r="I172" s="89"/>
      <c r="J172" s="89"/>
      <c r="K172" s="89"/>
      <c r="L172" s="89"/>
      <c r="M172" s="89"/>
      <c r="N172" s="89"/>
      <c r="O172" s="89"/>
      <c r="P172" s="89"/>
      <c r="Q172" s="89"/>
      <c r="R172" s="89"/>
    </row>
  </sheetData>
  <pageMargins left="0.25" right="0.25" top="0.5" bottom="0.5" header="0.25" footer="0.25"/>
  <pageSetup scale="53" fitToHeight="3" orientation="landscape" r:id="rId1"/>
  <headerFooter alignWithMargins="0">
    <oddHeader>&amp;A</oddHeader>
    <oddFooter>Page &amp;P</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57"/>
  <sheetViews>
    <sheetView workbookViewId="0">
      <pane xSplit="3" ySplit="5" topLeftCell="D6" activePane="bottomRight" state="frozen"/>
      <selection activeCell="L14" sqref="L14"/>
      <selection pane="topRight" activeCell="L14" sqref="L14"/>
      <selection pane="bottomLeft" activeCell="L14" sqref="L14"/>
      <selection pane="bottomRight" activeCell="L14" sqref="L14"/>
    </sheetView>
  </sheetViews>
  <sheetFormatPr defaultRowHeight="15.6" outlineLevelRow="1" x14ac:dyDescent="0.3"/>
  <cols>
    <col min="1" max="1" width="5.6640625" style="34" customWidth="1"/>
    <col min="2" max="2" width="5.109375" style="39" customWidth="1"/>
    <col min="3" max="3" width="20" style="1" customWidth="1"/>
    <col min="4" max="15" width="12.44140625" style="89" customWidth="1"/>
    <col min="16" max="16" width="10.33203125" style="1" bestFit="1" customWidth="1"/>
    <col min="17" max="252" width="9.109375" style="1"/>
    <col min="253" max="253" width="22.88671875" style="1" customWidth="1"/>
    <col min="254" max="508" width="9.109375" style="1"/>
    <col min="509" max="509" width="22.88671875" style="1" customWidth="1"/>
    <col min="510" max="764" width="9.109375" style="1"/>
    <col min="765" max="765" width="22.88671875" style="1" customWidth="1"/>
    <col min="766" max="1020" width="9.109375" style="1"/>
    <col min="1021" max="1021" width="22.88671875" style="1" customWidth="1"/>
    <col min="1022" max="1276" width="9.109375" style="1"/>
    <col min="1277" max="1277" width="22.88671875" style="1" customWidth="1"/>
    <col min="1278" max="1532" width="9.109375" style="1"/>
    <col min="1533" max="1533" width="22.88671875" style="1" customWidth="1"/>
    <col min="1534" max="1788" width="9.109375" style="1"/>
    <col min="1789" max="1789" width="22.88671875" style="1" customWidth="1"/>
    <col min="1790" max="2044" width="9.109375" style="1"/>
    <col min="2045" max="2045" width="22.88671875" style="1" customWidth="1"/>
    <col min="2046" max="2300" width="9.109375" style="1"/>
    <col min="2301" max="2301" width="22.88671875" style="1" customWidth="1"/>
    <col min="2302" max="2556" width="9.109375" style="1"/>
    <col min="2557" max="2557" width="22.88671875" style="1" customWidth="1"/>
    <col min="2558" max="2812" width="9.109375" style="1"/>
    <col min="2813" max="2813" width="22.88671875" style="1" customWidth="1"/>
    <col min="2814" max="3068" width="9.109375" style="1"/>
    <col min="3069" max="3069" width="22.88671875" style="1" customWidth="1"/>
    <col min="3070" max="3324" width="9.109375" style="1"/>
    <col min="3325" max="3325" width="22.88671875" style="1" customWidth="1"/>
    <col min="3326" max="3580" width="9.109375" style="1"/>
    <col min="3581" max="3581" width="22.88671875" style="1" customWidth="1"/>
    <col min="3582" max="3836" width="9.109375" style="1"/>
    <col min="3837" max="3837" width="22.88671875" style="1" customWidth="1"/>
    <col min="3838" max="4092" width="9.109375" style="1"/>
    <col min="4093" max="4093" width="22.88671875" style="1" customWidth="1"/>
    <col min="4094" max="4348" width="9.109375" style="1"/>
    <col min="4349" max="4349" width="22.88671875" style="1" customWidth="1"/>
    <col min="4350" max="4604" width="9.109375" style="1"/>
    <col min="4605" max="4605" width="22.88671875" style="1" customWidth="1"/>
    <col min="4606" max="4860" width="9.109375" style="1"/>
    <col min="4861" max="4861" width="22.88671875" style="1" customWidth="1"/>
    <col min="4862" max="5116" width="9.109375" style="1"/>
    <col min="5117" max="5117" width="22.88671875" style="1" customWidth="1"/>
    <col min="5118" max="5372" width="9.109375" style="1"/>
    <col min="5373" max="5373" width="22.88671875" style="1" customWidth="1"/>
    <col min="5374" max="5628" width="9.109375" style="1"/>
    <col min="5629" max="5629" width="22.88671875" style="1" customWidth="1"/>
    <col min="5630" max="5884" width="9.109375" style="1"/>
    <col min="5885" max="5885" width="22.88671875" style="1" customWidth="1"/>
    <col min="5886" max="6140" width="9.109375" style="1"/>
    <col min="6141" max="6141" width="22.88671875" style="1" customWidth="1"/>
    <col min="6142" max="6396" width="9.109375" style="1"/>
    <col min="6397" max="6397" width="22.88671875" style="1" customWidth="1"/>
    <col min="6398" max="6652" width="9.109375" style="1"/>
    <col min="6653" max="6653" width="22.88671875" style="1" customWidth="1"/>
    <col min="6654" max="6908" width="9.109375" style="1"/>
    <col min="6909" max="6909" width="22.88671875" style="1" customWidth="1"/>
    <col min="6910" max="7164" width="9.109375" style="1"/>
    <col min="7165" max="7165" width="22.88671875" style="1" customWidth="1"/>
    <col min="7166" max="7420" width="9.109375" style="1"/>
    <col min="7421" max="7421" width="22.88671875" style="1" customWidth="1"/>
    <col min="7422" max="7676" width="9.109375" style="1"/>
    <col min="7677" max="7677" width="22.88671875" style="1" customWidth="1"/>
    <col min="7678" max="7932" width="9.109375" style="1"/>
    <col min="7933" max="7933" width="22.88671875" style="1" customWidth="1"/>
    <col min="7934" max="8188" width="9.109375" style="1"/>
    <col min="8189" max="8189" width="22.88671875" style="1" customWidth="1"/>
    <col min="8190" max="8444" width="9.109375" style="1"/>
    <col min="8445" max="8445" width="22.88671875" style="1" customWidth="1"/>
    <col min="8446" max="8700" width="9.109375" style="1"/>
    <col min="8701" max="8701" width="22.88671875" style="1" customWidth="1"/>
    <col min="8702" max="8956" width="9.109375" style="1"/>
    <col min="8957" max="8957" width="22.88671875" style="1" customWidth="1"/>
    <col min="8958" max="9212" width="9.109375" style="1"/>
    <col min="9213" max="9213" width="22.88671875" style="1" customWidth="1"/>
    <col min="9214" max="9468" width="9.109375" style="1"/>
    <col min="9469" max="9469" width="22.88671875" style="1" customWidth="1"/>
    <col min="9470" max="9724" width="9.109375" style="1"/>
    <col min="9725" max="9725" width="22.88671875" style="1" customWidth="1"/>
    <col min="9726" max="9980" width="9.109375" style="1"/>
    <col min="9981" max="9981" width="22.88671875" style="1" customWidth="1"/>
    <col min="9982" max="10236" width="9.109375" style="1"/>
    <col min="10237" max="10237" width="22.88671875" style="1" customWidth="1"/>
    <col min="10238" max="10492" width="9.109375" style="1"/>
    <col min="10493" max="10493" width="22.88671875" style="1" customWidth="1"/>
    <col min="10494" max="10748" width="9.109375" style="1"/>
    <col min="10749" max="10749" width="22.88671875" style="1" customWidth="1"/>
    <col min="10750" max="11004" width="9.109375" style="1"/>
    <col min="11005" max="11005" width="22.88671875" style="1" customWidth="1"/>
    <col min="11006" max="11260" width="9.109375" style="1"/>
    <col min="11261" max="11261" width="22.88671875" style="1" customWidth="1"/>
    <col min="11262" max="11516" width="9.109375" style="1"/>
    <col min="11517" max="11517" width="22.88671875" style="1" customWidth="1"/>
    <col min="11518" max="11772" width="9.109375" style="1"/>
    <col min="11773" max="11773" width="22.88671875" style="1" customWidth="1"/>
    <col min="11774" max="12028" width="9.109375" style="1"/>
    <col min="12029" max="12029" width="22.88671875" style="1" customWidth="1"/>
    <col min="12030" max="12284" width="9.109375" style="1"/>
    <col min="12285" max="12285" width="22.88671875" style="1" customWidth="1"/>
    <col min="12286" max="12540" width="9.109375" style="1"/>
    <col min="12541" max="12541" width="22.88671875" style="1" customWidth="1"/>
    <col min="12542" max="12796" width="9.109375" style="1"/>
    <col min="12797" max="12797" width="22.88671875" style="1" customWidth="1"/>
    <col min="12798" max="13052" width="9.109375" style="1"/>
    <col min="13053" max="13053" width="22.88671875" style="1" customWidth="1"/>
    <col min="13054" max="13308" width="9.109375" style="1"/>
    <col min="13309" max="13309" width="22.88671875" style="1" customWidth="1"/>
    <col min="13310" max="13564" width="9.109375" style="1"/>
    <col min="13565" max="13565" width="22.88671875" style="1" customWidth="1"/>
    <col min="13566" max="13820" width="9.109375" style="1"/>
    <col min="13821" max="13821" width="22.88671875" style="1" customWidth="1"/>
    <col min="13822" max="14076" width="9.109375" style="1"/>
    <col min="14077" max="14077" width="22.88671875" style="1" customWidth="1"/>
    <col min="14078" max="14332" width="9.109375" style="1"/>
    <col min="14333" max="14333" width="22.88671875" style="1" customWidth="1"/>
    <col min="14334" max="14588" width="9.109375" style="1"/>
    <col min="14589" max="14589" width="22.88671875" style="1" customWidth="1"/>
    <col min="14590" max="14844" width="9.109375" style="1"/>
    <col min="14845" max="14845" width="22.88671875" style="1" customWidth="1"/>
    <col min="14846" max="15100" width="9.109375" style="1"/>
    <col min="15101" max="15101" width="22.88671875" style="1" customWidth="1"/>
    <col min="15102" max="15356" width="9.109375" style="1"/>
    <col min="15357" max="15357" width="22.88671875" style="1" customWidth="1"/>
    <col min="15358" max="15612" width="9.109375" style="1"/>
    <col min="15613" max="15613" width="22.88671875" style="1" customWidth="1"/>
    <col min="15614" max="15868" width="9.109375" style="1"/>
    <col min="15869" max="15869" width="22.88671875" style="1" customWidth="1"/>
    <col min="15870" max="16124" width="9.109375" style="1"/>
    <col min="16125" max="16125" width="22.88671875" style="1" customWidth="1"/>
    <col min="16126" max="16384" width="9.109375" style="1"/>
  </cols>
  <sheetData>
    <row r="1" spans="1:17" ht="20.399999999999999" x14ac:dyDescent="0.35">
      <c r="A1" s="21" t="str">
        <f>'Student Info'!$A$1</f>
        <v>Three Rivers - 23-65565-0123737</v>
      </c>
    </row>
    <row r="2" spans="1:17" ht="17.399999999999999" x14ac:dyDescent="0.3">
      <c r="A2" s="20" t="s">
        <v>817</v>
      </c>
    </row>
    <row r="3" spans="1:17" ht="17.399999999999999" x14ac:dyDescent="0.3">
      <c r="A3" s="20" t="str">
        <f>'Student Info'!$A$3</f>
        <v>Five Year Budget, 2020-21 through 2024-25</v>
      </c>
    </row>
    <row r="4" spans="1:17" ht="17.399999999999999" x14ac:dyDescent="0.3">
      <c r="A4" s="20"/>
    </row>
    <row r="5" spans="1:17" ht="17.399999999999999" x14ac:dyDescent="0.3">
      <c r="A5" s="28"/>
      <c r="B5" s="40"/>
      <c r="C5" s="28"/>
      <c r="D5" s="90"/>
      <c r="E5" s="90"/>
      <c r="F5" s="90"/>
      <c r="G5" s="90"/>
      <c r="H5" s="90"/>
      <c r="I5" s="90"/>
      <c r="J5" s="90"/>
      <c r="K5" s="90"/>
      <c r="L5" s="90"/>
      <c r="M5" s="90"/>
      <c r="N5" s="90"/>
      <c r="O5" s="90"/>
    </row>
    <row r="6" spans="1:17" ht="17.399999999999999" x14ac:dyDescent="0.3">
      <c r="A6" s="20" t="str">
        <f>'Student Info'!D6</f>
        <v>2020-21</v>
      </c>
      <c r="B6" s="1"/>
      <c r="D6" s="30"/>
      <c r="F6" s="91"/>
      <c r="G6" s="91"/>
      <c r="H6" s="91"/>
      <c r="I6" s="30"/>
      <c r="J6" s="30"/>
      <c r="K6" s="91"/>
      <c r="L6" s="91"/>
      <c r="M6" s="91"/>
      <c r="N6" s="91"/>
      <c r="O6" s="91"/>
    </row>
    <row r="7" spans="1:17" ht="159.75" customHeight="1" x14ac:dyDescent="0.3">
      <c r="A7" s="45"/>
      <c r="B7" s="45"/>
      <c r="C7" s="45"/>
      <c r="D7" s="45"/>
      <c r="E7" s="45"/>
      <c r="F7" s="45"/>
      <c r="G7" s="45"/>
      <c r="H7" s="45"/>
      <c r="I7" s="45"/>
      <c r="J7" s="45"/>
      <c r="K7" s="45"/>
      <c r="L7" s="45"/>
      <c r="M7" s="45"/>
      <c r="N7" s="45"/>
      <c r="O7" s="45"/>
      <c r="P7" s="45"/>
      <c r="Q7" s="45"/>
    </row>
    <row r="8" spans="1:17" ht="159.75" customHeight="1" x14ac:dyDescent="0.3">
      <c r="A8" s="45"/>
      <c r="B8" s="45"/>
      <c r="C8" s="45"/>
      <c r="D8" s="45"/>
      <c r="E8" s="45"/>
      <c r="F8" s="45"/>
      <c r="G8" s="45"/>
      <c r="H8" s="45"/>
      <c r="I8" s="45"/>
      <c r="J8" s="45"/>
      <c r="K8" s="45"/>
      <c r="L8" s="45"/>
      <c r="M8" s="45"/>
      <c r="N8" s="45"/>
      <c r="O8" s="45"/>
      <c r="P8" s="45"/>
      <c r="Q8" s="45"/>
    </row>
    <row r="9" spans="1:17" ht="159.75" customHeight="1" x14ac:dyDescent="0.3">
      <c r="A9" s="45"/>
      <c r="B9" s="45"/>
      <c r="C9" s="45"/>
      <c r="D9" s="45"/>
      <c r="E9" s="45"/>
      <c r="F9" s="45"/>
      <c r="G9" s="45"/>
      <c r="H9" s="45"/>
      <c r="I9" s="45"/>
      <c r="J9" s="45"/>
      <c r="K9" s="45"/>
      <c r="L9" s="45"/>
      <c r="M9" s="45"/>
      <c r="N9" s="45"/>
      <c r="O9" s="45"/>
      <c r="P9" s="45"/>
      <c r="Q9" s="45"/>
    </row>
    <row r="10" spans="1:17" s="39" customFormat="1" ht="16.2" thickBot="1" x14ac:dyDescent="0.35">
      <c r="A10" s="3"/>
      <c r="C10" s="1"/>
      <c r="D10" s="139" t="s">
        <v>799</v>
      </c>
      <c r="E10" s="139" t="s">
        <v>800</v>
      </c>
      <c r="F10" s="139" t="s">
        <v>801</v>
      </c>
      <c r="G10" s="139" t="s">
        <v>802</v>
      </c>
      <c r="H10" s="139" t="s">
        <v>803</v>
      </c>
      <c r="I10" s="139" t="s">
        <v>804</v>
      </c>
      <c r="J10" s="139" t="s">
        <v>805</v>
      </c>
      <c r="K10" s="139" t="s">
        <v>806</v>
      </c>
      <c r="L10" s="139" t="s">
        <v>807</v>
      </c>
      <c r="M10" s="139" t="s">
        <v>808</v>
      </c>
      <c r="N10" s="139" t="s">
        <v>809</v>
      </c>
      <c r="O10" s="139" t="s">
        <v>810</v>
      </c>
    </row>
    <row r="11" spans="1:17" s="39" customFormat="1" ht="16.2" thickBot="1" x14ac:dyDescent="0.35">
      <c r="A11" s="138"/>
      <c r="B11" s="125"/>
      <c r="C11" s="140" t="str">
        <f>'Cash Flow $s Y20-21'!A174</f>
        <v>Projected Monthly Cash Balance</v>
      </c>
      <c r="D11" s="141" t="e">
        <f>'Cash Flow $s Y20-21'!D$174</f>
        <v>#REF!</v>
      </c>
      <c r="E11" s="141" t="e">
        <f>'Cash Flow $s Y20-21'!E$174</f>
        <v>#REF!</v>
      </c>
      <c r="F11" s="141" t="e">
        <f>'Cash Flow $s Y20-21'!F$174</f>
        <v>#REF!</v>
      </c>
      <c r="G11" s="141" t="e">
        <f>'Cash Flow $s Y20-21'!G$174</f>
        <v>#REF!</v>
      </c>
      <c r="H11" s="141" t="e">
        <f>'Cash Flow $s Y20-21'!H$174</f>
        <v>#REF!</v>
      </c>
      <c r="I11" s="141" t="e">
        <f>'Cash Flow $s Y20-21'!I$174</f>
        <v>#REF!</v>
      </c>
      <c r="J11" s="141" t="e">
        <f>'Cash Flow $s Y20-21'!J$174</f>
        <v>#REF!</v>
      </c>
      <c r="K11" s="141" t="e">
        <f>'Cash Flow $s Y20-21'!K$174</f>
        <v>#REF!</v>
      </c>
      <c r="L11" s="141" t="e">
        <f>'Cash Flow $s Y20-21'!L$174</f>
        <v>#REF!</v>
      </c>
      <c r="M11" s="141" t="e">
        <f>'Cash Flow $s Y20-21'!M$174</f>
        <v>#REF!</v>
      </c>
      <c r="N11" s="141" t="e">
        <f>'Cash Flow $s Y20-21'!N$174</f>
        <v>#REF!</v>
      </c>
      <c r="O11" s="142" t="e">
        <f>'Cash Flow $s Y20-21'!O$174</f>
        <v>#REF!</v>
      </c>
    </row>
    <row r="12" spans="1:17" s="39" customFormat="1" hidden="1" outlineLevel="1" x14ac:dyDescent="0.3">
      <c r="A12" s="35"/>
      <c r="C12" s="1"/>
      <c r="D12" s="89"/>
      <c r="E12" s="89"/>
      <c r="F12" s="89"/>
      <c r="G12" s="89"/>
      <c r="H12" s="89"/>
      <c r="I12" s="89"/>
      <c r="J12" s="89"/>
      <c r="K12" s="89"/>
      <c r="L12" s="89"/>
      <c r="M12" s="89"/>
      <c r="N12" s="89"/>
      <c r="O12" s="89"/>
    </row>
    <row r="13" spans="1:17" s="39" customFormat="1" ht="17.399999999999999" hidden="1" outlineLevel="1" x14ac:dyDescent="0.3">
      <c r="A13" s="20" t="str">
        <f>'Student Info'!E6</f>
        <v>2021-22</v>
      </c>
      <c r="C13" s="1"/>
      <c r="D13" s="30"/>
      <c r="E13" s="89"/>
      <c r="F13" s="91"/>
      <c r="G13" s="91"/>
      <c r="H13" s="91"/>
      <c r="I13" s="30"/>
      <c r="J13" s="30"/>
      <c r="K13" s="91"/>
      <c r="L13" s="91"/>
      <c r="M13" s="91"/>
      <c r="N13" s="91"/>
      <c r="O13" s="91"/>
    </row>
    <row r="14" spans="1:17" s="39" customFormat="1" ht="150.75" hidden="1" customHeight="1" outlineLevel="1" x14ac:dyDescent="0.3">
      <c r="A14" s="45"/>
      <c r="B14" s="45"/>
      <c r="C14" s="45"/>
      <c r="D14" s="45"/>
      <c r="E14" s="45"/>
      <c r="F14" s="45"/>
      <c r="G14" s="45"/>
      <c r="H14" s="45"/>
      <c r="I14" s="45"/>
      <c r="J14" s="45"/>
      <c r="K14" s="45"/>
      <c r="L14" s="45"/>
      <c r="M14" s="45"/>
      <c r="N14" s="45"/>
      <c r="O14" s="45"/>
    </row>
    <row r="15" spans="1:17" s="39" customFormat="1" ht="150.75" hidden="1" customHeight="1" outlineLevel="1" x14ac:dyDescent="0.3">
      <c r="A15" s="45"/>
      <c r="B15" s="45"/>
      <c r="C15" s="45"/>
      <c r="D15" s="45"/>
      <c r="E15" s="45"/>
      <c r="F15" s="45"/>
      <c r="G15" s="45"/>
      <c r="H15" s="45"/>
      <c r="I15" s="45"/>
      <c r="J15" s="45"/>
      <c r="K15" s="45"/>
      <c r="L15" s="45"/>
      <c r="M15" s="45"/>
      <c r="N15" s="45"/>
      <c r="O15" s="45"/>
    </row>
    <row r="16" spans="1:17" s="39" customFormat="1" ht="150.75" hidden="1" customHeight="1" outlineLevel="1" x14ac:dyDescent="0.3">
      <c r="A16" s="45"/>
      <c r="B16" s="45"/>
      <c r="C16" s="45"/>
      <c r="D16" s="45"/>
      <c r="E16" s="45"/>
      <c r="F16" s="45"/>
      <c r="G16" s="45"/>
      <c r="H16" s="45"/>
      <c r="I16" s="45"/>
      <c r="J16" s="45"/>
      <c r="K16" s="45"/>
      <c r="L16" s="45"/>
      <c r="M16" s="45"/>
      <c r="N16" s="45"/>
      <c r="O16" s="45"/>
    </row>
    <row r="17" spans="1:15" s="39" customFormat="1" ht="16.2" hidden="1" outlineLevel="1" thickBot="1" x14ac:dyDescent="0.35">
      <c r="A17" s="3"/>
      <c r="C17" s="1"/>
      <c r="D17" s="139" t="s">
        <v>799</v>
      </c>
      <c r="E17" s="139" t="s">
        <v>800</v>
      </c>
      <c r="F17" s="139" t="s">
        <v>801</v>
      </c>
      <c r="G17" s="139" t="s">
        <v>802</v>
      </c>
      <c r="H17" s="139" t="s">
        <v>803</v>
      </c>
      <c r="I17" s="139" t="s">
        <v>804</v>
      </c>
      <c r="J17" s="139" t="s">
        <v>805</v>
      </c>
      <c r="K17" s="139" t="s">
        <v>806</v>
      </c>
      <c r="L17" s="139" t="s">
        <v>807</v>
      </c>
      <c r="M17" s="139" t="s">
        <v>808</v>
      </c>
      <c r="N17" s="139" t="s">
        <v>809</v>
      </c>
      <c r="O17" s="139" t="s">
        <v>810</v>
      </c>
    </row>
    <row r="18" spans="1:15" s="39" customFormat="1" ht="16.2" hidden="1" outlineLevel="1" thickBot="1" x14ac:dyDescent="0.35">
      <c r="A18" s="138"/>
      <c r="B18" s="125"/>
      <c r="C18" s="140" t="str">
        <f>$C$11</f>
        <v>Projected Monthly Cash Balance</v>
      </c>
      <c r="D18" s="141" t="e">
        <f>#REF!</f>
        <v>#REF!</v>
      </c>
      <c r="E18" s="141" t="e">
        <f>#REF!</f>
        <v>#REF!</v>
      </c>
      <c r="F18" s="141" t="e">
        <f>#REF!</f>
        <v>#REF!</v>
      </c>
      <c r="G18" s="141" t="e">
        <f>#REF!</f>
        <v>#REF!</v>
      </c>
      <c r="H18" s="141" t="e">
        <f>#REF!</f>
        <v>#REF!</v>
      </c>
      <c r="I18" s="141" t="e">
        <f>#REF!</f>
        <v>#REF!</v>
      </c>
      <c r="J18" s="141" t="e">
        <f>#REF!</f>
        <v>#REF!</v>
      </c>
      <c r="K18" s="141" t="e">
        <f>#REF!</f>
        <v>#REF!</v>
      </c>
      <c r="L18" s="141" t="e">
        <f>#REF!</f>
        <v>#REF!</v>
      </c>
      <c r="M18" s="141" t="e">
        <f>#REF!</f>
        <v>#REF!</v>
      </c>
      <c r="N18" s="141" t="e">
        <f>#REF!</f>
        <v>#REF!</v>
      </c>
      <c r="O18" s="142" t="e">
        <f>#REF!</f>
        <v>#REF!</v>
      </c>
    </row>
    <row r="19" spans="1:15" hidden="1" outlineLevel="1" x14ac:dyDescent="0.3"/>
    <row r="20" spans="1:15" ht="17.399999999999999" hidden="1" outlineLevel="1" x14ac:dyDescent="0.3">
      <c r="A20" s="20" t="str">
        <f>'Student Info'!F6</f>
        <v>2022-23</v>
      </c>
      <c r="B20" s="1"/>
      <c r="D20" s="30"/>
      <c r="F20" s="91"/>
      <c r="G20" s="91"/>
      <c r="H20" s="91"/>
      <c r="I20" s="30"/>
      <c r="J20" s="30"/>
      <c r="K20" s="91"/>
      <c r="L20" s="91"/>
      <c r="M20" s="91"/>
      <c r="N20" s="91"/>
      <c r="O20" s="91"/>
    </row>
    <row r="21" spans="1:15" ht="159" hidden="1" customHeight="1" outlineLevel="1" x14ac:dyDescent="0.3">
      <c r="A21" s="45"/>
      <c r="B21" s="45"/>
      <c r="C21" s="45"/>
      <c r="D21" s="45"/>
      <c r="E21" s="45"/>
      <c r="F21" s="45"/>
      <c r="G21" s="45"/>
      <c r="H21" s="45"/>
      <c r="I21" s="45"/>
      <c r="J21" s="45"/>
      <c r="K21" s="45"/>
      <c r="L21" s="45"/>
      <c r="M21" s="45"/>
      <c r="N21" s="45"/>
      <c r="O21" s="45"/>
    </row>
    <row r="22" spans="1:15" ht="159" hidden="1" customHeight="1" outlineLevel="1" x14ac:dyDescent="0.3">
      <c r="A22" s="45"/>
      <c r="B22" s="45"/>
      <c r="C22" s="45"/>
      <c r="D22" s="45"/>
      <c r="E22" s="45"/>
      <c r="F22" s="45"/>
      <c r="G22" s="45"/>
      <c r="H22" s="45"/>
      <c r="I22" s="45"/>
      <c r="J22" s="45"/>
      <c r="K22" s="45"/>
      <c r="L22" s="45"/>
      <c r="M22" s="45"/>
      <c r="N22" s="45"/>
      <c r="O22" s="45"/>
    </row>
    <row r="23" spans="1:15" ht="159" hidden="1" customHeight="1" outlineLevel="1" x14ac:dyDescent="0.3">
      <c r="A23" s="45"/>
      <c r="B23" s="45"/>
      <c r="C23" s="45"/>
      <c r="D23" s="45"/>
      <c r="E23" s="45"/>
      <c r="F23" s="45"/>
      <c r="G23" s="45"/>
      <c r="H23" s="45"/>
      <c r="I23" s="45"/>
      <c r="J23" s="45"/>
      <c r="K23" s="45"/>
      <c r="L23" s="45"/>
      <c r="M23" s="45"/>
      <c r="N23" s="45"/>
      <c r="O23" s="45"/>
    </row>
    <row r="24" spans="1:15" ht="16.2" hidden="1" outlineLevel="1" thickBot="1" x14ac:dyDescent="0.35">
      <c r="A24" s="3"/>
      <c r="D24" s="139" t="s">
        <v>799</v>
      </c>
      <c r="E24" s="139" t="s">
        <v>800</v>
      </c>
      <c r="F24" s="139" t="s">
        <v>801</v>
      </c>
      <c r="G24" s="139" t="s">
        <v>802</v>
      </c>
      <c r="H24" s="139" t="s">
        <v>803</v>
      </c>
      <c r="I24" s="139" t="s">
        <v>804</v>
      </c>
      <c r="J24" s="139" t="s">
        <v>805</v>
      </c>
      <c r="K24" s="139" t="s">
        <v>806</v>
      </c>
      <c r="L24" s="139" t="s">
        <v>807</v>
      </c>
      <c r="M24" s="139" t="s">
        <v>808</v>
      </c>
      <c r="N24" s="139" t="s">
        <v>809</v>
      </c>
      <c r="O24" s="139" t="s">
        <v>810</v>
      </c>
    </row>
    <row r="25" spans="1:15" ht="16.2" hidden="1" outlineLevel="1" thickBot="1" x14ac:dyDescent="0.35">
      <c r="A25" s="138"/>
      <c r="B25" s="125"/>
      <c r="C25" s="140" t="str">
        <f>$C$11</f>
        <v>Projected Monthly Cash Balance</v>
      </c>
      <c r="D25" s="149" t="e">
        <f>#REF!</f>
        <v>#REF!</v>
      </c>
      <c r="E25" s="141" t="e">
        <f>#REF!</f>
        <v>#REF!</v>
      </c>
      <c r="F25" s="141" t="e">
        <f>#REF!</f>
        <v>#REF!</v>
      </c>
      <c r="G25" s="141" t="e">
        <f>#REF!</f>
        <v>#REF!</v>
      </c>
      <c r="H25" s="141" t="e">
        <f>#REF!</f>
        <v>#REF!</v>
      </c>
      <c r="I25" s="141" t="e">
        <f>#REF!</f>
        <v>#REF!</v>
      </c>
      <c r="J25" s="141" t="e">
        <f>#REF!</f>
        <v>#REF!</v>
      </c>
      <c r="K25" s="141" t="e">
        <f>#REF!</f>
        <v>#REF!</v>
      </c>
      <c r="L25" s="141" t="e">
        <f>#REF!</f>
        <v>#REF!</v>
      </c>
      <c r="M25" s="141" t="e">
        <f>#REF!</f>
        <v>#REF!</v>
      </c>
      <c r="N25" s="141" t="e">
        <f>#REF!</f>
        <v>#REF!</v>
      </c>
      <c r="O25" s="142" t="e">
        <f>#REF!</f>
        <v>#REF!</v>
      </c>
    </row>
    <row r="26" spans="1:15" hidden="1" outlineLevel="1" x14ac:dyDescent="0.3"/>
    <row r="27" spans="1:15" ht="17.399999999999999" hidden="1" outlineLevel="1" x14ac:dyDescent="0.3">
      <c r="A27" s="20" t="str">
        <f>'Student Info'!G6</f>
        <v>2023-24</v>
      </c>
      <c r="B27" s="1"/>
      <c r="D27" s="30"/>
      <c r="F27" s="91"/>
      <c r="G27" s="91"/>
      <c r="H27" s="91"/>
      <c r="I27" s="30"/>
      <c r="J27" s="30"/>
      <c r="K27" s="91"/>
      <c r="L27" s="91"/>
      <c r="M27" s="91"/>
      <c r="N27" s="91"/>
      <c r="O27" s="91"/>
    </row>
    <row r="28" spans="1:15" ht="159" hidden="1" customHeight="1" outlineLevel="1" x14ac:dyDescent="0.3">
      <c r="A28" s="45"/>
      <c r="B28" s="45"/>
      <c r="C28" s="45"/>
      <c r="D28" s="45"/>
      <c r="E28" s="45"/>
      <c r="F28" s="45"/>
      <c r="G28" s="45"/>
      <c r="H28" s="45"/>
      <c r="I28" s="45"/>
      <c r="J28" s="45"/>
      <c r="K28" s="45"/>
      <c r="L28" s="45"/>
      <c r="M28" s="45"/>
      <c r="N28" s="45"/>
      <c r="O28" s="45"/>
    </row>
    <row r="29" spans="1:15" ht="159" hidden="1" customHeight="1" outlineLevel="1" x14ac:dyDescent="0.3">
      <c r="A29" s="45"/>
      <c r="B29" s="45"/>
      <c r="C29" s="45"/>
      <c r="D29" s="45"/>
      <c r="E29" s="45"/>
      <c r="F29" s="45"/>
      <c r="G29" s="45"/>
      <c r="H29" s="45"/>
      <c r="I29" s="45"/>
      <c r="J29" s="45"/>
      <c r="K29" s="45"/>
      <c r="L29" s="45"/>
      <c r="M29" s="45"/>
      <c r="N29" s="45"/>
      <c r="O29" s="45"/>
    </row>
    <row r="30" spans="1:15" ht="159" hidden="1" customHeight="1" outlineLevel="1" x14ac:dyDescent="0.3">
      <c r="A30" s="45"/>
      <c r="B30" s="45"/>
      <c r="C30" s="45"/>
      <c r="D30" s="45"/>
      <c r="E30" s="45"/>
      <c r="F30" s="45"/>
      <c r="G30" s="45"/>
      <c r="H30" s="45"/>
      <c r="I30" s="45"/>
      <c r="J30" s="45"/>
      <c r="K30" s="45"/>
      <c r="L30" s="45"/>
      <c r="M30" s="45"/>
      <c r="N30" s="45"/>
      <c r="O30" s="45"/>
    </row>
    <row r="31" spans="1:15" ht="16.2" hidden="1" outlineLevel="1" thickBot="1" x14ac:dyDescent="0.35">
      <c r="A31" s="3"/>
      <c r="D31" s="139" t="s">
        <v>799</v>
      </c>
      <c r="E31" s="139" t="s">
        <v>800</v>
      </c>
      <c r="F31" s="139" t="s">
        <v>801</v>
      </c>
      <c r="G31" s="139" t="s">
        <v>802</v>
      </c>
      <c r="H31" s="139" t="s">
        <v>803</v>
      </c>
      <c r="I31" s="139" t="s">
        <v>804</v>
      </c>
      <c r="J31" s="139" t="s">
        <v>805</v>
      </c>
      <c r="K31" s="139" t="s">
        <v>806</v>
      </c>
      <c r="L31" s="139" t="s">
        <v>807</v>
      </c>
      <c r="M31" s="139" t="s">
        <v>808</v>
      </c>
      <c r="N31" s="139" t="s">
        <v>809</v>
      </c>
      <c r="O31" s="139" t="s">
        <v>810</v>
      </c>
    </row>
    <row r="32" spans="1:15" ht="16.2" hidden="1" outlineLevel="1" thickBot="1" x14ac:dyDescent="0.35">
      <c r="A32" s="138"/>
      <c r="B32" s="125"/>
      <c r="C32" s="140" t="str">
        <f>$C$11</f>
        <v>Projected Monthly Cash Balance</v>
      </c>
      <c r="D32" s="149" t="e">
        <f>'Cash Flow $s Yr4'!D$169</f>
        <v>#REF!</v>
      </c>
      <c r="E32" s="141" t="e">
        <f>'Cash Flow $s Yr4'!E$169</f>
        <v>#REF!</v>
      </c>
      <c r="F32" s="141" t="e">
        <f>'Cash Flow $s Yr4'!F$169</f>
        <v>#REF!</v>
      </c>
      <c r="G32" s="141" t="e">
        <f>'Cash Flow $s Yr4'!G$169</f>
        <v>#REF!</v>
      </c>
      <c r="H32" s="141" t="e">
        <f>'Cash Flow $s Yr4'!H$169</f>
        <v>#REF!</v>
      </c>
      <c r="I32" s="141" t="e">
        <f>'Cash Flow $s Yr4'!I$169</f>
        <v>#REF!</v>
      </c>
      <c r="J32" s="141" t="e">
        <f>'Cash Flow $s Yr4'!J$169</f>
        <v>#REF!</v>
      </c>
      <c r="K32" s="141" t="e">
        <f>'Cash Flow $s Yr4'!K$169</f>
        <v>#REF!</v>
      </c>
      <c r="L32" s="141" t="e">
        <f>'Cash Flow $s Yr4'!L$169</f>
        <v>#REF!</v>
      </c>
      <c r="M32" s="141" t="e">
        <f>'Cash Flow $s Yr4'!M$169</f>
        <v>#REF!</v>
      </c>
      <c r="N32" s="141" t="e">
        <f>'Cash Flow $s Yr4'!N$169</f>
        <v>#REF!</v>
      </c>
      <c r="O32" s="142" t="e">
        <f>'Cash Flow $s Yr4'!O$169</f>
        <v>#REF!</v>
      </c>
    </row>
    <row r="33" spans="1:17" hidden="1" outlineLevel="1" x14ac:dyDescent="0.3"/>
    <row r="34" spans="1:17" ht="17.399999999999999" hidden="1" outlineLevel="1" x14ac:dyDescent="0.3">
      <c r="A34" s="20" t="str">
        <f>'Student Info'!H6</f>
        <v>2024-25</v>
      </c>
      <c r="B34" s="1"/>
      <c r="D34" s="30"/>
      <c r="F34" s="91"/>
      <c r="G34" s="91"/>
      <c r="H34" s="91"/>
      <c r="I34" s="30"/>
      <c r="J34" s="30"/>
      <c r="K34" s="91"/>
      <c r="L34" s="91"/>
      <c r="M34" s="91"/>
      <c r="N34" s="91"/>
      <c r="O34" s="91"/>
    </row>
    <row r="35" spans="1:17" ht="159.75" hidden="1" customHeight="1" outlineLevel="1" x14ac:dyDescent="0.3">
      <c r="A35" s="45"/>
      <c r="B35" s="45"/>
      <c r="C35" s="45"/>
      <c r="D35" s="45"/>
      <c r="E35" s="45"/>
      <c r="F35" s="45"/>
      <c r="G35" s="45"/>
      <c r="H35" s="45"/>
      <c r="I35" s="45"/>
      <c r="J35" s="45"/>
      <c r="K35" s="45"/>
      <c r="L35" s="45"/>
      <c r="M35" s="45"/>
      <c r="N35" s="45"/>
      <c r="O35" s="45"/>
    </row>
    <row r="36" spans="1:17" ht="159.75" hidden="1" customHeight="1" outlineLevel="1" x14ac:dyDescent="0.3">
      <c r="A36" s="45"/>
      <c r="B36" s="45"/>
      <c r="C36" s="45"/>
      <c r="D36" s="45"/>
      <c r="E36" s="45"/>
      <c r="F36" s="45"/>
      <c r="G36" s="45"/>
      <c r="H36" s="45"/>
      <c r="I36" s="45"/>
      <c r="J36" s="45"/>
      <c r="K36" s="45"/>
      <c r="L36" s="45"/>
      <c r="M36" s="45"/>
      <c r="N36" s="45"/>
      <c r="O36" s="45"/>
    </row>
    <row r="37" spans="1:17" ht="159.75" hidden="1" customHeight="1" outlineLevel="1" x14ac:dyDescent="0.3">
      <c r="A37" s="45"/>
      <c r="B37" s="45"/>
      <c r="C37" s="45"/>
      <c r="D37" s="45"/>
      <c r="E37" s="45"/>
      <c r="F37" s="45"/>
      <c r="G37" s="45"/>
      <c r="H37" s="45"/>
      <c r="I37" s="45"/>
      <c r="J37" s="45"/>
      <c r="K37" s="45"/>
      <c r="L37" s="45"/>
      <c r="M37" s="45"/>
      <c r="N37" s="45"/>
      <c r="O37" s="45"/>
    </row>
    <row r="38" spans="1:17" ht="16.2" hidden="1" outlineLevel="1" thickBot="1" x14ac:dyDescent="0.35">
      <c r="A38" s="3"/>
      <c r="D38" s="139" t="s">
        <v>799</v>
      </c>
      <c r="E38" s="139" t="s">
        <v>800</v>
      </c>
      <c r="F38" s="139" t="s">
        <v>801</v>
      </c>
      <c r="G38" s="139" t="s">
        <v>802</v>
      </c>
      <c r="H38" s="139" t="s">
        <v>803</v>
      </c>
      <c r="I38" s="139" t="s">
        <v>804</v>
      </c>
      <c r="J38" s="139" t="s">
        <v>805</v>
      </c>
      <c r="K38" s="139" t="s">
        <v>806</v>
      </c>
      <c r="L38" s="139" t="s">
        <v>807</v>
      </c>
      <c r="M38" s="139" t="s">
        <v>808</v>
      </c>
      <c r="N38" s="139" t="s">
        <v>809</v>
      </c>
      <c r="O38" s="139" t="s">
        <v>810</v>
      </c>
    </row>
    <row r="39" spans="1:17" ht="16.2" hidden="1" outlineLevel="1" thickBot="1" x14ac:dyDescent="0.35">
      <c r="A39" s="138"/>
      <c r="B39" s="125"/>
      <c r="C39" s="140" t="str">
        <f>$C$11</f>
        <v>Projected Monthly Cash Balance</v>
      </c>
      <c r="D39" s="149" t="e">
        <f>'Cash Flow $s Yr5'!D$169</f>
        <v>#REF!</v>
      </c>
      <c r="E39" s="141" t="e">
        <f>'Cash Flow $s Yr5'!E$169</f>
        <v>#REF!</v>
      </c>
      <c r="F39" s="141" t="e">
        <f>'Cash Flow $s Yr5'!F$169</f>
        <v>#REF!</v>
      </c>
      <c r="G39" s="141" t="e">
        <f>'Cash Flow $s Yr5'!G$169</f>
        <v>#REF!</v>
      </c>
      <c r="H39" s="141" t="e">
        <f>'Cash Flow $s Yr5'!H$169</f>
        <v>#REF!</v>
      </c>
      <c r="I39" s="141" t="e">
        <f>'Cash Flow $s Yr5'!I$169</f>
        <v>#REF!</v>
      </c>
      <c r="J39" s="141" t="e">
        <f>'Cash Flow $s Yr5'!J$169</f>
        <v>#REF!</v>
      </c>
      <c r="K39" s="141" t="e">
        <f>'Cash Flow $s Yr5'!K$169</f>
        <v>#REF!</v>
      </c>
      <c r="L39" s="141" t="e">
        <f>'Cash Flow $s Yr5'!L$169</f>
        <v>#REF!</v>
      </c>
      <c r="M39" s="141" t="e">
        <f>'Cash Flow $s Yr5'!M$169</f>
        <v>#REF!</v>
      </c>
      <c r="N39" s="141" t="e">
        <f>'Cash Flow $s Yr5'!N$169</f>
        <v>#REF!</v>
      </c>
      <c r="O39" s="142" t="e">
        <f>'Cash Flow $s Yr5'!O$169</f>
        <v>#REF!</v>
      </c>
    </row>
    <row r="40" spans="1:17" hidden="1" outlineLevel="1" x14ac:dyDescent="0.3"/>
    <row r="41" spans="1:17" ht="17.399999999999999" hidden="1" outlineLevel="1" x14ac:dyDescent="0.3">
      <c r="A41" s="20" t="s">
        <v>676</v>
      </c>
      <c r="B41" s="1"/>
      <c r="D41" s="30"/>
      <c r="F41" s="91"/>
      <c r="G41" s="91"/>
      <c r="H41" s="91"/>
      <c r="I41" s="30"/>
      <c r="J41" s="30"/>
      <c r="K41" s="91"/>
      <c r="L41" s="91"/>
      <c r="M41" s="91"/>
      <c r="N41" s="91"/>
      <c r="O41" s="91"/>
    </row>
    <row r="42" spans="1:17" ht="159.75" hidden="1" customHeight="1" outlineLevel="1" x14ac:dyDescent="0.3">
      <c r="A42" s="45"/>
      <c r="B42" s="45"/>
      <c r="C42" s="45"/>
      <c r="D42" s="45"/>
      <c r="E42" s="45"/>
      <c r="F42" s="45"/>
      <c r="G42" s="45"/>
      <c r="H42" s="45"/>
      <c r="I42" s="45"/>
      <c r="J42" s="45"/>
      <c r="K42" s="45"/>
      <c r="L42" s="45"/>
      <c r="M42" s="45"/>
      <c r="N42" s="45"/>
      <c r="O42" s="45"/>
      <c r="P42" s="45"/>
      <c r="Q42" s="45"/>
    </row>
    <row r="43" spans="1:17" ht="159.75" hidden="1" customHeight="1" outlineLevel="1" x14ac:dyDescent="0.3">
      <c r="A43" s="45"/>
      <c r="B43" s="45"/>
      <c r="C43" s="45"/>
      <c r="D43" s="45"/>
      <c r="E43" s="45"/>
      <c r="F43" s="45"/>
      <c r="G43" s="45"/>
      <c r="H43" s="45"/>
      <c r="I43" s="45"/>
      <c r="J43" s="45"/>
      <c r="K43" s="45"/>
      <c r="L43" s="45"/>
      <c r="M43" s="45"/>
      <c r="N43" s="45"/>
      <c r="O43" s="45"/>
      <c r="P43" s="45"/>
      <c r="Q43" s="45"/>
    </row>
    <row r="44" spans="1:17" ht="159.75" hidden="1" customHeight="1" outlineLevel="1" x14ac:dyDescent="0.3">
      <c r="A44" s="45"/>
      <c r="B44" s="45"/>
      <c r="C44" s="45"/>
      <c r="D44" s="45"/>
      <c r="E44" s="45"/>
      <c r="F44" s="45"/>
      <c r="G44" s="45"/>
      <c r="H44" s="45"/>
      <c r="I44" s="45"/>
      <c r="J44" s="45"/>
      <c r="K44" s="45"/>
      <c r="L44" s="45"/>
      <c r="M44" s="45"/>
      <c r="N44" s="45"/>
      <c r="O44" s="45"/>
      <c r="P44" s="45"/>
      <c r="Q44" s="45"/>
    </row>
    <row r="45" spans="1:17" s="39" customFormat="1" ht="16.2" hidden="1" outlineLevel="1" thickBot="1" x14ac:dyDescent="0.35">
      <c r="A45" s="3"/>
      <c r="C45" s="1"/>
      <c r="D45" s="139" t="s">
        <v>799</v>
      </c>
      <c r="E45" s="139" t="s">
        <v>800</v>
      </c>
      <c r="F45" s="139" t="s">
        <v>801</v>
      </c>
      <c r="G45" s="139" t="s">
        <v>802</v>
      </c>
      <c r="H45" s="139" t="s">
        <v>803</v>
      </c>
      <c r="I45" s="139" t="s">
        <v>804</v>
      </c>
      <c r="J45" s="139" t="s">
        <v>805</v>
      </c>
      <c r="K45" s="139" t="s">
        <v>806</v>
      </c>
      <c r="L45" s="139" t="s">
        <v>807</v>
      </c>
      <c r="M45" s="139" t="s">
        <v>808</v>
      </c>
      <c r="N45" s="139" t="s">
        <v>809</v>
      </c>
      <c r="O45" s="139" t="s">
        <v>810</v>
      </c>
    </row>
    <row r="46" spans="1:17" s="39" customFormat="1" ht="16.2" hidden="1" outlineLevel="1" thickBot="1" x14ac:dyDescent="0.35">
      <c r="A46" s="138"/>
      <c r="B46" s="125"/>
      <c r="C46" s="140" t="str">
        <f>$C$11</f>
        <v>Projected Monthly Cash Balance</v>
      </c>
      <c r="D46" s="141" t="e">
        <f>SUM(D39,D32,D25,D18,D11)</f>
        <v>#REF!</v>
      </c>
      <c r="E46" s="141" t="e">
        <f t="shared" ref="E46:O46" si="0">SUM(E39,E32,E25,E18,E11)</f>
        <v>#REF!</v>
      </c>
      <c r="F46" s="141" t="e">
        <f t="shared" si="0"/>
        <v>#REF!</v>
      </c>
      <c r="G46" s="141" t="e">
        <f t="shared" si="0"/>
        <v>#REF!</v>
      </c>
      <c r="H46" s="141" t="e">
        <f t="shared" si="0"/>
        <v>#REF!</v>
      </c>
      <c r="I46" s="141" t="e">
        <f t="shared" si="0"/>
        <v>#REF!</v>
      </c>
      <c r="J46" s="141" t="e">
        <f t="shared" si="0"/>
        <v>#REF!</v>
      </c>
      <c r="K46" s="141" t="e">
        <f t="shared" si="0"/>
        <v>#REF!</v>
      </c>
      <c r="L46" s="141" t="e">
        <f t="shared" si="0"/>
        <v>#REF!</v>
      </c>
      <c r="M46" s="141" t="e">
        <f t="shared" si="0"/>
        <v>#REF!</v>
      </c>
      <c r="N46" s="141" t="e">
        <f t="shared" si="0"/>
        <v>#REF!</v>
      </c>
      <c r="O46" s="142" t="e">
        <f t="shared" si="0"/>
        <v>#REF!</v>
      </c>
    </row>
    <row r="47" spans="1:17" hidden="1" outlineLevel="1" x14ac:dyDescent="0.3"/>
    <row r="48" spans="1:17" hidden="1" outlineLevel="1" x14ac:dyDescent="0.3"/>
    <row r="49" hidden="1" outlineLevel="1" x14ac:dyDescent="0.3"/>
    <row r="50" hidden="1" outlineLevel="1" x14ac:dyDescent="0.3"/>
    <row r="51" hidden="1" outlineLevel="1" x14ac:dyDescent="0.3"/>
    <row r="52" hidden="1" outlineLevel="1" x14ac:dyDescent="0.3"/>
    <row r="53" hidden="1" outlineLevel="1" x14ac:dyDescent="0.3"/>
    <row r="54" hidden="1" outlineLevel="1" x14ac:dyDescent="0.3"/>
    <row r="55" hidden="1" outlineLevel="1" x14ac:dyDescent="0.3"/>
    <row r="56" hidden="1" outlineLevel="1" x14ac:dyDescent="0.3"/>
    <row r="57" collapsed="1" x14ac:dyDescent="0.3"/>
  </sheetData>
  <pageMargins left="0.25" right="0.25" top="0.5" bottom="0.5" header="0.25" footer="0.25"/>
  <pageSetup scale="74" fitToHeight="5" orientation="landscape" r:id="rId1"/>
  <headerFooter alignWithMargins="0">
    <oddHeader>&amp;A</oddHeader>
    <oddFooter>Page &amp;P</oddFooter>
  </headerFooter>
  <rowBreaks count="5" manualBreakCount="5">
    <brk id="11" max="16383" man="1"/>
    <brk id="18" max="16383" man="1"/>
    <brk id="25" max="16383" man="1"/>
    <brk id="32" max="16383" man="1"/>
    <brk id="39"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50"/>
  <sheetViews>
    <sheetView topLeftCell="A31" workbookViewId="0">
      <selection activeCell="C57" sqref="C57"/>
    </sheetView>
  </sheetViews>
  <sheetFormatPr defaultColWidth="37" defaultRowHeight="14.4" x14ac:dyDescent="0.3"/>
  <cols>
    <col min="1" max="1" width="7.44140625" bestFit="1" customWidth="1"/>
    <col min="2" max="2" width="56.6640625" bestFit="1" customWidth="1"/>
    <col min="3" max="3" width="74.44140625" customWidth="1"/>
    <col min="4" max="4" width="20.109375" customWidth="1"/>
    <col min="5" max="5" width="11.6640625" bestFit="1" customWidth="1"/>
  </cols>
  <sheetData>
    <row r="1" spans="1:6" x14ac:dyDescent="0.3">
      <c r="A1" s="192" t="s">
        <v>567</v>
      </c>
      <c r="B1" s="192" t="s">
        <v>568</v>
      </c>
    </row>
    <row r="2" spans="1:6" x14ac:dyDescent="0.3">
      <c r="A2" s="192" t="s">
        <v>10</v>
      </c>
      <c r="B2" s="192" t="s">
        <v>569</v>
      </c>
      <c r="C2" s="193"/>
    </row>
    <row r="3" spans="1:6" x14ac:dyDescent="0.3">
      <c r="A3" s="192" t="s">
        <v>711</v>
      </c>
      <c r="B3" s="192" t="s">
        <v>570</v>
      </c>
    </row>
    <row r="4" spans="1:6" x14ac:dyDescent="0.3">
      <c r="A4" s="192" t="s">
        <v>556</v>
      </c>
      <c r="B4" s="192" t="s">
        <v>571</v>
      </c>
      <c r="D4" s="193" t="s">
        <v>1043</v>
      </c>
    </row>
    <row r="5" spans="1:6" x14ac:dyDescent="0.3">
      <c r="A5" s="192" t="s">
        <v>12</v>
      </c>
      <c r="B5" s="192" t="s">
        <v>572</v>
      </c>
    </row>
    <row r="6" spans="1:6" x14ac:dyDescent="0.3">
      <c r="A6" s="192" t="s">
        <v>14</v>
      </c>
      <c r="B6" s="192" t="s">
        <v>573</v>
      </c>
      <c r="D6" s="194" t="s">
        <v>1044</v>
      </c>
      <c r="E6" s="193"/>
    </row>
    <row r="7" spans="1:6" x14ac:dyDescent="0.3">
      <c r="A7" s="192" t="s">
        <v>712</v>
      </c>
      <c r="B7" s="192" t="s">
        <v>574</v>
      </c>
      <c r="D7" s="194" t="s">
        <v>1045</v>
      </c>
      <c r="E7" s="193"/>
    </row>
    <row r="8" spans="1:6" x14ac:dyDescent="0.3">
      <c r="A8" s="192" t="s">
        <v>16</v>
      </c>
      <c r="B8" s="192" t="s">
        <v>575</v>
      </c>
      <c r="D8" s="194" t="s">
        <v>1046</v>
      </c>
      <c r="E8" s="193"/>
    </row>
    <row r="9" spans="1:6" x14ac:dyDescent="0.3">
      <c r="A9" s="192" t="s">
        <v>713</v>
      </c>
      <c r="B9" s="192" t="s">
        <v>576</v>
      </c>
      <c r="D9" s="194" t="s">
        <v>1047</v>
      </c>
      <c r="E9" s="193"/>
    </row>
    <row r="10" spans="1:6" x14ac:dyDescent="0.3">
      <c r="A10" s="192" t="s">
        <v>18</v>
      </c>
      <c r="B10" s="192" t="s">
        <v>577</v>
      </c>
      <c r="D10" s="194" t="s">
        <v>1048</v>
      </c>
      <c r="E10" s="193"/>
    </row>
    <row r="11" spans="1:6" x14ac:dyDescent="0.3">
      <c r="A11" s="192" t="s">
        <v>557</v>
      </c>
      <c r="B11" s="192" t="s">
        <v>578</v>
      </c>
      <c r="D11" s="194" t="s">
        <v>1049</v>
      </c>
      <c r="E11" s="193"/>
      <c r="F11" s="193"/>
    </row>
    <row r="12" spans="1:6" x14ac:dyDescent="0.3">
      <c r="A12" s="192" t="s">
        <v>20</v>
      </c>
      <c r="B12" s="192" t="s">
        <v>579</v>
      </c>
      <c r="D12" s="194" t="s">
        <v>1050</v>
      </c>
      <c r="E12" s="193"/>
    </row>
    <row r="13" spans="1:6" x14ac:dyDescent="0.3">
      <c r="A13" s="192" t="s">
        <v>714</v>
      </c>
      <c r="B13" s="192" t="s">
        <v>580</v>
      </c>
    </row>
    <row r="14" spans="1:6" x14ac:dyDescent="0.3">
      <c r="A14" s="192" t="s">
        <v>22</v>
      </c>
      <c r="B14" s="192" t="s">
        <v>581</v>
      </c>
    </row>
    <row r="15" spans="1:6" x14ac:dyDescent="0.3">
      <c r="A15" s="192" t="s">
        <v>24</v>
      </c>
      <c r="B15" s="192" t="s">
        <v>582</v>
      </c>
    </row>
    <row r="16" spans="1:6" x14ac:dyDescent="0.3">
      <c r="A16" s="192" t="s">
        <v>549</v>
      </c>
      <c r="B16" s="192" t="s">
        <v>583</v>
      </c>
    </row>
    <row r="17" spans="1:10" x14ac:dyDescent="0.3">
      <c r="A17" s="192" t="s">
        <v>26</v>
      </c>
      <c r="B17" s="192" t="s">
        <v>584</v>
      </c>
    </row>
    <row r="18" spans="1:10" x14ac:dyDescent="0.3">
      <c r="A18" s="192" t="s">
        <v>715</v>
      </c>
      <c r="B18" s="192" t="s">
        <v>585</v>
      </c>
    </row>
    <row r="19" spans="1:10" x14ac:dyDescent="0.3">
      <c r="A19" s="192" t="s">
        <v>716</v>
      </c>
      <c r="B19" s="192" t="s">
        <v>586</v>
      </c>
    </row>
    <row r="20" spans="1:10" x14ac:dyDescent="0.3">
      <c r="A20" s="192" t="s">
        <v>30</v>
      </c>
      <c r="B20" s="192" t="s">
        <v>587</v>
      </c>
    </row>
    <row r="21" spans="1:10" x14ac:dyDescent="0.3">
      <c r="A21" s="192" t="s">
        <v>38</v>
      </c>
      <c r="B21" s="192" t="s">
        <v>588</v>
      </c>
    </row>
    <row r="22" spans="1:10" x14ac:dyDescent="0.3">
      <c r="A22" s="195" t="s">
        <v>1014</v>
      </c>
      <c r="B22" s="196" t="s">
        <v>1015</v>
      </c>
      <c r="C22" s="197" t="s">
        <v>1051</v>
      </c>
      <c r="D22" s="197"/>
      <c r="E22" s="197"/>
      <c r="F22" s="197"/>
      <c r="G22" s="198"/>
      <c r="H22" s="197"/>
      <c r="I22" s="198"/>
      <c r="J22" s="198"/>
    </row>
    <row r="23" spans="1:10" x14ac:dyDescent="0.3">
      <c r="A23" s="195" t="s">
        <v>1016</v>
      </c>
      <c r="B23" s="196" t="s">
        <v>1017</v>
      </c>
      <c r="C23" s="197" t="s">
        <v>1052</v>
      </c>
      <c r="D23" s="199"/>
      <c r="E23" s="197"/>
      <c r="F23" s="200"/>
      <c r="G23" s="198"/>
      <c r="H23" s="198"/>
      <c r="I23" s="198"/>
      <c r="J23" s="198"/>
    </row>
    <row r="24" spans="1:10" ht="21.75" customHeight="1" x14ac:dyDescent="0.3">
      <c r="A24" s="192" t="s">
        <v>717</v>
      </c>
      <c r="B24" s="192" t="s">
        <v>589</v>
      </c>
      <c r="C24" s="197" t="s">
        <v>1053</v>
      </c>
      <c r="D24" s="198"/>
      <c r="E24" s="198"/>
      <c r="F24" s="198"/>
      <c r="G24" s="198"/>
      <c r="H24" s="198"/>
      <c r="I24" s="198"/>
      <c r="J24" s="198"/>
    </row>
    <row r="25" spans="1:10" ht="30" customHeight="1" x14ac:dyDescent="0.3">
      <c r="A25" s="192" t="s">
        <v>718</v>
      </c>
      <c r="B25" s="192" t="s">
        <v>590</v>
      </c>
      <c r="C25" s="197" t="s">
        <v>1054</v>
      </c>
      <c r="D25" s="198"/>
      <c r="E25" s="198"/>
      <c r="F25" s="198"/>
      <c r="G25" s="198"/>
      <c r="H25" s="198"/>
      <c r="I25" s="198"/>
      <c r="J25" s="198"/>
    </row>
    <row r="26" spans="1:10" x14ac:dyDescent="0.3">
      <c r="A26" s="192" t="s">
        <v>719</v>
      </c>
      <c r="B26" s="192" t="s">
        <v>591</v>
      </c>
      <c r="C26" s="197" t="s">
        <v>1055</v>
      </c>
      <c r="D26" s="198"/>
      <c r="E26" s="198"/>
      <c r="F26" s="198"/>
      <c r="G26" s="198"/>
      <c r="H26" s="198"/>
      <c r="I26" s="198"/>
      <c r="J26" s="198"/>
    </row>
    <row r="27" spans="1:10" x14ac:dyDescent="0.3">
      <c r="A27" s="192" t="s">
        <v>1023</v>
      </c>
      <c r="B27" s="192" t="s">
        <v>1024</v>
      </c>
      <c r="C27" s="197"/>
      <c r="D27" s="198"/>
      <c r="E27" s="198"/>
      <c r="F27" s="198"/>
      <c r="G27" s="198"/>
      <c r="H27" s="198"/>
      <c r="I27" s="198"/>
      <c r="J27" s="198"/>
    </row>
    <row r="28" spans="1:10" x14ac:dyDescent="0.3">
      <c r="A28" s="192" t="s">
        <v>1022</v>
      </c>
      <c r="B28" s="192" t="s">
        <v>1056</v>
      </c>
      <c r="C28" s="197" t="s">
        <v>1057</v>
      </c>
      <c r="D28" s="198"/>
      <c r="E28" s="198"/>
      <c r="F28" s="198"/>
      <c r="G28" s="198"/>
      <c r="H28" s="198"/>
      <c r="I28" s="198"/>
      <c r="J28" s="198"/>
    </row>
    <row r="29" spans="1:10" x14ac:dyDescent="0.3">
      <c r="A29" s="192" t="s">
        <v>86</v>
      </c>
      <c r="B29" s="192" t="s">
        <v>592</v>
      </c>
      <c r="C29" s="198"/>
      <c r="D29" s="198"/>
      <c r="E29" s="198"/>
      <c r="F29" s="198"/>
      <c r="G29" s="198"/>
      <c r="H29" s="198"/>
      <c r="I29" s="198"/>
      <c r="J29" s="198"/>
    </row>
    <row r="30" spans="1:10" x14ac:dyDescent="0.3">
      <c r="A30" s="192" t="s">
        <v>88</v>
      </c>
      <c r="B30" s="192" t="s">
        <v>593</v>
      </c>
      <c r="C30" s="198"/>
      <c r="D30" s="198"/>
      <c r="E30" s="198"/>
      <c r="F30" s="198"/>
      <c r="G30" s="198"/>
      <c r="H30" s="198"/>
      <c r="I30" s="198"/>
      <c r="J30" s="198"/>
    </row>
    <row r="31" spans="1:10" x14ac:dyDescent="0.3">
      <c r="A31" s="192" t="s">
        <v>830</v>
      </c>
      <c r="B31" s="192" t="s">
        <v>594</v>
      </c>
      <c r="C31" s="197" t="s">
        <v>1058</v>
      </c>
      <c r="D31" s="198"/>
      <c r="E31" s="198"/>
      <c r="G31" s="198"/>
      <c r="H31" s="198"/>
      <c r="I31" s="198"/>
      <c r="J31" s="198"/>
    </row>
    <row r="32" spans="1:10" ht="25.8" x14ac:dyDescent="0.3">
      <c r="A32" s="192" t="s">
        <v>90</v>
      </c>
      <c r="B32" s="192" t="s">
        <v>595</v>
      </c>
      <c r="C32" s="197" t="s">
        <v>1059</v>
      </c>
      <c r="D32" s="197"/>
      <c r="E32" s="198"/>
      <c r="G32" s="198"/>
      <c r="H32" s="198"/>
      <c r="I32" s="198"/>
      <c r="J32" s="198"/>
    </row>
    <row r="33" spans="1:10" x14ac:dyDescent="0.3">
      <c r="A33" s="192" t="s">
        <v>92</v>
      </c>
      <c r="B33" s="192" t="s">
        <v>596</v>
      </c>
      <c r="C33" s="197" t="s">
        <v>1060</v>
      </c>
      <c r="D33" s="198"/>
      <c r="E33" s="198"/>
      <c r="F33" s="198"/>
      <c r="G33" s="198"/>
      <c r="H33" s="198"/>
      <c r="I33" s="198"/>
      <c r="J33" s="198"/>
    </row>
    <row r="34" spans="1:10" ht="31.5" customHeight="1" x14ac:dyDescent="0.3">
      <c r="A34" s="192" t="s">
        <v>678</v>
      </c>
      <c r="B34" s="195" t="s">
        <v>1061</v>
      </c>
      <c r="C34" s="197" t="s">
        <v>1062</v>
      </c>
      <c r="D34" s="198"/>
      <c r="E34" s="198"/>
      <c r="F34" s="198"/>
      <c r="G34" s="198"/>
      <c r="H34" s="198"/>
      <c r="I34" s="198"/>
      <c r="J34" s="198"/>
    </row>
    <row r="35" spans="1:10" x14ac:dyDescent="0.3">
      <c r="A35" s="192" t="s">
        <v>94</v>
      </c>
      <c r="B35" s="195" t="s">
        <v>1028</v>
      </c>
      <c r="C35" s="197" t="s">
        <v>1063</v>
      </c>
      <c r="D35" s="198"/>
      <c r="E35" s="198"/>
      <c r="F35" s="198"/>
      <c r="G35" s="198"/>
      <c r="H35" s="198"/>
      <c r="I35" s="198"/>
      <c r="J35" s="198"/>
    </row>
    <row r="36" spans="1:10" ht="25.8" x14ac:dyDescent="0.3">
      <c r="A36" s="192" t="s">
        <v>98</v>
      </c>
      <c r="B36" s="192" t="s">
        <v>597</v>
      </c>
      <c r="C36" s="197" t="s">
        <v>1064</v>
      </c>
      <c r="D36" s="198"/>
      <c r="E36" s="198"/>
      <c r="F36" s="198"/>
      <c r="G36" s="198"/>
      <c r="H36" s="198"/>
      <c r="I36" s="198"/>
      <c r="J36" s="198"/>
    </row>
    <row r="37" spans="1:10" x14ac:dyDescent="0.3">
      <c r="A37" s="192" t="s">
        <v>550</v>
      </c>
      <c r="B37" s="192" t="s">
        <v>598</v>
      </c>
      <c r="C37" s="198"/>
      <c r="D37" s="198"/>
      <c r="E37" s="198"/>
      <c r="F37" s="198"/>
      <c r="G37" s="198"/>
      <c r="H37" s="198"/>
      <c r="I37" s="198"/>
      <c r="J37" s="198"/>
    </row>
    <row r="38" spans="1:10" x14ac:dyDescent="0.3">
      <c r="A38" s="192" t="s">
        <v>100</v>
      </c>
      <c r="B38" s="192" t="s">
        <v>599</v>
      </c>
      <c r="C38" s="197" t="s">
        <v>1065</v>
      </c>
      <c r="D38" s="198"/>
      <c r="E38" s="198"/>
      <c r="F38" s="198"/>
      <c r="G38" s="198"/>
      <c r="H38" s="198"/>
      <c r="I38" s="198"/>
      <c r="J38" s="198"/>
    </row>
    <row r="39" spans="1:10" x14ac:dyDescent="0.3">
      <c r="A39" s="192" t="s">
        <v>102</v>
      </c>
      <c r="B39" s="192" t="s">
        <v>600</v>
      </c>
      <c r="C39" s="197" t="s">
        <v>1066</v>
      </c>
      <c r="D39" s="198"/>
      <c r="E39" s="198"/>
      <c r="F39" s="198"/>
      <c r="G39" s="198"/>
      <c r="H39" s="198"/>
      <c r="I39" s="198"/>
      <c r="J39" s="198"/>
    </row>
    <row r="40" spans="1:10" x14ac:dyDescent="0.3">
      <c r="A40" s="192" t="s">
        <v>108</v>
      </c>
      <c r="B40" s="192" t="s">
        <v>1067</v>
      </c>
      <c r="C40" s="197" t="s">
        <v>1068</v>
      </c>
      <c r="D40" s="198"/>
      <c r="E40" s="198"/>
      <c r="F40" s="198"/>
      <c r="G40" s="198"/>
      <c r="H40" s="198"/>
      <c r="I40" s="198"/>
      <c r="J40" s="198"/>
    </row>
    <row r="41" spans="1:10" x14ac:dyDescent="0.3">
      <c r="A41" s="192" t="s">
        <v>679</v>
      </c>
      <c r="B41" s="192" t="s">
        <v>602</v>
      </c>
      <c r="C41" s="197" t="s">
        <v>1069</v>
      </c>
      <c r="D41" s="198"/>
      <c r="E41" s="198"/>
      <c r="F41" s="198"/>
      <c r="G41" s="198"/>
      <c r="H41" s="198"/>
      <c r="I41" s="198"/>
      <c r="J41" s="198"/>
    </row>
    <row r="42" spans="1:10" x14ac:dyDescent="0.3">
      <c r="A42" s="192" t="s">
        <v>680</v>
      </c>
      <c r="B42" s="192" t="s">
        <v>1070</v>
      </c>
      <c r="C42" s="197" t="s">
        <v>1071</v>
      </c>
      <c r="D42" s="198"/>
      <c r="E42" s="198"/>
      <c r="F42" s="198"/>
      <c r="G42" s="198"/>
      <c r="H42" s="198"/>
      <c r="I42" s="198"/>
      <c r="J42" s="198"/>
    </row>
    <row r="43" spans="1:10" x14ac:dyDescent="0.3">
      <c r="A43" s="192" t="s">
        <v>110</v>
      </c>
      <c r="B43" s="192" t="s">
        <v>603</v>
      </c>
      <c r="C43" s="198" t="s">
        <v>1072</v>
      </c>
      <c r="D43" s="198"/>
      <c r="E43" s="198"/>
      <c r="F43" s="198"/>
      <c r="G43" s="198"/>
      <c r="H43" s="198"/>
      <c r="I43" s="198"/>
      <c r="J43" s="198"/>
    </row>
    <row r="44" spans="1:10" x14ac:dyDescent="0.3">
      <c r="A44" s="192" t="s">
        <v>681</v>
      </c>
      <c r="B44" s="192" t="s">
        <v>604</v>
      </c>
      <c r="C44" s="198" t="s">
        <v>1073</v>
      </c>
      <c r="D44" s="198"/>
      <c r="E44" s="198"/>
      <c r="F44" s="198"/>
      <c r="G44" s="198"/>
      <c r="H44" s="198"/>
      <c r="I44" s="198"/>
      <c r="J44" s="198"/>
    </row>
    <row r="45" spans="1:10" x14ac:dyDescent="0.3">
      <c r="A45" s="192" t="s">
        <v>1030</v>
      </c>
      <c r="B45" s="192" t="s">
        <v>1031</v>
      </c>
      <c r="C45" s="198" t="s">
        <v>1074</v>
      </c>
      <c r="D45" s="198"/>
      <c r="E45" s="198"/>
      <c r="F45" s="198"/>
      <c r="G45" s="198"/>
      <c r="H45" s="198"/>
      <c r="I45" s="198"/>
      <c r="J45" s="198"/>
    </row>
    <row r="46" spans="1:10" x14ac:dyDescent="0.3">
      <c r="A46" s="192" t="s">
        <v>551</v>
      </c>
      <c r="B46" s="192" t="s">
        <v>605</v>
      </c>
      <c r="C46" s="198"/>
      <c r="D46" s="198"/>
      <c r="E46" s="198"/>
      <c r="F46" s="198"/>
      <c r="G46" s="198"/>
      <c r="H46" s="198"/>
      <c r="I46" s="198"/>
      <c r="J46" s="198"/>
    </row>
    <row r="47" spans="1:10" x14ac:dyDescent="0.3">
      <c r="A47" s="192" t="s">
        <v>552</v>
      </c>
      <c r="B47" s="192" t="s">
        <v>606</v>
      </c>
      <c r="C47" s="198" t="s">
        <v>1075</v>
      </c>
      <c r="D47" s="198"/>
      <c r="E47" s="198"/>
      <c r="F47" s="198"/>
      <c r="G47" s="198"/>
      <c r="H47" s="198"/>
      <c r="I47" s="198"/>
      <c r="J47" s="198"/>
    </row>
    <row r="48" spans="1:10" ht="25.8" x14ac:dyDescent="0.3">
      <c r="A48" s="192" t="s">
        <v>116</v>
      </c>
      <c r="B48" s="192" t="s">
        <v>607</v>
      </c>
      <c r="C48" s="197" t="s">
        <v>1076</v>
      </c>
      <c r="D48" s="198"/>
      <c r="E48" s="198"/>
      <c r="F48" s="198"/>
      <c r="G48" s="198"/>
      <c r="H48" s="198"/>
      <c r="I48" s="198"/>
      <c r="J48" s="198"/>
    </row>
    <row r="49" spans="1:10" x14ac:dyDescent="0.3">
      <c r="A49" s="192" t="s">
        <v>682</v>
      </c>
      <c r="B49" s="192" t="s">
        <v>608</v>
      </c>
      <c r="C49" s="198"/>
      <c r="D49" s="198"/>
      <c r="E49" s="198"/>
      <c r="F49" s="198"/>
      <c r="G49" s="198"/>
      <c r="H49" s="198"/>
      <c r="I49" s="198"/>
      <c r="J49" s="198"/>
    </row>
    <row r="50" spans="1:10" x14ac:dyDescent="0.3">
      <c r="A50" s="192" t="s">
        <v>683</v>
      </c>
      <c r="B50" s="195" t="s">
        <v>1032</v>
      </c>
      <c r="C50" s="198"/>
      <c r="D50" s="198"/>
      <c r="E50" s="198"/>
      <c r="F50" s="198"/>
      <c r="G50" s="198"/>
      <c r="H50" s="198"/>
      <c r="I50" s="198"/>
      <c r="J50" s="198"/>
    </row>
    <row r="51" spans="1:10" x14ac:dyDescent="0.3">
      <c r="A51" s="192" t="s">
        <v>553</v>
      </c>
      <c r="B51" s="192" t="s">
        <v>609</v>
      </c>
      <c r="C51" s="198"/>
      <c r="D51" s="198"/>
      <c r="E51" s="198"/>
      <c r="F51" s="198"/>
      <c r="G51" s="198"/>
      <c r="H51" s="198"/>
      <c r="I51" s="198"/>
      <c r="J51" s="198"/>
    </row>
    <row r="52" spans="1:10" x14ac:dyDescent="0.3">
      <c r="A52" s="196" t="s">
        <v>832</v>
      </c>
      <c r="B52" s="196" t="s">
        <v>1077</v>
      </c>
      <c r="C52" s="197" t="s">
        <v>1078</v>
      </c>
      <c r="D52" s="198"/>
      <c r="E52" s="198"/>
      <c r="F52" s="198"/>
      <c r="G52" s="198"/>
      <c r="H52" s="198"/>
      <c r="I52" s="198"/>
      <c r="J52" s="198"/>
    </row>
    <row r="53" spans="1:10" x14ac:dyDescent="0.3">
      <c r="A53" s="196" t="s">
        <v>834</v>
      </c>
      <c r="B53" s="196" t="s">
        <v>614</v>
      </c>
      <c r="C53" s="197" t="s">
        <v>1079</v>
      </c>
      <c r="D53" s="198"/>
      <c r="E53" s="198"/>
      <c r="F53" s="198"/>
      <c r="G53" s="198"/>
      <c r="H53" s="198"/>
      <c r="I53" s="198"/>
      <c r="J53" s="198"/>
    </row>
    <row r="54" spans="1:10" x14ac:dyDescent="0.3">
      <c r="A54" s="195" t="s">
        <v>835</v>
      </c>
      <c r="B54" s="195" t="s">
        <v>1080</v>
      </c>
      <c r="C54" s="197" t="s">
        <v>1081</v>
      </c>
      <c r="D54" s="198"/>
      <c r="E54" s="198"/>
      <c r="F54" s="198"/>
      <c r="G54" s="198"/>
      <c r="H54" s="198"/>
      <c r="I54" s="198"/>
      <c r="J54" s="198"/>
    </row>
    <row r="55" spans="1:10" ht="31.5" customHeight="1" x14ac:dyDescent="0.3">
      <c r="A55" s="195" t="s">
        <v>837</v>
      </c>
      <c r="B55" s="195" t="s">
        <v>838</v>
      </c>
      <c r="C55" s="197" t="s">
        <v>1082</v>
      </c>
      <c r="D55" s="198"/>
      <c r="E55" s="198"/>
      <c r="F55" s="198"/>
      <c r="G55" s="198"/>
      <c r="H55" s="198"/>
      <c r="I55" s="198"/>
      <c r="J55" s="198"/>
    </row>
    <row r="56" spans="1:10" x14ac:dyDescent="0.3">
      <c r="A56" s="195" t="s">
        <v>839</v>
      </c>
      <c r="B56" s="195" t="s">
        <v>1083</v>
      </c>
      <c r="C56" s="197" t="s">
        <v>1084</v>
      </c>
      <c r="D56" s="198"/>
      <c r="E56" s="198"/>
      <c r="F56" s="198"/>
      <c r="G56" s="198"/>
      <c r="H56" s="198"/>
      <c r="I56" s="198"/>
      <c r="J56" s="198"/>
    </row>
    <row r="57" spans="1:10" ht="21" customHeight="1" x14ac:dyDescent="0.3">
      <c r="A57" s="192" t="s">
        <v>118</v>
      </c>
      <c r="B57" s="192" t="s">
        <v>610</v>
      </c>
      <c r="C57" s="197" t="s">
        <v>1085</v>
      </c>
      <c r="D57" s="198"/>
      <c r="E57" s="198"/>
      <c r="F57" s="198"/>
      <c r="G57" s="198"/>
      <c r="H57" s="198"/>
      <c r="I57" s="198"/>
      <c r="J57" s="198"/>
    </row>
    <row r="58" spans="1:10" ht="21" customHeight="1" x14ac:dyDescent="0.3">
      <c r="A58" s="195" t="s">
        <v>1033</v>
      </c>
      <c r="B58" s="196" t="s">
        <v>1034</v>
      </c>
      <c r="C58" s="197" t="s">
        <v>1086</v>
      </c>
      <c r="D58" s="198"/>
      <c r="E58" s="198"/>
      <c r="F58" s="198"/>
      <c r="G58" s="198"/>
      <c r="H58" s="198"/>
      <c r="I58" s="198"/>
      <c r="J58" s="198"/>
    </row>
    <row r="59" spans="1:10" x14ac:dyDescent="0.3">
      <c r="A59" s="192" t="s">
        <v>132</v>
      </c>
      <c r="B59" s="192" t="s">
        <v>611</v>
      </c>
      <c r="C59" s="198"/>
      <c r="D59" s="198"/>
      <c r="E59" s="198"/>
      <c r="F59" s="198"/>
      <c r="G59" s="198"/>
      <c r="H59" s="198"/>
      <c r="I59" s="198"/>
      <c r="J59" s="198"/>
    </row>
    <row r="60" spans="1:10" x14ac:dyDescent="0.3">
      <c r="A60" s="192" t="s">
        <v>684</v>
      </c>
      <c r="B60" s="192" t="s">
        <v>612</v>
      </c>
      <c r="C60" s="198"/>
      <c r="D60" s="198"/>
      <c r="E60" s="198"/>
      <c r="F60" s="198"/>
      <c r="G60" s="198"/>
      <c r="H60" s="198"/>
      <c r="I60" s="198"/>
      <c r="J60" s="198"/>
    </row>
    <row r="61" spans="1:10" x14ac:dyDescent="0.3">
      <c r="A61" s="192" t="s">
        <v>554</v>
      </c>
      <c r="B61" s="195" t="s">
        <v>613</v>
      </c>
      <c r="C61" s="198"/>
      <c r="D61" s="198"/>
      <c r="E61" s="198"/>
      <c r="F61" s="198"/>
      <c r="G61" s="198"/>
      <c r="H61" s="198"/>
      <c r="I61" s="198"/>
      <c r="J61" s="198"/>
    </row>
    <row r="62" spans="1:10" x14ac:dyDescent="0.3">
      <c r="A62" s="192" t="s">
        <v>184</v>
      </c>
      <c r="B62" s="192" t="s">
        <v>615</v>
      </c>
      <c r="C62" s="197" t="s">
        <v>1087</v>
      </c>
      <c r="D62" s="198"/>
      <c r="E62" s="198"/>
      <c r="F62" s="198"/>
      <c r="G62" s="198"/>
      <c r="H62" s="198"/>
      <c r="I62" s="198"/>
      <c r="J62" s="198"/>
    </row>
    <row r="63" spans="1:10" x14ac:dyDescent="0.3">
      <c r="A63" s="192" t="s">
        <v>561</v>
      </c>
      <c r="B63" s="192" t="s">
        <v>616</v>
      </c>
      <c r="C63" s="198"/>
      <c r="D63" s="198"/>
      <c r="E63" s="198"/>
      <c r="F63" s="198"/>
      <c r="G63" s="198"/>
      <c r="H63" s="198"/>
      <c r="I63" s="198"/>
      <c r="J63" s="198"/>
    </row>
    <row r="64" spans="1:10" x14ac:dyDescent="0.3">
      <c r="A64" s="192" t="s">
        <v>226</v>
      </c>
      <c r="B64" s="192" t="s">
        <v>617</v>
      </c>
      <c r="C64" s="198"/>
      <c r="D64" s="198"/>
      <c r="E64" s="198"/>
      <c r="F64" s="198"/>
      <c r="G64" s="198"/>
      <c r="H64" s="198"/>
      <c r="I64" s="198"/>
      <c r="J64" s="198"/>
    </row>
    <row r="65" spans="1:10" x14ac:dyDescent="0.3">
      <c r="A65" s="192" t="s">
        <v>228</v>
      </c>
      <c r="B65" s="192" t="s">
        <v>1088</v>
      </c>
      <c r="C65" s="197" t="s">
        <v>1089</v>
      </c>
      <c r="D65" s="198"/>
      <c r="E65" s="198"/>
      <c r="F65" s="198"/>
      <c r="G65" s="198"/>
      <c r="H65" s="198"/>
      <c r="I65" s="198"/>
      <c r="J65" s="198"/>
    </row>
    <row r="66" spans="1:10" x14ac:dyDescent="0.3">
      <c r="A66" s="192" t="s">
        <v>274</v>
      </c>
      <c r="B66" s="192" t="s">
        <v>618</v>
      </c>
      <c r="C66" s="198"/>
      <c r="D66" s="198"/>
      <c r="E66" s="198"/>
      <c r="F66" s="198"/>
      <c r="G66" s="198"/>
      <c r="H66" s="198"/>
      <c r="I66" s="198"/>
      <c r="J66" s="198"/>
    </row>
    <row r="67" spans="1:10" x14ac:dyDescent="0.3">
      <c r="A67" s="192" t="s">
        <v>278</v>
      </c>
      <c r="B67" s="192" t="s">
        <v>619</v>
      </c>
      <c r="C67" s="198"/>
      <c r="D67" s="198"/>
      <c r="E67" s="198"/>
      <c r="F67" s="198"/>
      <c r="G67" s="198"/>
      <c r="H67" s="198"/>
      <c r="I67" s="198"/>
      <c r="J67" s="198"/>
    </row>
    <row r="68" spans="1:10" ht="25.8" x14ac:dyDescent="0.3">
      <c r="A68" s="192" t="s">
        <v>292</v>
      </c>
      <c r="B68" s="192" t="s">
        <v>620</v>
      </c>
      <c r="C68" s="197" t="s">
        <v>1090</v>
      </c>
      <c r="D68" s="198"/>
      <c r="E68" s="198"/>
      <c r="F68" s="198"/>
      <c r="G68" s="198"/>
      <c r="H68" s="198"/>
      <c r="I68" s="198"/>
      <c r="J68" s="198"/>
    </row>
    <row r="69" spans="1:10" x14ac:dyDescent="0.3">
      <c r="A69" s="196" t="s">
        <v>685</v>
      </c>
      <c r="B69" s="196" t="s">
        <v>783</v>
      </c>
      <c r="C69" s="197" t="s">
        <v>1091</v>
      </c>
      <c r="D69" s="198"/>
      <c r="E69" s="198"/>
      <c r="F69" s="198"/>
      <c r="G69" s="198"/>
      <c r="H69" s="198"/>
      <c r="I69" s="198"/>
      <c r="J69" s="198"/>
    </row>
    <row r="70" spans="1:10" x14ac:dyDescent="0.3">
      <c r="A70" s="196" t="s">
        <v>686</v>
      </c>
      <c r="B70" s="196" t="s">
        <v>784</v>
      </c>
      <c r="C70" s="197" t="s">
        <v>1092</v>
      </c>
      <c r="D70" s="198"/>
      <c r="E70" s="198"/>
      <c r="F70" s="198"/>
      <c r="G70" s="198"/>
      <c r="H70" s="198"/>
      <c r="I70" s="198"/>
      <c r="J70" s="198"/>
    </row>
    <row r="71" spans="1:10" x14ac:dyDescent="0.3">
      <c r="A71" s="196" t="s">
        <v>687</v>
      </c>
      <c r="B71" s="196" t="s">
        <v>785</v>
      </c>
      <c r="C71" s="197" t="s">
        <v>1093</v>
      </c>
      <c r="D71" s="198"/>
      <c r="E71" s="198"/>
      <c r="F71" s="198"/>
      <c r="G71" s="198"/>
      <c r="H71" s="198"/>
      <c r="I71" s="198"/>
      <c r="J71" s="198"/>
    </row>
    <row r="72" spans="1:10" x14ac:dyDescent="0.3">
      <c r="A72" s="196" t="s">
        <v>688</v>
      </c>
      <c r="B72" s="196" t="s">
        <v>786</v>
      </c>
      <c r="C72" s="197" t="s">
        <v>1094</v>
      </c>
      <c r="D72" s="198"/>
      <c r="E72" s="198"/>
      <c r="F72" s="198"/>
      <c r="G72" s="198"/>
      <c r="H72" s="198"/>
      <c r="I72" s="198"/>
      <c r="J72" s="198"/>
    </row>
    <row r="73" spans="1:10" x14ac:dyDescent="0.3">
      <c r="A73" s="196" t="s">
        <v>689</v>
      </c>
      <c r="B73" s="196" t="s">
        <v>787</v>
      </c>
      <c r="C73" s="197" t="s">
        <v>1095</v>
      </c>
      <c r="D73" s="198"/>
      <c r="E73" s="198"/>
      <c r="F73" s="198"/>
      <c r="G73" s="198"/>
      <c r="H73" s="198"/>
      <c r="I73" s="198"/>
      <c r="J73" s="198"/>
    </row>
    <row r="74" spans="1:10" x14ac:dyDescent="0.3">
      <c r="A74" s="196" t="s">
        <v>1035</v>
      </c>
      <c r="B74" s="196" t="s">
        <v>1036</v>
      </c>
      <c r="C74" s="197" t="s">
        <v>1096</v>
      </c>
      <c r="D74" s="198"/>
      <c r="E74" s="198"/>
      <c r="F74" s="198"/>
      <c r="G74" s="198"/>
      <c r="H74" s="198"/>
      <c r="I74" s="198"/>
      <c r="J74" s="198"/>
    </row>
    <row r="75" spans="1:10" ht="29.25" customHeight="1" x14ac:dyDescent="0.3">
      <c r="A75" s="192" t="s">
        <v>294</v>
      </c>
      <c r="B75" s="195" t="s">
        <v>1037</v>
      </c>
      <c r="C75" s="197" t="s">
        <v>1097</v>
      </c>
      <c r="D75" s="198"/>
      <c r="E75" s="198"/>
      <c r="F75" s="198"/>
      <c r="G75" s="198"/>
      <c r="H75" s="198"/>
      <c r="I75" s="198"/>
      <c r="J75" s="198"/>
    </row>
    <row r="76" spans="1:10" x14ac:dyDescent="0.3">
      <c r="A76" s="192" t="s">
        <v>300</v>
      </c>
      <c r="B76" s="192" t="s">
        <v>1098</v>
      </c>
      <c r="C76" s="198"/>
      <c r="D76" s="198"/>
      <c r="E76" s="198"/>
      <c r="F76" s="198"/>
      <c r="G76" s="198"/>
      <c r="H76" s="198"/>
      <c r="I76" s="198"/>
      <c r="J76" s="198"/>
    </row>
    <row r="77" spans="1:10" x14ac:dyDescent="0.3">
      <c r="A77" s="192" t="s">
        <v>304</v>
      </c>
      <c r="B77" s="192" t="s">
        <v>621</v>
      </c>
      <c r="C77" s="198"/>
      <c r="D77" s="198"/>
      <c r="E77" s="198"/>
      <c r="F77" s="198"/>
      <c r="G77" s="198"/>
      <c r="H77" s="198"/>
      <c r="I77" s="198"/>
      <c r="J77" s="198"/>
    </row>
    <row r="78" spans="1:10" x14ac:dyDescent="0.3">
      <c r="A78" s="192" t="s">
        <v>306</v>
      </c>
      <c r="B78" s="192" t="s">
        <v>622</v>
      </c>
      <c r="C78" s="198"/>
      <c r="D78" s="198"/>
      <c r="E78" s="198"/>
      <c r="F78" s="198"/>
      <c r="G78" s="198"/>
      <c r="H78" s="198"/>
      <c r="I78" s="198"/>
      <c r="J78" s="198"/>
    </row>
    <row r="79" spans="1:10" x14ac:dyDescent="0.3">
      <c r="A79" s="192" t="s">
        <v>316</v>
      </c>
      <c r="B79" s="192" t="s">
        <v>623</v>
      </c>
      <c r="C79" s="198"/>
      <c r="D79" s="198"/>
      <c r="E79" s="198"/>
      <c r="F79" s="198"/>
      <c r="G79" s="198"/>
      <c r="H79" s="198"/>
      <c r="I79" s="198"/>
      <c r="J79" s="198"/>
    </row>
    <row r="80" spans="1:10" x14ac:dyDescent="0.3">
      <c r="A80" s="192" t="s">
        <v>328</v>
      </c>
      <c r="B80" s="192" t="s">
        <v>624</v>
      </c>
      <c r="C80" s="198" t="s">
        <v>1099</v>
      </c>
      <c r="D80" s="198"/>
      <c r="E80" s="198"/>
      <c r="F80" s="198"/>
      <c r="G80" s="198"/>
      <c r="H80" s="198"/>
      <c r="I80" s="198"/>
      <c r="J80" s="198"/>
    </row>
    <row r="81" spans="1:10" x14ac:dyDescent="0.3">
      <c r="A81" s="196" t="s">
        <v>828</v>
      </c>
      <c r="B81" s="195" t="s">
        <v>1100</v>
      </c>
      <c r="C81" s="197" t="s">
        <v>1101</v>
      </c>
      <c r="D81" s="198"/>
      <c r="E81" s="198"/>
      <c r="F81" s="198"/>
      <c r="G81" s="198"/>
      <c r="H81" s="198"/>
      <c r="I81" s="198"/>
      <c r="J81" s="198"/>
    </row>
    <row r="82" spans="1:10" x14ac:dyDescent="0.3">
      <c r="A82" s="195" t="s">
        <v>829</v>
      </c>
      <c r="B82" s="195" t="s">
        <v>1102</v>
      </c>
      <c r="C82" s="197" t="s">
        <v>1103</v>
      </c>
      <c r="D82" s="198"/>
      <c r="E82" s="198"/>
      <c r="F82" s="198"/>
      <c r="G82" s="198"/>
      <c r="H82" s="198"/>
      <c r="I82" s="198"/>
      <c r="J82" s="198"/>
    </row>
    <row r="83" spans="1:10" x14ac:dyDescent="0.3">
      <c r="A83" s="195" t="s">
        <v>1038</v>
      </c>
      <c r="B83" s="195" t="s">
        <v>1039</v>
      </c>
      <c r="C83" s="197" t="s">
        <v>1104</v>
      </c>
      <c r="D83" s="198"/>
      <c r="E83" s="198"/>
      <c r="F83" s="198"/>
      <c r="G83" s="198"/>
      <c r="H83" s="198"/>
      <c r="I83" s="198"/>
      <c r="J83" s="198"/>
    </row>
    <row r="84" spans="1:10" x14ac:dyDescent="0.3">
      <c r="A84" s="192" t="s">
        <v>364</v>
      </c>
      <c r="B84" s="192" t="s">
        <v>625</v>
      </c>
      <c r="C84" s="198"/>
      <c r="D84" s="198"/>
      <c r="E84" s="198"/>
      <c r="F84" s="198"/>
      <c r="G84" s="198"/>
      <c r="H84" s="198"/>
      <c r="I84" s="198"/>
      <c r="J84" s="198"/>
    </row>
    <row r="85" spans="1:10" x14ac:dyDescent="0.3">
      <c r="A85" s="192" t="s">
        <v>266</v>
      </c>
      <c r="B85" s="192" t="s">
        <v>626</v>
      </c>
      <c r="C85" s="198"/>
      <c r="D85" s="198"/>
      <c r="E85" s="198"/>
      <c r="F85" s="198"/>
      <c r="G85" s="198"/>
      <c r="H85" s="198"/>
      <c r="I85" s="198"/>
      <c r="J85" s="198"/>
    </row>
    <row r="86" spans="1:10" x14ac:dyDescent="0.3">
      <c r="A86" s="201">
        <v>8782</v>
      </c>
      <c r="B86" s="192" t="s">
        <v>627</v>
      </c>
      <c r="C86" s="197" t="s">
        <v>1105</v>
      </c>
      <c r="D86" s="198"/>
      <c r="E86" s="198"/>
      <c r="F86" s="198"/>
      <c r="G86" s="198"/>
      <c r="H86" s="198"/>
      <c r="I86" s="198"/>
      <c r="J86" s="198"/>
    </row>
    <row r="87" spans="1:10" x14ac:dyDescent="0.3">
      <c r="A87" s="192" t="s">
        <v>690</v>
      </c>
      <c r="B87" s="192" t="s">
        <v>628</v>
      </c>
      <c r="C87" s="197" t="s">
        <v>1105</v>
      </c>
      <c r="D87" s="198"/>
      <c r="E87" s="198"/>
      <c r="F87" s="198"/>
      <c r="G87" s="198"/>
      <c r="H87" s="198"/>
      <c r="I87" s="198"/>
      <c r="J87" s="198"/>
    </row>
    <row r="88" spans="1:10" x14ac:dyDescent="0.3">
      <c r="A88" s="192" t="s">
        <v>402</v>
      </c>
      <c r="B88" s="192" t="s">
        <v>1106</v>
      </c>
      <c r="C88" s="197" t="s">
        <v>1107</v>
      </c>
      <c r="D88" s="198"/>
      <c r="E88" s="198"/>
      <c r="F88" s="198"/>
      <c r="G88" s="198"/>
      <c r="H88" s="198"/>
      <c r="I88" s="198"/>
      <c r="J88" s="198"/>
    </row>
    <row r="89" spans="1:10" x14ac:dyDescent="0.3">
      <c r="A89" s="196" t="s">
        <v>840</v>
      </c>
      <c r="B89" s="196" t="s">
        <v>1083</v>
      </c>
      <c r="C89" s="197" t="s">
        <v>1108</v>
      </c>
      <c r="E89" s="198"/>
      <c r="F89" s="198"/>
      <c r="G89" s="198"/>
      <c r="H89" s="198"/>
      <c r="I89" s="198"/>
      <c r="J89" s="198"/>
    </row>
    <row r="90" spans="1:10" x14ac:dyDescent="0.3">
      <c r="A90" s="192" t="s">
        <v>440</v>
      </c>
      <c r="B90" s="192" t="s">
        <v>629</v>
      </c>
      <c r="C90" s="198"/>
      <c r="D90" s="198"/>
      <c r="E90" s="198"/>
      <c r="F90" s="198"/>
      <c r="G90" s="198"/>
      <c r="H90" s="198"/>
      <c r="I90" s="198"/>
      <c r="J90" s="198"/>
    </row>
    <row r="91" spans="1:10" x14ac:dyDescent="0.3">
      <c r="A91" s="192" t="s">
        <v>691</v>
      </c>
      <c r="B91" s="192" t="s">
        <v>1109</v>
      </c>
      <c r="C91" s="198"/>
      <c r="D91" s="198"/>
      <c r="E91" s="198"/>
      <c r="F91" s="198"/>
      <c r="G91" s="198"/>
      <c r="H91" s="198"/>
      <c r="I91" s="198"/>
      <c r="J91" s="198"/>
    </row>
    <row r="92" spans="1:10" ht="28.8" x14ac:dyDescent="0.3">
      <c r="A92" s="192" t="s">
        <v>692</v>
      </c>
      <c r="B92" s="192" t="s">
        <v>1110</v>
      </c>
      <c r="C92" s="198" t="s">
        <v>1111</v>
      </c>
      <c r="D92" s="198"/>
      <c r="E92" s="198"/>
      <c r="F92" s="198"/>
      <c r="G92" s="198"/>
      <c r="H92" s="198"/>
      <c r="I92" s="198"/>
      <c r="J92" s="198"/>
    </row>
    <row r="93" spans="1:10" x14ac:dyDescent="0.3">
      <c r="A93" s="192" t="s">
        <v>693</v>
      </c>
      <c r="B93" s="192" t="s">
        <v>630</v>
      </c>
      <c r="C93" s="198"/>
      <c r="D93" s="198"/>
      <c r="E93" s="198"/>
      <c r="F93" s="198"/>
      <c r="G93" s="198"/>
      <c r="H93" s="198"/>
      <c r="I93" s="198"/>
      <c r="J93" s="198"/>
    </row>
    <row r="94" spans="1:10" x14ac:dyDescent="0.3">
      <c r="A94" s="192" t="s">
        <v>694</v>
      </c>
      <c r="B94" s="192" t="s">
        <v>631</v>
      </c>
      <c r="C94" s="197" t="s">
        <v>1112</v>
      </c>
      <c r="D94" s="198"/>
      <c r="E94" s="198"/>
      <c r="F94" s="198"/>
      <c r="G94" s="198"/>
      <c r="H94" s="198"/>
      <c r="I94" s="198"/>
      <c r="J94" s="198"/>
    </row>
    <row r="95" spans="1:10" x14ac:dyDescent="0.3">
      <c r="A95" s="192" t="s">
        <v>695</v>
      </c>
      <c r="B95" s="192" t="s">
        <v>632</v>
      </c>
      <c r="C95" s="197" t="s">
        <v>1113</v>
      </c>
      <c r="D95" s="198"/>
      <c r="E95" s="198"/>
      <c r="F95" s="198"/>
      <c r="G95" s="198"/>
      <c r="H95" s="198"/>
      <c r="I95" s="198"/>
      <c r="J95" s="198"/>
    </row>
    <row r="96" spans="1:10" x14ac:dyDescent="0.3">
      <c r="A96" s="192" t="s">
        <v>1040</v>
      </c>
      <c r="B96" s="192" t="s">
        <v>1114</v>
      </c>
      <c r="C96" s="197"/>
      <c r="D96" s="198"/>
      <c r="E96" s="198"/>
      <c r="F96" s="198"/>
      <c r="G96" s="198"/>
      <c r="H96" s="198"/>
      <c r="I96" s="198"/>
      <c r="J96" s="198"/>
    </row>
    <row r="97" spans="1:10" x14ac:dyDescent="0.3">
      <c r="A97" s="196" t="s">
        <v>1041</v>
      </c>
      <c r="B97" s="196" t="s">
        <v>1042</v>
      </c>
      <c r="C97" s="197" t="s">
        <v>1115</v>
      </c>
      <c r="D97" s="198"/>
      <c r="E97" s="198"/>
      <c r="F97" s="198"/>
      <c r="G97" s="198"/>
      <c r="H97" s="198"/>
      <c r="I97" s="198"/>
      <c r="J97" s="198"/>
    </row>
    <row r="98" spans="1:10" ht="25.8" x14ac:dyDescent="0.3">
      <c r="A98" s="192" t="s">
        <v>454</v>
      </c>
      <c r="B98" s="192" t="s">
        <v>633</v>
      </c>
      <c r="C98" s="197" t="s">
        <v>1116</v>
      </c>
      <c r="D98" s="198"/>
      <c r="E98" s="198"/>
      <c r="F98" s="198"/>
      <c r="G98" s="198"/>
      <c r="H98" s="198"/>
      <c r="I98" s="198"/>
      <c r="J98" s="198"/>
    </row>
    <row r="99" spans="1:10" x14ac:dyDescent="0.3">
      <c r="A99" s="196" t="s">
        <v>696</v>
      </c>
      <c r="B99" s="196" t="s">
        <v>1117</v>
      </c>
      <c r="C99" s="197"/>
      <c r="D99" s="198"/>
      <c r="E99" s="198"/>
      <c r="F99" s="198"/>
      <c r="G99" s="198"/>
      <c r="H99" s="198"/>
      <c r="I99" s="198"/>
      <c r="J99" s="198"/>
    </row>
    <row r="100" spans="1:10" x14ac:dyDescent="0.3">
      <c r="A100" s="192" t="s">
        <v>462</v>
      </c>
      <c r="B100" s="192" t="s">
        <v>634</v>
      </c>
      <c r="C100" s="198"/>
      <c r="D100" s="198"/>
      <c r="E100" s="198"/>
      <c r="F100" s="198"/>
      <c r="G100" s="198"/>
      <c r="H100" s="198"/>
      <c r="I100" s="198"/>
      <c r="J100" s="198"/>
    </row>
    <row r="101" spans="1:10" x14ac:dyDescent="0.3">
      <c r="A101" s="192" t="s">
        <v>464</v>
      </c>
      <c r="B101" s="192" t="s">
        <v>635</v>
      </c>
      <c r="C101" s="198"/>
      <c r="D101" s="198"/>
      <c r="E101" s="198"/>
      <c r="F101" s="198"/>
      <c r="G101" s="198"/>
      <c r="H101" s="198"/>
      <c r="I101" s="198"/>
      <c r="J101" s="198"/>
    </row>
    <row r="102" spans="1:10" x14ac:dyDescent="0.3">
      <c r="A102" s="192" t="s">
        <v>697</v>
      </c>
      <c r="B102" s="192" t="s">
        <v>636</v>
      </c>
      <c r="C102" s="198"/>
      <c r="D102" s="198"/>
      <c r="E102" s="198"/>
      <c r="F102" s="198"/>
      <c r="G102" s="198"/>
      <c r="H102" s="198"/>
      <c r="I102" s="198"/>
      <c r="J102" s="198"/>
    </row>
    <row r="103" spans="1:10" x14ac:dyDescent="0.3">
      <c r="A103" s="192" t="s">
        <v>472</v>
      </c>
      <c r="B103" s="192" t="s">
        <v>637</v>
      </c>
      <c r="C103" s="198"/>
      <c r="D103" s="198"/>
      <c r="E103" s="198"/>
      <c r="F103" s="198"/>
      <c r="G103" s="198"/>
      <c r="H103" s="198"/>
      <c r="I103" s="198"/>
      <c r="J103" s="198"/>
    </row>
    <row r="104" spans="1:10" x14ac:dyDescent="0.3">
      <c r="A104" s="192" t="s">
        <v>698</v>
      </c>
      <c r="B104" s="192" t="s">
        <v>638</v>
      </c>
      <c r="C104" s="197" t="s">
        <v>1118</v>
      </c>
      <c r="D104" s="198"/>
      <c r="E104" s="198"/>
      <c r="F104" s="198"/>
      <c r="G104" s="198"/>
      <c r="H104" s="198"/>
      <c r="I104" s="198"/>
      <c r="J104" s="198"/>
    </row>
    <row r="105" spans="1:10" x14ac:dyDescent="0.3">
      <c r="A105" s="192" t="s">
        <v>474</v>
      </c>
      <c r="B105" s="192" t="s">
        <v>639</v>
      </c>
      <c r="C105" s="198"/>
      <c r="D105" s="198"/>
      <c r="E105" s="198"/>
      <c r="F105" s="198"/>
      <c r="G105" s="198"/>
      <c r="H105" s="198"/>
      <c r="I105" s="198"/>
      <c r="J105" s="198"/>
    </row>
    <row r="106" spans="1:10" x14ac:dyDescent="0.3">
      <c r="A106" s="192" t="s">
        <v>699</v>
      </c>
      <c r="B106" s="192" t="s">
        <v>640</v>
      </c>
      <c r="C106" s="198"/>
      <c r="D106" s="198"/>
      <c r="E106" s="198"/>
      <c r="F106" s="198"/>
      <c r="G106" s="198"/>
      <c r="H106" s="198"/>
      <c r="I106" s="198"/>
      <c r="J106" s="198"/>
    </row>
    <row r="107" spans="1:10" x14ac:dyDescent="0.3">
      <c r="A107" s="192" t="s">
        <v>476</v>
      </c>
      <c r="B107" s="192" t="s">
        <v>641</v>
      </c>
      <c r="C107" s="198"/>
      <c r="D107" s="198"/>
      <c r="E107" s="198"/>
      <c r="F107" s="198"/>
      <c r="G107" s="198"/>
      <c r="H107" s="198"/>
      <c r="I107" s="198"/>
      <c r="J107" s="198"/>
    </row>
    <row r="108" spans="1:10" x14ac:dyDescent="0.3">
      <c r="A108" s="192" t="s">
        <v>1119</v>
      </c>
      <c r="B108" s="192" t="s">
        <v>1120</v>
      </c>
      <c r="C108" s="198"/>
      <c r="D108" s="198"/>
      <c r="E108" s="198"/>
      <c r="F108" s="198"/>
      <c r="G108" s="198"/>
      <c r="H108" s="198"/>
      <c r="I108" s="198"/>
      <c r="J108" s="198"/>
    </row>
    <row r="109" spans="1:10" x14ac:dyDescent="0.3">
      <c r="A109" s="192" t="s">
        <v>477</v>
      </c>
      <c r="B109" s="192" t="s">
        <v>642</v>
      </c>
      <c r="C109" s="198"/>
      <c r="D109" s="198"/>
      <c r="E109" s="198"/>
      <c r="F109" s="198"/>
      <c r="G109" s="198"/>
      <c r="H109" s="198"/>
      <c r="I109" s="198"/>
      <c r="J109" s="198"/>
    </row>
    <row r="110" spans="1:10" x14ac:dyDescent="0.3">
      <c r="A110" s="192" t="s">
        <v>478</v>
      </c>
      <c r="B110" s="192" t="s">
        <v>643</v>
      </c>
      <c r="C110" s="198"/>
      <c r="D110" s="198"/>
      <c r="E110" s="198"/>
      <c r="F110" s="198"/>
      <c r="G110" s="198"/>
      <c r="H110" s="198"/>
      <c r="I110" s="198"/>
      <c r="J110" s="198"/>
    </row>
    <row r="111" spans="1:10" x14ac:dyDescent="0.3">
      <c r="A111" s="192" t="s">
        <v>480</v>
      </c>
      <c r="B111" s="192" t="s">
        <v>644</v>
      </c>
      <c r="C111" s="198"/>
      <c r="D111" s="198"/>
      <c r="E111" s="198"/>
      <c r="F111" s="198"/>
      <c r="G111" s="198"/>
      <c r="H111" s="198"/>
      <c r="I111" s="198"/>
      <c r="J111" s="198"/>
    </row>
    <row r="112" spans="1:10" x14ac:dyDescent="0.3">
      <c r="A112" s="192" t="s">
        <v>482</v>
      </c>
      <c r="B112" s="192" t="s">
        <v>645</v>
      </c>
      <c r="C112" s="198"/>
      <c r="D112" s="198"/>
      <c r="E112" s="198"/>
      <c r="F112" s="198"/>
      <c r="G112" s="198"/>
      <c r="H112" s="198"/>
      <c r="I112" s="198"/>
      <c r="J112" s="198"/>
    </row>
    <row r="113" spans="1:10" x14ac:dyDescent="0.3">
      <c r="A113" s="192" t="s">
        <v>484</v>
      </c>
      <c r="B113" s="192" t="s">
        <v>646</v>
      </c>
      <c r="C113" s="198"/>
      <c r="D113" s="198"/>
      <c r="E113" s="198"/>
      <c r="F113" s="198"/>
      <c r="G113" s="198"/>
      <c r="H113" s="198"/>
      <c r="I113" s="198"/>
      <c r="J113" s="198"/>
    </row>
    <row r="114" spans="1:10" x14ac:dyDescent="0.3">
      <c r="A114" s="192" t="s">
        <v>700</v>
      </c>
      <c r="B114" s="192" t="s">
        <v>647</v>
      </c>
      <c r="C114" s="198"/>
      <c r="D114" s="198"/>
      <c r="E114" s="198"/>
      <c r="F114" s="198"/>
      <c r="G114" s="198"/>
      <c r="H114" s="198"/>
      <c r="I114" s="198"/>
      <c r="J114" s="198"/>
    </row>
    <row r="115" spans="1:10" x14ac:dyDescent="0.3">
      <c r="A115" s="192" t="s">
        <v>701</v>
      </c>
      <c r="B115" s="192" t="s">
        <v>648</v>
      </c>
      <c r="C115" s="198"/>
      <c r="D115" s="198"/>
      <c r="E115" s="198"/>
      <c r="F115" s="198"/>
      <c r="G115" s="198"/>
      <c r="H115" s="198"/>
      <c r="I115" s="198"/>
      <c r="J115" s="198"/>
    </row>
    <row r="116" spans="1:10" x14ac:dyDescent="0.3">
      <c r="A116" s="192" t="s">
        <v>485</v>
      </c>
      <c r="B116" s="192" t="s">
        <v>649</v>
      </c>
      <c r="C116" s="198"/>
      <c r="D116" s="198"/>
      <c r="E116" s="198"/>
      <c r="F116" s="198"/>
      <c r="G116" s="198"/>
      <c r="H116" s="198"/>
      <c r="I116" s="198"/>
      <c r="J116" s="198"/>
    </row>
    <row r="117" spans="1:10" x14ac:dyDescent="0.3">
      <c r="A117" s="192" t="s">
        <v>702</v>
      </c>
      <c r="B117" s="192" t="s">
        <v>650</v>
      </c>
      <c r="C117" s="198"/>
      <c r="D117" s="198"/>
      <c r="E117" s="198"/>
      <c r="F117" s="198"/>
      <c r="G117" s="198"/>
      <c r="H117" s="198"/>
      <c r="I117" s="198"/>
      <c r="J117" s="198"/>
    </row>
    <row r="118" spans="1:10" x14ac:dyDescent="0.3">
      <c r="A118" s="192" t="s">
        <v>703</v>
      </c>
      <c r="B118" s="192" t="s">
        <v>651</v>
      </c>
      <c r="C118" s="198"/>
      <c r="D118" s="198"/>
      <c r="E118" s="198"/>
      <c r="F118" s="198"/>
      <c r="G118" s="198"/>
      <c r="H118" s="198"/>
      <c r="I118" s="198"/>
      <c r="J118" s="198"/>
    </row>
    <row r="119" spans="1:10" x14ac:dyDescent="0.3">
      <c r="A119" s="192" t="s">
        <v>487</v>
      </c>
      <c r="B119" s="192" t="s">
        <v>652</v>
      </c>
      <c r="C119" s="198"/>
      <c r="D119" s="198"/>
      <c r="E119" s="198"/>
      <c r="F119" s="198"/>
      <c r="G119" s="198"/>
      <c r="H119" s="198"/>
      <c r="I119" s="198"/>
      <c r="J119" s="198"/>
    </row>
    <row r="120" spans="1:10" x14ac:dyDescent="0.3">
      <c r="A120" s="192" t="s">
        <v>489</v>
      </c>
      <c r="B120" s="192" t="s">
        <v>653</v>
      </c>
      <c r="C120" s="198"/>
      <c r="D120" s="198"/>
      <c r="E120" s="198"/>
      <c r="F120" s="198"/>
      <c r="G120" s="198"/>
      <c r="H120" s="198"/>
      <c r="I120" s="198"/>
      <c r="J120" s="198"/>
    </row>
    <row r="121" spans="1:10" x14ac:dyDescent="0.3">
      <c r="A121" s="192" t="s">
        <v>704</v>
      </c>
      <c r="B121" s="192" t="s">
        <v>654</v>
      </c>
      <c r="C121" s="198"/>
      <c r="D121" s="198"/>
      <c r="E121" s="198"/>
      <c r="F121" s="198"/>
      <c r="G121" s="198"/>
      <c r="H121" s="198"/>
      <c r="I121" s="198"/>
      <c r="J121" s="198"/>
    </row>
    <row r="122" spans="1:10" x14ac:dyDescent="0.3">
      <c r="A122" s="192" t="s">
        <v>705</v>
      </c>
      <c r="B122" s="192" t="s">
        <v>655</v>
      </c>
      <c r="C122" s="198"/>
      <c r="D122" s="198"/>
      <c r="E122" s="198"/>
      <c r="F122" s="198"/>
      <c r="G122" s="198"/>
      <c r="H122" s="198"/>
      <c r="I122" s="198"/>
      <c r="J122" s="198"/>
    </row>
    <row r="123" spans="1:10" x14ac:dyDescent="0.3">
      <c r="A123" s="192" t="s">
        <v>706</v>
      </c>
      <c r="B123" s="192" t="s">
        <v>656</v>
      </c>
      <c r="C123" s="198"/>
      <c r="D123" s="198"/>
      <c r="E123" s="198"/>
      <c r="F123" s="198"/>
      <c r="G123" s="198"/>
      <c r="H123" s="198"/>
      <c r="I123" s="198"/>
      <c r="J123" s="198"/>
    </row>
    <row r="124" spans="1:10" x14ac:dyDescent="0.3">
      <c r="A124" s="192" t="s">
        <v>707</v>
      </c>
      <c r="B124" s="192" t="s">
        <v>657</v>
      </c>
      <c r="C124" s="198"/>
      <c r="D124" s="198"/>
      <c r="E124" s="198"/>
      <c r="F124" s="198"/>
      <c r="G124" s="198"/>
      <c r="H124" s="198"/>
      <c r="I124" s="198"/>
      <c r="J124" s="198"/>
    </row>
    <row r="125" spans="1:10" x14ac:dyDescent="0.3">
      <c r="A125" s="192" t="s">
        <v>708</v>
      </c>
      <c r="B125" s="192" t="s">
        <v>658</v>
      </c>
      <c r="C125" s="198"/>
      <c r="D125" s="198"/>
      <c r="E125" s="198"/>
      <c r="F125" s="198"/>
      <c r="G125" s="198"/>
      <c r="H125" s="198"/>
      <c r="I125" s="198"/>
      <c r="J125" s="198"/>
    </row>
    <row r="126" spans="1:10" x14ac:dyDescent="0.3">
      <c r="A126" s="196" t="s">
        <v>1121</v>
      </c>
      <c r="B126" s="196" t="s">
        <v>1122</v>
      </c>
      <c r="C126" s="197" t="s">
        <v>1123</v>
      </c>
      <c r="D126" s="198"/>
      <c r="E126" s="198"/>
      <c r="F126" s="198"/>
      <c r="G126" s="198"/>
      <c r="H126" s="198"/>
      <c r="I126" s="198"/>
      <c r="J126" s="198"/>
    </row>
    <row r="127" spans="1:10" x14ac:dyDescent="0.3">
      <c r="A127" s="192" t="s">
        <v>497</v>
      </c>
      <c r="B127" s="192" t="s">
        <v>659</v>
      </c>
      <c r="C127" s="197" t="s">
        <v>1124</v>
      </c>
      <c r="D127" s="198"/>
      <c r="E127" s="198"/>
      <c r="F127" s="198"/>
      <c r="G127" s="198"/>
      <c r="H127" s="198"/>
      <c r="I127" s="198"/>
      <c r="J127" s="198"/>
    </row>
    <row r="128" spans="1:10" x14ac:dyDescent="0.3">
      <c r="A128" s="192" t="s">
        <v>499</v>
      </c>
      <c r="B128" s="192" t="s">
        <v>660</v>
      </c>
      <c r="C128" s="198"/>
      <c r="D128" s="198"/>
      <c r="E128" s="198"/>
      <c r="F128" s="198"/>
      <c r="G128" s="198"/>
      <c r="H128" s="198"/>
      <c r="I128" s="198"/>
      <c r="J128" s="198"/>
    </row>
    <row r="129" spans="1:10" x14ac:dyDescent="0.3">
      <c r="A129" s="192" t="s">
        <v>709</v>
      </c>
      <c r="B129" s="192" t="s">
        <v>661</v>
      </c>
      <c r="C129" s="198"/>
      <c r="D129" s="198"/>
      <c r="E129" s="198"/>
      <c r="F129" s="198"/>
      <c r="G129" s="198"/>
      <c r="H129" s="198"/>
      <c r="I129" s="198"/>
      <c r="J129" s="198"/>
    </row>
    <row r="130" spans="1:10" x14ac:dyDescent="0.3">
      <c r="A130" s="192" t="s">
        <v>710</v>
      </c>
      <c r="B130" s="192" t="s">
        <v>662</v>
      </c>
      <c r="C130" s="198"/>
      <c r="D130" s="198"/>
      <c r="E130" s="198"/>
      <c r="F130" s="198"/>
      <c r="G130" s="198"/>
      <c r="H130" s="198"/>
      <c r="I130" s="198"/>
      <c r="J130" s="198"/>
    </row>
    <row r="131" spans="1:10" x14ac:dyDescent="0.3">
      <c r="A131" s="192" t="s">
        <v>505</v>
      </c>
      <c r="B131" s="192" t="s">
        <v>663</v>
      </c>
      <c r="C131" s="198"/>
      <c r="D131" s="198"/>
      <c r="E131" s="198"/>
      <c r="F131" s="198"/>
      <c r="G131" s="198"/>
      <c r="H131" s="198"/>
      <c r="I131" s="198"/>
      <c r="J131" s="198"/>
    </row>
    <row r="132" spans="1:10" x14ac:dyDescent="0.3">
      <c r="A132" s="192" t="s">
        <v>507</v>
      </c>
      <c r="B132" s="192" t="s">
        <v>664</v>
      </c>
      <c r="C132" s="198"/>
      <c r="D132" s="198"/>
      <c r="E132" s="198"/>
      <c r="F132" s="198"/>
      <c r="G132" s="198"/>
      <c r="H132" s="198"/>
      <c r="I132" s="198"/>
      <c r="J132" s="198"/>
    </row>
    <row r="133" spans="1:10" x14ac:dyDescent="0.3">
      <c r="A133" s="192" t="s">
        <v>511</v>
      </c>
      <c r="B133" s="192" t="s">
        <v>665</v>
      </c>
      <c r="C133" s="198"/>
      <c r="D133" s="198"/>
      <c r="E133" s="198"/>
      <c r="F133" s="198"/>
      <c r="G133" s="198"/>
      <c r="H133" s="198"/>
      <c r="I133" s="198"/>
      <c r="J133" s="198"/>
    </row>
    <row r="134" spans="1:10" x14ac:dyDescent="0.3">
      <c r="A134" s="192" t="s">
        <v>515</v>
      </c>
      <c r="B134" s="192" t="s">
        <v>666</v>
      </c>
      <c r="C134" s="198"/>
      <c r="D134" s="198"/>
      <c r="E134" s="198"/>
      <c r="F134" s="198"/>
      <c r="G134" s="198"/>
      <c r="H134" s="198"/>
      <c r="I134" s="198"/>
      <c r="J134" s="198"/>
    </row>
    <row r="135" spans="1:10" x14ac:dyDescent="0.3">
      <c r="A135" s="192" t="s">
        <v>529</v>
      </c>
      <c r="B135" s="192" t="s">
        <v>667</v>
      </c>
      <c r="C135" s="198"/>
      <c r="D135" s="198"/>
      <c r="E135" s="198"/>
      <c r="F135" s="198"/>
      <c r="G135" s="198"/>
      <c r="H135" s="198"/>
      <c r="I135" s="198"/>
      <c r="J135" s="198"/>
    </row>
    <row r="136" spans="1:10" x14ac:dyDescent="0.3">
      <c r="A136" s="192" t="s">
        <v>535</v>
      </c>
      <c r="B136" s="192" t="s">
        <v>668</v>
      </c>
      <c r="C136" s="198"/>
      <c r="D136" s="198"/>
      <c r="E136" s="198"/>
      <c r="F136" s="198"/>
      <c r="G136" s="198"/>
      <c r="H136" s="198"/>
      <c r="I136" s="198"/>
      <c r="J136" s="198"/>
    </row>
    <row r="139" spans="1:10" x14ac:dyDescent="0.3">
      <c r="B139" s="193" t="s">
        <v>1125</v>
      </c>
    </row>
    <row r="140" spans="1:10" x14ac:dyDescent="0.3">
      <c r="B140" s="193" t="s">
        <v>1126</v>
      </c>
    </row>
    <row r="150" spans="2:2" x14ac:dyDescent="0.3">
      <c r="B150" s="193"/>
    </row>
  </sheetData>
  <conditionalFormatting sqref="A2:B137">
    <cfRule type="expression" dxfId="0" priority="1" stopIfTrue="1">
      <formula>MOD(ROW(),2)=1</formula>
    </cfRule>
  </conditionalFormatting>
  <pageMargins left="0.7" right="0.7" top="0.75" bottom="0.75" header="0.3" footer="0.3"/>
  <pageSetup paperSize="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64"/>
  <sheetViews>
    <sheetView topLeftCell="A7" workbookViewId="0">
      <selection activeCell="C57" sqref="C57"/>
    </sheetView>
  </sheetViews>
  <sheetFormatPr defaultRowHeight="14.4" x14ac:dyDescent="0.3"/>
  <cols>
    <col min="1" max="1" width="4.44140625" bestFit="1" customWidth="1"/>
    <col min="2" max="2" width="52.109375" customWidth="1"/>
  </cols>
  <sheetData>
    <row r="1" spans="1:2" x14ac:dyDescent="0.3">
      <c r="A1" s="202" t="s">
        <v>1127</v>
      </c>
      <c r="B1" s="203"/>
    </row>
    <row r="2" spans="1:2" x14ac:dyDescent="0.3">
      <c r="A2" s="202"/>
      <c r="B2" s="203"/>
    </row>
    <row r="3" spans="1:2" x14ac:dyDescent="0.3">
      <c r="A3" s="204" t="s">
        <v>1128</v>
      </c>
      <c r="B3" s="204" t="s">
        <v>1129</v>
      </c>
    </row>
    <row r="4" spans="1:2" x14ac:dyDescent="0.3">
      <c r="A4" s="205">
        <v>1100</v>
      </c>
      <c r="B4" t="s">
        <v>1130</v>
      </c>
    </row>
    <row r="5" spans="1:2" x14ac:dyDescent="0.3">
      <c r="A5" s="205"/>
      <c r="B5" t="s">
        <v>1131</v>
      </c>
    </row>
    <row r="6" spans="1:2" x14ac:dyDescent="0.3">
      <c r="A6" s="205"/>
      <c r="B6" t="s">
        <v>1132</v>
      </c>
    </row>
    <row r="7" spans="1:2" x14ac:dyDescent="0.3">
      <c r="A7" s="205"/>
      <c r="B7" t="s">
        <v>1133</v>
      </c>
    </row>
    <row r="8" spans="1:2" x14ac:dyDescent="0.3">
      <c r="A8" s="205"/>
      <c r="B8" t="s">
        <v>1134</v>
      </c>
    </row>
    <row r="9" spans="1:2" x14ac:dyDescent="0.3">
      <c r="A9" s="205"/>
    </row>
    <row r="10" spans="1:2" x14ac:dyDescent="0.3">
      <c r="A10" s="205">
        <v>1200</v>
      </c>
      <c r="B10" t="s">
        <v>1135</v>
      </c>
    </row>
    <row r="11" spans="1:2" x14ac:dyDescent="0.3">
      <c r="A11" s="205"/>
      <c r="B11" t="s">
        <v>1136</v>
      </c>
    </row>
    <row r="12" spans="1:2" x14ac:dyDescent="0.3">
      <c r="A12" s="205"/>
      <c r="B12" t="s">
        <v>1137</v>
      </c>
    </row>
    <row r="13" spans="1:2" x14ac:dyDescent="0.3">
      <c r="A13" s="205"/>
      <c r="B13" t="s">
        <v>1138</v>
      </c>
    </row>
    <row r="14" spans="1:2" x14ac:dyDescent="0.3">
      <c r="A14" s="205"/>
      <c r="B14" t="s">
        <v>1139</v>
      </c>
    </row>
    <row r="15" spans="1:2" x14ac:dyDescent="0.3">
      <c r="A15" s="205"/>
      <c r="B15" t="s">
        <v>1140</v>
      </c>
    </row>
    <row r="16" spans="1:2" x14ac:dyDescent="0.3">
      <c r="A16" s="205"/>
    </row>
    <row r="17" spans="1:2" x14ac:dyDescent="0.3">
      <c r="A17" s="205">
        <v>1300</v>
      </c>
      <c r="B17" t="s">
        <v>1141</v>
      </c>
    </row>
    <row r="18" spans="1:2" x14ac:dyDescent="0.3">
      <c r="A18" s="205"/>
      <c r="B18" t="s">
        <v>1142</v>
      </c>
    </row>
    <row r="19" spans="1:2" x14ac:dyDescent="0.3">
      <c r="A19" s="205"/>
      <c r="B19" t="s">
        <v>1143</v>
      </c>
    </row>
    <row r="20" spans="1:2" x14ac:dyDescent="0.3">
      <c r="A20" s="205"/>
      <c r="B20" t="s">
        <v>1144</v>
      </c>
    </row>
    <row r="21" spans="1:2" x14ac:dyDescent="0.3">
      <c r="A21" s="205"/>
      <c r="B21" t="s">
        <v>1145</v>
      </c>
    </row>
    <row r="22" spans="1:2" x14ac:dyDescent="0.3">
      <c r="A22" s="205"/>
      <c r="B22" t="s">
        <v>1146</v>
      </c>
    </row>
    <row r="23" spans="1:2" x14ac:dyDescent="0.3">
      <c r="A23" s="205"/>
      <c r="B23" t="s">
        <v>1147</v>
      </c>
    </row>
    <row r="24" spans="1:2" x14ac:dyDescent="0.3">
      <c r="A24" s="205"/>
    </row>
    <row r="25" spans="1:2" x14ac:dyDescent="0.3">
      <c r="A25" s="205">
        <v>1900</v>
      </c>
      <c r="B25" t="s">
        <v>1148</v>
      </c>
    </row>
    <row r="26" spans="1:2" x14ac:dyDescent="0.3">
      <c r="A26" s="205"/>
      <c r="B26" t="s">
        <v>1149</v>
      </c>
    </row>
    <row r="27" spans="1:2" x14ac:dyDescent="0.3">
      <c r="A27" s="205"/>
      <c r="B27" t="s">
        <v>1150</v>
      </c>
    </row>
    <row r="28" spans="1:2" x14ac:dyDescent="0.3">
      <c r="A28" s="205"/>
      <c r="B28" t="s">
        <v>1151</v>
      </c>
    </row>
    <row r="29" spans="1:2" x14ac:dyDescent="0.3">
      <c r="A29" s="205"/>
      <c r="B29" s="206" t="s">
        <v>1152</v>
      </c>
    </row>
    <row r="30" spans="1:2" x14ac:dyDescent="0.3">
      <c r="A30" s="205"/>
    </row>
    <row r="31" spans="1:2" x14ac:dyDescent="0.3">
      <c r="A31" s="205">
        <v>2100</v>
      </c>
      <c r="B31" t="s">
        <v>1153</v>
      </c>
    </row>
    <row r="32" spans="1:2" x14ac:dyDescent="0.3">
      <c r="A32" s="205"/>
      <c r="B32" t="s">
        <v>1154</v>
      </c>
    </row>
    <row r="33" spans="1:2" x14ac:dyDescent="0.3">
      <c r="A33" s="205"/>
      <c r="B33" t="s">
        <v>1155</v>
      </c>
    </row>
    <row r="34" spans="1:2" x14ac:dyDescent="0.3">
      <c r="A34" s="205"/>
      <c r="B34" t="s">
        <v>1156</v>
      </c>
    </row>
    <row r="35" spans="1:2" x14ac:dyDescent="0.3">
      <c r="A35" s="205"/>
      <c r="B35" t="s">
        <v>1157</v>
      </c>
    </row>
    <row r="36" spans="1:2" x14ac:dyDescent="0.3">
      <c r="A36" s="205"/>
      <c r="B36" t="s">
        <v>1158</v>
      </c>
    </row>
    <row r="37" spans="1:2" x14ac:dyDescent="0.3">
      <c r="A37" s="205"/>
    </row>
    <row r="38" spans="1:2" x14ac:dyDescent="0.3">
      <c r="A38" s="205">
        <v>2200</v>
      </c>
      <c r="B38" t="s">
        <v>1159</v>
      </c>
    </row>
    <row r="39" spans="1:2" x14ac:dyDescent="0.3">
      <c r="A39" s="205"/>
      <c r="B39" t="s">
        <v>1160</v>
      </c>
    </row>
    <row r="40" spans="1:2" x14ac:dyDescent="0.3">
      <c r="A40" s="205"/>
      <c r="B40" t="s">
        <v>1161</v>
      </c>
    </row>
    <row r="41" spans="1:2" x14ac:dyDescent="0.3">
      <c r="A41" s="205"/>
      <c r="B41" t="s">
        <v>1162</v>
      </c>
    </row>
    <row r="42" spans="1:2" x14ac:dyDescent="0.3">
      <c r="A42" s="205"/>
      <c r="B42" t="s">
        <v>1163</v>
      </c>
    </row>
    <row r="43" spans="1:2" x14ac:dyDescent="0.3">
      <c r="A43" s="205"/>
      <c r="B43" t="s">
        <v>1164</v>
      </c>
    </row>
    <row r="44" spans="1:2" x14ac:dyDescent="0.3">
      <c r="A44" s="205"/>
    </row>
    <row r="45" spans="1:2" x14ac:dyDescent="0.3">
      <c r="A45" s="205">
        <v>2300</v>
      </c>
      <c r="B45" t="s">
        <v>1165</v>
      </c>
    </row>
    <row r="46" spans="1:2" x14ac:dyDescent="0.3">
      <c r="A46" s="205"/>
      <c r="B46" t="s">
        <v>1166</v>
      </c>
    </row>
    <row r="47" spans="1:2" x14ac:dyDescent="0.3">
      <c r="A47" s="205"/>
      <c r="B47" t="s">
        <v>1145</v>
      </c>
    </row>
    <row r="48" spans="1:2" x14ac:dyDescent="0.3">
      <c r="A48" s="205"/>
      <c r="B48" t="s">
        <v>1167</v>
      </c>
    </row>
    <row r="49" spans="1:2" x14ac:dyDescent="0.3">
      <c r="A49" s="205"/>
      <c r="B49" t="s">
        <v>1168</v>
      </c>
    </row>
    <row r="50" spans="1:2" x14ac:dyDescent="0.3">
      <c r="A50" s="205"/>
      <c r="B50" t="s">
        <v>1169</v>
      </c>
    </row>
    <row r="51" spans="1:2" x14ac:dyDescent="0.3">
      <c r="A51" s="205"/>
    </row>
    <row r="52" spans="1:2" x14ac:dyDescent="0.3">
      <c r="A52" s="205">
        <v>2400</v>
      </c>
      <c r="B52" t="s">
        <v>1170</v>
      </c>
    </row>
    <row r="53" spans="1:2" x14ac:dyDescent="0.3">
      <c r="A53" s="205"/>
      <c r="B53" t="s">
        <v>1171</v>
      </c>
    </row>
    <row r="54" spans="1:2" x14ac:dyDescent="0.3">
      <c r="A54" s="205"/>
      <c r="B54" t="s">
        <v>1172</v>
      </c>
    </row>
    <row r="55" spans="1:2" x14ac:dyDescent="0.3">
      <c r="A55" s="205"/>
      <c r="B55" t="s">
        <v>1173</v>
      </c>
    </row>
    <row r="56" spans="1:2" x14ac:dyDescent="0.3">
      <c r="A56" s="205"/>
      <c r="B56" t="s">
        <v>1174</v>
      </c>
    </row>
    <row r="57" spans="1:2" x14ac:dyDescent="0.3">
      <c r="A57" s="205"/>
      <c r="B57" t="s">
        <v>1175</v>
      </c>
    </row>
    <row r="58" spans="1:2" x14ac:dyDescent="0.3">
      <c r="A58" s="205"/>
      <c r="B58" t="s">
        <v>1176</v>
      </c>
    </row>
    <row r="59" spans="1:2" x14ac:dyDescent="0.3">
      <c r="A59" s="205"/>
      <c r="B59" t="s">
        <v>1177</v>
      </c>
    </row>
    <row r="60" spans="1:2" x14ac:dyDescent="0.3">
      <c r="A60" s="205"/>
    </row>
    <row r="61" spans="1:2" x14ac:dyDescent="0.3">
      <c r="A61" s="205">
        <v>2900</v>
      </c>
      <c r="B61" t="s">
        <v>1178</v>
      </c>
    </row>
    <row r="62" spans="1:2" x14ac:dyDescent="0.3">
      <c r="B62" t="s">
        <v>1179</v>
      </c>
    </row>
    <row r="63" spans="1:2" x14ac:dyDescent="0.3">
      <c r="B63" t="s">
        <v>1180</v>
      </c>
    </row>
    <row r="64" spans="1:2" x14ac:dyDescent="0.3">
      <c r="B64" t="s">
        <v>1181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T153"/>
  <sheetViews>
    <sheetView topLeftCell="A22" zoomScale="70" zoomScaleNormal="70" workbookViewId="0">
      <selection activeCell="L34" sqref="L34"/>
    </sheetView>
  </sheetViews>
  <sheetFormatPr defaultRowHeight="15.6" outlineLevelCol="1" x14ac:dyDescent="0.3"/>
  <cols>
    <col min="1" max="1" width="5.6640625" style="34" customWidth="1"/>
    <col min="2" max="2" width="5.109375" style="1" customWidth="1"/>
    <col min="3" max="3" width="42.109375" style="1" customWidth="1"/>
    <col min="4" max="4" width="16" style="30" hidden="1" customWidth="1"/>
    <col min="5" max="5" width="16" style="30" customWidth="1" outlineLevel="1"/>
    <col min="6" max="6" width="16.33203125" style="30" customWidth="1" outlineLevel="1"/>
    <col min="7" max="7" width="16.5546875" style="30" customWidth="1" outlineLevel="1"/>
    <col min="8" max="8" width="16.33203125" style="30" customWidth="1" outlineLevel="1"/>
    <col min="9" max="11" width="9.109375" style="30"/>
    <col min="12" max="256" width="9.109375" style="1"/>
    <col min="257" max="257" width="22.88671875" style="1" customWidth="1"/>
    <col min="258" max="512" width="9.109375" style="1"/>
    <col min="513" max="513" width="22.88671875" style="1" customWidth="1"/>
    <col min="514" max="768" width="9.109375" style="1"/>
    <col min="769" max="769" width="22.88671875" style="1" customWidth="1"/>
    <col min="770" max="1024" width="9.109375" style="1"/>
    <col min="1025" max="1025" width="22.88671875" style="1" customWidth="1"/>
    <col min="1026" max="1280" width="9.109375" style="1"/>
    <col min="1281" max="1281" width="22.88671875" style="1" customWidth="1"/>
    <col min="1282" max="1536" width="9.109375" style="1"/>
    <col min="1537" max="1537" width="22.88671875" style="1" customWidth="1"/>
    <col min="1538" max="1792" width="9.109375" style="1"/>
    <col min="1793" max="1793" width="22.88671875" style="1" customWidth="1"/>
    <col min="1794" max="2048" width="9.109375" style="1"/>
    <col min="2049" max="2049" width="22.88671875" style="1" customWidth="1"/>
    <col min="2050" max="2304" width="9.109375" style="1"/>
    <col min="2305" max="2305" width="22.88671875" style="1" customWidth="1"/>
    <col min="2306" max="2560" width="9.109375" style="1"/>
    <col min="2561" max="2561" width="22.88671875" style="1" customWidth="1"/>
    <col min="2562" max="2816" width="9.109375" style="1"/>
    <col min="2817" max="2817" width="22.88671875" style="1" customWidth="1"/>
    <col min="2818" max="3072" width="9.109375" style="1"/>
    <col min="3073" max="3073" width="22.88671875" style="1" customWidth="1"/>
    <col min="3074" max="3328" width="9.109375" style="1"/>
    <col min="3329" max="3329" width="22.88671875" style="1" customWidth="1"/>
    <col min="3330" max="3584" width="9.109375" style="1"/>
    <col min="3585" max="3585" width="22.88671875" style="1" customWidth="1"/>
    <col min="3586" max="3840" width="9.109375" style="1"/>
    <col min="3841" max="3841" width="22.88671875" style="1" customWidth="1"/>
    <col min="3842" max="4096" width="9.109375" style="1"/>
    <col min="4097" max="4097" width="22.88671875" style="1" customWidth="1"/>
    <col min="4098" max="4352" width="9.109375" style="1"/>
    <col min="4353" max="4353" width="22.88671875" style="1" customWidth="1"/>
    <col min="4354" max="4608" width="9.109375" style="1"/>
    <col min="4609" max="4609" width="22.88671875" style="1" customWidth="1"/>
    <col min="4610" max="4864" width="9.109375" style="1"/>
    <col min="4865" max="4865" width="22.88671875" style="1" customWidth="1"/>
    <col min="4866" max="5120" width="9.109375" style="1"/>
    <col min="5121" max="5121" width="22.88671875" style="1" customWidth="1"/>
    <col min="5122" max="5376" width="9.109375" style="1"/>
    <col min="5377" max="5377" width="22.88671875" style="1" customWidth="1"/>
    <col min="5378" max="5632" width="9.109375" style="1"/>
    <col min="5633" max="5633" width="22.88671875" style="1" customWidth="1"/>
    <col min="5634" max="5888" width="9.109375" style="1"/>
    <col min="5889" max="5889" width="22.88671875" style="1" customWidth="1"/>
    <col min="5890" max="6144" width="9.109375" style="1"/>
    <col min="6145" max="6145" width="22.88671875" style="1" customWidth="1"/>
    <col min="6146" max="6400" width="9.109375" style="1"/>
    <col min="6401" max="6401" width="22.88671875" style="1" customWidth="1"/>
    <col min="6402" max="6656" width="9.109375" style="1"/>
    <col min="6657" max="6657" width="22.88671875" style="1" customWidth="1"/>
    <col min="6658" max="6912" width="9.109375" style="1"/>
    <col min="6913" max="6913" width="22.88671875" style="1" customWidth="1"/>
    <col min="6914" max="7168" width="9.109375" style="1"/>
    <col min="7169" max="7169" width="22.88671875" style="1" customWidth="1"/>
    <col min="7170" max="7424" width="9.109375" style="1"/>
    <col min="7425" max="7425" width="22.88671875" style="1" customWidth="1"/>
    <col min="7426" max="7680" width="9.109375" style="1"/>
    <col min="7681" max="7681" width="22.88671875" style="1" customWidth="1"/>
    <col min="7682" max="7936" width="9.109375" style="1"/>
    <col min="7937" max="7937" width="22.88671875" style="1" customWidth="1"/>
    <col min="7938" max="8192" width="9.109375" style="1"/>
    <col min="8193" max="8193" width="22.88671875" style="1" customWidth="1"/>
    <col min="8194" max="8448" width="9.109375" style="1"/>
    <col min="8449" max="8449" width="22.88671875" style="1" customWidth="1"/>
    <col min="8450" max="8704" width="9.109375" style="1"/>
    <col min="8705" max="8705" width="22.88671875" style="1" customWidth="1"/>
    <col min="8706" max="8960" width="9.109375" style="1"/>
    <col min="8961" max="8961" width="22.88671875" style="1" customWidth="1"/>
    <col min="8962" max="9216" width="9.109375" style="1"/>
    <col min="9217" max="9217" width="22.88671875" style="1" customWidth="1"/>
    <col min="9218" max="9472" width="9.109375" style="1"/>
    <col min="9473" max="9473" width="22.88671875" style="1" customWidth="1"/>
    <col min="9474" max="9728" width="9.109375" style="1"/>
    <col min="9729" max="9729" width="22.88671875" style="1" customWidth="1"/>
    <col min="9730" max="9984" width="9.109375" style="1"/>
    <col min="9985" max="9985" width="22.88671875" style="1" customWidth="1"/>
    <col min="9986" max="10240" width="9.109375" style="1"/>
    <col min="10241" max="10241" width="22.88671875" style="1" customWidth="1"/>
    <col min="10242" max="10496" width="9.109375" style="1"/>
    <col min="10497" max="10497" width="22.88671875" style="1" customWidth="1"/>
    <col min="10498" max="10752" width="9.109375" style="1"/>
    <col min="10753" max="10753" width="22.88671875" style="1" customWidth="1"/>
    <col min="10754" max="11008" width="9.109375" style="1"/>
    <col min="11009" max="11009" width="22.88671875" style="1" customWidth="1"/>
    <col min="11010" max="11264" width="9.109375" style="1"/>
    <col min="11265" max="11265" width="22.88671875" style="1" customWidth="1"/>
    <col min="11266" max="11520" width="9.109375" style="1"/>
    <col min="11521" max="11521" width="22.88671875" style="1" customWidth="1"/>
    <col min="11522" max="11776" width="9.109375" style="1"/>
    <col min="11777" max="11777" width="22.88671875" style="1" customWidth="1"/>
    <col min="11778" max="12032" width="9.109375" style="1"/>
    <col min="12033" max="12033" width="22.88671875" style="1" customWidth="1"/>
    <col min="12034" max="12288" width="9.109375" style="1"/>
    <col min="12289" max="12289" width="22.88671875" style="1" customWidth="1"/>
    <col min="12290" max="12544" width="9.109375" style="1"/>
    <col min="12545" max="12545" width="22.88671875" style="1" customWidth="1"/>
    <col min="12546" max="12800" width="9.109375" style="1"/>
    <col min="12801" max="12801" width="22.88671875" style="1" customWidth="1"/>
    <col min="12802" max="13056" width="9.109375" style="1"/>
    <col min="13057" max="13057" width="22.88671875" style="1" customWidth="1"/>
    <col min="13058" max="13312" width="9.109375" style="1"/>
    <col min="13313" max="13313" width="22.88671875" style="1" customWidth="1"/>
    <col min="13314" max="13568" width="9.109375" style="1"/>
    <col min="13569" max="13569" width="22.88671875" style="1" customWidth="1"/>
    <col min="13570" max="13824" width="9.109375" style="1"/>
    <col min="13825" max="13825" width="22.88671875" style="1" customWidth="1"/>
    <col min="13826" max="14080" width="9.109375" style="1"/>
    <col min="14081" max="14081" width="22.88671875" style="1" customWidth="1"/>
    <col min="14082" max="14336" width="9.109375" style="1"/>
    <col min="14337" max="14337" width="22.88671875" style="1" customWidth="1"/>
    <col min="14338" max="14592" width="9.109375" style="1"/>
    <col min="14593" max="14593" width="22.88671875" style="1" customWidth="1"/>
    <col min="14594" max="14848" width="9.109375" style="1"/>
    <col min="14849" max="14849" width="22.88671875" style="1" customWidth="1"/>
    <col min="14850" max="15104" width="9.109375" style="1"/>
    <col min="15105" max="15105" width="22.88671875" style="1" customWidth="1"/>
    <col min="15106" max="15360" width="9.109375" style="1"/>
    <col min="15361" max="15361" width="22.88671875" style="1" customWidth="1"/>
    <col min="15362" max="15616" width="9.109375" style="1"/>
    <col min="15617" max="15617" width="22.88671875" style="1" customWidth="1"/>
    <col min="15618" max="15872" width="9.109375" style="1"/>
    <col min="15873" max="15873" width="22.88671875" style="1" customWidth="1"/>
    <col min="15874" max="16128" width="9.109375" style="1"/>
    <col min="16129" max="16129" width="22.88671875" style="1" customWidth="1"/>
    <col min="16130" max="16384" width="9.109375" style="1"/>
  </cols>
  <sheetData>
    <row r="1" spans="1:20" s="300" customFormat="1" x14ac:dyDescent="0.3">
      <c r="A1" s="342" t="s">
        <v>1292</v>
      </c>
      <c r="B1" s="341"/>
      <c r="C1" s="341"/>
      <c r="D1" s="299"/>
      <c r="E1" s="299"/>
      <c r="F1" s="299"/>
      <c r="G1" s="299"/>
      <c r="H1" s="299"/>
      <c r="I1" s="299"/>
      <c r="J1" s="299"/>
      <c r="K1" s="299"/>
    </row>
    <row r="2" spans="1:20" s="300" customFormat="1" x14ac:dyDescent="0.3">
      <c r="A2" s="340" t="s">
        <v>776</v>
      </c>
      <c r="B2" s="341"/>
      <c r="C2" s="341"/>
      <c r="D2" s="299"/>
      <c r="E2" s="299"/>
      <c r="F2" s="299"/>
      <c r="G2" s="299"/>
      <c r="H2" s="299"/>
      <c r="I2" s="299"/>
      <c r="J2" s="299"/>
      <c r="K2" s="299"/>
    </row>
    <row r="3" spans="1:20" s="300" customFormat="1" ht="23.25" customHeight="1" x14ac:dyDescent="0.3">
      <c r="A3" s="340" t="s">
        <v>1266</v>
      </c>
      <c r="B3" s="341"/>
      <c r="C3" s="341"/>
      <c r="D3" s="299"/>
      <c r="E3" s="299"/>
      <c r="F3" s="299"/>
      <c r="G3" s="299"/>
      <c r="H3" s="299"/>
      <c r="I3" s="299"/>
      <c r="J3" s="299"/>
      <c r="K3" s="299"/>
    </row>
    <row r="4" spans="1:20" ht="17.25" customHeight="1" x14ac:dyDescent="0.3"/>
    <row r="5" spans="1:20" ht="17.399999999999999" x14ac:dyDescent="0.3">
      <c r="A5" s="28"/>
      <c r="B5" s="28"/>
      <c r="C5" s="28" t="s">
        <v>1293</v>
      </c>
      <c r="D5" s="220"/>
      <c r="E5" s="220"/>
      <c r="F5" s="220"/>
      <c r="G5" s="220"/>
      <c r="H5" s="220"/>
    </row>
    <row r="6" spans="1:20" s="30" customFormat="1" ht="18" thickBot="1" x14ac:dyDescent="0.35">
      <c r="A6" s="29"/>
      <c r="B6" s="29"/>
      <c r="C6" s="29"/>
      <c r="D6" s="65" t="s">
        <v>1222</v>
      </c>
      <c r="E6" s="65" t="s">
        <v>1249</v>
      </c>
      <c r="F6" s="65" t="s">
        <v>1261</v>
      </c>
      <c r="G6" s="65" t="s">
        <v>1262</v>
      </c>
      <c r="H6" s="65" t="s">
        <v>1286</v>
      </c>
      <c r="L6" s="1"/>
      <c r="M6" s="1"/>
      <c r="N6" s="1"/>
    </row>
    <row r="7" spans="1:20" s="30" customFormat="1" x14ac:dyDescent="0.3">
      <c r="A7" s="47" t="s">
        <v>747</v>
      </c>
      <c r="B7" s="48"/>
      <c r="C7" s="47"/>
      <c r="D7" s="49"/>
      <c r="E7" s="50"/>
      <c r="F7" s="50"/>
      <c r="G7" s="50"/>
      <c r="H7" s="51"/>
      <c r="L7" s="1"/>
      <c r="M7" s="1"/>
      <c r="N7" s="1" t="s">
        <v>747</v>
      </c>
      <c r="Q7" s="30" t="s">
        <v>1249</v>
      </c>
      <c r="R7" s="30" t="s">
        <v>1261</v>
      </c>
      <c r="S7" s="30" t="s">
        <v>1262</v>
      </c>
      <c r="T7" s="30" t="s">
        <v>1286</v>
      </c>
    </row>
    <row r="8" spans="1:20" s="30" customFormat="1" x14ac:dyDescent="0.3">
      <c r="A8" s="48"/>
      <c r="B8" s="52" t="s">
        <v>748</v>
      </c>
      <c r="C8" s="53"/>
      <c r="D8" s="54"/>
      <c r="E8" s="54"/>
      <c r="F8" s="54"/>
      <c r="G8" s="54"/>
      <c r="H8" s="54"/>
      <c r="L8" s="1"/>
      <c r="M8" s="1"/>
      <c r="N8" s="330"/>
      <c r="O8" s="339" t="s">
        <v>749</v>
      </c>
      <c r="P8" s="339"/>
      <c r="Q8" s="329">
        <v>11</v>
      </c>
      <c r="R8" s="329">
        <v>11</v>
      </c>
      <c r="S8" s="329">
        <v>11</v>
      </c>
      <c r="T8" s="329">
        <v>11</v>
      </c>
    </row>
    <row r="9" spans="1:20" s="30" customFormat="1" x14ac:dyDescent="0.3">
      <c r="A9" s="48"/>
      <c r="B9" s="52" t="s">
        <v>749</v>
      </c>
      <c r="C9" s="53"/>
      <c r="D9" s="54">
        <v>6</v>
      </c>
      <c r="E9" s="54">
        <v>11</v>
      </c>
      <c r="F9" s="54">
        <v>11</v>
      </c>
      <c r="G9" s="54">
        <v>11</v>
      </c>
      <c r="H9" s="54">
        <v>11</v>
      </c>
      <c r="L9" s="1"/>
      <c r="M9" s="1"/>
      <c r="N9" s="331"/>
      <c r="O9" s="339" t="s">
        <v>750</v>
      </c>
      <c r="P9" s="339"/>
      <c r="Q9" s="329">
        <v>11</v>
      </c>
      <c r="R9" s="329">
        <v>11</v>
      </c>
      <c r="S9" s="329">
        <v>11</v>
      </c>
      <c r="T9" s="329">
        <v>11</v>
      </c>
    </row>
    <row r="10" spans="1:20" s="30" customFormat="1" x14ac:dyDescent="0.3">
      <c r="A10" s="48"/>
      <c r="B10" s="52" t="s">
        <v>750</v>
      </c>
      <c r="C10" s="53"/>
      <c r="D10" s="54">
        <v>9</v>
      </c>
      <c r="E10" s="54">
        <v>11</v>
      </c>
      <c r="F10" s="54">
        <v>11</v>
      </c>
      <c r="G10" s="54">
        <v>11</v>
      </c>
      <c r="H10" s="54">
        <v>11</v>
      </c>
      <c r="L10" s="1"/>
      <c r="M10" s="1"/>
      <c r="N10" s="331"/>
      <c r="O10" s="339" t="s">
        <v>751</v>
      </c>
      <c r="P10" s="339"/>
      <c r="Q10" s="329">
        <v>12</v>
      </c>
      <c r="R10" s="329">
        <v>12</v>
      </c>
      <c r="S10" s="329">
        <v>12</v>
      </c>
      <c r="T10" s="329">
        <v>12</v>
      </c>
    </row>
    <row r="11" spans="1:20" s="30" customFormat="1" x14ac:dyDescent="0.3">
      <c r="A11" s="48"/>
      <c r="B11" s="52" t="s">
        <v>751</v>
      </c>
      <c r="C11" s="53"/>
      <c r="D11" s="54">
        <v>12</v>
      </c>
      <c r="E11" s="54">
        <v>10</v>
      </c>
      <c r="F11" s="54">
        <v>12</v>
      </c>
      <c r="G11" s="54">
        <v>12</v>
      </c>
      <c r="H11" s="54">
        <v>12</v>
      </c>
      <c r="L11" s="1"/>
      <c r="M11" s="1"/>
      <c r="N11" s="331"/>
      <c r="O11" s="339" t="s">
        <v>752</v>
      </c>
      <c r="P11" s="339"/>
      <c r="Q11" s="329">
        <v>13</v>
      </c>
      <c r="R11" s="329">
        <v>13</v>
      </c>
      <c r="S11" s="329">
        <v>13</v>
      </c>
      <c r="T11" s="329">
        <v>13</v>
      </c>
    </row>
    <row r="12" spans="1:20" s="30" customFormat="1" x14ac:dyDescent="0.3">
      <c r="A12" s="48"/>
      <c r="B12" s="52" t="s">
        <v>752</v>
      </c>
      <c r="C12" s="53"/>
      <c r="D12" s="54">
        <v>12</v>
      </c>
      <c r="E12" s="54">
        <v>13</v>
      </c>
      <c r="F12" s="54">
        <v>11</v>
      </c>
      <c r="G12" s="54">
        <v>13</v>
      </c>
      <c r="H12" s="54">
        <v>13</v>
      </c>
      <c r="L12" s="1"/>
      <c r="M12" s="1"/>
      <c r="N12" s="331"/>
      <c r="O12" s="339" t="s">
        <v>753</v>
      </c>
      <c r="P12" s="339"/>
      <c r="Q12" s="329">
        <v>13</v>
      </c>
      <c r="R12" s="329">
        <v>13</v>
      </c>
      <c r="S12" s="329">
        <v>13</v>
      </c>
      <c r="T12" s="329">
        <v>13</v>
      </c>
    </row>
    <row r="13" spans="1:20" s="30" customFormat="1" x14ac:dyDescent="0.3">
      <c r="A13" s="48"/>
      <c r="B13" s="52" t="s">
        <v>753</v>
      </c>
      <c r="C13" s="53"/>
      <c r="D13" s="54">
        <v>11</v>
      </c>
      <c r="E13" s="54">
        <v>15</v>
      </c>
      <c r="F13" s="54">
        <v>13</v>
      </c>
      <c r="G13" s="54">
        <v>11</v>
      </c>
      <c r="H13" s="54">
        <v>13</v>
      </c>
      <c r="L13" s="1"/>
      <c r="M13" s="1"/>
      <c r="N13" s="331"/>
      <c r="O13" s="339" t="s">
        <v>754</v>
      </c>
      <c r="P13" s="339"/>
      <c r="Q13" s="329">
        <v>13</v>
      </c>
      <c r="R13" s="329">
        <v>13</v>
      </c>
      <c r="S13" s="329">
        <v>13</v>
      </c>
      <c r="T13" s="329">
        <v>13</v>
      </c>
    </row>
    <row r="14" spans="1:20" s="30" customFormat="1" x14ac:dyDescent="0.3">
      <c r="A14" s="48"/>
      <c r="B14" s="52" t="s">
        <v>754</v>
      </c>
      <c r="C14" s="53"/>
      <c r="D14" s="54">
        <v>13</v>
      </c>
      <c r="E14" s="54">
        <v>8</v>
      </c>
      <c r="F14" s="54">
        <v>15</v>
      </c>
      <c r="G14" s="54">
        <v>13</v>
      </c>
      <c r="H14" s="54">
        <v>13</v>
      </c>
      <c r="L14" s="1"/>
      <c r="M14" s="1"/>
      <c r="N14" s="331"/>
      <c r="O14" s="339" t="s">
        <v>755</v>
      </c>
      <c r="P14" s="339"/>
      <c r="Q14" s="329">
        <v>13</v>
      </c>
      <c r="R14" s="329">
        <v>13</v>
      </c>
      <c r="S14" s="329">
        <v>13</v>
      </c>
      <c r="T14" s="329">
        <v>13</v>
      </c>
    </row>
    <row r="15" spans="1:20" s="30" customFormat="1" x14ac:dyDescent="0.3">
      <c r="A15" s="48"/>
      <c r="B15" s="52" t="s">
        <v>755</v>
      </c>
      <c r="C15" s="53"/>
      <c r="D15" s="54">
        <v>10</v>
      </c>
      <c r="E15" s="54">
        <v>11</v>
      </c>
      <c r="F15" s="54">
        <v>8</v>
      </c>
      <c r="G15" s="54">
        <v>15</v>
      </c>
      <c r="H15" s="54">
        <v>13</v>
      </c>
      <c r="L15" s="1"/>
      <c r="M15" s="1"/>
      <c r="N15" s="331"/>
      <c r="O15" s="339" t="s">
        <v>756</v>
      </c>
      <c r="P15" s="339"/>
      <c r="Q15" s="329">
        <v>12</v>
      </c>
      <c r="R15" s="329">
        <v>12</v>
      </c>
      <c r="S15" s="329">
        <v>12</v>
      </c>
      <c r="T15" s="329">
        <v>12</v>
      </c>
    </row>
    <row r="16" spans="1:20" s="30" customFormat="1" x14ac:dyDescent="0.3">
      <c r="A16" s="48"/>
      <c r="B16" s="52" t="s">
        <v>756</v>
      </c>
      <c r="C16" s="53"/>
      <c r="D16" s="54">
        <v>10</v>
      </c>
      <c r="E16" s="54">
        <v>6</v>
      </c>
      <c r="F16" s="54">
        <v>11</v>
      </c>
      <c r="G16" s="54">
        <v>8</v>
      </c>
      <c r="H16" s="54">
        <v>12</v>
      </c>
      <c r="L16" s="1"/>
      <c r="M16" s="1"/>
      <c r="N16" s="332"/>
      <c r="O16" s="333" t="s">
        <v>762</v>
      </c>
      <c r="P16" s="333"/>
      <c r="Q16" s="333">
        <v>98</v>
      </c>
      <c r="R16" s="333">
        <v>98</v>
      </c>
      <c r="S16" s="333">
        <v>98</v>
      </c>
      <c r="T16" s="334">
        <v>98</v>
      </c>
    </row>
    <row r="17" spans="1:14" s="30" customFormat="1" x14ac:dyDescent="0.3">
      <c r="A17" s="48"/>
      <c r="B17" s="52" t="s">
        <v>757</v>
      </c>
      <c r="C17" s="53"/>
      <c r="D17" s="54">
        <v>0</v>
      </c>
      <c r="E17" s="54"/>
      <c r="F17" s="54"/>
      <c r="G17" s="54"/>
      <c r="H17" s="54"/>
      <c r="L17" s="1"/>
      <c r="M17" s="1"/>
      <c r="N17" s="1"/>
    </row>
    <row r="18" spans="1:14" s="30" customFormat="1" x14ac:dyDescent="0.3">
      <c r="A18" s="48"/>
      <c r="B18" s="52" t="s">
        <v>758</v>
      </c>
      <c r="C18" s="53"/>
      <c r="D18" s="54">
        <v>0</v>
      </c>
      <c r="E18" s="54"/>
      <c r="F18" s="54"/>
      <c r="G18" s="54"/>
      <c r="H18" s="54"/>
      <c r="L18" s="1"/>
      <c r="M18" s="1"/>
      <c r="N18" s="1"/>
    </row>
    <row r="19" spans="1:14" s="30" customFormat="1" x14ac:dyDescent="0.3">
      <c r="A19" s="48"/>
      <c r="B19" s="52" t="s">
        <v>759</v>
      </c>
      <c r="C19" s="53"/>
      <c r="D19" s="54">
        <v>0</v>
      </c>
      <c r="E19" s="54"/>
      <c r="F19" s="54"/>
      <c r="G19" s="54"/>
      <c r="H19" s="54"/>
      <c r="L19" s="1"/>
      <c r="M19" s="1"/>
      <c r="N19" s="1"/>
    </row>
    <row r="20" spans="1:14" s="30" customFormat="1" x14ac:dyDescent="0.3">
      <c r="A20" s="48"/>
      <c r="B20" s="52" t="s">
        <v>760</v>
      </c>
      <c r="C20" s="53"/>
      <c r="D20" s="54">
        <v>0</v>
      </c>
      <c r="E20" s="54"/>
      <c r="F20" s="54"/>
      <c r="G20" s="54"/>
      <c r="H20" s="54"/>
      <c r="L20" s="1"/>
      <c r="M20" s="1"/>
      <c r="N20" s="1"/>
    </row>
    <row r="21" spans="1:14" s="30" customFormat="1" x14ac:dyDescent="0.3">
      <c r="A21" s="48"/>
      <c r="B21" s="52" t="s">
        <v>1199</v>
      </c>
      <c r="C21" s="52"/>
      <c r="D21" s="54">
        <v>0</v>
      </c>
      <c r="E21" s="54">
        <v>0</v>
      </c>
      <c r="F21" s="54">
        <v>0</v>
      </c>
      <c r="G21" s="54">
        <v>0</v>
      </c>
      <c r="H21" s="54">
        <v>0</v>
      </c>
      <c r="L21" s="1"/>
      <c r="M21" s="1"/>
      <c r="N21" s="1"/>
    </row>
    <row r="22" spans="1:14" s="30" customFormat="1" x14ac:dyDescent="0.3">
      <c r="A22" s="48"/>
      <c r="B22" s="53" t="s">
        <v>762</v>
      </c>
      <c r="C22" s="52"/>
      <c r="D22" s="58">
        <f>IF(SUM(D8:D21)&gt;0,SUM(D8:D21),"")</f>
        <v>83</v>
      </c>
      <c r="E22" s="58">
        <f>IF(SUM(E8:E21)&gt;0,SUM(E8:E21),"")</f>
        <v>85</v>
      </c>
      <c r="F22" s="58">
        <f>IF(SUM(F8:F21)&gt;0,SUM(F8:F21),"")</f>
        <v>92</v>
      </c>
      <c r="G22" s="58">
        <f>IF(SUM(G8:G21)&gt;0,SUM(G8:G21),"")</f>
        <v>94</v>
      </c>
      <c r="H22" s="58">
        <f>IF(SUM(H8:H21)&gt;0,SUM(H8:H21),"")</f>
        <v>98</v>
      </c>
      <c r="L22" s="1"/>
      <c r="M22" s="1"/>
      <c r="N22" s="1"/>
    </row>
    <row r="23" spans="1:14" s="30" customFormat="1" ht="17.399999999999999" x14ac:dyDescent="0.3">
      <c r="A23" s="45"/>
      <c r="B23" s="45"/>
      <c r="C23" s="45"/>
      <c r="D23" s="46"/>
      <c r="E23" s="46"/>
      <c r="F23" s="46"/>
      <c r="G23" s="46"/>
      <c r="H23" s="46"/>
      <c r="L23" s="1"/>
      <c r="M23" s="1"/>
      <c r="N23" s="1"/>
    </row>
    <row r="24" spans="1:14" s="30" customFormat="1" x14ac:dyDescent="0.3">
      <c r="A24" s="47" t="s">
        <v>763</v>
      </c>
      <c r="B24" s="48"/>
      <c r="C24" s="47"/>
      <c r="D24" s="49"/>
      <c r="E24" s="50"/>
      <c r="F24" s="50"/>
      <c r="G24" s="50"/>
      <c r="H24" s="51"/>
      <c r="L24" s="1"/>
      <c r="M24" s="1"/>
      <c r="N24" s="1"/>
    </row>
    <row r="25" spans="1:14" s="30" customFormat="1" x14ac:dyDescent="0.3">
      <c r="A25" s="48"/>
      <c r="B25" s="52" t="s">
        <v>748</v>
      </c>
      <c r="C25" s="53"/>
      <c r="D25" s="57">
        <v>0.96</v>
      </c>
      <c r="E25" s="57">
        <v>0.93</v>
      </c>
      <c r="F25" s="57">
        <v>0.96</v>
      </c>
      <c r="G25" s="57">
        <v>0.96</v>
      </c>
      <c r="H25" s="57">
        <v>0.96</v>
      </c>
      <c r="L25" s="1"/>
      <c r="M25" s="1"/>
      <c r="N25" s="1"/>
    </row>
    <row r="26" spans="1:14" s="30" customFormat="1" ht="17.399999999999999" x14ac:dyDescent="0.3">
      <c r="A26" s="45"/>
      <c r="B26" s="52" t="s">
        <v>749</v>
      </c>
      <c r="C26" s="53"/>
      <c r="D26" s="57">
        <v>0.95</v>
      </c>
      <c r="E26" s="57">
        <v>0.93</v>
      </c>
      <c r="F26" s="57">
        <v>0.95</v>
      </c>
      <c r="G26" s="57">
        <v>0.95</v>
      </c>
      <c r="H26" s="57">
        <v>0.95</v>
      </c>
      <c r="L26" s="1"/>
      <c r="M26" s="1"/>
      <c r="N26" s="1"/>
    </row>
    <row r="27" spans="1:14" s="30" customFormat="1" ht="17.399999999999999" x14ac:dyDescent="0.3">
      <c r="A27" s="45"/>
      <c r="B27" s="52" t="s">
        <v>750</v>
      </c>
      <c r="C27" s="53"/>
      <c r="D27" s="57">
        <v>0.95</v>
      </c>
      <c r="E27" s="57">
        <v>0.93</v>
      </c>
      <c r="F27" s="57">
        <v>0.95</v>
      </c>
      <c r="G27" s="57">
        <v>0.95</v>
      </c>
      <c r="H27" s="57">
        <v>0.95</v>
      </c>
      <c r="L27" s="1"/>
      <c r="M27" s="1"/>
      <c r="N27" s="1"/>
    </row>
    <row r="28" spans="1:14" s="30" customFormat="1" ht="17.399999999999999" x14ac:dyDescent="0.3">
      <c r="A28" s="45"/>
      <c r="B28" s="52" t="s">
        <v>751</v>
      </c>
      <c r="C28" s="53"/>
      <c r="D28" s="57">
        <v>0.95</v>
      </c>
      <c r="E28" s="57">
        <v>0.93</v>
      </c>
      <c r="F28" s="57">
        <v>0.95</v>
      </c>
      <c r="G28" s="57">
        <v>0.95</v>
      </c>
      <c r="H28" s="57">
        <v>0.95</v>
      </c>
      <c r="L28" s="1"/>
      <c r="M28" s="1"/>
      <c r="N28" s="1"/>
    </row>
    <row r="29" spans="1:14" s="30" customFormat="1" ht="17.399999999999999" x14ac:dyDescent="0.3">
      <c r="A29" s="45"/>
      <c r="B29" s="52" t="s">
        <v>752</v>
      </c>
      <c r="C29" s="53"/>
      <c r="D29" s="57">
        <v>0.95</v>
      </c>
      <c r="E29" s="57">
        <v>0.93</v>
      </c>
      <c r="F29" s="57">
        <v>0.95</v>
      </c>
      <c r="G29" s="57">
        <v>0.95</v>
      </c>
      <c r="H29" s="57">
        <v>0.95</v>
      </c>
      <c r="L29" s="1"/>
      <c r="M29" s="1"/>
      <c r="N29" s="1"/>
    </row>
    <row r="30" spans="1:14" s="30" customFormat="1" ht="17.399999999999999" x14ac:dyDescent="0.3">
      <c r="A30" s="45"/>
      <c r="B30" s="52" t="s">
        <v>753</v>
      </c>
      <c r="C30" s="53"/>
      <c r="D30" s="57">
        <v>0.95</v>
      </c>
      <c r="E30" s="57">
        <v>0.93</v>
      </c>
      <c r="F30" s="57">
        <v>0.95</v>
      </c>
      <c r="G30" s="57">
        <v>0.95</v>
      </c>
      <c r="H30" s="57">
        <v>0.95</v>
      </c>
      <c r="L30" s="1"/>
      <c r="M30" s="1"/>
      <c r="N30" s="1"/>
    </row>
    <row r="31" spans="1:14" s="30" customFormat="1" ht="17.399999999999999" x14ac:dyDescent="0.3">
      <c r="A31" s="45"/>
      <c r="B31" s="52" t="s">
        <v>754</v>
      </c>
      <c r="C31" s="53"/>
      <c r="D31" s="57">
        <v>0.93</v>
      </c>
      <c r="E31" s="57">
        <v>0.93</v>
      </c>
      <c r="F31" s="57">
        <v>0.93</v>
      </c>
      <c r="G31" s="57">
        <v>0.93</v>
      </c>
      <c r="H31" s="57">
        <v>0.93</v>
      </c>
      <c r="L31" s="1"/>
      <c r="M31" s="1"/>
      <c r="N31" s="1"/>
    </row>
    <row r="32" spans="1:14" s="30" customFormat="1" ht="17.399999999999999" x14ac:dyDescent="0.3">
      <c r="A32" s="45"/>
      <c r="B32" s="52" t="s">
        <v>755</v>
      </c>
      <c r="C32" s="53"/>
      <c r="D32" s="57">
        <v>0.93</v>
      </c>
      <c r="E32" s="57">
        <v>0.93</v>
      </c>
      <c r="F32" s="57">
        <v>0.93</v>
      </c>
      <c r="G32" s="57">
        <v>0.93</v>
      </c>
      <c r="H32" s="57">
        <v>0.93</v>
      </c>
      <c r="L32" s="1"/>
      <c r="M32" s="1"/>
      <c r="N32" s="1"/>
    </row>
    <row r="33" spans="1:14" s="30" customFormat="1" ht="17.399999999999999" x14ac:dyDescent="0.3">
      <c r="A33" s="45"/>
      <c r="B33" s="52" t="s">
        <v>756</v>
      </c>
      <c r="C33" s="53"/>
      <c r="D33" s="57">
        <v>0.93</v>
      </c>
      <c r="E33" s="57">
        <v>0.93</v>
      </c>
      <c r="F33" s="57">
        <v>0.93</v>
      </c>
      <c r="G33" s="57">
        <v>0.93</v>
      </c>
      <c r="H33" s="57">
        <v>0.93</v>
      </c>
      <c r="L33" s="1"/>
      <c r="M33" s="1"/>
      <c r="N33" s="1"/>
    </row>
    <row r="34" spans="1:14" s="30" customFormat="1" ht="17.399999999999999" x14ac:dyDescent="0.3">
      <c r="A34" s="45"/>
      <c r="B34" s="52" t="s">
        <v>757</v>
      </c>
      <c r="C34" s="53"/>
      <c r="D34" s="57">
        <v>0.93</v>
      </c>
      <c r="E34" s="57">
        <v>0.93</v>
      </c>
      <c r="F34" s="57">
        <v>0.93</v>
      </c>
      <c r="G34" s="57">
        <v>0.93</v>
      </c>
      <c r="H34" s="57">
        <v>0.93</v>
      </c>
      <c r="L34" s="1"/>
      <c r="M34" s="1"/>
      <c r="N34" s="1"/>
    </row>
    <row r="35" spans="1:14" s="30" customFormat="1" ht="17.399999999999999" x14ac:dyDescent="0.3">
      <c r="A35" s="45"/>
      <c r="B35" s="52" t="s">
        <v>758</v>
      </c>
      <c r="C35" s="53"/>
      <c r="D35" s="57">
        <v>0.93</v>
      </c>
      <c r="E35" s="57">
        <v>0.93</v>
      </c>
      <c r="F35" s="57">
        <v>0.93</v>
      </c>
      <c r="G35" s="57">
        <v>0.93</v>
      </c>
      <c r="H35" s="57">
        <v>0.93</v>
      </c>
      <c r="L35" s="1"/>
      <c r="M35" s="1"/>
      <c r="N35" s="1"/>
    </row>
    <row r="36" spans="1:14" s="30" customFormat="1" ht="17.399999999999999" x14ac:dyDescent="0.3">
      <c r="A36" s="45"/>
      <c r="B36" s="52" t="s">
        <v>759</v>
      </c>
      <c r="C36" s="53"/>
      <c r="D36" s="57">
        <v>0.93</v>
      </c>
      <c r="E36" s="57">
        <v>0.93</v>
      </c>
      <c r="F36" s="57">
        <v>0.93</v>
      </c>
      <c r="G36" s="57">
        <v>0.93</v>
      </c>
      <c r="H36" s="57">
        <v>0.93</v>
      </c>
      <c r="L36" s="1"/>
      <c r="M36" s="1"/>
      <c r="N36" s="1"/>
    </row>
    <row r="37" spans="1:14" s="30" customFormat="1" ht="17.399999999999999" x14ac:dyDescent="0.3">
      <c r="A37" s="45"/>
      <c r="B37" s="52" t="s">
        <v>760</v>
      </c>
      <c r="C37" s="53"/>
      <c r="D37" s="57">
        <v>0.93</v>
      </c>
      <c r="E37" s="57">
        <v>0.93</v>
      </c>
      <c r="F37" s="57">
        <v>0.93</v>
      </c>
      <c r="G37" s="57">
        <v>0.93</v>
      </c>
      <c r="H37" s="57">
        <v>0.93</v>
      </c>
      <c r="L37" s="1"/>
      <c r="M37" s="1"/>
      <c r="N37" s="1"/>
    </row>
    <row r="38" spans="1:14" s="30" customFormat="1" ht="17.399999999999999" x14ac:dyDescent="0.3">
      <c r="A38" s="45"/>
      <c r="B38" s="52" t="s">
        <v>761</v>
      </c>
      <c r="C38" s="52"/>
      <c r="D38" s="57"/>
      <c r="E38" s="57"/>
      <c r="F38" s="57"/>
      <c r="G38" s="57"/>
      <c r="H38" s="57"/>
      <c r="L38" s="1"/>
      <c r="M38" s="1"/>
      <c r="N38" s="1"/>
    </row>
    <row r="39" spans="1:14" s="30" customFormat="1" ht="17.399999999999999" x14ac:dyDescent="0.3">
      <c r="A39" s="45"/>
      <c r="B39" s="53" t="s">
        <v>768</v>
      </c>
      <c r="C39" s="52"/>
      <c r="D39" s="59">
        <f>IF(AVERAGE(D25:D38)&gt;0,AVERAGE(D25:D38),"")</f>
        <v>0.94</v>
      </c>
      <c r="E39" s="59">
        <f>IF(AVERAGE(E25:E38)&gt;0,AVERAGE(E25:E38),"")</f>
        <v>0.92999999999999983</v>
      </c>
      <c r="F39" s="59">
        <f>IF(AVERAGE(F25:F38)&gt;0,AVERAGE(F25:F38),"")</f>
        <v>0.94</v>
      </c>
      <c r="G39" s="59">
        <f>IF(AVERAGE(G25:G38)&gt;0,AVERAGE(G25:G38),"")</f>
        <v>0.94</v>
      </c>
      <c r="H39" s="59">
        <f>IF(AVERAGE(H25:H38)&gt;0,AVERAGE(H25:H38),"")</f>
        <v>0.94</v>
      </c>
      <c r="L39" s="1"/>
      <c r="M39" s="1"/>
      <c r="N39" s="1"/>
    </row>
    <row r="40" spans="1:14" s="30" customFormat="1" ht="17.399999999999999" x14ac:dyDescent="0.3">
      <c r="A40" s="45"/>
      <c r="B40" s="47"/>
      <c r="C40" s="48"/>
      <c r="D40" s="55"/>
      <c r="E40" s="55"/>
      <c r="F40" s="55"/>
      <c r="G40" s="55"/>
      <c r="H40" s="55"/>
      <c r="L40" s="1"/>
      <c r="M40" s="1"/>
      <c r="N40" s="1"/>
    </row>
    <row r="41" spans="1:14" s="30" customFormat="1" x14ac:dyDescent="0.3">
      <c r="A41" s="47" t="s">
        <v>769</v>
      </c>
      <c r="B41" s="48"/>
      <c r="C41" s="47"/>
      <c r="D41" s="49"/>
      <c r="E41" s="50"/>
      <c r="F41" s="50"/>
      <c r="G41" s="50"/>
      <c r="H41" s="51"/>
      <c r="L41" s="1"/>
      <c r="M41" s="1"/>
      <c r="N41" s="1"/>
    </row>
    <row r="42" spans="1:14" s="30" customFormat="1" x14ac:dyDescent="0.3">
      <c r="A42" s="48"/>
      <c r="B42" s="52" t="s">
        <v>748</v>
      </c>
      <c r="C42" s="53"/>
      <c r="D42" s="224" t="str">
        <f t="shared" ref="D42:H55" si="0">IF(D8&gt;0,D8*D25,"")</f>
        <v/>
      </c>
      <c r="E42" s="56" t="str">
        <f t="shared" si="0"/>
        <v/>
      </c>
      <c r="F42" s="56" t="str">
        <f t="shared" si="0"/>
        <v/>
      </c>
      <c r="G42" s="56" t="str">
        <f t="shared" si="0"/>
        <v/>
      </c>
      <c r="H42" s="56" t="str">
        <f t="shared" si="0"/>
        <v/>
      </c>
      <c r="L42" s="1"/>
      <c r="M42" s="1"/>
      <c r="N42" s="1"/>
    </row>
    <row r="43" spans="1:14" s="30" customFormat="1" ht="17.399999999999999" x14ac:dyDescent="0.3">
      <c r="A43" s="45"/>
      <c r="B43" s="52" t="s">
        <v>749</v>
      </c>
      <c r="C43" s="53"/>
      <c r="D43" s="224">
        <f t="shared" si="0"/>
        <v>5.6999999999999993</v>
      </c>
      <c r="E43" s="56">
        <f t="shared" si="0"/>
        <v>10.23</v>
      </c>
      <c r="F43" s="56">
        <f t="shared" si="0"/>
        <v>10.45</v>
      </c>
      <c r="G43" s="56">
        <f t="shared" si="0"/>
        <v>10.45</v>
      </c>
      <c r="H43" s="56">
        <f t="shared" si="0"/>
        <v>10.45</v>
      </c>
      <c r="L43" s="1"/>
      <c r="M43" s="1"/>
      <c r="N43" s="1"/>
    </row>
    <row r="44" spans="1:14" s="30" customFormat="1" ht="17.399999999999999" x14ac:dyDescent="0.3">
      <c r="A44" s="45"/>
      <c r="B44" s="52" t="s">
        <v>750</v>
      </c>
      <c r="C44" s="53"/>
      <c r="D44" s="224">
        <f t="shared" si="0"/>
        <v>8.5499999999999989</v>
      </c>
      <c r="E44" s="56">
        <f t="shared" si="0"/>
        <v>10.23</v>
      </c>
      <c r="F44" s="56">
        <f t="shared" si="0"/>
        <v>10.45</v>
      </c>
      <c r="G44" s="56">
        <f t="shared" si="0"/>
        <v>10.45</v>
      </c>
      <c r="H44" s="56">
        <f t="shared" si="0"/>
        <v>10.45</v>
      </c>
      <c r="L44" s="1"/>
      <c r="M44" s="1"/>
      <c r="N44" s="1"/>
    </row>
    <row r="45" spans="1:14" s="30" customFormat="1" ht="17.399999999999999" x14ac:dyDescent="0.3">
      <c r="A45" s="45"/>
      <c r="B45" s="52" t="s">
        <v>751</v>
      </c>
      <c r="C45" s="53"/>
      <c r="D45" s="224">
        <f t="shared" si="0"/>
        <v>11.399999999999999</v>
      </c>
      <c r="E45" s="56">
        <f t="shared" si="0"/>
        <v>9.3000000000000007</v>
      </c>
      <c r="F45" s="56">
        <f t="shared" si="0"/>
        <v>11.399999999999999</v>
      </c>
      <c r="G45" s="56">
        <f t="shared" si="0"/>
        <v>11.399999999999999</v>
      </c>
      <c r="H45" s="56">
        <f t="shared" si="0"/>
        <v>11.399999999999999</v>
      </c>
      <c r="L45" s="1"/>
      <c r="M45" s="1"/>
      <c r="N45" s="1"/>
    </row>
    <row r="46" spans="1:14" s="30" customFormat="1" ht="17.399999999999999" x14ac:dyDescent="0.3">
      <c r="A46" s="45"/>
      <c r="B46" s="52" t="s">
        <v>752</v>
      </c>
      <c r="C46" s="53"/>
      <c r="D46" s="224">
        <f t="shared" si="0"/>
        <v>11.399999999999999</v>
      </c>
      <c r="E46" s="56">
        <f t="shared" si="0"/>
        <v>12.09</v>
      </c>
      <c r="F46" s="56">
        <f t="shared" si="0"/>
        <v>10.45</v>
      </c>
      <c r="G46" s="56">
        <f t="shared" si="0"/>
        <v>12.35</v>
      </c>
      <c r="H46" s="56">
        <f t="shared" si="0"/>
        <v>12.35</v>
      </c>
      <c r="L46" s="1"/>
      <c r="M46" s="1"/>
      <c r="N46" s="1"/>
    </row>
    <row r="47" spans="1:14" s="30" customFormat="1" ht="17.399999999999999" x14ac:dyDescent="0.3">
      <c r="A47" s="45"/>
      <c r="B47" s="52" t="s">
        <v>753</v>
      </c>
      <c r="C47" s="53"/>
      <c r="D47" s="224">
        <f t="shared" si="0"/>
        <v>10.45</v>
      </c>
      <c r="E47" s="56">
        <f t="shared" si="0"/>
        <v>13.950000000000001</v>
      </c>
      <c r="F47" s="56">
        <f t="shared" si="0"/>
        <v>12.35</v>
      </c>
      <c r="G47" s="56">
        <f t="shared" si="0"/>
        <v>10.45</v>
      </c>
      <c r="H47" s="56">
        <f t="shared" si="0"/>
        <v>12.35</v>
      </c>
      <c r="L47" s="1"/>
      <c r="M47" s="1"/>
      <c r="N47" s="1"/>
    </row>
    <row r="48" spans="1:14" s="30" customFormat="1" ht="17.399999999999999" x14ac:dyDescent="0.3">
      <c r="A48" s="45"/>
      <c r="B48" s="52" t="s">
        <v>754</v>
      </c>
      <c r="C48" s="53"/>
      <c r="D48" s="224">
        <f t="shared" si="0"/>
        <v>12.09</v>
      </c>
      <c r="E48" s="56">
        <f t="shared" si="0"/>
        <v>7.44</v>
      </c>
      <c r="F48" s="56">
        <f t="shared" si="0"/>
        <v>13.950000000000001</v>
      </c>
      <c r="G48" s="56">
        <f t="shared" si="0"/>
        <v>12.09</v>
      </c>
      <c r="H48" s="56">
        <f t="shared" si="0"/>
        <v>12.09</v>
      </c>
      <c r="L48" s="1"/>
      <c r="M48" s="1"/>
      <c r="N48" s="1"/>
    </row>
    <row r="49" spans="1:14" s="30" customFormat="1" ht="17.399999999999999" x14ac:dyDescent="0.3">
      <c r="A49" s="45"/>
      <c r="B49" s="52" t="s">
        <v>755</v>
      </c>
      <c r="C49" s="53"/>
      <c r="D49" s="56">
        <f t="shared" si="0"/>
        <v>9.3000000000000007</v>
      </c>
      <c r="E49" s="56">
        <f t="shared" si="0"/>
        <v>10.23</v>
      </c>
      <c r="F49" s="56">
        <f t="shared" si="0"/>
        <v>7.44</v>
      </c>
      <c r="G49" s="56">
        <f t="shared" si="0"/>
        <v>13.950000000000001</v>
      </c>
      <c r="H49" s="56">
        <f t="shared" si="0"/>
        <v>12.09</v>
      </c>
      <c r="L49" s="1"/>
      <c r="M49" s="1"/>
      <c r="N49" s="1"/>
    </row>
    <row r="50" spans="1:14" s="30" customFormat="1" ht="17.399999999999999" x14ac:dyDescent="0.3">
      <c r="A50" s="45"/>
      <c r="B50" s="52" t="s">
        <v>756</v>
      </c>
      <c r="C50" s="53"/>
      <c r="D50" s="56">
        <f t="shared" si="0"/>
        <v>9.3000000000000007</v>
      </c>
      <c r="E50" s="56">
        <f t="shared" si="0"/>
        <v>5.58</v>
      </c>
      <c r="F50" s="56">
        <f t="shared" si="0"/>
        <v>10.23</v>
      </c>
      <c r="G50" s="56">
        <f t="shared" si="0"/>
        <v>7.44</v>
      </c>
      <c r="H50" s="56">
        <f t="shared" si="0"/>
        <v>11.16</v>
      </c>
      <c r="L50" s="1"/>
      <c r="M50" s="1"/>
      <c r="N50" s="1"/>
    </row>
    <row r="51" spans="1:14" s="30" customFormat="1" ht="17.399999999999999" x14ac:dyDescent="0.3">
      <c r="A51" s="45"/>
      <c r="B51" s="52" t="s">
        <v>757</v>
      </c>
      <c r="C51" s="53"/>
      <c r="D51" s="56" t="str">
        <f t="shared" si="0"/>
        <v/>
      </c>
      <c r="E51" s="56" t="str">
        <f t="shared" si="0"/>
        <v/>
      </c>
      <c r="F51" s="56" t="str">
        <f t="shared" si="0"/>
        <v/>
      </c>
      <c r="G51" s="56" t="str">
        <f t="shared" si="0"/>
        <v/>
      </c>
      <c r="H51" s="56" t="str">
        <f t="shared" si="0"/>
        <v/>
      </c>
      <c r="L51" s="1"/>
      <c r="M51" s="1"/>
      <c r="N51" s="1"/>
    </row>
    <row r="52" spans="1:14" s="30" customFormat="1" ht="17.399999999999999" x14ac:dyDescent="0.3">
      <c r="A52" s="45"/>
      <c r="B52" s="52" t="s">
        <v>758</v>
      </c>
      <c r="C52" s="53"/>
      <c r="D52" s="56" t="str">
        <f t="shared" si="0"/>
        <v/>
      </c>
      <c r="E52" s="56" t="str">
        <f t="shared" si="0"/>
        <v/>
      </c>
      <c r="F52" s="56" t="str">
        <f t="shared" si="0"/>
        <v/>
      </c>
      <c r="G52" s="56" t="str">
        <f t="shared" si="0"/>
        <v/>
      </c>
      <c r="H52" s="56" t="str">
        <f t="shared" si="0"/>
        <v/>
      </c>
      <c r="L52" s="1"/>
      <c r="M52" s="1"/>
      <c r="N52" s="1"/>
    </row>
    <row r="53" spans="1:14" s="30" customFormat="1" ht="17.399999999999999" x14ac:dyDescent="0.3">
      <c r="A53" s="45"/>
      <c r="B53" s="52" t="s">
        <v>759</v>
      </c>
      <c r="C53" s="53"/>
      <c r="D53" s="56" t="str">
        <f t="shared" si="0"/>
        <v/>
      </c>
      <c r="E53" s="56" t="str">
        <f t="shared" si="0"/>
        <v/>
      </c>
      <c r="F53" s="56" t="str">
        <f t="shared" si="0"/>
        <v/>
      </c>
      <c r="G53" s="56" t="str">
        <f t="shared" si="0"/>
        <v/>
      </c>
      <c r="H53" s="56" t="str">
        <f t="shared" si="0"/>
        <v/>
      </c>
      <c r="L53" s="1"/>
      <c r="M53" s="1"/>
      <c r="N53" s="1"/>
    </row>
    <row r="54" spans="1:14" s="30" customFormat="1" ht="17.399999999999999" x14ac:dyDescent="0.3">
      <c r="A54" s="45"/>
      <c r="B54" s="52" t="s">
        <v>760</v>
      </c>
      <c r="C54" s="53"/>
      <c r="D54" s="56" t="str">
        <f t="shared" si="0"/>
        <v/>
      </c>
      <c r="E54" s="56" t="str">
        <f t="shared" si="0"/>
        <v/>
      </c>
      <c r="F54" s="56" t="str">
        <f t="shared" si="0"/>
        <v/>
      </c>
      <c r="G54" s="56" t="str">
        <f t="shared" si="0"/>
        <v/>
      </c>
      <c r="H54" s="56" t="str">
        <f t="shared" si="0"/>
        <v/>
      </c>
      <c r="L54" s="1"/>
      <c r="M54" s="1"/>
      <c r="N54" s="1"/>
    </row>
    <row r="55" spans="1:14" s="30" customFormat="1" ht="17.399999999999999" x14ac:dyDescent="0.3">
      <c r="A55" s="45"/>
      <c r="B55" s="52" t="s">
        <v>761</v>
      </c>
      <c r="C55" s="52"/>
      <c r="D55" s="56" t="str">
        <f t="shared" si="0"/>
        <v/>
      </c>
      <c r="E55" s="56" t="str">
        <f t="shared" si="0"/>
        <v/>
      </c>
      <c r="F55" s="56" t="str">
        <f t="shared" si="0"/>
        <v/>
      </c>
      <c r="G55" s="56" t="str">
        <f t="shared" si="0"/>
        <v/>
      </c>
      <c r="H55" s="56" t="str">
        <f t="shared" si="0"/>
        <v/>
      </c>
      <c r="L55" s="1"/>
      <c r="M55" s="1"/>
      <c r="N55" s="1"/>
    </row>
    <row r="56" spans="1:14" s="30" customFormat="1" ht="17.399999999999999" x14ac:dyDescent="0.3">
      <c r="A56" s="45"/>
      <c r="B56" s="53" t="s">
        <v>770</v>
      </c>
      <c r="C56" s="52"/>
      <c r="D56" s="222">
        <f>IF(SUM(D42:D55)&gt;0,SUM(D42:D55),"")</f>
        <v>78.19</v>
      </c>
      <c r="E56" s="222">
        <f>IF(SUM(E42:E55)&gt;0,SUM(E42:E55),"")</f>
        <v>79.05</v>
      </c>
      <c r="F56" s="222">
        <f>IF(SUM(F42:F55)&gt;0,SUM(F42:F55),"")</f>
        <v>86.72</v>
      </c>
      <c r="G56" s="222">
        <f>IF(SUM(G42:G55)&gt;0,SUM(G42:G55),"")</f>
        <v>88.58</v>
      </c>
      <c r="H56" s="222">
        <f>IF(SUM(H42:H55)&gt;0,SUM(H42:H55),"")</f>
        <v>92.34</v>
      </c>
      <c r="L56" s="1"/>
      <c r="M56" s="1"/>
      <c r="N56" s="1"/>
    </row>
    <row r="57" spans="1:14" s="30" customFormat="1" ht="17.399999999999999" x14ac:dyDescent="0.3">
      <c r="A57" s="45"/>
      <c r="B57" s="45"/>
      <c r="C57" s="45"/>
      <c r="D57" s="46"/>
      <c r="E57" s="46"/>
      <c r="F57" s="46"/>
      <c r="G57" s="46"/>
      <c r="H57" s="46"/>
      <c r="L57" s="1"/>
      <c r="M57" s="1"/>
      <c r="N57" s="1"/>
    </row>
    <row r="58" spans="1:14" s="30" customFormat="1" x14ac:dyDescent="0.3">
      <c r="A58" s="47" t="s">
        <v>771</v>
      </c>
      <c r="B58" s="48"/>
      <c r="C58" s="47"/>
      <c r="D58" s="49"/>
      <c r="E58" s="50"/>
      <c r="F58" s="50"/>
      <c r="G58" s="50"/>
      <c r="H58" s="51"/>
      <c r="L58" s="1"/>
      <c r="M58" s="1"/>
      <c r="N58" s="1"/>
    </row>
    <row r="59" spans="1:14" s="30" customFormat="1" ht="17.399999999999999" x14ac:dyDescent="0.3">
      <c r="A59" s="45"/>
      <c r="B59" s="52" t="s">
        <v>764</v>
      </c>
      <c r="C59" s="53"/>
      <c r="D59" s="224">
        <f>IF(SUM(D42:D45)&gt;0,SUM(D42:D45),"")</f>
        <v>25.65</v>
      </c>
      <c r="E59" s="224">
        <f>IF(SUM(E42:E45)&gt;0,SUM(E42:E45),"")</f>
        <v>29.76</v>
      </c>
      <c r="F59" s="224">
        <f>IF(SUM(F42:F45)&gt;0,SUM(F42:F45),"")</f>
        <v>32.299999999999997</v>
      </c>
      <c r="G59" s="224">
        <f>IF(SUM(G42:G45)&gt;0,SUM(G42:G45),"")</f>
        <v>32.299999999999997</v>
      </c>
      <c r="H59" s="224">
        <f>IF(SUM(H42:H45)&gt;0,SUM(H42:H45),"")</f>
        <v>32.299999999999997</v>
      </c>
      <c r="L59" s="1"/>
      <c r="M59" s="1"/>
      <c r="N59" s="1"/>
    </row>
    <row r="60" spans="1:14" s="30" customFormat="1" ht="17.399999999999999" x14ac:dyDescent="0.3">
      <c r="A60" s="45"/>
      <c r="B60" s="52" t="s">
        <v>765</v>
      </c>
      <c r="C60" s="53"/>
      <c r="D60" s="224">
        <f>IF(SUM(D46:D48)&gt;0,SUM(D46:D48),"")</f>
        <v>33.94</v>
      </c>
      <c r="E60" s="224">
        <f>IF(SUM(E46:E48)&gt;0,SUM(E46:E48),"")</f>
        <v>33.479999999999997</v>
      </c>
      <c r="F60" s="224">
        <f>IF(SUM(F46:F48)&gt;0,SUM(F46:F48),"")</f>
        <v>36.75</v>
      </c>
      <c r="G60" s="224">
        <f>IF(SUM(G46:G48)&gt;0,SUM(G46:G48),"")</f>
        <v>34.89</v>
      </c>
      <c r="H60" s="224">
        <f>IF(SUM(H46:H48)&gt;0,SUM(H46:H48),"")</f>
        <v>36.79</v>
      </c>
      <c r="L60" s="1"/>
      <c r="M60" s="1"/>
      <c r="N60" s="1"/>
    </row>
    <row r="61" spans="1:14" s="30" customFormat="1" ht="17.399999999999999" x14ac:dyDescent="0.3">
      <c r="A61" s="45"/>
      <c r="B61" s="52" t="s">
        <v>766</v>
      </c>
      <c r="C61" s="53"/>
      <c r="D61" s="224">
        <f>IF(SUM(D49:D50)&gt;0,SUM(D49:D50),"")</f>
        <v>18.600000000000001</v>
      </c>
      <c r="E61" s="224">
        <f>IF(SUM(E49:E50)&gt;0,SUM(E49:E50),"")</f>
        <v>15.81</v>
      </c>
      <c r="F61" s="224">
        <f>IF(SUM(F49:F50)&gt;0,SUM(F49:F50),"")</f>
        <v>17.670000000000002</v>
      </c>
      <c r="G61" s="224">
        <f>IF(SUM(G49:G50)&gt;0,SUM(G49:G50),"")</f>
        <v>21.39</v>
      </c>
      <c r="H61" s="224">
        <f>IF(SUM(H49:H50)&gt;0,SUM(H49:H50),"")</f>
        <v>23.25</v>
      </c>
      <c r="L61" s="1"/>
      <c r="M61" s="1"/>
      <c r="N61" s="1"/>
    </row>
    <row r="62" spans="1:14" s="30" customFormat="1" ht="17.399999999999999" x14ac:dyDescent="0.3">
      <c r="A62" s="45"/>
      <c r="B62" s="52" t="s">
        <v>767</v>
      </c>
      <c r="C62" s="53"/>
      <c r="D62" s="224" t="str">
        <f>IF(SUM(D51:D55)&gt;0,SUM(D51:D55),"")</f>
        <v/>
      </c>
      <c r="E62" s="224" t="str">
        <f>IF(SUM(E51:E55)&gt;0,SUM(E51:E55),"")</f>
        <v/>
      </c>
      <c r="F62" s="224" t="str">
        <f>IF(SUM(F51:F55)&gt;0,SUM(F51:F55),"")</f>
        <v/>
      </c>
      <c r="G62" s="224" t="str">
        <f>IF(SUM(G51:G55)&gt;0,SUM(G51:G55),"")</f>
        <v/>
      </c>
      <c r="H62" s="224" t="str">
        <f>IF(SUM(H51:H55)&gt;0,SUM(H51:H55),"")</f>
        <v/>
      </c>
      <c r="L62" s="1"/>
      <c r="M62" s="1"/>
      <c r="N62" s="1"/>
    </row>
    <row r="63" spans="1:14" s="30" customFormat="1" ht="17.399999999999999" x14ac:dyDescent="0.3">
      <c r="A63" s="45"/>
      <c r="B63" s="53" t="s">
        <v>770</v>
      </c>
      <c r="C63" s="53"/>
      <c r="D63" s="223">
        <f>IF(SUM(D59:D62)&gt;0,SUM(D59:D62),"")</f>
        <v>78.19</v>
      </c>
      <c r="E63" s="223">
        <f>IF(SUM(E59:E62)&gt;0,SUM(E59:E62),"")</f>
        <v>79.05</v>
      </c>
      <c r="F63" s="223">
        <f>IF(SUM(F59:F62)&gt;0,SUM(F59:F62),"")</f>
        <v>86.72</v>
      </c>
      <c r="G63" s="223">
        <f>IF(SUM(G59:G62)&gt;0,SUM(G59:G62),"")</f>
        <v>88.58</v>
      </c>
      <c r="H63" s="223">
        <f>IF(SUM(H59:H62)&gt;0,SUM(H59:H62),"")</f>
        <v>92.34</v>
      </c>
      <c r="L63" s="1"/>
      <c r="M63" s="1"/>
      <c r="N63" s="1"/>
    </row>
    <row r="64" spans="1:14" s="30" customFormat="1" ht="17.399999999999999" x14ac:dyDescent="0.3">
      <c r="A64" s="45"/>
      <c r="B64" s="45"/>
      <c r="C64" s="45"/>
      <c r="D64" s="46"/>
      <c r="E64" s="46"/>
      <c r="F64" s="46"/>
      <c r="G64" s="46"/>
      <c r="H64" s="46"/>
      <c r="L64" s="1"/>
      <c r="M64" s="1"/>
      <c r="N64" s="1"/>
    </row>
    <row r="65" spans="1:20" s="30" customFormat="1" x14ac:dyDescent="0.3">
      <c r="A65" s="47" t="s">
        <v>775</v>
      </c>
      <c r="B65" s="48"/>
      <c r="C65" s="47"/>
      <c r="D65" s="49"/>
      <c r="E65" s="50"/>
      <c r="F65" s="50"/>
      <c r="G65" s="50"/>
      <c r="H65" s="51"/>
      <c r="L65" s="1"/>
      <c r="M65" s="1"/>
      <c r="N65" s="1"/>
    </row>
    <row r="66" spans="1:20" s="30" customFormat="1" x14ac:dyDescent="0.3">
      <c r="A66" s="47"/>
      <c r="B66" s="52" t="s">
        <v>1218</v>
      </c>
      <c r="C66" s="53"/>
      <c r="D66" s="280">
        <v>0.71299999999999997</v>
      </c>
      <c r="E66" s="280">
        <v>0.71299999999999997</v>
      </c>
      <c r="F66" s="280">
        <v>0.71299999999999997</v>
      </c>
      <c r="G66" s="280">
        <v>0.71299999999999997</v>
      </c>
      <c r="H66" s="280">
        <v>0.71299999999999997</v>
      </c>
      <c r="L66" s="1"/>
      <c r="M66" s="1"/>
      <c r="N66" s="1"/>
      <c r="O66" s="1"/>
      <c r="P66" s="1"/>
      <c r="Q66" s="1"/>
      <c r="R66" s="1"/>
      <c r="S66" s="1"/>
      <c r="T66" s="1"/>
    </row>
    <row r="67" spans="1:20" s="30" customFormat="1" ht="17.399999999999999" x14ac:dyDescent="0.3">
      <c r="A67" s="45"/>
      <c r="B67" s="45"/>
      <c r="C67" s="45"/>
      <c r="D67" s="46"/>
      <c r="E67" s="46"/>
      <c r="F67" s="46"/>
      <c r="G67" s="46"/>
      <c r="H67" s="46"/>
      <c r="L67" s="1"/>
      <c r="M67" s="1"/>
      <c r="N67" s="1"/>
      <c r="O67" s="1"/>
      <c r="P67" s="1"/>
      <c r="Q67" s="1"/>
      <c r="R67" s="1"/>
      <c r="S67" s="1"/>
      <c r="T67" s="1"/>
    </row>
    <row r="68" spans="1:20" s="30" customFormat="1" x14ac:dyDescent="0.3">
      <c r="A68" s="47" t="s">
        <v>773</v>
      </c>
      <c r="B68" s="48"/>
      <c r="C68" s="47"/>
      <c r="D68" s="49"/>
      <c r="E68" s="50"/>
      <c r="F68" s="50"/>
      <c r="G68" s="50"/>
      <c r="H68" s="51"/>
      <c r="L68" s="1"/>
      <c r="M68" s="1"/>
      <c r="N68" s="1"/>
      <c r="O68" s="1"/>
      <c r="P68" s="1"/>
      <c r="Q68" s="1"/>
      <c r="R68" s="1"/>
      <c r="S68" s="1"/>
      <c r="T68" s="1"/>
    </row>
    <row r="69" spans="1:20" s="30" customFormat="1" ht="17.399999999999999" x14ac:dyDescent="0.3">
      <c r="A69" s="45"/>
      <c r="B69" s="52" t="s">
        <v>774</v>
      </c>
      <c r="C69" s="53"/>
      <c r="D69" s="57">
        <v>0</v>
      </c>
      <c r="E69" s="57">
        <f>$D69</f>
        <v>0</v>
      </c>
      <c r="F69" s="57">
        <f>$D69</f>
        <v>0</v>
      </c>
      <c r="G69" s="57">
        <f>$D69</f>
        <v>0</v>
      </c>
      <c r="H69" s="57">
        <f>$D69</f>
        <v>0</v>
      </c>
      <c r="L69" s="1"/>
      <c r="M69" s="1"/>
      <c r="N69" s="1"/>
      <c r="O69" s="1"/>
      <c r="P69" s="1"/>
      <c r="Q69" s="1"/>
      <c r="R69" s="1"/>
      <c r="S69" s="1"/>
      <c r="T69" s="1"/>
    </row>
    <row r="70" spans="1:20" s="30" customFormat="1" ht="17.399999999999999" x14ac:dyDescent="0.3">
      <c r="A70" s="45"/>
      <c r="B70" s="52" t="s">
        <v>772</v>
      </c>
      <c r="C70" s="53"/>
      <c r="D70" s="224" t="str">
        <f>IF(D69&gt;0,ROUNDUP(D69*D$22,),"")</f>
        <v/>
      </c>
      <c r="E70" s="224" t="str">
        <f>IF(E69&gt;0,ROUNDUP(E69*E$22,),"")</f>
        <v/>
      </c>
      <c r="F70" s="224" t="str">
        <f>IF(F69&gt;0,ROUNDUP(F69*F$22,),"")</f>
        <v/>
      </c>
      <c r="G70" s="224" t="str">
        <f>IF(G69&gt;0,ROUNDUP(G69*G$22,),"")</f>
        <v/>
      </c>
      <c r="H70" s="224" t="str">
        <f>IF(H69&gt;0,ROUNDUP(H69*H$22,),"")</f>
        <v/>
      </c>
      <c r="L70" s="1"/>
      <c r="M70" s="1"/>
      <c r="N70" s="1"/>
      <c r="O70" s="1"/>
      <c r="P70" s="1"/>
      <c r="Q70" s="1"/>
      <c r="R70" s="1"/>
      <c r="S70" s="1"/>
      <c r="T70" s="1"/>
    </row>
    <row r="71" spans="1:20" s="30" customFormat="1" ht="17.399999999999999" x14ac:dyDescent="0.3">
      <c r="A71" s="45"/>
      <c r="B71" s="45"/>
      <c r="C71" s="45"/>
      <c r="D71" s="46"/>
      <c r="E71" s="46"/>
      <c r="F71" s="46"/>
      <c r="G71" s="46"/>
      <c r="H71" s="46"/>
      <c r="L71" s="1"/>
      <c r="M71" s="1"/>
      <c r="N71" s="1"/>
      <c r="O71" s="1"/>
      <c r="P71" s="1"/>
      <c r="Q71" s="1"/>
      <c r="R71" s="1"/>
      <c r="S71" s="1"/>
      <c r="T71" s="1"/>
    </row>
    <row r="72" spans="1:20" x14ac:dyDescent="0.3">
      <c r="A72" s="35"/>
    </row>
    <row r="73" spans="1:20" x14ac:dyDescent="0.3">
      <c r="A73" s="35"/>
    </row>
    <row r="74" spans="1:20" x14ac:dyDescent="0.3">
      <c r="A74" s="35"/>
    </row>
    <row r="75" spans="1:20" x14ac:dyDescent="0.3">
      <c r="A75" s="35"/>
    </row>
    <row r="76" spans="1:20" x14ac:dyDescent="0.3">
      <c r="A76" s="35"/>
    </row>
    <row r="77" spans="1:20" x14ac:dyDescent="0.3">
      <c r="A77" s="35"/>
    </row>
    <row r="78" spans="1:20" x14ac:dyDescent="0.3">
      <c r="A78" s="35"/>
    </row>
    <row r="79" spans="1:20" x14ac:dyDescent="0.3">
      <c r="A79" s="35"/>
    </row>
    <row r="80" spans="1:20" x14ac:dyDescent="0.3">
      <c r="A80" s="35"/>
    </row>
    <row r="81" spans="1:1" x14ac:dyDescent="0.3">
      <c r="A81" s="35"/>
    </row>
    <row r="82" spans="1:1" x14ac:dyDescent="0.3">
      <c r="A82" s="35"/>
    </row>
    <row r="83" spans="1:1" x14ac:dyDescent="0.3">
      <c r="A83" s="35"/>
    </row>
    <row r="84" spans="1:1" x14ac:dyDescent="0.3">
      <c r="A84" s="35"/>
    </row>
    <row r="85" spans="1:1" x14ac:dyDescent="0.3">
      <c r="A85" s="35"/>
    </row>
    <row r="86" spans="1:1" x14ac:dyDescent="0.3">
      <c r="A86" s="35"/>
    </row>
    <row r="87" spans="1:1" x14ac:dyDescent="0.3">
      <c r="A87" s="35"/>
    </row>
    <row r="88" spans="1:1" x14ac:dyDescent="0.3">
      <c r="A88" s="35"/>
    </row>
    <row r="89" spans="1:1" x14ac:dyDescent="0.3">
      <c r="A89" s="35"/>
    </row>
    <row r="90" spans="1:1" x14ac:dyDescent="0.3">
      <c r="A90" s="35"/>
    </row>
    <row r="91" spans="1:1" x14ac:dyDescent="0.3">
      <c r="A91" s="35"/>
    </row>
    <row r="92" spans="1:1" x14ac:dyDescent="0.3">
      <c r="A92" s="35"/>
    </row>
    <row r="93" spans="1:1" x14ac:dyDescent="0.3">
      <c r="A93" s="35"/>
    </row>
    <row r="94" spans="1:1" x14ac:dyDescent="0.3">
      <c r="A94" s="35"/>
    </row>
    <row r="95" spans="1:1" x14ac:dyDescent="0.3">
      <c r="A95" s="35"/>
    </row>
    <row r="96" spans="1:1" x14ac:dyDescent="0.3">
      <c r="A96" s="35"/>
    </row>
    <row r="97" spans="1:1" x14ac:dyDescent="0.3">
      <c r="A97" s="35"/>
    </row>
    <row r="98" spans="1:1" x14ac:dyDescent="0.3">
      <c r="A98" s="35"/>
    </row>
    <row r="99" spans="1:1" x14ac:dyDescent="0.3">
      <c r="A99" s="35"/>
    </row>
    <row r="100" spans="1:1" x14ac:dyDescent="0.3">
      <c r="A100" s="35"/>
    </row>
    <row r="101" spans="1:1" x14ac:dyDescent="0.3">
      <c r="A101" s="35"/>
    </row>
    <row r="102" spans="1:1" x14ac:dyDescent="0.3">
      <c r="A102" s="35"/>
    </row>
    <row r="103" spans="1:1" x14ac:dyDescent="0.3">
      <c r="A103" s="35"/>
    </row>
    <row r="104" spans="1:1" x14ac:dyDescent="0.3">
      <c r="A104" s="35"/>
    </row>
    <row r="105" spans="1:1" x14ac:dyDescent="0.3">
      <c r="A105" s="35"/>
    </row>
    <row r="106" spans="1:1" x14ac:dyDescent="0.3">
      <c r="A106" s="35"/>
    </row>
    <row r="107" spans="1:1" x14ac:dyDescent="0.3">
      <c r="A107" s="35"/>
    </row>
    <row r="108" spans="1:1" x14ac:dyDescent="0.3">
      <c r="A108" s="35"/>
    </row>
    <row r="109" spans="1:1" x14ac:dyDescent="0.3">
      <c r="A109" s="35"/>
    </row>
    <row r="110" spans="1:1" x14ac:dyDescent="0.3">
      <c r="A110" s="35"/>
    </row>
    <row r="111" spans="1:1" x14ac:dyDescent="0.3">
      <c r="A111" s="35"/>
    </row>
    <row r="112" spans="1:1" x14ac:dyDescent="0.3">
      <c r="A112" s="35"/>
    </row>
    <row r="113" spans="1:1" x14ac:dyDescent="0.3">
      <c r="A113" s="35"/>
    </row>
    <row r="114" spans="1:1" x14ac:dyDescent="0.3">
      <c r="A114" s="35"/>
    </row>
    <row r="115" spans="1:1" x14ac:dyDescent="0.3">
      <c r="A115" s="35"/>
    </row>
    <row r="116" spans="1:1" x14ac:dyDescent="0.3">
      <c r="A116" s="35"/>
    </row>
    <row r="117" spans="1:1" x14ac:dyDescent="0.3">
      <c r="A117" s="35"/>
    </row>
    <row r="118" spans="1:1" x14ac:dyDescent="0.3">
      <c r="A118" s="35"/>
    </row>
    <row r="119" spans="1:1" x14ac:dyDescent="0.3">
      <c r="A119" s="35"/>
    </row>
    <row r="120" spans="1:1" x14ac:dyDescent="0.3">
      <c r="A120" s="35"/>
    </row>
    <row r="121" spans="1:1" x14ac:dyDescent="0.3">
      <c r="A121" s="35"/>
    </row>
    <row r="122" spans="1:1" x14ac:dyDescent="0.3">
      <c r="A122" s="35"/>
    </row>
    <row r="123" spans="1:1" x14ac:dyDescent="0.3">
      <c r="A123" s="35"/>
    </row>
    <row r="124" spans="1:1" x14ac:dyDescent="0.3">
      <c r="A124" s="35"/>
    </row>
    <row r="125" spans="1:1" x14ac:dyDescent="0.3">
      <c r="A125" s="35"/>
    </row>
    <row r="126" spans="1:1" x14ac:dyDescent="0.3">
      <c r="A126" s="35"/>
    </row>
    <row r="127" spans="1:1" x14ac:dyDescent="0.3">
      <c r="A127" s="35"/>
    </row>
    <row r="128" spans="1:1" x14ac:dyDescent="0.3">
      <c r="A128" s="35"/>
    </row>
    <row r="129" spans="1:1" x14ac:dyDescent="0.3">
      <c r="A129" s="35"/>
    </row>
    <row r="130" spans="1:1" x14ac:dyDescent="0.3">
      <c r="A130" s="35"/>
    </row>
    <row r="131" spans="1:1" x14ac:dyDescent="0.3">
      <c r="A131" s="35"/>
    </row>
    <row r="132" spans="1:1" x14ac:dyDescent="0.3">
      <c r="A132" s="35"/>
    </row>
    <row r="133" spans="1:1" x14ac:dyDescent="0.3">
      <c r="A133" s="35"/>
    </row>
    <row r="134" spans="1:1" x14ac:dyDescent="0.3">
      <c r="A134" s="35"/>
    </row>
    <row r="135" spans="1:1" x14ac:dyDescent="0.3">
      <c r="A135" s="35"/>
    </row>
    <row r="136" spans="1:1" x14ac:dyDescent="0.3">
      <c r="A136" s="35"/>
    </row>
    <row r="137" spans="1:1" x14ac:dyDescent="0.3">
      <c r="A137" s="35"/>
    </row>
    <row r="138" spans="1:1" x14ac:dyDescent="0.3">
      <c r="A138" s="35"/>
    </row>
    <row r="139" spans="1:1" x14ac:dyDescent="0.3">
      <c r="A139" s="35"/>
    </row>
    <row r="140" spans="1:1" x14ac:dyDescent="0.3">
      <c r="A140" s="35"/>
    </row>
    <row r="141" spans="1:1" x14ac:dyDescent="0.3">
      <c r="A141" s="35"/>
    </row>
    <row r="142" spans="1:1" x14ac:dyDescent="0.3">
      <c r="A142" s="35"/>
    </row>
    <row r="143" spans="1:1" x14ac:dyDescent="0.3">
      <c r="A143" s="35"/>
    </row>
    <row r="144" spans="1:1" x14ac:dyDescent="0.3">
      <c r="A144" s="35"/>
    </row>
    <row r="145" spans="1:1" x14ac:dyDescent="0.3">
      <c r="A145" s="35"/>
    </row>
    <row r="146" spans="1:1" x14ac:dyDescent="0.3">
      <c r="A146" s="35"/>
    </row>
    <row r="147" spans="1:1" x14ac:dyDescent="0.3">
      <c r="A147" s="35"/>
    </row>
    <row r="148" spans="1:1" x14ac:dyDescent="0.3">
      <c r="A148" s="35"/>
    </row>
    <row r="149" spans="1:1" x14ac:dyDescent="0.3">
      <c r="A149" s="35"/>
    </row>
    <row r="150" spans="1:1" x14ac:dyDescent="0.3">
      <c r="A150" s="35"/>
    </row>
    <row r="151" spans="1:1" x14ac:dyDescent="0.3">
      <c r="A151" s="35"/>
    </row>
    <row r="152" spans="1:1" x14ac:dyDescent="0.3">
      <c r="A152" s="35"/>
    </row>
    <row r="153" spans="1:1" x14ac:dyDescent="0.3">
      <c r="A153" s="35"/>
    </row>
  </sheetData>
  <mergeCells count="11">
    <mergeCell ref="A3:C3"/>
    <mergeCell ref="A2:C2"/>
    <mergeCell ref="A1:C1"/>
    <mergeCell ref="O8:P8"/>
    <mergeCell ref="O9:P9"/>
    <mergeCell ref="O15:P15"/>
    <mergeCell ref="O10:P10"/>
    <mergeCell ref="O11:P11"/>
    <mergeCell ref="O12:P12"/>
    <mergeCell ref="O13:P13"/>
    <mergeCell ref="O14:P14"/>
  </mergeCells>
  <printOptions horizontalCentered="1"/>
  <pageMargins left="0.7" right="0.7" top="0.75" bottom="0.75" header="0.3" footer="0.3"/>
  <pageSetup scale="91" fitToHeight="0" orientation="landscape" r:id="rId1"/>
  <headerFooter alignWithMargins="0">
    <oddHeader>&amp;A</oddHeader>
    <oddFooter>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74"/>
  <sheetViews>
    <sheetView topLeftCell="A169" workbookViewId="0">
      <selection activeCell="C57" sqref="C57"/>
    </sheetView>
  </sheetViews>
  <sheetFormatPr defaultColWidth="9.109375" defaultRowHeight="15.6" x14ac:dyDescent="0.3"/>
  <cols>
    <col min="1" max="9" width="9.109375" style="6"/>
    <col min="10" max="13" width="0" style="6" hidden="1" customWidth="1"/>
    <col min="14" max="16384" width="9.109375" style="6"/>
  </cols>
  <sheetData>
    <row r="1" spans="1:11" x14ac:dyDescent="0.3">
      <c r="A1" s="6" t="s">
        <v>8</v>
      </c>
      <c r="J1" s="6" t="s">
        <v>9</v>
      </c>
    </row>
    <row r="2" spans="1:11" x14ac:dyDescent="0.3">
      <c r="K2" s="6">
        <v>80</v>
      </c>
    </row>
    <row r="3" spans="1:11" x14ac:dyDescent="0.3">
      <c r="A3" s="6" t="s">
        <v>10</v>
      </c>
      <c r="B3" s="6" t="s">
        <v>11</v>
      </c>
      <c r="J3" s="6" t="s">
        <v>10</v>
      </c>
      <c r="K3" s="6" t="s">
        <v>11</v>
      </c>
    </row>
    <row r="4" spans="1:11" x14ac:dyDescent="0.3">
      <c r="A4" s="6" t="s">
        <v>12</v>
      </c>
      <c r="B4" s="6" t="s">
        <v>13</v>
      </c>
      <c r="J4" s="6" t="s">
        <v>12</v>
      </c>
      <c r="K4" s="6" t="s">
        <v>13</v>
      </c>
    </row>
    <row r="5" spans="1:11" x14ac:dyDescent="0.3">
      <c r="A5" s="6" t="s">
        <v>14</v>
      </c>
      <c r="B5" s="6" t="s">
        <v>15</v>
      </c>
      <c r="J5" s="6" t="s">
        <v>14</v>
      </c>
      <c r="K5" s="6" t="s">
        <v>15</v>
      </c>
    </row>
    <row r="6" spans="1:11" x14ac:dyDescent="0.3">
      <c r="A6" s="6" t="s">
        <v>16</v>
      </c>
      <c r="B6" s="6" t="s">
        <v>17</v>
      </c>
      <c r="J6" s="6" t="s">
        <v>16</v>
      </c>
      <c r="K6" s="6" t="s">
        <v>17</v>
      </c>
    </row>
    <row r="7" spans="1:11" x14ac:dyDescent="0.3">
      <c r="A7" s="6" t="s">
        <v>18</v>
      </c>
      <c r="B7" s="6" t="s">
        <v>19</v>
      </c>
      <c r="J7" s="6" t="s">
        <v>18</v>
      </c>
      <c r="K7" s="6" t="s">
        <v>19</v>
      </c>
    </row>
    <row r="8" spans="1:11" x14ac:dyDescent="0.3">
      <c r="A8" s="6" t="s">
        <v>20</v>
      </c>
      <c r="B8" s="6" t="s">
        <v>21</v>
      </c>
      <c r="J8" s="6" t="s">
        <v>20</v>
      </c>
      <c r="K8" s="6" t="s">
        <v>21</v>
      </c>
    </row>
    <row r="9" spans="1:11" x14ac:dyDescent="0.3">
      <c r="A9" s="6" t="s">
        <v>22</v>
      </c>
      <c r="B9" s="6" t="s">
        <v>23</v>
      </c>
      <c r="J9" s="6" t="s">
        <v>22</v>
      </c>
      <c r="K9" s="6" t="s">
        <v>23</v>
      </c>
    </row>
    <row r="10" spans="1:11" x14ac:dyDescent="0.3">
      <c r="A10" s="6" t="s">
        <v>24</v>
      </c>
      <c r="B10" s="6" t="s">
        <v>25</v>
      </c>
      <c r="J10" s="6" t="s">
        <v>24</v>
      </c>
      <c r="K10" s="6" t="s">
        <v>25</v>
      </c>
    </row>
    <row r="11" spans="1:11" x14ac:dyDescent="0.3">
      <c r="A11" s="6" t="s">
        <v>26</v>
      </c>
      <c r="B11" s="6" t="s">
        <v>27</v>
      </c>
      <c r="J11" s="6" t="s">
        <v>26</v>
      </c>
      <c r="K11" s="6" t="s">
        <v>27</v>
      </c>
    </row>
    <row r="12" spans="1:11" x14ac:dyDescent="0.3">
      <c r="A12" s="6" t="s">
        <v>28</v>
      </c>
      <c r="B12" s="6" t="s">
        <v>29</v>
      </c>
      <c r="J12" s="6" t="s">
        <v>28</v>
      </c>
      <c r="K12" s="6" t="s">
        <v>29</v>
      </c>
    </row>
    <row r="13" spans="1:11" x14ac:dyDescent="0.3">
      <c r="A13" s="6" t="s">
        <v>30</v>
      </c>
      <c r="B13" s="6" t="s">
        <v>31</v>
      </c>
      <c r="J13" s="6" t="s">
        <v>30</v>
      </c>
      <c r="K13" s="6" t="s">
        <v>31</v>
      </c>
    </row>
    <row r="14" spans="1:11" x14ac:dyDescent="0.3">
      <c r="A14" s="6" t="s">
        <v>32</v>
      </c>
      <c r="B14" s="6" t="s">
        <v>33</v>
      </c>
      <c r="J14" s="6" t="s">
        <v>32</v>
      </c>
      <c r="K14" s="6" t="s">
        <v>33</v>
      </c>
    </row>
    <row r="15" spans="1:11" x14ac:dyDescent="0.3">
      <c r="A15" s="6" t="s">
        <v>34</v>
      </c>
      <c r="B15" s="6" t="s">
        <v>35</v>
      </c>
      <c r="J15" s="6" t="s">
        <v>34</v>
      </c>
      <c r="K15" s="6" t="s">
        <v>35</v>
      </c>
    </row>
    <row r="16" spans="1:11" x14ac:dyDescent="0.3">
      <c r="A16" s="6" t="s">
        <v>36</v>
      </c>
      <c r="B16" s="6" t="s">
        <v>37</v>
      </c>
      <c r="J16" s="6" t="s">
        <v>36</v>
      </c>
      <c r="K16" s="6" t="s">
        <v>37</v>
      </c>
    </row>
    <row r="17" spans="1:11" x14ac:dyDescent="0.3">
      <c r="A17" s="6" t="s">
        <v>38</v>
      </c>
      <c r="B17" s="6" t="s">
        <v>39</v>
      </c>
      <c r="J17" s="6" t="s">
        <v>38</v>
      </c>
      <c r="K17" s="6" t="s">
        <v>39</v>
      </c>
    </row>
    <row r="18" spans="1:11" x14ac:dyDescent="0.3">
      <c r="A18" s="6" t="s">
        <v>40</v>
      </c>
      <c r="B18" s="6" t="s">
        <v>41</v>
      </c>
      <c r="J18" s="6" t="s">
        <v>40</v>
      </c>
      <c r="K18" s="6" t="s">
        <v>41</v>
      </c>
    </row>
    <row r="19" spans="1:11" x14ac:dyDescent="0.3">
      <c r="A19" s="6" t="s">
        <v>42</v>
      </c>
      <c r="B19" s="6" t="s">
        <v>43</v>
      </c>
      <c r="J19" s="6" t="s">
        <v>42</v>
      </c>
      <c r="K19" s="6" t="s">
        <v>43</v>
      </c>
    </row>
    <row r="20" spans="1:11" x14ac:dyDescent="0.3">
      <c r="A20" s="6" t="s">
        <v>44</v>
      </c>
      <c r="B20" s="6" t="s">
        <v>45</v>
      </c>
      <c r="J20" s="6" t="s">
        <v>44</v>
      </c>
      <c r="K20" s="6" t="s">
        <v>45</v>
      </c>
    </row>
    <row r="21" spans="1:11" x14ac:dyDescent="0.3">
      <c r="A21" s="6" t="s">
        <v>46</v>
      </c>
      <c r="B21" s="6" t="s">
        <v>47</v>
      </c>
      <c r="J21" s="6" t="s">
        <v>46</v>
      </c>
      <c r="K21" s="6" t="s">
        <v>47</v>
      </c>
    </row>
    <row r="22" spans="1:11" x14ac:dyDescent="0.3">
      <c r="A22" s="6" t="s">
        <v>48</v>
      </c>
      <c r="B22" s="6" t="s">
        <v>49</v>
      </c>
      <c r="J22" s="6" t="s">
        <v>48</v>
      </c>
      <c r="K22" s="6" t="s">
        <v>49</v>
      </c>
    </row>
    <row r="23" spans="1:11" x14ac:dyDescent="0.3">
      <c r="A23" s="6" t="s">
        <v>50</v>
      </c>
      <c r="B23" s="6" t="s">
        <v>51</v>
      </c>
      <c r="J23" s="6" t="s">
        <v>50</v>
      </c>
      <c r="K23" s="6" t="s">
        <v>51</v>
      </c>
    </row>
    <row r="24" spans="1:11" x14ac:dyDescent="0.3">
      <c r="A24" s="6" t="s">
        <v>52</v>
      </c>
      <c r="B24" s="6" t="s">
        <v>53</v>
      </c>
      <c r="J24" s="6" t="s">
        <v>52</v>
      </c>
      <c r="K24" s="6" t="s">
        <v>53</v>
      </c>
    </row>
    <row r="25" spans="1:11" x14ac:dyDescent="0.3">
      <c r="A25" s="6" t="s">
        <v>54</v>
      </c>
      <c r="B25" s="6" t="s">
        <v>55</v>
      </c>
      <c r="J25" s="6" t="s">
        <v>54</v>
      </c>
      <c r="K25" s="6" t="s">
        <v>55</v>
      </c>
    </row>
    <row r="26" spans="1:11" x14ac:dyDescent="0.3">
      <c r="A26" s="6" t="s">
        <v>56</v>
      </c>
      <c r="B26" s="6" t="s">
        <v>57</v>
      </c>
      <c r="J26" s="6" t="s">
        <v>56</v>
      </c>
      <c r="K26" s="6" t="s">
        <v>57</v>
      </c>
    </row>
    <row r="27" spans="1:11" x14ac:dyDescent="0.3">
      <c r="A27" s="6" t="s">
        <v>58</v>
      </c>
      <c r="B27" s="6" t="s">
        <v>59</v>
      </c>
      <c r="J27" s="6" t="s">
        <v>58</v>
      </c>
      <c r="K27" s="6" t="s">
        <v>59</v>
      </c>
    </row>
    <row r="28" spans="1:11" x14ac:dyDescent="0.3">
      <c r="A28" s="6" t="s">
        <v>60</v>
      </c>
      <c r="B28" s="6" t="s">
        <v>61</v>
      </c>
      <c r="J28" s="6" t="s">
        <v>60</v>
      </c>
      <c r="K28" s="6" t="s">
        <v>61</v>
      </c>
    </row>
    <row r="29" spans="1:11" x14ac:dyDescent="0.3">
      <c r="A29" s="6" t="s">
        <v>62</v>
      </c>
      <c r="B29" s="6" t="s">
        <v>63</v>
      </c>
      <c r="J29" s="6" t="s">
        <v>62</v>
      </c>
      <c r="K29" s="6" t="s">
        <v>63</v>
      </c>
    </row>
    <row r="30" spans="1:11" x14ac:dyDescent="0.3">
      <c r="A30" s="6" t="s">
        <v>64</v>
      </c>
      <c r="B30" s="6" t="s">
        <v>65</v>
      </c>
      <c r="J30" s="6" t="s">
        <v>64</v>
      </c>
      <c r="K30" s="6" t="s">
        <v>65</v>
      </c>
    </row>
    <row r="31" spans="1:11" x14ac:dyDescent="0.3">
      <c r="A31" s="6" t="s">
        <v>66</v>
      </c>
      <c r="B31" s="6" t="s">
        <v>67</v>
      </c>
      <c r="J31" s="6" t="s">
        <v>66</v>
      </c>
      <c r="K31" s="6" t="s">
        <v>67</v>
      </c>
    </row>
    <row r="32" spans="1:11" x14ac:dyDescent="0.3">
      <c r="A32" s="6" t="s">
        <v>68</v>
      </c>
      <c r="B32" s="6" t="s">
        <v>69</v>
      </c>
      <c r="J32" s="6" t="s">
        <v>68</v>
      </c>
      <c r="K32" s="6" t="s">
        <v>69</v>
      </c>
    </row>
    <row r="33" spans="1:11" x14ac:dyDescent="0.3">
      <c r="A33" s="6" t="s">
        <v>70</v>
      </c>
      <c r="B33" s="6" t="s">
        <v>71</v>
      </c>
      <c r="J33" s="6" t="s">
        <v>70</v>
      </c>
      <c r="K33" s="6" t="s">
        <v>71</v>
      </c>
    </row>
    <row r="34" spans="1:11" x14ac:dyDescent="0.3">
      <c r="A34" s="6" t="s">
        <v>72</v>
      </c>
      <c r="B34" s="6" t="s">
        <v>73</v>
      </c>
      <c r="J34" s="6" t="s">
        <v>72</v>
      </c>
      <c r="K34" s="6" t="s">
        <v>73</v>
      </c>
    </row>
    <row r="35" spans="1:11" x14ac:dyDescent="0.3">
      <c r="A35" s="6" t="s">
        <v>74</v>
      </c>
      <c r="B35" s="6" t="s">
        <v>75</v>
      </c>
      <c r="J35" s="6" t="s">
        <v>74</v>
      </c>
      <c r="K35" s="6" t="s">
        <v>75</v>
      </c>
    </row>
    <row r="36" spans="1:11" x14ac:dyDescent="0.3">
      <c r="A36" s="6" t="s">
        <v>76</v>
      </c>
      <c r="B36" s="6" t="s">
        <v>77</v>
      </c>
      <c r="J36" s="6" t="s">
        <v>76</v>
      </c>
      <c r="K36" s="6" t="s">
        <v>77</v>
      </c>
    </row>
    <row r="37" spans="1:11" x14ac:dyDescent="0.3">
      <c r="A37" s="6" t="s">
        <v>78</v>
      </c>
      <c r="B37" s="6" t="s">
        <v>79</v>
      </c>
      <c r="J37" s="6" t="s">
        <v>78</v>
      </c>
      <c r="K37" s="6" t="s">
        <v>79</v>
      </c>
    </row>
    <row r="38" spans="1:11" x14ac:dyDescent="0.3">
      <c r="A38" s="6" t="s">
        <v>80</v>
      </c>
      <c r="B38" s="6" t="s">
        <v>81</v>
      </c>
      <c r="J38" s="6" t="s">
        <v>80</v>
      </c>
      <c r="K38" s="6" t="s">
        <v>81</v>
      </c>
    </row>
    <row r="39" spans="1:11" x14ac:dyDescent="0.3">
      <c r="A39" s="6" t="s">
        <v>82</v>
      </c>
      <c r="B39" s="6" t="s">
        <v>83</v>
      </c>
      <c r="J39" s="6" t="s">
        <v>82</v>
      </c>
      <c r="K39" s="6" t="s">
        <v>83</v>
      </c>
    </row>
    <row r="40" spans="1:11" x14ac:dyDescent="0.3">
      <c r="A40" s="6" t="s">
        <v>84</v>
      </c>
      <c r="B40" s="6" t="s">
        <v>85</v>
      </c>
      <c r="J40" s="6" t="s">
        <v>84</v>
      </c>
      <c r="K40" s="6" t="s">
        <v>85</v>
      </c>
    </row>
    <row r="41" spans="1:11" x14ac:dyDescent="0.3">
      <c r="A41" s="6" t="s">
        <v>86</v>
      </c>
      <c r="B41" s="6" t="s">
        <v>87</v>
      </c>
      <c r="J41" s="6" t="s">
        <v>86</v>
      </c>
      <c r="K41" s="6" t="s">
        <v>87</v>
      </c>
    </row>
    <row r="42" spans="1:11" x14ac:dyDescent="0.3">
      <c r="A42" s="6" t="s">
        <v>88</v>
      </c>
      <c r="B42" s="6" t="s">
        <v>89</v>
      </c>
      <c r="J42" s="6" t="s">
        <v>88</v>
      </c>
      <c r="K42" s="6" t="s">
        <v>89</v>
      </c>
    </row>
    <row r="43" spans="1:11" x14ac:dyDescent="0.3">
      <c r="A43" s="6" t="s">
        <v>90</v>
      </c>
      <c r="B43" s="6" t="s">
        <v>91</v>
      </c>
      <c r="J43" s="6" t="s">
        <v>90</v>
      </c>
      <c r="K43" s="6" t="s">
        <v>91</v>
      </c>
    </row>
    <row r="44" spans="1:11" x14ac:dyDescent="0.3">
      <c r="A44" s="6" t="s">
        <v>92</v>
      </c>
      <c r="B44" s="6" t="s">
        <v>93</v>
      </c>
      <c r="J44" s="6" t="s">
        <v>92</v>
      </c>
      <c r="K44" s="6" t="s">
        <v>93</v>
      </c>
    </row>
    <row r="45" spans="1:11" x14ac:dyDescent="0.3">
      <c r="A45" s="6" t="s">
        <v>94</v>
      </c>
      <c r="B45" s="6" t="s">
        <v>95</v>
      </c>
      <c r="J45" s="6" t="s">
        <v>94</v>
      </c>
      <c r="K45" s="6" t="s">
        <v>95</v>
      </c>
    </row>
    <row r="46" spans="1:11" x14ac:dyDescent="0.3">
      <c r="A46" s="6" t="s">
        <v>96</v>
      </c>
      <c r="B46" s="6" t="s">
        <v>97</v>
      </c>
      <c r="J46" s="6" t="s">
        <v>96</v>
      </c>
      <c r="K46" s="6" t="s">
        <v>97</v>
      </c>
    </row>
    <row r="47" spans="1:11" x14ac:dyDescent="0.3">
      <c r="A47" s="6" t="s">
        <v>98</v>
      </c>
      <c r="B47" s="6" t="s">
        <v>99</v>
      </c>
      <c r="J47" s="6" t="s">
        <v>98</v>
      </c>
      <c r="K47" s="6" t="s">
        <v>99</v>
      </c>
    </row>
    <row r="48" spans="1:11" x14ac:dyDescent="0.3">
      <c r="A48" s="6" t="s">
        <v>100</v>
      </c>
      <c r="B48" s="6" t="s">
        <v>101</v>
      </c>
      <c r="J48" s="6" t="s">
        <v>100</v>
      </c>
      <c r="K48" s="6" t="s">
        <v>101</v>
      </c>
    </row>
    <row r="49" spans="1:11" x14ac:dyDescent="0.3">
      <c r="A49" s="6" t="s">
        <v>102</v>
      </c>
      <c r="B49" s="6" t="s">
        <v>103</v>
      </c>
      <c r="J49" s="6" t="s">
        <v>102</v>
      </c>
      <c r="K49" s="6" t="s">
        <v>103</v>
      </c>
    </row>
    <row r="50" spans="1:11" x14ac:dyDescent="0.3">
      <c r="A50" s="6" t="s">
        <v>104</v>
      </c>
      <c r="B50" s="6" t="s">
        <v>105</v>
      </c>
      <c r="J50" s="6" t="s">
        <v>104</v>
      </c>
      <c r="K50" s="6" t="s">
        <v>105</v>
      </c>
    </row>
    <row r="51" spans="1:11" x14ac:dyDescent="0.3">
      <c r="A51" s="6" t="s">
        <v>106</v>
      </c>
      <c r="B51" s="6" t="s">
        <v>107</v>
      </c>
      <c r="J51" s="6" t="s">
        <v>106</v>
      </c>
      <c r="K51" s="6" t="s">
        <v>107</v>
      </c>
    </row>
    <row r="52" spans="1:11" x14ac:dyDescent="0.3">
      <c r="A52" s="6" t="s">
        <v>108</v>
      </c>
      <c r="B52" s="6" t="s">
        <v>109</v>
      </c>
      <c r="J52" s="6" t="s">
        <v>108</v>
      </c>
      <c r="K52" s="6" t="s">
        <v>109</v>
      </c>
    </row>
    <row r="53" spans="1:11" x14ac:dyDescent="0.3">
      <c r="A53" s="6" t="s">
        <v>110</v>
      </c>
      <c r="B53" s="6" t="s">
        <v>111</v>
      </c>
      <c r="J53" s="6" t="s">
        <v>110</v>
      </c>
      <c r="K53" s="6" t="s">
        <v>111</v>
      </c>
    </row>
    <row r="54" spans="1:11" x14ac:dyDescent="0.3">
      <c r="A54" s="6" t="s">
        <v>112</v>
      </c>
      <c r="B54" s="6" t="s">
        <v>113</v>
      </c>
      <c r="J54" s="6" t="s">
        <v>112</v>
      </c>
      <c r="K54" s="6" t="s">
        <v>113</v>
      </c>
    </row>
    <row r="55" spans="1:11" x14ac:dyDescent="0.3">
      <c r="A55" s="6" t="s">
        <v>114</v>
      </c>
      <c r="B55" s="6" t="s">
        <v>115</v>
      </c>
      <c r="J55" s="6" t="s">
        <v>114</v>
      </c>
      <c r="K55" s="6" t="s">
        <v>115</v>
      </c>
    </row>
    <row r="56" spans="1:11" x14ac:dyDescent="0.3">
      <c r="A56" s="6" t="s">
        <v>116</v>
      </c>
      <c r="B56" s="6" t="s">
        <v>117</v>
      </c>
      <c r="J56" s="6" t="s">
        <v>116</v>
      </c>
      <c r="K56" s="6" t="s">
        <v>117</v>
      </c>
    </row>
    <row r="57" spans="1:11" x14ac:dyDescent="0.3">
      <c r="A57" s="6" t="s">
        <v>118</v>
      </c>
      <c r="B57" s="6" t="s">
        <v>119</v>
      </c>
      <c r="J57" s="6" t="s">
        <v>118</v>
      </c>
      <c r="K57" s="6" t="s">
        <v>119</v>
      </c>
    </row>
    <row r="58" spans="1:11" x14ac:dyDescent="0.3">
      <c r="A58" s="6" t="s">
        <v>120</v>
      </c>
      <c r="B58" s="6" t="s">
        <v>121</v>
      </c>
      <c r="J58" s="6" t="s">
        <v>120</v>
      </c>
      <c r="K58" s="6" t="s">
        <v>121</v>
      </c>
    </row>
    <row r="59" spans="1:11" x14ac:dyDescent="0.3">
      <c r="A59" s="6" t="s">
        <v>122</v>
      </c>
      <c r="B59" s="6" t="s">
        <v>123</v>
      </c>
      <c r="J59" s="6" t="s">
        <v>122</v>
      </c>
      <c r="K59" s="6" t="s">
        <v>123</v>
      </c>
    </row>
    <row r="60" spans="1:11" x14ac:dyDescent="0.3">
      <c r="A60" s="6" t="s">
        <v>124</v>
      </c>
      <c r="B60" s="6" t="s">
        <v>125</v>
      </c>
      <c r="J60" s="6" t="s">
        <v>124</v>
      </c>
      <c r="K60" s="6" t="s">
        <v>125</v>
      </c>
    </row>
    <row r="61" spans="1:11" x14ac:dyDescent="0.3">
      <c r="A61" s="6" t="s">
        <v>126</v>
      </c>
      <c r="B61" s="6" t="s">
        <v>127</v>
      </c>
      <c r="J61" s="6" t="s">
        <v>126</v>
      </c>
      <c r="K61" s="6" t="s">
        <v>127</v>
      </c>
    </row>
    <row r="62" spans="1:11" x14ac:dyDescent="0.3">
      <c r="A62" s="6" t="s">
        <v>128</v>
      </c>
      <c r="B62" s="6" t="s">
        <v>129</v>
      </c>
      <c r="J62" s="6" t="s">
        <v>128</v>
      </c>
      <c r="K62" s="6" t="s">
        <v>129</v>
      </c>
    </row>
    <row r="63" spans="1:11" x14ac:dyDescent="0.3">
      <c r="A63" s="6" t="s">
        <v>130</v>
      </c>
      <c r="B63" s="6" t="s">
        <v>131</v>
      </c>
      <c r="J63" s="6" t="s">
        <v>130</v>
      </c>
      <c r="K63" s="6" t="s">
        <v>131</v>
      </c>
    </row>
    <row r="64" spans="1:11" x14ac:dyDescent="0.3">
      <c r="A64" s="6" t="s">
        <v>132</v>
      </c>
      <c r="B64" s="6" t="s">
        <v>133</v>
      </c>
      <c r="J64" s="6" t="s">
        <v>132</v>
      </c>
      <c r="K64" s="6" t="s">
        <v>133</v>
      </c>
    </row>
    <row r="65" spans="1:11" x14ac:dyDescent="0.3">
      <c r="A65" s="6" t="s">
        <v>134</v>
      </c>
      <c r="B65" s="6" t="s">
        <v>135</v>
      </c>
      <c r="J65" s="6" t="s">
        <v>134</v>
      </c>
      <c r="K65" s="6" t="s">
        <v>135</v>
      </c>
    </row>
    <row r="66" spans="1:11" x14ac:dyDescent="0.3">
      <c r="A66" s="6" t="s">
        <v>136</v>
      </c>
      <c r="B66" s="6" t="s">
        <v>137</v>
      </c>
      <c r="J66" s="6" t="s">
        <v>136</v>
      </c>
      <c r="K66" s="6" t="s">
        <v>137</v>
      </c>
    </row>
    <row r="67" spans="1:11" x14ac:dyDescent="0.3">
      <c r="A67" s="6" t="s">
        <v>138</v>
      </c>
      <c r="B67" s="6" t="s">
        <v>139</v>
      </c>
      <c r="J67" s="6" t="s">
        <v>138</v>
      </c>
      <c r="K67" s="6" t="s">
        <v>139</v>
      </c>
    </row>
    <row r="68" spans="1:11" x14ac:dyDescent="0.3">
      <c r="A68" s="6" t="s">
        <v>140</v>
      </c>
      <c r="B68" s="6" t="s">
        <v>141</v>
      </c>
      <c r="J68" s="6" t="s">
        <v>140</v>
      </c>
      <c r="K68" s="6" t="s">
        <v>141</v>
      </c>
    </row>
    <row r="69" spans="1:11" x14ac:dyDescent="0.3">
      <c r="A69" s="6" t="s">
        <v>142</v>
      </c>
      <c r="B69" s="6" t="s">
        <v>143</v>
      </c>
      <c r="J69" s="6" t="s">
        <v>142</v>
      </c>
      <c r="K69" s="6" t="s">
        <v>143</v>
      </c>
    </row>
    <row r="70" spans="1:11" x14ac:dyDescent="0.3">
      <c r="A70" s="6" t="s">
        <v>144</v>
      </c>
      <c r="B70" s="6" t="s">
        <v>145</v>
      </c>
      <c r="J70" s="6" t="s">
        <v>144</v>
      </c>
      <c r="K70" s="6" t="s">
        <v>145</v>
      </c>
    </row>
    <row r="71" spans="1:11" x14ac:dyDescent="0.3">
      <c r="A71" s="6" t="s">
        <v>146</v>
      </c>
      <c r="B71" s="6" t="s">
        <v>147</v>
      </c>
      <c r="J71" s="6" t="s">
        <v>146</v>
      </c>
      <c r="K71" s="6" t="s">
        <v>147</v>
      </c>
    </row>
    <row r="72" spans="1:11" x14ac:dyDescent="0.3">
      <c r="A72" s="6" t="s">
        <v>148</v>
      </c>
      <c r="B72" s="6" t="s">
        <v>149</v>
      </c>
      <c r="J72" s="6" t="s">
        <v>148</v>
      </c>
      <c r="K72" s="6" t="s">
        <v>149</v>
      </c>
    </row>
    <row r="73" spans="1:11" x14ac:dyDescent="0.3">
      <c r="A73" s="6" t="s">
        <v>150</v>
      </c>
      <c r="B73" s="6" t="s">
        <v>151</v>
      </c>
      <c r="J73" s="6" t="s">
        <v>150</v>
      </c>
      <c r="K73" s="6" t="s">
        <v>151</v>
      </c>
    </row>
    <row r="74" spans="1:11" x14ac:dyDescent="0.3">
      <c r="A74" s="6" t="s">
        <v>152</v>
      </c>
      <c r="B74" s="6" t="s">
        <v>153</v>
      </c>
      <c r="J74" s="6" t="s">
        <v>152</v>
      </c>
      <c r="K74" s="6" t="s">
        <v>153</v>
      </c>
    </row>
    <row r="75" spans="1:11" x14ac:dyDescent="0.3">
      <c r="A75" s="6" t="s">
        <v>154</v>
      </c>
      <c r="B75" s="6" t="s">
        <v>155</v>
      </c>
      <c r="J75" s="6" t="s">
        <v>154</v>
      </c>
      <c r="K75" s="6" t="s">
        <v>155</v>
      </c>
    </row>
    <row r="76" spans="1:11" x14ac:dyDescent="0.3">
      <c r="A76" s="6" t="s">
        <v>156</v>
      </c>
      <c r="B76" s="6" t="s">
        <v>157</v>
      </c>
      <c r="J76" s="6" t="s">
        <v>156</v>
      </c>
      <c r="K76" s="6" t="s">
        <v>157</v>
      </c>
    </row>
    <row r="77" spans="1:11" x14ac:dyDescent="0.3">
      <c r="A77" s="6" t="s">
        <v>158</v>
      </c>
      <c r="B77" s="6" t="s">
        <v>159</v>
      </c>
      <c r="J77" s="6" t="s">
        <v>158</v>
      </c>
      <c r="K77" s="6" t="s">
        <v>159</v>
      </c>
    </row>
    <row r="78" spans="1:11" x14ac:dyDescent="0.3">
      <c r="A78" s="6" t="s">
        <v>160</v>
      </c>
      <c r="B78" s="6" t="s">
        <v>161</v>
      </c>
      <c r="J78" s="6" t="s">
        <v>160</v>
      </c>
      <c r="K78" s="6" t="s">
        <v>161</v>
      </c>
    </row>
    <row r="79" spans="1:11" x14ac:dyDescent="0.3">
      <c r="A79" s="6" t="s">
        <v>162</v>
      </c>
      <c r="B79" s="6" t="s">
        <v>163</v>
      </c>
      <c r="J79" s="6" t="s">
        <v>162</v>
      </c>
      <c r="K79" s="6" t="s">
        <v>163</v>
      </c>
    </row>
    <row r="80" spans="1:11" x14ac:dyDescent="0.3">
      <c r="A80" s="6" t="s">
        <v>164</v>
      </c>
      <c r="B80" s="6" t="s">
        <v>165</v>
      </c>
      <c r="J80" s="6" t="s">
        <v>164</v>
      </c>
      <c r="K80" s="6" t="s">
        <v>165</v>
      </c>
    </row>
    <row r="81" spans="1:11" x14ac:dyDescent="0.3">
      <c r="A81" s="6" t="s">
        <v>166</v>
      </c>
      <c r="B81" s="6" t="s">
        <v>167</v>
      </c>
      <c r="J81" s="6" t="s">
        <v>166</v>
      </c>
      <c r="K81" s="6" t="s">
        <v>167</v>
      </c>
    </row>
    <row r="82" spans="1:11" x14ac:dyDescent="0.3">
      <c r="A82" s="6" t="s">
        <v>168</v>
      </c>
      <c r="B82" s="6" t="s">
        <v>169</v>
      </c>
      <c r="J82" s="6" t="s">
        <v>168</v>
      </c>
      <c r="K82" s="6" t="s">
        <v>169</v>
      </c>
    </row>
    <row r="83" spans="1:11" x14ac:dyDescent="0.3">
      <c r="A83" s="6" t="s">
        <v>170</v>
      </c>
      <c r="B83" s="6" t="s">
        <v>171</v>
      </c>
      <c r="J83" s="6" t="s">
        <v>170</v>
      </c>
      <c r="K83" s="6" t="s">
        <v>171</v>
      </c>
    </row>
    <row r="84" spans="1:11" x14ac:dyDescent="0.3">
      <c r="A84" s="6" t="s">
        <v>172</v>
      </c>
      <c r="B84" s="6" t="s">
        <v>173</v>
      </c>
      <c r="J84" s="6" t="s">
        <v>172</v>
      </c>
      <c r="K84" s="6" t="s">
        <v>173</v>
      </c>
    </row>
    <row r="85" spans="1:11" x14ac:dyDescent="0.3">
      <c r="A85" s="6" t="s">
        <v>174</v>
      </c>
      <c r="B85" s="6" t="s">
        <v>175</v>
      </c>
      <c r="J85" s="6" t="s">
        <v>174</v>
      </c>
      <c r="K85" s="6" t="s">
        <v>175</v>
      </c>
    </row>
    <row r="86" spans="1:11" x14ac:dyDescent="0.3">
      <c r="A86" s="6" t="s">
        <v>176</v>
      </c>
      <c r="B86" s="6" t="s">
        <v>177</v>
      </c>
      <c r="J86" s="6" t="s">
        <v>176</v>
      </c>
      <c r="K86" s="6" t="s">
        <v>177</v>
      </c>
    </row>
    <row r="87" spans="1:11" x14ac:dyDescent="0.3">
      <c r="A87" s="6" t="s">
        <v>178</v>
      </c>
      <c r="B87" s="6" t="s">
        <v>179</v>
      </c>
      <c r="J87" s="6" t="s">
        <v>178</v>
      </c>
      <c r="K87" s="6" t="s">
        <v>179</v>
      </c>
    </row>
    <row r="88" spans="1:11" x14ac:dyDescent="0.3">
      <c r="A88" s="6" t="s">
        <v>180</v>
      </c>
      <c r="B88" s="6" t="s">
        <v>181</v>
      </c>
      <c r="J88" s="6" t="s">
        <v>180</v>
      </c>
      <c r="K88" s="6" t="s">
        <v>181</v>
      </c>
    </row>
    <row r="89" spans="1:11" x14ac:dyDescent="0.3">
      <c r="A89" s="6" t="s">
        <v>182</v>
      </c>
      <c r="B89" s="6" t="s">
        <v>183</v>
      </c>
      <c r="J89" s="6" t="s">
        <v>182</v>
      </c>
      <c r="K89" s="6" t="s">
        <v>183</v>
      </c>
    </row>
    <row r="90" spans="1:11" x14ac:dyDescent="0.3">
      <c r="A90" s="6" t="s">
        <v>184</v>
      </c>
      <c r="B90" s="6" t="s">
        <v>185</v>
      </c>
      <c r="J90" s="6" t="s">
        <v>184</v>
      </c>
      <c r="K90" s="6" t="s">
        <v>185</v>
      </c>
    </row>
    <row r="91" spans="1:11" x14ac:dyDescent="0.3">
      <c r="A91" s="6" t="s">
        <v>186</v>
      </c>
      <c r="B91" s="6" t="s">
        <v>187</v>
      </c>
      <c r="J91" s="6" t="s">
        <v>186</v>
      </c>
      <c r="K91" s="6" t="s">
        <v>187</v>
      </c>
    </row>
    <row r="92" spans="1:11" x14ac:dyDescent="0.3">
      <c r="A92" s="6" t="s">
        <v>188</v>
      </c>
      <c r="B92" s="6" t="s">
        <v>189</v>
      </c>
      <c r="J92" s="6" t="s">
        <v>188</v>
      </c>
      <c r="K92" s="6" t="s">
        <v>189</v>
      </c>
    </row>
    <row r="93" spans="1:11" x14ac:dyDescent="0.3">
      <c r="A93" s="6" t="s">
        <v>190</v>
      </c>
      <c r="B93" s="6" t="s">
        <v>191</v>
      </c>
      <c r="J93" s="6" t="s">
        <v>190</v>
      </c>
      <c r="K93" s="6" t="s">
        <v>191</v>
      </c>
    </row>
    <row r="94" spans="1:11" x14ac:dyDescent="0.3">
      <c r="A94" s="6" t="s">
        <v>192</v>
      </c>
      <c r="B94" s="6" t="s">
        <v>193</v>
      </c>
      <c r="J94" s="6" t="s">
        <v>192</v>
      </c>
      <c r="K94" s="6" t="s">
        <v>193</v>
      </c>
    </row>
    <row r="95" spans="1:11" x14ac:dyDescent="0.3">
      <c r="A95" s="6" t="s">
        <v>194</v>
      </c>
      <c r="B95" s="6" t="s">
        <v>195</v>
      </c>
      <c r="J95" s="6" t="s">
        <v>194</v>
      </c>
      <c r="K95" s="6" t="s">
        <v>195</v>
      </c>
    </row>
    <row r="96" spans="1:11" x14ac:dyDescent="0.3">
      <c r="A96" s="6" t="s">
        <v>196</v>
      </c>
      <c r="B96" s="6" t="s">
        <v>197</v>
      </c>
      <c r="J96" s="6" t="s">
        <v>196</v>
      </c>
      <c r="K96" s="6" t="s">
        <v>197</v>
      </c>
    </row>
    <row r="97" spans="1:11" x14ac:dyDescent="0.3">
      <c r="A97" s="6" t="s">
        <v>198</v>
      </c>
      <c r="B97" s="6" t="s">
        <v>199</v>
      </c>
      <c r="J97" s="6" t="s">
        <v>198</v>
      </c>
      <c r="K97" s="6" t="s">
        <v>199</v>
      </c>
    </row>
    <row r="98" spans="1:11" x14ac:dyDescent="0.3">
      <c r="A98" s="6" t="s">
        <v>200</v>
      </c>
      <c r="B98" s="6" t="s">
        <v>201</v>
      </c>
      <c r="J98" s="6" t="s">
        <v>200</v>
      </c>
      <c r="K98" s="6" t="s">
        <v>201</v>
      </c>
    </row>
    <row r="99" spans="1:11" x14ac:dyDescent="0.3">
      <c r="A99" s="6" t="s">
        <v>202</v>
      </c>
      <c r="B99" s="6" t="s">
        <v>203</v>
      </c>
      <c r="J99" s="6" t="s">
        <v>202</v>
      </c>
      <c r="K99" s="6" t="s">
        <v>203</v>
      </c>
    </row>
    <row r="100" spans="1:11" x14ac:dyDescent="0.3">
      <c r="A100" s="6" t="s">
        <v>204</v>
      </c>
      <c r="B100" s="6" t="s">
        <v>205</v>
      </c>
      <c r="J100" s="6" t="s">
        <v>204</v>
      </c>
      <c r="K100" s="6" t="s">
        <v>205</v>
      </c>
    </row>
    <row r="101" spans="1:11" x14ac:dyDescent="0.3">
      <c r="A101" s="6" t="s">
        <v>206</v>
      </c>
      <c r="B101" s="6" t="s">
        <v>207</v>
      </c>
      <c r="J101" s="6" t="s">
        <v>206</v>
      </c>
      <c r="K101" s="6" t="s">
        <v>207</v>
      </c>
    </row>
    <row r="102" spans="1:11" x14ac:dyDescent="0.3">
      <c r="A102" s="6" t="s">
        <v>208</v>
      </c>
      <c r="B102" s="6" t="s">
        <v>209</v>
      </c>
      <c r="J102" s="6" t="s">
        <v>208</v>
      </c>
      <c r="K102" s="6" t="s">
        <v>209</v>
      </c>
    </row>
    <row r="103" spans="1:11" x14ac:dyDescent="0.3">
      <c r="A103" s="6" t="s">
        <v>210</v>
      </c>
      <c r="B103" s="6" t="s">
        <v>211</v>
      </c>
      <c r="J103" s="6" t="s">
        <v>210</v>
      </c>
      <c r="K103" s="6" t="s">
        <v>211</v>
      </c>
    </row>
    <row r="104" spans="1:11" x14ac:dyDescent="0.3">
      <c r="A104" s="6" t="s">
        <v>212</v>
      </c>
      <c r="B104" s="6" t="s">
        <v>213</v>
      </c>
      <c r="J104" s="6" t="s">
        <v>212</v>
      </c>
      <c r="K104" s="6" t="s">
        <v>213</v>
      </c>
    </row>
    <row r="105" spans="1:11" x14ac:dyDescent="0.3">
      <c r="A105" s="6" t="s">
        <v>214</v>
      </c>
      <c r="B105" s="6" t="s">
        <v>215</v>
      </c>
      <c r="J105" s="6" t="s">
        <v>214</v>
      </c>
      <c r="K105" s="6" t="s">
        <v>215</v>
      </c>
    </row>
    <row r="106" spans="1:11" x14ac:dyDescent="0.3">
      <c r="A106" s="6" t="s">
        <v>216</v>
      </c>
      <c r="B106" s="6" t="s">
        <v>217</v>
      </c>
      <c r="J106" s="6" t="s">
        <v>216</v>
      </c>
      <c r="K106" s="6" t="s">
        <v>217</v>
      </c>
    </row>
    <row r="107" spans="1:11" x14ac:dyDescent="0.3">
      <c r="A107" s="6" t="s">
        <v>218</v>
      </c>
      <c r="B107" s="6" t="s">
        <v>219</v>
      </c>
      <c r="J107" s="6" t="s">
        <v>218</v>
      </c>
      <c r="K107" s="6" t="s">
        <v>219</v>
      </c>
    </row>
    <row r="108" spans="1:11" x14ac:dyDescent="0.3">
      <c r="A108" s="6" t="s">
        <v>220</v>
      </c>
      <c r="B108" s="6" t="s">
        <v>221</v>
      </c>
      <c r="J108" s="6" t="s">
        <v>220</v>
      </c>
      <c r="K108" s="6" t="s">
        <v>221</v>
      </c>
    </row>
    <row r="109" spans="1:11" x14ac:dyDescent="0.3">
      <c r="A109" s="6" t="s">
        <v>222</v>
      </c>
      <c r="B109" s="6" t="s">
        <v>223</v>
      </c>
      <c r="J109" s="6" t="s">
        <v>222</v>
      </c>
      <c r="K109" s="6" t="s">
        <v>223</v>
      </c>
    </row>
    <row r="110" spans="1:11" x14ac:dyDescent="0.3">
      <c r="A110" s="6" t="s">
        <v>224</v>
      </c>
      <c r="B110" s="6" t="s">
        <v>225</v>
      </c>
      <c r="J110" s="6" t="s">
        <v>224</v>
      </c>
      <c r="K110" s="6" t="s">
        <v>225</v>
      </c>
    </row>
    <row r="111" spans="1:11" x14ac:dyDescent="0.3">
      <c r="A111" s="6" t="s">
        <v>226</v>
      </c>
      <c r="B111" s="6" t="s">
        <v>227</v>
      </c>
      <c r="J111" s="6" t="s">
        <v>226</v>
      </c>
      <c r="K111" s="6" t="s">
        <v>227</v>
      </c>
    </row>
    <row r="112" spans="1:11" x14ac:dyDescent="0.3">
      <c r="A112" s="6" t="s">
        <v>228</v>
      </c>
      <c r="B112" s="6" t="s">
        <v>229</v>
      </c>
      <c r="J112" s="6" t="s">
        <v>228</v>
      </c>
      <c r="K112" s="6" t="s">
        <v>229</v>
      </c>
    </row>
    <row r="113" spans="1:11" x14ac:dyDescent="0.3">
      <c r="A113" s="6" t="s">
        <v>230</v>
      </c>
      <c r="B113" s="6" t="s">
        <v>231</v>
      </c>
      <c r="J113" s="6" t="s">
        <v>230</v>
      </c>
      <c r="K113" s="6" t="s">
        <v>231</v>
      </c>
    </row>
    <row r="114" spans="1:11" x14ac:dyDescent="0.3">
      <c r="A114" s="6" t="s">
        <v>232</v>
      </c>
      <c r="B114" s="6" t="s">
        <v>233</v>
      </c>
      <c r="J114" s="6" t="s">
        <v>232</v>
      </c>
      <c r="K114" s="6" t="s">
        <v>233</v>
      </c>
    </row>
    <row r="115" spans="1:11" x14ac:dyDescent="0.3">
      <c r="A115" s="6" t="s">
        <v>234</v>
      </c>
      <c r="B115" s="6" t="s">
        <v>235</v>
      </c>
      <c r="J115" s="6" t="s">
        <v>234</v>
      </c>
      <c r="K115" s="6" t="s">
        <v>235</v>
      </c>
    </row>
    <row r="116" spans="1:11" x14ac:dyDescent="0.3">
      <c r="A116" s="6" t="s">
        <v>236</v>
      </c>
      <c r="B116" s="6" t="s">
        <v>237</v>
      </c>
      <c r="J116" s="6" t="s">
        <v>236</v>
      </c>
      <c r="K116" s="6" t="s">
        <v>237</v>
      </c>
    </row>
    <row r="117" spans="1:11" x14ac:dyDescent="0.3">
      <c r="A117" s="6" t="s">
        <v>238</v>
      </c>
      <c r="B117" s="6" t="s">
        <v>239</v>
      </c>
      <c r="J117" s="6" t="s">
        <v>238</v>
      </c>
      <c r="K117" s="6" t="s">
        <v>239</v>
      </c>
    </row>
    <row r="118" spans="1:11" x14ac:dyDescent="0.3">
      <c r="A118" s="6" t="s">
        <v>240</v>
      </c>
      <c r="B118" s="6" t="s">
        <v>241</v>
      </c>
      <c r="J118" s="6" t="s">
        <v>240</v>
      </c>
      <c r="K118" s="6" t="s">
        <v>241</v>
      </c>
    </row>
    <row r="119" spans="1:11" x14ac:dyDescent="0.3">
      <c r="A119" s="6" t="s">
        <v>242</v>
      </c>
      <c r="B119" s="6" t="s">
        <v>243</v>
      </c>
      <c r="J119" s="6" t="s">
        <v>242</v>
      </c>
      <c r="K119" s="6" t="s">
        <v>243</v>
      </c>
    </row>
    <row r="120" spans="1:11" x14ac:dyDescent="0.3">
      <c r="A120" s="6" t="s">
        <v>244</v>
      </c>
      <c r="B120" s="6" t="s">
        <v>245</v>
      </c>
      <c r="J120" s="6" t="s">
        <v>244</v>
      </c>
      <c r="K120" s="6" t="s">
        <v>245</v>
      </c>
    </row>
    <row r="121" spans="1:11" x14ac:dyDescent="0.3">
      <c r="A121" s="6" t="s">
        <v>246</v>
      </c>
      <c r="B121" s="6" t="s">
        <v>247</v>
      </c>
      <c r="J121" s="6" t="s">
        <v>246</v>
      </c>
      <c r="K121" s="6" t="s">
        <v>247</v>
      </c>
    </row>
    <row r="122" spans="1:11" x14ac:dyDescent="0.3">
      <c r="A122" s="6" t="s">
        <v>248</v>
      </c>
      <c r="B122" s="6" t="s">
        <v>249</v>
      </c>
      <c r="J122" s="6" t="s">
        <v>248</v>
      </c>
      <c r="K122" s="6" t="s">
        <v>249</v>
      </c>
    </row>
    <row r="123" spans="1:11" x14ac:dyDescent="0.3">
      <c r="A123" s="6" t="s">
        <v>250</v>
      </c>
      <c r="B123" s="6" t="s">
        <v>251</v>
      </c>
      <c r="J123" s="6" t="s">
        <v>250</v>
      </c>
      <c r="K123" s="6" t="s">
        <v>251</v>
      </c>
    </row>
    <row r="124" spans="1:11" x14ac:dyDescent="0.3">
      <c r="A124" s="6" t="s">
        <v>252</v>
      </c>
      <c r="B124" s="6" t="s">
        <v>253</v>
      </c>
      <c r="J124" s="6" t="s">
        <v>252</v>
      </c>
      <c r="K124" s="6" t="s">
        <v>253</v>
      </c>
    </row>
    <row r="125" spans="1:11" x14ac:dyDescent="0.3">
      <c r="A125" s="6" t="s">
        <v>254</v>
      </c>
      <c r="B125" s="6" t="s">
        <v>255</v>
      </c>
      <c r="J125" s="6" t="s">
        <v>254</v>
      </c>
      <c r="K125" s="6" t="s">
        <v>255</v>
      </c>
    </row>
    <row r="126" spans="1:11" x14ac:dyDescent="0.3">
      <c r="A126" s="6" t="s">
        <v>256</v>
      </c>
      <c r="B126" s="6" t="s">
        <v>257</v>
      </c>
      <c r="J126" s="6" t="s">
        <v>256</v>
      </c>
      <c r="K126" s="6" t="s">
        <v>257</v>
      </c>
    </row>
    <row r="127" spans="1:11" x14ac:dyDescent="0.3">
      <c r="A127" s="6" t="s">
        <v>258</v>
      </c>
      <c r="B127" s="6" t="s">
        <v>259</v>
      </c>
      <c r="J127" s="6" t="s">
        <v>258</v>
      </c>
      <c r="K127" s="6" t="s">
        <v>259</v>
      </c>
    </row>
    <row r="128" spans="1:11" x14ac:dyDescent="0.3">
      <c r="A128" s="6" t="s">
        <v>260</v>
      </c>
      <c r="B128" s="6" t="s">
        <v>261</v>
      </c>
      <c r="J128" s="6" t="s">
        <v>260</v>
      </c>
      <c r="K128" s="6" t="s">
        <v>261</v>
      </c>
    </row>
    <row r="129" spans="1:11" x14ac:dyDescent="0.3">
      <c r="A129" s="6" t="s">
        <v>262</v>
      </c>
      <c r="B129" s="6" t="s">
        <v>263</v>
      </c>
      <c r="J129" s="6" t="s">
        <v>262</v>
      </c>
      <c r="K129" s="6" t="s">
        <v>263</v>
      </c>
    </row>
    <row r="130" spans="1:11" x14ac:dyDescent="0.3">
      <c r="A130" s="6" t="s">
        <v>264</v>
      </c>
      <c r="B130" s="6" t="s">
        <v>265</v>
      </c>
      <c r="J130" s="6" t="s">
        <v>264</v>
      </c>
      <c r="K130" s="6" t="s">
        <v>265</v>
      </c>
    </row>
    <row r="131" spans="1:11" x14ac:dyDescent="0.3">
      <c r="A131" s="6" t="s">
        <v>266</v>
      </c>
      <c r="B131" s="6" t="s">
        <v>267</v>
      </c>
      <c r="J131" s="6" t="s">
        <v>266</v>
      </c>
      <c r="K131" s="6" t="s">
        <v>267</v>
      </c>
    </row>
    <row r="132" spans="1:11" x14ac:dyDescent="0.3">
      <c r="A132" s="6" t="s">
        <v>268</v>
      </c>
      <c r="B132" s="6" t="s">
        <v>269</v>
      </c>
      <c r="J132" s="6" t="s">
        <v>268</v>
      </c>
      <c r="K132" s="6" t="s">
        <v>269</v>
      </c>
    </row>
    <row r="133" spans="1:11" x14ac:dyDescent="0.3">
      <c r="A133" s="6" t="s">
        <v>270</v>
      </c>
      <c r="B133" s="6" t="s">
        <v>271</v>
      </c>
      <c r="J133" s="6" t="s">
        <v>270</v>
      </c>
      <c r="K133" s="6" t="s">
        <v>271</v>
      </c>
    </row>
    <row r="134" spans="1:11" x14ac:dyDescent="0.3">
      <c r="A134" s="6" t="s">
        <v>272</v>
      </c>
      <c r="B134" s="6" t="s">
        <v>273</v>
      </c>
      <c r="J134" s="6" t="s">
        <v>272</v>
      </c>
      <c r="K134" s="6" t="s">
        <v>273</v>
      </c>
    </row>
    <row r="135" spans="1:11" x14ac:dyDescent="0.3">
      <c r="A135" s="6" t="s">
        <v>274</v>
      </c>
      <c r="B135" s="6" t="s">
        <v>275</v>
      </c>
      <c r="J135" s="6" t="s">
        <v>274</v>
      </c>
      <c r="K135" s="6" t="s">
        <v>275</v>
      </c>
    </row>
    <row r="136" spans="1:11" x14ac:dyDescent="0.3">
      <c r="A136" s="6" t="s">
        <v>276</v>
      </c>
      <c r="B136" s="6" t="s">
        <v>277</v>
      </c>
      <c r="J136" s="6" t="s">
        <v>276</v>
      </c>
      <c r="K136" s="6" t="s">
        <v>277</v>
      </c>
    </row>
    <row r="137" spans="1:11" x14ac:dyDescent="0.3">
      <c r="A137" s="6" t="s">
        <v>278</v>
      </c>
      <c r="B137" s="6" t="s">
        <v>279</v>
      </c>
      <c r="J137" s="6" t="s">
        <v>278</v>
      </c>
      <c r="K137" s="6" t="s">
        <v>279</v>
      </c>
    </row>
    <row r="138" spans="1:11" x14ac:dyDescent="0.3">
      <c r="A138" s="6" t="s">
        <v>280</v>
      </c>
      <c r="B138" s="6" t="s">
        <v>281</v>
      </c>
      <c r="J138" s="6" t="s">
        <v>280</v>
      </c>
      <c r="K138" s="6" t="s">
        <v>281</v>
      </c>
    </row>
    <row r="139" spans="1:11" x14ac:dyDescent="0.3">
      <c r="A139" s="6" t="s">
        <v>282</v>
      </c>
      <c r="B139" s="6" t="s">
        <v>283</v>
      </c>
      <c r="J139" s="6" t="s">
        <v>282</v>
      </c>
      <c r="K139" s="6" t="s">
        <v>283</v>
      </c>
    </row>
    <row r="140" spans="1:11" x14ac:dyDescent="0.3">
      <c r="A140" s="6" t="s">
        <v>284</v>
      </c>
      <c r="B140" s="6" t="s">
        <v>285</v>
      </c>
      <c r="J140" s="6" t="s">
        <v>284</v>
      </c>
      <c r="K140" s="6" t="s">
        <v>285</v>
      </c>
    </row>
    <row r="141" spans="1:11" x14ac:dyDescent="0.3">
      <c r="A141" s="6" t="s">
        <v>286</v>
      </c>
      <c r="B141" s="6" t="s">
        <v>287</v>
      </c>
      <c r="J141" s="6" t="s">
        <v>286</v>
      </c>
      <c r="K141" s="6" t="s">
        <v>287</v>
      </c>
    </row>
    <row r="142" spans="1:11" x14ac:dyDescent="0.3">
      <c r="A142" s="6" t="s">
        <v>288</v>
      </c>
      <c r="B142" s="6" t="s">
        <v>289</v>
      </c>
      <c r="J142" s="6" t="s">
        <v>288</v>
      </c>
      <c r="K142" s="6" t="s">
        <v>289</v>
      </c>
    </row>
    <row r="143" spans="1:11" x14ac:dyDescent="0.3">
      <c r="A143" s="6" t="s">
        <v>290</v>
      </c>
      <c r="B143" s="6" t="s">
        <v>291</v>
      </c>
      <c r="J143" s="6" t="s">
        <v>290</v>
      </c>
      <c r="K143" s="6" t="s">
        <v>291</v>
      </c>
    </row>
    <row r="144" spans="1:11" x14ac:dyDescent="0.3">
      <c r="A144" s="6" t="s">
        <v>292</v>
      </c>
      <c r="B144" s="6" t="s">
        <v>293</v>
      </c>
      <c r="J144" s="6" t="s">
        <v>292</v>
      </c>
      <c r="K144" s="6" t="s">
        <v>293</v>
      </c>
    </row>
    <row r="145" spans="1:11" x14ac:dyDescent="0.3">
      <c r="A145" s="6" t="s">
        <v>294</v>
      </c>
      <c r="B145" s="6" t="s">
        <v>295</v>
      </c>
      <c r="J145" s="6" t="s">
        <v>294</v>
      </c>
      <c r="K145" s="6" t="s">
        <v>295</v>
      </c>
    </row>
    <row r="146" spans="1:11" x14ac:dyDescent="0.3">
      <c r="A146" s="6" t="s">
        <v>296</v>
      </c>
      <c r="B146" s="6" t="s">
        <v>297</v>
      </c>
      <c r="J146" s="6" t="s">
        <v>296</v>
      </c>
      <c r="K146" s="6" t="s">
        <v>297</v>
      </c>
    </row>
    <row r="147" spans="1:11" x14ac:dyDescent="0.3">
      <c r="A147" s="6" t="s">
        <v>298</v>
      </c>
      <c r="B147" s="6" t="s">
        <v>299</v>
      </c>
      <c r="J147" s="6" t="s">
        <v>298</v>
      </c>
      <c r="K147" s="6" t="s">
        <v>299</v>
      </c>
    </row>
    <row r="148" spans="1:11" x14ac:dyDescent="0.3">
      <c r="A148" s="6" t="s">
        <v>300</v>
      </c>
      <c r="B148" s="6" t="s">
        <v>301</v>
      </c>
      <c r="J148" s="6" t="s">
        <v>300</v>
      </c>
      <c r="K148" s="6" t="s">
        <v>301</v>
      </c>
    </row>
    <row r="149" spans="1:11" x14ac:dyDescent="0.3">
      <c r="A149" s="6" t="s">
        <v>302</v>
      </c>
      <c r="B149" s="6" t="s">
        <v>303</v>
      </c>
      <c r="J149" s="6" t="s">
        <v>302</v>
      </c>
      <c r="K149" s="6" t="s">
        <v>303</v>
      </c>
    </row>
    <row r="150" spans="1:11" x14ac:dyDescent="0.3">
      <c r="A150" s="6" t="s">
        <v>304</v>
      </c>
      <c r="B150" s="6" t="s">
        <v>305</v>
      </c>
      <c r="J150" s="6" t="s">
        <v>304</v>
      </c>
      <c r="K150" s="6" t="s">
        <v>305</v>
      </c>
    </row>
    <row r="151" spans="1:11" x14ac:dyDescent="0.3">
      <c r="A151" s="6" t="s">
        <v>306</v>
      </c>
      <c r="B151" s="6" t="s">
        <v>307</v>
      </c>
      <c r="J151" s="6" t="s">
        <v>306</v>
      </c>
      <c r="K151" s="6" t="s">
        <v>307</v>
      </c>
    </row>
    <row r="152" spans="1:11" x14ac:dyDescent="0.3">
      <c r="A152" s="6" t="s">
        <v>308</v>
      </c>
      <c r="B152" s="6" t="s">
        <v>309</v>
      </c>
      <c r="J152" s="6" t="s">
        <v>308</v>
      </c>
      <c r="K152" s="6" t="s">
        <v>309</v>
      </c>
    </row>
    <row r="153" spans="1:11" x14ac:dyDescent="0.3">
      <c r="A153" s="6" t="s">
        <v>310</v>
      </c>
      <c r="B153" s="6" t="s">
        <v>311</v>
      </c>
      <c r="J153" s="6" t="s">
        <v>310</v>
      </c>
      <c r="K153" s="6" t="s">
        <v>311</v>
      </c>
    </row>
    <row r="154" spans="1:11" x14ac:dyDescent="0.3">
      <c r="A154" s="6" t="s">
        <v>312</v>
      </c>
      <c r="B154" s="6" t="s">
        <v>313</v>
      </c>
      <c r="J154" s="6" t="s">
        <v>312</v>
      </c>
      <c r="K154" s="6" t="s">
        <v>313</v>
      </c>
    </row>
    <row r="155" spans="1:11" x14ac:dyDescent="0.3">
      <c r="A155" s="6" t="s">
        <v>314</v>
      </c>
      <c r="B155" s="6" t="s">
        <v>315</v>
      </c>
      <c r="J155" s="6" t="s">
        <v>314</v>
      </c>
      <c r="K155" s="6" t="s">
        <v>315</v>
      </c>
    </row>
    <row r="156" spans="1:11" x14ac:dyDescent="0.3">
      <c r="A156" s="6" t="s">
        <v>316</v>
      </c>
      <c r="B156" s="6" t="s">
        <v>317</v>
      </c>
      <c r="J156" s="6" t="s">
        <v>316</v>
      </c>
      <c r="K156" s="6" t="s">
        <v>317</v>
      </c>
    </row>
    <row r="157" spans="1:11" x14ac:dyDescent="0.3">
      <c r="A157" s="6" t="s">
        <v>318</v>
      </c>
      <c r="B157" s="6" t="s">
        <v>319</v>
      </c>
      <c r="J157" s="6" t="s">
        <v>318</v>
      </c>
      <c r="K157" s="6" t="s">
        <v>319</v>
      </c>
    </row>
    <row r="158" spans="1:11" x14ac:dyDescent="0.3">
      <c r="A158" s="6" t="s">
        <v>320</v>
      </c>
      <c r="B158" s="6" t="s">
        <v>321</v>
      </c>
      <c r="J158" s="6" t="s">
        <v>320</v>
      </c>
      <c r="K158" s="6" t="s">
        <v>321</v>
      </c>
    </row>
    <row r="159" spans="1:11" x14ac:dyDescent="0.3">
      <c r="A159" s="6" t="s">
        <v>322</v>
      </c>
      <c r="B159" s="6" t="s">
        <v>323</v>
      </c>
      <c r="J159" s="6" t="s">
        <v>322</v>
      </c>
      <c r="K159" s="6" t="s">
        <v>323</v>
      </c>
    </row>
    <row r="160" spans="1:11" x14ac:dyDescent="0.3">
      <c r="A160" s="6" t="s">
        <v>324</v>
      </c>
      <c r="B160" s="6" t="s">
        <v>325</v>
      </c>
      <c r="J160" s="6" t="s">
        <v>324</v>
      </c>
      <c r="K160" s="6" t="s">
        <v>325</v>
      </c>
    </row>
    <row r="161" spans="1:11" x14ac:dyDescent="0.3">
      <c r="A161" s="6" t="s">
        <v>326</v>
      </c>
      <c r="B161" s="6" t="s">
        <v>327</v>
      </c>
      <c r="J161" s="6" t="s">
        <v>326</v>
      </c>
      <c r="K161" s="6" t="s">
        <v>327</v>
      </c>
    </row>
    <row r="162" spans="1:11" x14ac:dyDescent="0.3">
      <c r="A162" s="6" t="s">
        <v>328</v>
      </c>
      <c r="B162" s="6" t="s">
        <v>329</v>
      </c>
      <c r="J162" s="6" t="s">
        <v>328</v>
      </c>
      <c r="K162" s="6" t="s">
        <v>329</v>
      </c>
    </row>
    <row r="163" spans="1:11" x14ac:dyDescent="0.3">
      <c r="A163" s="6" t="s">
        <v>330</v>
      </c>
      <c r="B163" s="6" t="s">
        <v>331</v>
      </c>
      <c r="J163" s="6" t="s">
        <v>330</v>
      </c>
      <c r="K163" s="6" t="s">
        <v>331</v>
      </c>
    </row>
    <row r="164" spans="1:11" x14ac:dyDescent="0.3">
      <c r="A164" s="6" t="s">
        <v>332</v>
      </c>
      <c r="B164" s="6" t="s">
        <v>333</v>
      </c>
      <c r="J164" s="6" t="s">
        <v>332</v>
      </c>
      <c r="K164" s="6" t="s">
        <v>333</v>
      </c>
    </row>
    <row r="165" spans="1:11" x14ac:dyDescent="0.3">
      <c r="A165" s="6" t="s">
        <v>334</v>
      </c>
      <c r="B165" s="6" t="s">
        <v>335</v>
      </c>
      <c r="J165" s="6" t="s">
        <v>334</v>
      </c>
      <c r="K165" s="6" t="s">
        <v>335</v>
      </c>
    </row>
    <row r="166" spans="1:11" x14ac:dyDescent="0.3">
      <c r="A166" s="6" t="s">
        <v>336</v>
      </c>
      <c r="B166" s="6" t="s">
        <v>337</v>
      </c>
      <c r="J166" s="6" t="s">
        <v>336</v>
      </c>
      <c r="K166" s="6" t="s">
        <v>337</v>
      </c>
    </row>
    <row r="167" spans="1:11" x14ac:dyDescent="0.3">
      <c r="A167" s="6" t="s">
        <v>338</v>
      </c>
      <c r="B167" s="6" t="s">
        <v>339</v>
      </c>
      <c r="J167" s="6" t="s">
        <v>338</v>
      </c>
      <c r="K167" s="6" t="s">
        <v>339</v>
      </c>
    </row>
    <row r="168" spans="1:11" x14ac:dyDescent="0.3">
      <c r="A168" s="6" t="s">
        <v>340</v>
      </c>
      <c r="B168" s="6" t="s">
        <v>341</v>
      </c>
      <c r="J168" s="6" t="s">
        <v>340</v>
      </c>
      <c r="K168" s="6" t="s">
        <v>341</v>
      </c>
    </row>
    <row r="169" spans="1:11" x14ac:dyDescent="0.3">
      <c r="A169" s="6" t="s">
        <v>342</v>
      </c>
      <c r="B169" s="6" t="s">
        <v>343</v>
      </c>
      <c r="J169" s="6" t="s">
        <v>342</v>
      </c>
      <c r="K169" s="6" t="s">
        <v>343</v>
      </c>
    </row>
    <row r="170" spans="1:11" x14ac:dyDescent="0.3">
      <c r="A170" s="6" t="s">
        <v>344</v>
      </c>
      <c r="B170" s="6" t="s">
        <v>345</v>
      </c>
      <c r="J170" s="6" t="s">
        <v>344</v>
      </c>
      <c r="K170" s="6" t="s">
        <v>345</v>
      </c>
    </row>
    <row r="171" spans="1:11" x14ac:dyDescent="0.3">
      <c r="A171" s="6" t="s">
        <v>346</v>
      </c>
      <c r="B171" s="6" t="s">
        <v>347</v>
      </c>
      <c r="J171" s="6" t="s">
        <v>346</v>
      </c>
      <c r="K171" s="6" t="s">
        <v>347</v>
      </c>
    </row>
    <row r="172" spans="1:11" x14ac:dyDescent="0.3">
      <c r="A172" s="6" t="s">
        <v>348</v>
      </c>
      <c r="B172" s="6" t="s">
        <v>349</v>
      </c>
      <c r="J172" s="6" t="s">
        <v>348</v>
      </c>
      <c r="K172" s="6" t="s">
        <v>349</v>
      </c>
    </row>
    <row r="173" spans="1:11" x14ac:dyDescent="0.3">
      <c r="A173" s="6" t="s">
        <v>350</v>
      </c>
      <c r="B173" s="6" t="s">
        <v>351</v>
      </c>
      <c r="J173" s="6" t="s">
        <v>350</v>
      </c>
      <c r="K173" s="6" t="s">
        <v>351</v>
      </c>
    </row>
    <row r="174" spans="1:11" x14ac:dyDescent="0.3">
      <c r="A174" s="6" t="s">
        <v>352</v>
      </c>
      <c r="B174" s="6" t="s">
        <v>353</v>
      </c>
      <c r="J174" s="6" t="s">
        <v>352</v>
      </c>
      <c r="K174" s="6" t="s">
        <v>353</v>
      </c>
    </row>
    <row r="175" spans="1:11" x14ac:dyDescent="0.3">
      <c r="A175" s="6" t="s">
        <v>354</v>
      </c>
      <c r="B175" s="6" t="s">
        <v>355</v>
      </c>
      <c r="J175" s="6" t="s">
        <v>354</v>
      </c>
      <c r="K175" s="6" t="s">
        <v>355</v>
      </c>
    </row>
    <row r="176" spans="1:11" x14ac:dyDescent="0.3">
      <c r="A176" s="6" t="s">
        <v>356</v>
      </c>
      <c r="B176" s="6" t="s">
        <v>357</v>
      </c>
      <c r="J176" s="6" t="s">
        <v>356</v>
      </c>
      <c r="K176" s="6" t="s">
        <v>357</v>
      </c>
    </row>
    <row r="177" spans="1:11" x14ac:dyDescent="0.3">
      <c r="A177" s="6" t="s">
        <v>358</v>
      </c>
      <c r="B177" s="6" t="s">
        <v>359</v>
      </c>
      <c r="J177" s="6" t="s">
        <v>358</v>
      </c>
      <c r="K177" s="6" t="s">
        <v>359</v>
      </c>
    </row>
    <row r="178" spans="1:11" x14ac:dyDescent="0.3">
      <c r="A178" s="6" t="s">
        <v>360</v>
      </c>
      <c r="B178" s="6" t="s">
        <v>361</v>
      </c>
      <c r="J178" s="6" t="s">
        <v>360</v>
      </c>
      <c r="K178" s="6" t="s">
        <v>361</v>
      </c>
    </row>
    <row r="179" spans="1:11" x14ac:dyDescent="0.3">
      <c r="A179" s="6" t="s">
        <v>362</v>
      </c>
      <c r="B179" s="6" t="s">
        <v>363</v>
      </c>
      <c r="J179" s="6" t="s">
        <v>362</v>
      </c>
      <c r="K179" s="6" t="s">
        <v>363</v>
      </c>
    </row>
    <row r="180" spans="1:11" x14ac:dyDescent="0.3">
      <c r="A180" s="6" t="s">
        <v>364</v>
      </c>
      <c r="B180" s="6" t="s">
        <v>365</v>
      </c>
      <c r="J180" s="6" t="s">
        <v>364</v>
      </c>
      <c r="K180" s="6" t="s">
        <v>365</v>
      </c>
    </row>
    <row r="181" spans="1:11" x14ac:dyDescent="0.3">
      <c r="A181" s="6" t="s">
        <v>366</v>
      </c>
      <c r="B181" s="6" t="s">
        <v>367</v>
      </c>
      <c r="J181" s="6" t="s">
        <v>366</v>
      </c>
      <c r="K181" s="6" t="s">
        <v>367</v>
      </c>
    </row>
    <row r="182" spans="1:11" x14ac:dyDescent="0.3">
      <c r="A182" s="6" t="s">
        <v>368</v>
      </c>
      <c r="B182" s="6" t="s">
        <v>369</v>
      </c>
      <c r="J182" s="6" t="s">
        <v>368</v>
      </c>
      <c r="K182" s="6" t="s">
        <v>369</v>
      </c>
    </row>
    <row r="183" spans="1:11" x14ac:dyDescent="0.3">
      <c r="A183" s="6" t="s">
        <v>370</v>
      </c>
      <c r="B183" s="6" t="s">
        <v>371</v>
      </c>
      <c r="J183" s="6" t="s">
        <v>370</v>
      </c>
      <c r="K183" s="6" t="s">
        <v>371</v>
      </c>
    </row>
    <row r="184" spans="1:11" x14ac:dyDescent="0.3">
      <c r="A184" s="6" t="s">
        <v>372</v>
      </c>
      <c r="B184" s="6" t="s">
        <v>373</v>
      </c>
      <c r="J184" s="6" t="s">
        <v>372</v>
      </c>
      <c r="K184" s="6" t="s">
        <v>373</v>
      </c>
    </row>
    <row r="185" spans="1:11" x14ac:dyDescent="0.3">
      <c r="A185" s="6" t="s">
        <v>374</v>
      </c>
      <c r="B185" s="6" t="s">
        <v>375</v>
      </c>
      <c r="J185" s="6" t="s">
        <v>374</v>
      </c>
      <c r="K185" s="6" t="s">
        <v>375</v>
      </c>
    </row>
    <row r="186" spans="1:11" x14ac:dyDescent="0.3">
      <c r="A186" s="6" t="s">
        <v>376</v>
      </c>
      <c r="B186" s="6" t="s">
        <v>377</v>
      </c>
      <c r="J186" s="6" t="s">
        <v>376</v>
      </c>
      <c r="K186" s="6" t="s">
        <v>377</v>
      </c>
    </row>
    <row r="187" spans="1:11" x14ac:dyDescent="0.3">
      <c r="A187" s="6" t="s">
        <v>378</v>
      </c>
      <c r="B187" s="6" t="s">
        <v>379</v>
      </c>
      <c r="J187" s="6" t="s">
        <v>378</v>
      </c>
      <c r="K187" s="6" t="s">
        <v>379</v>
      </c>
    </row>
    <row r="188" spans="1:11" x14ac:dyDescent="0.3">
      <c r="A188" s="6" t="s">
        <v>380</v>
      </c>
      <c r="B188" s="6" t="s">
        <v>381</v>
      </c>
      <c r="J188" s="6" t="s">
        <v>380</v>
      </c>
      <c r="K188" s="6" t="s">
        <v>381</v>
      </c>
    </row>
    <row r="189" spans="1:11" x14ac:dyDescent="0.3">
      <c r="A189" s="6" t="s">
        <v>382</v>
      </c>
      <c r="B189" s="6" t="s">
        <v>383</v>
      </c>
      <c r="J189" s="6" t="s">
        <v>382</v>
      </c>
      <c r="K189" s="6" t="s">
        <v>383</v>
      </c>
    </row>
    <row r="190" spans="1:11" x14ac:dyDescent="0.3">
      <c r="A190" s="6" t="s">
        <v>384</v>
      </c>
      <c r="B190" s="6" t="s">
        <v>385</v>
      </c>
      <c r="J190" s="6" t="s">
        <v>384</v>
      </c>
      <c r="K190" s="6" t="s">
        <v>385</v>
      </c>
    </row>
    <row r="191" spans="1:11" x14ac:dyDescent="0.3">
      <c r="A191" s="6" t="s">
        <v>386</v>
      </c>
      <c r="B191" s="6" t="s">
        <v>387</v>
      </c>
      <c r="J191" s="6" t="s">
        <v>386</v>
      </c>
      <c r="K191" s="6" t="s">
        <v>387</v>
      </c>
    </row>
    <row r="192" spans="1:11" x14ac:dyDescent="0.3">
      <c r="A192" s="6" t="s">
        <v>388</v>
      </c>
      <c r="B192" s="6" t="s">
        <v>389</v>
      </c>
      <c r="J192" s="6" t="s">
        <v>388</v>
      </c>
      <c r="K192" s="6" t="s">
        <v>389</v>
      </c>
    </row>
    <row r="193" spans="1:11" x14ac:dyDescent="0.3">
      <c r="A193" s="6" t="s">
        <v>390</v>
      </c>
      <c r="B193" s="6" t="s">
        <v>391</v>
      </c>
      <c r="J193" s="6" t="s">
        <v>390</v>
      </c>
      <c r="K193" s="6" t="s">
        <v>391</v>
      </c>
    </row>
    <row r="194" spans="1:11" x14ac:dyDescent="0.3">
      <c r="A194" s="6" t="s">
        <v>392</v>
      </c>
      <c r="B194" s="6" t="s">
        <v>393</v>
      </c>
      <c r="J194" s="6" t="s">
        <v>392</v>
      </c>
      <c r="K194" s="6" t="s">
        <v>393</v>
      </c>
    </row>
    <row r="195" spans="1:11" x14ac:dyDescent="0.3">
      <c r="A195" s="6" t="s">
        <v>394</v>
      </c>
      <c r="B195" s="6" t="s">
        <v>395</v>
      </c>
      <c r="J195" s="6" t="s">
        <v>394</v>
      </c>
      <c r="K195" s="6" t="s">
        <v>395</v>
      </c>
    </row>
    <row r="196" spans="1:11" x14ac:dyDescent="0.3">
      <c r="A196" s="6" t="s">
        <v>396</v>
      </c>
      <c r="B196" s="6" t="s">
        <v>397</v>
      </c>
      <c r="J196" s="6" t="s">
        <v>396</v>
      </c>
      <c r="K196" s="6" t="s">
        <v>397</v>
      </c>
    </row>
    <row r="197" spans="1:11" x14ac:dyDescent="0.3">
      <c r="A197" s="6" t="s">
        <v>398</v>
      </c>
      <c r="B197" s="6" t="s">
        <v>399</v>
      </c>
      <c r="J197" s="6" t="s">
        <v>398</v>
      </c>
      <c r="K197" s="6" t="s">
        <v>399</v>
      </c>
    </row>
    <row r="198" spans="1:11" x14ac:dyDescent="0.3">
      <c r="A198" s="6" t="s">
        <v>400</v>
      </c>
      <c r="B198" s="6" t="s">
        <v>401</v>
      </c>
      <c r="J198" s="6" t="s">
        <v>400</v>
      </c>
      <c r="K198" s="6" t="s">
        <v>401</v>
      </c>
    </row>
    <row r="199" spans="1:11" x14ac:dyDescent="0.3">
      <c r="A199" s="6" t="s">
        <v>402</v>
      </c>
      <c r="B199" s="6" t="s">
        <v>403</v>
      </c>
      <c r="J199" s="6" t="s">
        <v>402</v>
      </c>
      <c r="K199" s="6" t="s">
        <v>403</v>
      </c>
    </row>
    <row r="200" spans="1:11" x14ac:dyDescent="0.3">
      <c r="A200" s="6" t="s">
        <v>404</v>
      </c>
      <c r="B200" s="6" t="s">
        <v>405</v>
      </c>
      <c r="J200" s="6" t="s">
        <v>404</v>
      </c>
      <c r="K200" s="6" t="s">
        <v>405</v>
      </c>
    </row>
    <row r="201" spans="1:11" x14ac:dyDescent="0.3">
      <c r="A201" s="6" t="s">
        <v>406</v>
      </c>
      <c r="B201" s="6" t="s">
        <v>407</v>
      </c>
      <c r="J201" s="6" t="s">
        <v>406</v>
      </c>
      <c r="K201" s="6" t="s">
        <v>407</v>
      </c>
    </row>
    <row r="202" spans="1:11" x14ac:dyDescent="0.3">
      <c r="A202" s="6" t="s">
        <v>408</v>
      </c>
      <c r="B202" s="6" t="s">
        <v>409</v>
      </c>
      <c r="J202" s="6" t="s">
        <v>408</v>
      </c>
      <c r="K202" s="6" t="s">
        <v>409</v>
      </c>
    </row>
    <row r="203" spans="1:11" x14ac:dyDescent="0.3">
      <c r="A203" s="6" t="s">
        <v>410</v>
      </c>
      <c r="B203" s="6" t="s">
        <v>191</v>
      </c>
      <c r="J203" s="6" t="s">
        <v>410</v>
      </c>
      <c r="K203" s="6" t="s">
        <v>191</v>
      </c>
    </row>
    <row r="204" spans="1:11" x14ac:dyDescent="0.3">
      <c r="A204" s="6" t="s">
        <v>411</v>
      </c>
      <c r="B204" s="6" t="s">
        <v>193</v>
      </c>
      <c r="J204" s="6" t="s">
        <v>411</v>
      </c>
      <c r="K204" s="6" t="s">
        <v>193</v>
      </c>
    </row>
    <row r="205" spans="1:11" x14ac:dyDescent="0.3">
      <c r="A205" s="6" t="s">
        <v>412</v>
      </c>
      <c r="B205" s="6" t="s">
        <v>413</v>
      </c>
      <c r="J205" s="6" t="s">
        <v>412</v>
      </c>
      <c r="K205" s="6" t="s">
        <v>413</v>
      </c>
    </row>
    <row r="206" spans="1:11" x14ac:dyDescent="0.3">
      <c r="A206" s="6" t="s">
        <v>414</v>
      </c>
      <c r="B206" s="6" t="s">
        <v>415</v>
      </c>
      <c r="J206" s="6" t="s">
        <v>414</v>
      </c>
      <c r="K206" s="6" t="s">
        <v>415</v>
      </c>
    </row>
    <row r="207" spans="1:11" x14ac:dyDescent="0.3">
      <c r="A207" s="6" t="s">
        <v>416</v>
      </c>
      <c r="B207" s="6" t="s">
        <v>417</v>
      </c>
      <c r="J207" s="6" t="s">
        <v>416</v>
      </c>
      <c r="K207" s="6" t="s">
        <v>417</v>
      </c>
    </row>
    <row r="208" spans="1:11" x14ac:dyDescent="0.3">
      <c r="A208" s="6" t="s">
        <v>418</v>
      </c>
      <c r="B208" s="6" t="s">
        <v>419</v>
      </c>
      <c r="J208" s="6" t="s">
        <v>418</v>
      </c>
      <c r="K208" s="6" t="s">
        <v>419</v>
      </c>
    </row>
    <row r="209" spans="1:11" x14ac:dyDescent="0.3">
      <c r="A209" s="6" t="s">
        <v>420</v>
      </c>
      <c r="B209" s="6" t="s">
        <v>421</v>
      </c>
      <c r="J209" s="6" t="s">
        <v>420</v>
      </c>
      <c r="K209" s="6" t="s">
        <v>421</v>
      </c>
    </row>
    <row r="210" spans="1:11" x14ac:dyDescent="0.3">
      <c r="A210" s="6" t="s">
        <v>422</v>
      </c>
      <c r="B210" s="6" t="s">
        <v>423</v>
      </c>
      <c r="J210" s="6" t="s">
        <v>422</v>
      </c>
      <c r="K210" s="6" t="s">
        <v>423</v>
      </c>
    </row>
    <row r="211" spans="1:11" x14ac:dyDescent="0.3">
      <c r="A211" s="6" t="s">
        <v>424</v>
      </c>
      <c r="B211" s="6" t="s">
        <v>425</v>
      </c>
      <c r="J211" s="6" t="s">
        <v>424</v>
      </c>
      <c r="K211" s="6" t="s">
        <v>425</v>
      </c>
    </row>
    <row r="212" spans="1:11" x14ac:dyDescent="0.3">
      <c r="A212" s="6" t="s">
        <v>426</v>
      </c>
      <c r="B212" s="6" t="s">
        <v>427</v>
      </c>
      <c r="J212" s="6" t="s">
        <v>426</v>
      </c>
      <c r="K212" s="6" t="s">
        <v>427</v>
      </c>
    </row>
    <row r="213" spans="1:11" x14ac:dyDescent="0.3">
      <c r="A213" s="6" t="s">
        <v>428</v>
      </c>
      <c r="B213" s="6" t="s">
        <v>429</v>
      </c>
      <c r="J213" s="6" t="s">
        <v>428</v>
      </c>
      <c r="K213" s="6" t="s">
        <v>429</v>
      </c>
    </row>
    <row r="214" spans="1:11" x14ac:dyDescent="0.3">
      <c r="A214" s="6" t="s">
        <v>430</v>
      </c>
      <c r="B214" s="6" t="s">
        <v>431</v>
      </c>
      <c r="J214" s="6" t="s">
        <v>430</v>
      </c>
      <c r="K214" s="6" t="s">
        <v>431</v>
      </c>
    </row>
    <row r="215" spans="1:11" x14ac:dyDescent="0.3">
      <c r="A215" s="6" t="s">
        <v>432</v>
      </c>
      <c r="B215" s="6" t="s">
        <v>433</v>
      </c>
      <c r="J215" s="6" t="s">
        <v>432</v>
      </c>
      <c r="K215" s="6" t="s">
        <v>433</v>
      </c>
    </row>
    <row r="216" spans="1:11" x14ac:dyDescent="0.3">
      <c r="A216" s="6" t="s">
        <v>434</v>
      </c>
      <c r="B216" s="6" t="s">
        <v>435</v>
      </c>
      <c r="J216" s="6" t="s">
        <v>434</v>
      </c>
      <c r="K216" s="6" t="s">
        <v>435</v>
      </c>
    </row>
    <row r="217" spans="1:11" x14ac:dyDescent="0.3">
      <c r="A217" s="6" t="s">
        <v>436</v>
      </c>
      <c r="B217" s="6" t="s">
        <v>437</v>
      </c>
      <c r="J217" s="6" t="s">
        <v>436</v>
      </c>
      <c r="K217" s="6" t="s">
        <v>437</v>
      </c>
    </row>
    <row r="218" spans="1:11" x14ac:dyDescent="0.3">
      <c r="A218" s="6" t="s">
        <v>438</v>
      </c>
      <c r="B218" s="6" t="s">
        <v>439</v>
      </c>
      <c r="J218" s="6" t="s">
        <v>438</v>
      </c>
      <c r="K218" s="6" t="s">
        <v>439</v>
      </c>
    </row>
    <row r="219" spans="1:11" x14ac:dyDescent="0.3">
      <c r="A219" s="6" t="s">
        <v>440</v>
      </c>
      <c r="B219" s="6" t="s">
        <v>441</v>
      </c>
      <c r="J219" s="6" t="s">
        <v>440</v>
      </c>
      <c r="K219" s="6" t="s">
        <v>441</v>
      </c>
    </row>
    <row r="220" spans="1:11" x14ac:dyDescent="0.3">
      <c r="A220" s="6" t="s">
        <v>442</v>
      </c>
      <c r="B220" s="6" t="s">
        <v>443</v>
      </c>
      <c r="J220" s="6" t="s">
        <v>442</v>
      </c>
      <c r="K220" s="6" t="s">
        <v>443</v>
      </c>
    </row>
    <row r="221" spans="1:11" x14ac:dyDescent="0.3">
      <c r="A221" s="6" t="s">
        <v>444</v>
      </c>
      <c r="B221" s="6" t="s">
        <v>445</v>
      </c>
      <c r="J221" s="6" t="s">
        <v>444</v>
      </c>
      <c r="K221" s="6" t="s">
        <v>445</v>
      </c>
    </row>
    <row r="222" spans="1:11" x14ac:dyDescent="0.3">
      <c r="A222" s="6" t="s">
        <v>446</v>
      </c>
      <c r="B222" s="6" t="s">
        <v>447</v>
      </c>
      <c r="J222" s="6" t="s">
        <v>446</v>
      </c>
      <c r="K222" s="6" t="s">
        <v>447</v>
      </c>
    </row>
    <row r="223" spans="1:11" x14ac:dyDescent="0.3">
      <c r="A223" s="6" t="s">
        <v>448</v>
      </c>
      <c r="B223" s="6" t="s">
        <v>449</v>
      </c>
      <c r="J223" s="6" t="s">
        <v>448</v>
      </c>
      <c r="K223" s="6" t="s">
        <v>449</v>
      </c>
    </row>
    <row r="224" spans="1:11" x14ac:dyDescent="0.3">
      <c r="A224" s="6" t="s">
        <v>450</v>
      </c>
      <c r="B224" s="6" t="s">
        <v>451</v>
      </c>
      <c r="J224" s="6" t="s">
        <v>450</v>
      </c>
      <c r="K224" s="6" t="s">
        <v>451</v>
      </c>
    </row>
    <row r="225" spans="1:11" x14ac:dyDescent="0.3">
      <c r="A225" s="6" t="s">
        <v>452</v>
      </c>
      <c r="B225" s="6" t="s">
        <v>453</v>
      </c>
      <c r="J225" s="6" t="s">
        <v>452</v>
      </c>
      <c r="K225" s="6" t="s">
        <v>453</v>
      </c>
    </row>
    <row r="226" spans="1:11" x14ac:dyDescent="0.3">
      <c r="A226" s="6" t="s">
        <v>454</v>
      </c>
      <c r="B226" s="6" t="s">
        <v>455</v>
      </c>
      <c r="J226" s="6" t="s">
        <v>454</v>
      </c>
      <c r="K226" s="6" t="s">
        <v>455</v>
      </c>
    </row>
    <row r="227" spans="1:11" x14ac:dyDescent="0.3">
      <c r="A227" s="6" t="s">
        <v>456</v>
      </c>
      <c r="B227" s="6" t="s">
        <v>457</v>
      </c>
      <c r="J227" s="6" t="s">
        <v>456</v>
      </c>
      <c r="K227" s="6" t="s">
        <v>457</v>
      </c>
    </row>
    <row r="228" spans="1:11" x14ac:dyDescent="0.3">
      <c r="A228" s="6" t="s">
        <v>458</v>
      </c>
      <c r="B228" s="6" t="s">
        <v>459</v>
      </c>
      <c r="J228" s="6" t="s">
        <v>458</v>
      </c>
      <c r="K228" s="6" t="s">
        <v>459</v>
      </c>
    </row>
    <row r="229" spans="1:11" x14ac:dyDescent="0.3">
      <c r="A229" s="6" t="s">
        <v>460</v>
      </c>
      <c r="B229" s="6" t="s">
        <v>461</v>
      </c>
      <c r="J229" s="6" t="s">
        <v>460</v>
      </c>
      <c r="K229" s="6" t="s">
        <v>461</v>
      </c>
    </row>
    <row r="230" spans="1:11" x14ac:dyDescent="0.3">
      <c r="A230" s="6" t="s">
        <v>462</v>
      </c>
      <c r="B230" s="6" t="s">
        <v>463</v>
      </c>
      <c r="J230" s="6" t="s">
        <v>462</v>
      </c>
      <c r="K230" s="6" t="s">
        <v>463</v>
      </c>
    </row>
    <row r="231" spans="1:11" x14ac:dyDescent="0.3">
      <c r="A231" s="6" t="s">
        <v>464</v>
      </c>
      <c r="B231" s="6" t="s">
        <v>465</v>
      </c>
      <c r="J231" s="6" t="s">
        <v>464</v>
      </c>
      <c r="K231" s="6" t="s">
        <v>465</v>
      </c>
    </row>
    <row r="232" spans="1:11" x14ac:dyDescent="0.3">
      <c r="A232" s="6" t="s">
        <v>466</v>
      </c>
      <c r="B232" s="6" t="s">
        <v>467</v>
      </c>
      <c r="J232" s="6" t="s">
        <v>466</v>
      </c>
      <c r="K232" s="6" t="s">
        <v>467</v>
      </c>
    </row>
    <row r="233" spans="1:11" x14ac:dyDescent="0.3">
      <c r="A233" s="6" t="s">
        <v>468</v>
      </c>
      <c r="B233" s="6" t="s">
        <v>469</v>
      </c>
      <c r="J233" s="6" t="s">
        <v>468</v>
      </c>
      <c r="K233" s="6" t="s">
        <v>469</v>
      </c>
    </row>
    <row r="234" spans="1:11" x14ac:dyDescent="0.3">
      <c r="A234" s="6" t="s">
        <v>470</v>
      </c>
      <c r="B234" s="6" t="s">
        <v>471</v>
      </c>
      <c r="J234" s="6" t="s">
        <v>470</v>
      </c>
      <c r="K234" s="6" t="s">
        <v>471</v>
      </c>
    </row>
    <row r="235" spans="1:11" x14ac:dyDescent="0.3">
      <c r="A235" s="6" t="s">
        <v>472</v>
      </c>
      <c r="B235" s="6" t="s">
        <v>473</v>
      </c>
      <c r="J235" s="6" t="s">
        <v>472</v>
      </c>
      <c r="K235" s="6" t="s">
        <v>473</v>
      </c>
    </row>
    <row r="236" spans="1:11" x14ac:dyDescent="0.3">
      <c r="A236" s="6" t="s">
        <v>474</v>
      </c>
      <c r="B236" s="6" t="s">
        <v>475</v>
      </c>
      <c r="J236" s="6" t="s">
        <v>474</v>
      </c>
      <c r="K236" s="6" t="s">
        <v>475</v>
      </c>
    </row>
    <row r="237" spans="1:11" x14ac:dyDescent="0.3">
      <c r="A237" s="6" t="s">
        <v>476</v>
      </c>
      <c r="B237" s="6" t="s">
        <v>121</v>
      </c>
      <c r="J237" s="6" t="s">
        <v>476</v>
      </c>
      <c r="K237" s="6" t="s">
        <v>121</v>
      </c>
    </row>
    <row r="238" spans="1:11" x14ac:dyDescent="0.3">
      <c r="A238" s="6" t="s">
        <v>477</v>
      </c>
      <c r="B238" s="6" t="s">
        <v>123</v>
      </c>
      <c r="J238" s="6" t="s">
        <v>477</v>
      </c>
      <c r="K238" s="6" t="s">
        <v>123</v>
      </c>
    </row>
    <row r="239" spans="1:11" x14ac:dyDescent="0.3">
      <c r="A239" s="6" t="s">
        <v>478</v>
      </c>
      <c r="B239" s="6" t="s">
        <v>479</v>
      </c>
      <c r="J239" s="6" t="s">
        <v>478</v>
      </c>
      <c r="K239" s="6" t="s">
        <v>479</v>
      </c>
    </row>
    <row r="240" spans="1:11" x14ac:dyDescent="0.3">
      <c r="A240" s="6" t="s">
        <v>480</v>
      </c>
      <c r="B240" s="6" t="s">
        <v>481</v>
      </c>
      <c r="J240" s="6" t="s">
        <v>480</v>
      </c>
      <c r="K240" s="6" t="s">
        <v>481</v>
      </c>
    </row>
    <row r="241" spans="1:11" x14ac:dyDescent="0.3">
      <c r="A241" s="6" t="s">
        <v>482</v>
      </c>
      <c r="B241" s="6" t="s">
        <v>483</v>
      </c>
      <c r="J241" s="6" t="s">
        <v>482</v>
      </c>
      <c r="K241" s="6" t="s">
        <v>483</v>
      </c>
    </row>
    <row r="242" spans="1:11" x14ac:dyDescent="0.3">
      <c r="A242" s="6" t="s">
        <v>484</v>
      </c>
      <c r="B242" s="6" t="s">
        <v>129</v>
      </c>
      <c r="J242" s="6" t="s">
        <v>484</v>
      </c>
      <c r="K242" s="6" t="s">
        <v>129</v>
      </c>
    </row>
    <row r="243" spans="1:11" x14ac:dyDescent="0.3">
      <c r="A243" s="6" t="s">
        <v>485</v>
      </c>
      <c r="B243" s="6" t="s">
        <v>486</v>
      </c>
      <c r="J243" s="6" t="s">
        <v>485</v>
      </c>
      <c r="K243" s="6" t="s">
        <v>486</v>
      </c>
    </row>
    <row r="244" spans="1:11" x14ac:dyDescent="0.3">
      <c r="A244" s="6" t="s">
        <v>487</v>
      </c>
      <c r="B244" s="6" t="s">
        <v>488</v>
      </c>
      <c r="J244" s="6" t="s">
        <v>487</v>
      </c>
      <c r="K244" s="6" t="s">
        <v>488</v>
      </c>
    </row>
    <row r="245" spans="1:11" x14ac:dyDescent="0.3">
      <c r="A245" s="6" t="s">
        <v>489</v>
      </c>
      <c r="B245" s="6" t="s">
        <v>490</v>
      </c>
      <c r="J245" s="6" t="s">
        <v>489</v>
      </c>
      <c r="K245" s="6" t="s">
        <v>490</v>
      </c>
    </row>
    <row r="246" spans="1:11" x14ac:dyDescent="0.3">
      <c r="A246" s="6" t="s">
        <v>491</v>
      </c>
      <c r="B246" s="6" t="s">
        <v>492</v>
      </c>
      <c r="J246" s="6" t="s">
        <v>491</v>
      </c>
      <c r="K246" s="6" t="s">
        <v>492</v>
      </c>
    </row>
    <row r="247" spans="1:11" x14ac:dyDescent="0.3">
      <c r="A247" s="6" t="s">
        <v>493</v>
      </c>
      <c r="B247" s="6" t="s">
        <v>494</v>
      </c>
      <c r="J247" s="6" t="s">
        <v>493</v>
      </c>
      <c r="K247" s="6" t="s">
        <v>494</v>
      </c>
    </row>
    <row r="248" spans="1:11" x14ac:dyDescent="0.3">
      <c r="A248" s="6" t="s">
        <v>495</v>
      </c>
      <c r="B248" s="6" t="s">
        <v>496</v>
      </c>
      <c r="J248" s="6" t="s">
        <v>495</v>
      </c>
      <c r="K248" s="6" t="s">
        <v>496</v>
      </c>
    </row>
    <row r="249" spans="1:11" x14ac:dyDescent="0.3">
      <c r="A249" s="6" t="s">
        <v>497</v>
      </c>
      <c r="B249" s="6" t="s">
        <v>498</v>
      </c>
      <c r="J249" s="6" t="s">
        <v>497</v>
      </c>
      <c r="K249" s="6" t="s">
        <v>498</v>
      </c>
    </row>
    <row r="250" spans="1:11" x14ac:dyDescent="0.3">
      <c r="A250" s="6" t="s">
        <v>499</v>
      </c>
      <c r="B250" s="6" t="s">
        <v>500</v>
      </c>
      <c r="J250" s="6" t="s">
        <v>499</v>
      </c>
      <c r="K250" s="6" t="s">
        <v>500</v>
      </c>
    </row>
    <row r="251" spans="1:11" x14ac:dyDescent="0.3">
      <c r="A251" s="6" t="s">
        <v>501</v>
      </c>
      <c r="B251" s="6" t="s">
        <v>502</v>
      </c>
      <c r="J251" s="6" t="s">
        <v>501</v>
      </c>
      <c r="K251" s="6" t="s">
        <v>502</v>
      </c>
    </row>
    <row r="252" spans="1:11" x14ac:dyDescent="0.3">
      <c r="A252" s="6" t="s">
        <v>503</v>
      </c>
      <c r="B252" s="6" t="s">
        <v>504</v>
      </c>
      <c r="J252" s="6" t="s">
        <v>503</v>
      </c>
      <c r="K252" s="6" t="s">
        <v>504</v>
      </c>
    </row>
    <row r="253" spans="1:11" x14ac:dyDescent="0.3">
      <c r="A253" s="6" t="s">
        <v>505</v>
      </c>
      <c r="B253" s="6" t="s">
        <v>506</v>
      </c>
      <c r="J253" s="6" t="s">
        <v>505</v>
      </c>
      <c r="K253" s="6" t="s">
        <v>506</v>
      </c>
    </row>
    <row r="254" spans="1:11" x14ac:dyDescent="0.3">
      <c r="A254" s="6" t="s">
        <v>507</v>
      </c>
      <c r="B254" s="6" t="s">
        <v>508</v>
      </c>
      <c r="J254" s="6" t="s">
        <v>507</v>
      </c>
      <c r="K254" s="6" t="s">
        <v>508</v>
      </c>
    </row>
    <row r="255" spans="1:11" x14ac:dyDescent="0.3">
      <c r="A255" s="6" t="s">
        <v>509</v>
      </c>
      <c r="B255" s="6" t="s">
        <v>510</v>
      </c>
      <c r="J255" s="6" t="s">
        <v>509</v>
      </c>
      <c r="K255" s="6" t="s">
        <v>510</v>
      </c>
    </row>
    <row r="256" spans="1:11" x14ac:dyDescent="0.3">
      <c r="A256" s="6" t="s">
        <v>511</v>
      </c>
      <c r="B256" s="6" t="s">
        <v>512</v>
      </c>
      <c r="J256" s="6" t="s">
        <v>511</v>
      </c>
      <c r="K256" s="6" t="s">
        <v>512</v>
      </c>
    </row>
    <row r="257" spans="1:11" x14ac:dyDescent="0.3">
      <c r="A257" s="6" t="s">
        <v>513</v>
      </c>
      <c r="B257" s="6" t="s">
        <v>514</v>
      </c>
      <c r="J257" s="6" t="s">
        <v>513</v>
      </c>
      <c r="K257" s="6" t="s">
        <v>514</v>
      </c>
    </row>
    <row r="258" spans="1:11" x14ac:dyDescent="0.3">
      <c r="A258" s="6" t="s">
        <v>515</v>
      </c>
      <c r="B258" s="6" t="s">
        <v>516</v>
      </c>
      <c r="J258" s="6" t="s">
        <v>515</v>
      </c>
      <c r="K258" s="6" t="s">
        <v>516</v>
      </c>
    </row>
    <row r="259" spans="1:11" x14ac:dyDescent="0.3">
      <c r="A259" s="6" t="s">
        <v>517</v>
      </c>
      <c r="B259" s="6" t="s">
        <v>518</v>
      </c>
      <c r="J259" s="6" t="s">
        <v>517</v>
      </c>
      <c r="K259" s="6" t="s">
        <v>518</v>
      </c>
    </row>
    <row r="260" spans="1:11" x14ac:dyDescent="0.3">
      <c r="A260" s="6" t="s">
        <v>519</v>
      </c>
      <c r="B260" s="6" t="s">
        <v>520</v>
      </c>
      <c r="J260" s="6" t="s">
        <v>519</v>
      </c>
      <c r="K260" s="6" t="s">
        <v>520</v>
      </c>
    </row>
    <row r="261" spans="1:11" x14ac:dyDescent="0.3">
      <c r="A261" s="6" t="s">
        <v>521</v>
      </c>
      <c r="B261" s="6" t="s">
        <v>522</v>
      </c>
      <c r="J261" s="6" t="s">
        <v>521</v>
      </c>
      <c r="K261" s="6" t="s">
        <v>522</v>
      </c>
    </row>
    <row r="262" spans="1:11" x14ac:dyDescent="0.3">
      <c r="A262" s="6" t="s">
        <v>523</v>
      </c>
      <c r="B262" s="6" t="s">
        <v>524</v>
      </c>
      <c r="J262" s="6" t="s">
        <v>523</v>
      </c>
      <c r="K262" s="6" t="s">
        <v>524</v>
      </c>
    </row>
    <row r="263" spans="1:11" x14ac:dyDescent="0.3">
      <c r="A263" s="6" t="s">
        <v>525</v>
      </c>
      <c r="B263" s="6" t="s">
        <v>526</v>
      </c>
      <c r="J263" s="6" t="s">
        <v>525</v>
      </c>
      <c r="K263" s="6" t="s">
        <v>526</v>
      </c>
    </row>
    <row r="264" spans="1:11" x14ac:dyDescent="0.3">
      <c r="A264" s="6" t="s">
        <v>527</v>
      </c>
      <c r="B264" s="6" t="s">
        <v>528</v>
      </c>
      <c r="J264" s="6" t="s">
        <v>527</v>
      </c>
      <c r="K264" s="6" t="s">
        <v>528</v>
      </c>
    </row>
    <row r="265" spans="1:11" x14ac:dyDescent="0.3">
      <c r="A265" s="6" t="s">
        <v>529</v>
      </c>
      <c r="B265" s="6" t="s">
        <v>530</v>
      </c>
      <c r="J265" s="6" t="s">
        <v>529</v>
      </c>
      <c r="K265" s="6" t="s">
        <v>530</v>
      </c>
    </row>
    <row r="266" spans="1:11" x14ac:dyDescent="0.3">
      <c r="A266" s="6" t="s">
        <v>531</v>
      </c>
      <c r="B266" s="6" t="s">
        <v>532</v>
      </c>
      <c r="J266" s="6" t="s">
        <v>531</v>
      </c>
      <c r="K266" s="6" t="s">
        <v>532</v>
      </c>
    </row>
    <row r="267" spans="1:11" x14ac:dyDescent="0.3">
      <c r="A267" s="6" t="s">
        <v>533</v>
      </c>
      <c r="B267" s="6" t="s">
        <v>534</v>
      </c>
      <c r="J267" s="6" t="s">
        <v>533</v>
      </c>
      <c r="K267" s="6" t="s">
        <v>534</v>
      </c>
    </row>
    <row r="268" spans="1:11" x14ac:dyDescent="0.3">
      <c r="A268" s="6" t="s">
        <v>535</v>
      </c>
      <c r="B268" s="6" t="s">
        <v>536</v>
      </c>
      <c r="J268" s="6" t="s">
        <v>535</v>
      </c>
      <c r="K268" s="6" t="s">
        <v>536</v>
      </c>
    </row>
    <row r="269" spans="1:11" x14ac:dyDescent="0.3">
      <c r="A269" s="6" t="s">
        <v>537</v>
      </c>
      <c r="B269" s="6" t="s">
        <v>538</v>
      </c>
      <c r="J269" s="6" t="s">
        <v>537</v>
      </c>
      <c r="K269" s="6" t="s">
        <v>538</v>
      </c>
    </row>
    <row r="270" spans="1:11" x14ac:dyDescent="0.3">
      <c r="A270" s="6" t="s">
        <v>539</v>
      </c>
      <c r="B270" s="6" t="s">
        <v>540</v>
      </c>
      <c r="J270" s="6" t="s">
        <v>539</v>
      </c>
      <c r="K270" s="6" t="s">
        <v>540</v>
      </c>
    </row>
    <row r="271" spans="1:11" x14ac:dyDescent="0.3">
      <c r="A271" s="6" t="s">
        <v>541</v>
      </c>
      <c r="B271" s="6" t="s">
        <v>542</v>
      </c>
      <c r="J271" s="6" t="s">
        <v>541</v>
      </c>
      <c r="K271" s="6" t="s">
        <v>542</v>
      </c>
    </row>
    <row r="272" spans="1:11" x14ac:dyDescent="0.3">
      <c r="A272" s="6" t="s">
        <v>543</v>
      </c>
      <c r="B272" s="6" t="s">
        <v>544</v>
      </c>
      <c r="J272" s="6" t="s">
        <v>543</v>
      </c>
      <c r="K272" s="6" t="s">
        <v>544</v>
      </c>
    </row>
    <row r="273" spans="1:11" x14ac:dyDescent="0.3">
      <c r="A273" s="6" t="s">
        <v>545</v>
      </c>
      <c r="B273" s="6" t="s">
        <v>546</v>
      </c>
      <c r="J273" s="6" t="s">
        <v>545</v>
      </c>
      <c r="K273" s="6" t="s">
        <v>546</v>
      </c>
    </row>
    <row r="274" spans="1:11" x14ac:dyDescent="0.3">
      <c r="A274" s="6" t="s">
        <v>547</v>
      </c>
      <c r="B274" s="6" t="s">
        <v>548</v>
      </c>
      <c r="J274" s="6" t="s">
        <v>547</v>
      </c>
      <c r="K274" s="6" t="s">
        <v>548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X170"/>
  <sheetViews>
    <sheetView workbookViewId="0">
      <pane xSplit="3" ySplit="6" topLeftCell="D126" activePane="bottomRight" state="frozen"/>
      <selection activeCell="L14" sqref="L14"/>
      <selection pane="topRight" activeCell="L14" sqref="L14"/>
      <selection pane="bottomLeft" activeCell="L14" sqref="L14"/>
      <selection pane="bottomRight" activeCell="D132" sqref="D131:O132"/>
    </sheetView>
  </sheetViews>
  <sheetFormatPr defaultRowHeight="15.6" outlineLevelRow="1" x14ac:dyDescent="0.3"/>
  <cols>
    <col min="1" max="1" width="5.6640625" style="34" customWidth="1"/>
    <col min="2" max="2" width="8.109375" style="39" customWidth="1"/>
    <col min="3" max="3" width="42.5546875" style="1" customWidth="1"/>
    <col min="4" max="18" width="7.88671875" style="89" customWidth="1"/>
    <col min="19" max="19" width="11.44140625" style="1" bestFit="1" customWidth="1"/>
    <col min="20" max="20" width="14.44140625" style="1" customWidth="1"/>
    <col min="21" max="24" width="11.5546875" style="1" customWidth="1"/>
    <col min="25" max="255" width="9.109375" style="1"/>
    <col min="256" max="256" width="22.88671875" style="1" customWidth="1"/>
    <col min="257" max="511" width="9.109375" style="1"/>
    <col min="512" max="512" width="22.88671875" style="1" customWidth="1"/>
    <col min="513" max="767" width="9.109375" style="1"/>
    <col min="768" max="768" width="22.88671875" style="1" customWidth="1"/>
    <col min="769" max="1023" width="9.109375" style="1"/>
    <col min="1024" max="1024" width="22.88671875" style="1" customWidth="1"/>
    <col min="1025" max="1279" width="9.109375" style="1"/>
    <col min="1280" max="1280" width="22.88671875" style="1" customWidth="1"/>
    <col min="1281" max="1535" width="9.109375" style="1"/>
    <col min="1536" max="1536" width="22.88671875" style="1" customWidth="1"/>
    <col min="1537" max="1791" width="9.109375" style="1"/>
    <col min="1792" max="1792" width="22.88671875" style="1" customWidth="1"/>
    <col min="1793" max="2047" width="9.109375" style="1"/>
    <col min="2048" max="2048" width="22.88671875" style="1" customWidth="1"/>
    <col min="2049" max="2303" width="9.109375" style="1"/>
    <col min="2304" max="2304" width="22.88671875" style="1" customWidth="1"/>
    <col min="2305" max="2559" width="9.109375" style="1"/>
    <col min="2560" max="2560" width="22.88671875" style="1" customWidth="1"/>
    <col min="2561" max="2815" width="9.109375" style="1"/>
    <col min="2816" max="2816" width="22.88671875" style="1" customWidth="1"/>
    <col min="2817" max="3071" width="9.109375" style="1"/>
    <col min="3072" max="3072" width="22.88671875" style="1" customWidth="1"/>
    <col min="3073" max="3327" width="9.109375" style="1"/>
    <col min="3328" max="3328" width="22.88671875" style="1" customWidth="1"/>
    <col min="3329" max="3583" width="9.109375" style="1"/>
    <col min="3584" max="3584" width="22.88671875" style="1" customWidth="1"/>
    <col min="3585" max="3839" width="9.109375" style="1"/>
    <col min="3840" max="3840" width="22.88671875" style="1" customWidth="1"/>
    <col min="3841" max="4095" width="9.109375" style="1"/>
    <col min="4096" max="4096" width="22.88671875" style="1" customWidth="1"/>
    <col min="4097" max="4351" width="9.109375" style="1"/>
    <col min="4352" max="4352" width="22.88671875" style="1" customWidth="1"/>
    <col min="4353" max="4607" width="9.109375" style="1"/>
    <col min="4608" max="4608" width="22.88671875" style="1" customWidth="1"/>
    <col min="4609" max="4863" width="9.109375" style="1"/>
    <col min="4864" max="4864" width="22.88671875" style="1" customWidth="1"/>
    <col min="4865" max="5119" width="9.109375" style="1"/>
    <col min="5120" max="5120" width="22.88671875" style="1" customWidth="1"/>
    <col min="5121" max="5375" width="9.109375" style="1"/>
    <col min="5376" max="5376" width="22.88671875" style="1" customWidth="1"/>
    <col min="5377" max="5631" width="9.109375" style="1"/>
    <col min="5632" max="5632" width="22.88671875" style="1" customWidth="1"/>
    <col min="5633" max="5887" width="9.109375" style="1"/>
    <col min="5888" max="5888" width="22.88671875" style="1" customWidth="1"/>
    <col min="5889" max="6143" width="9.109375" style="1"/>
    <col min="6144" max="6144" width="22.88671875" style="1" customWidth="1"/>
    <col min="6145" max="6399" width="9.109375" style="1"/>
    <col min="6400" max="6400" width="22.88671875" style="1" customWidth="1"/>
    <col min="6401" max="6655" width="9.109375" style="1"/>
    <col min="6656" max="6656" width="22.88671875" style="1" customWidth="1"/>
    <col min="6657" max="6911" width="9.109375" style="1"/>
    <col min="6912" max="6912" width="22.88671875" style="1" customWidth="1"/>
    <col min="6913" max="7167" width="9.109375" style="1"/>
    <col min="7168" max="7168" width="22.88671875" style="1" customWidth="1"/>
    <col min="7169" max="7423" width="9.109375" style="1"/>
    <col min="7424" max="7424" width="22.88671875" style="1" customWidth="1"/>
    <col min="7425" max="7679" width="9.109375" style="1"/>
    <col min="7680" max="7680" width="22.88671875" style="1" customWidth="1"/>
    <col min="7681" max="7935" width="9.109375" style="1"/>
    <col min="7936" max="7936" width="22.88671875" style="1" customWidth="1"/>
    <col min="7937" max="8191" width="9.109375" style="1"/>
    <col min="8192" max="8192" width="22.88671875" style="1" customWidth="1"/>
    <col min="8193" max="8447" width="9.109375" style="1"/>
    <col min="8448" max="8448" width="22.88671875" style="1" customWidth="1"/>
    <col min="8449" max="8703" width="9.109375" style="1"/>
    <col min="8704" max="8704" width="22.88671875" style="1" customWidth="1"/>
    <col min="8705" max="8959" width="9.109375" style="1"/>
    <col min="8960" max="8960" width="22.88671875" style="1" customWidth="1"/>
    <col min="8961" max="9215" width="9.109375" style="1"/>
    <col min="9216" max="9216" width="22.88671875" style="1" customWidth="1"/>
    <col min="9217" max="9471" width="9.109375" style="1"/>
    <col min="9472" max="9472" width="22.88671875" style="1" customWidth="1"/>
    <col min="9473" max="9727" width="9.109375" style="1"/>
    <col min="9728" max="9728" width="22.88671875" style="1" customWidth="1"/>
    <col min="9729" max="9983" width="9.109375" style="1"/>
    <col min="9984" max="9984" width="22.88671875" style="1" customWidth="1"/>
    <col min="9985" max="10239" width="9.109375" style="1"/>
    <col min="10240" max="10240" width="22.88671875" style="1" customWidth="1"/>
    <col min="10241" max="10495" width="9.109375" style="1"/>
    <col min="10496" max="10496" width="22.88671875" style="1" customWidth="1"/>
    <col min="10497" max="10751" width="9.109375" style="1"/>
    <col min="10752" max="10752" width="22.88671875" style="1" customWidth="1"/>
    <col min="10753" max="11007" width="9.109375" style="1"/>
    <col min="11008" max="11008" width="22.88671875" style="1" customWidth="1"/>
    <col min="11009" max="11263" width="9.109375" style="1"/>
    <col min="11264" max="11264" width="22.88671875" style="1" customWidth="1"/>
    <col min="11265" max="11519" width="9.109375" style="1"/>
    <col min="11520" max="11520" width="22.88671875" style="1" customWidth="1"/>
    <col min="11521" max="11775" width="9.109375" style="1"/>
    <col min="11776" max="11776" width="22.88671875" style="1" customWidth="1"/>
    <col min="11777" max="12031" width="9.109375" style="1"/>
    <col min="12032" max="12032" width="22.88671875" style="1" customWidth="1"/>
    <col min="12033" max="12287" width="9.109375" style="1"/>
    <col min="12288" max="12288" width="22.88671875" style="1" customWidth="1"/>
    <col min="12289" max="12543" width="9.109375" style="1"/>
    <col min="12544" max="12544" width="22.88671875" style="1" customWidth="1"/>
    <col min="12545" max="12799" width="9.109375" style="1"/>
    <col min="12800" max="12800" width="22.88671875" style="1" customWidth="1"/>
    <col min="12801" max="13055" width="9.109375" style="1"/>
    <col min="13056" max="13056" width="22.88671875" style="1" customWidth="1"/>
    <col min="13057" max="13311" width="9.109375" style="1"/>
    <col min="13312" max="13312" width="22.88671875" style="1" customWidth="1"/>
    <col min="13313" max="13567" width="9.109375" style="1"/>
    <col min="13568" max="13568" width="22.88671875" style="1" customWidth="1"/>
    <col min="13569" max="13823" width="9.109375" style="1"/>
    <col min="13824" max="13824" width="22.88671875" style="1" customWidth="1"/>
    <col min="13825" max="14079" width="9.109375" style="1"/>
    <col min="14080" max="14080" width="22.88671875" style="1" customWidth="1"/>
    <col min="14081" max="14335" width="9.109375" style="1"/>
    <col min="14336" max="14336" width="22.88671875" style="1" customWidth="1"/>
    <col min="14337" max="14591" width="9.109375" style="1"/>
    <col min="14592" max="14592" width="22.88671875" style="1" customWidth="1"/>
    <col min="14593" max="14847" width="9.109375" style="1"/>
    <col min="14848" max="14848" width="22.88671875" style="1" customWidth="1"/>
    <col min="14849" max="15103" width="9.109375" style="1"/>
    <col min="15104" max="15104" width="22.88671875" style="1" customWidth="1"/>
    <col min="15105" max="15359" width="9.109375" style="1"/>
    <col min="15360" max="15360" width="22.88671875" style="1" customWidth="1"/>
    <col min="15361" max="15615" width="9.109375" style="1"/>
    <col min="15616" max="15616" width="22.88671875" style="1" customWidth="1"/>
    <col min="15617" max="15871" width="9.109375" style="1"/>
    <col min="15872" max="15872" width="22.88671875" style="1" customWidth="1"/>
    <col min="15873" max="16127" width="9.109375" style="1"/>
    <col min="16128" max="16128" width="22.88671875" style="1" customWidth="1"/>
    <col min="16129" max="16384" width="9.109375" style="1"/>
  </cols>
  <sheetData>
    <row r="1" spans="1:20" ht="20.399999999999999" x14ac:dyDescent="0.35">
      <c r="A1" s="21" t="str">
        <f>'Student Info'!$A$1</f>
        <v>Three Rivers - 23-65565-0123737</v>
      </c>
      <c r="D1" s="172" t="s">
        <v>823</v>
      </c>
    </row>
    <row r="2" spans="1:20" ht="17.399999999999999" x14ac:dyDescent="0.3">
      <c r="A2" s="20" t="s">
        <v>798</v>
      </c>
    </row>
    <row r="3" spans="1:20" ht="17.399999999999999" x14ac:dyDescent="0.3">
      <c r="A3" s="20" t="str">
        <f>'Cash Flow $s Y20-21'!A3</f>
        <v>2020-21</v>
      </c>
    </row>
    <row r="5" spans="1:20" ht="17.399999999999999" x14ac:dyDescent="0.3">
      <c r="A5" s="28"/>
      <c r="B5" s="40"/>
      <c r="C5" s="28"/>
      <c r="D5" s="90"/>
      <c r="E5" s="90"/>
      <c r="F5" s="90"/>
      <c r="G5" s="90"/>
      <c r="H5" s="90"/>
      <c r="I5" s="90"/>
      <c r="J5" s="90"/>
      <c r="K5" s="90"/>
      <c r="L5" s="90"/>
      <c r="M5" s="90"/>
      <c r="N5" s="90"/>
      <c r="O5" s="90"/>
      <c r="P5" s="90"/>
      <c r="Q5" s="90"/>
      <c r="R5" s="90"/>
    </row>
    <row r="6" spans="1:20"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c r="S6" s="100" t="s">
        <v>676</v>
      </c>
    </row>
    <row r="7" spans="1:20" ht="17.399999999999999" x14ac:dyDescent="0.3">
      <c r="A7" s="45" t="s">
        <v>789</v>
      </c>
      <c r="B7" s="81"/>
      <c r="D7" s="30"/>
      <c r="F7" s="91"/>
      <c r="G7" s="91"/>
      <c r="H7" s="91"/>
      <c r="I7" s="30"/>
      <c r="J7" s="30"/>
      <c r="K7" s="91"/>
      <c r="L7" s="91"/>
      <c r="M7" s="91"/>
      <c r="N7" s="91"/>
      <c r="O7" s="91"/>
      <c r="P7" s="91"/>
      <c r="Q7" s="91"/>
      <c r="R7" s="91"/>
    </row>
    <row r="8" spans="1:20" ht="17.399999999999999" x14ac:dyDescent="0.3">
      <c r="A8" s="45"/>
      <c r="B8" s="81"/>
      <c r="C8" s="103" t="s">
        <v>811</v>
      </c>
      <c r="D8" s="104" t="s">
        <v>780</v>
      </c>
      <c r="F8" s="91"/>
      <c r="G8" s="91"/>
      <c r="H8" s="91"/>
      <c r="I8" s="30"/>
      <c r="J8" s="30"/>
      <c r="K8" s="91"/>
      <c r="L8" s="91"/>
      <c r="M8" s="91"/>
      <c r="N8" s="91"/>
      <c r="O8" s="91"/>
      <c r="P8" s="91"/>
      <c r="Q8" s="91"/>
      <c r="R8" s="91"/>
    </row>
    <row r="9" spans="1:20" ht="17.399999999999999" x14ac:dyDescent="0.3">
      <c r="A9" s="45"/>
      <c r="B9" s="81"/>
      <c r="C9" s="83" t="s">
        <v>812</v>
      </c>
      <c r="D9" s="109">
        <v>0.05</v>
      </c>
      <c r="E9" s="109">
        <v>0.05</v>
      </c>
      <c r="F9" s="109">
        <v>0.09</v>
      </c>
      <c r="G9" s="109">
        <v>0.09</v>
      </c>
      <c r="H9" s="109">
        <v>0.09</v>
      </c>
      <c r="I9" s="109">
        <v>0.09</v>
      </c>
      <c r="J9" s="109">
        <v>0.09</v>
      </c>
      <c r="K9" s="109">
        <v>0.09</v>
      </c>
      <c r="L9" s="109">
        <v>0.09</v>
      </c>
      <c r="M9" s="109">
        <v>0.09</v>
      </c>
      <c r="N9" s="109">
        <v>0.09</v>
      </c>
      <c r="O9" s="109">
        <v>0.09</v>
      </c>
      <c r="P9" s="109">
        <v>0</v>
      </c>
      <c r="Q9" s="109">
        <v>0</v>
      </c>
      <c r="R9" s="109">
        <v>0</v>
      </c>
      <c r="S9" s="105">
        <f>SUM(D9:R9)</f>
        <v>0.99999999999999978</v>
      </c>
      <c r="T9" s="1" t="s">
        <v>1183</v>
      </c>
    </row>
    <row r="10" spans="1:20" ht="17.399999999999999" x14ac:dyDescent="0.3">
      <c r="A10" s="45"/>
      <c r="B10" s="81"/>
      <c r="C10" s="83" t="s">
        <v>813</v>
      </c>
      <c r="D10" s="106"/>
      <c r="E10" s="112"/>
      <c r="F10" s="112"/>
      <c r="G10" s="109">
        <f>(1-$P$9)*0.37</f>
        <v>0.37</v>
      </c>
      <c r="H10" s="109"/>
      <c r="I10" s="112"/>
      <c r="J10" s="109">
        <f>(1-$P$9)*0.18</f>
        <v>0.18</v>
      </c>
      <c r="K10" s="112"/>
      <c r="L10" s="109">
        <f>L9</f>
        <v>0.09</v>
      </c>
      <c r="M10" s="109">
        <f t="shared" ref="M10:R10" si="0">M9</f>
        <v>0.09</v>
      </c>
      <c r="N10" s="109">
        <f t="shared" si="0"/>
        <v>0.09</v>
      </c>
      <c r="O10" s="109">
        <f t="shared" si="0"/>
        <v>0.09</v>
      </c>
      <c r="P10" s="109">
        <f t="shared" si="0"/>
        <v>0</v>
      </c>
      <c r="Q10" s="109">
        <f t="shared" si="0"/>
        <v>0</v>
      </c>
      <c r="R10" s="109">
        <f t="shared" si="0"/>
        <v>0</v>
      </c>
      <c r="S10" s="105">
        <f>SUM(D10:R10)</f>
        <v>0.90999999999999992</v>
      </c>
    </row>
    <row r="11" spans="1:20" s="30" customFormat="1" ht="17.399999999999999" x14ac:dyDescent="0.3">
      <c r="B11" s="66" t="s">
        <v>777</v>
      </c>
      <c r="C11" s="47"/>
      <c r="D11" s="212"/>
      <c r="E11" s="212"/>
      <c r="F11" s="212"/>
      <c r="G11" s="212"/>
      <c r="H11" s="212"/>
      <c r="I11" s="212"/>
      <c r="J11" s="212"/>
      <c r="K11" s="212"/>
      <c r="L11" s="212"/>
      <c r="M11" s="212"/>
      <c r="N11" s="212"/>
      <c r="O11" s="212"/>
      <c r="P11" s="212"/>
      <c r="Q11" s="212"/>
      <c r="R11" s="212"/>
    </row>
    <row r="12" spans="1:20" s="30" customFormat="1" x14ac:dyDescent="0.3">
      <c r="A12" s="48"/>
      <c r="B12" s="61">
        <f>'Revenue Input'!B8</f>
        <v>8011</v>
      </c>
      <c r="C12" s="61" t="str">
        <f>'Revenue Input'!C8</f>
        <v>LCFF for all grades; state aid portion</v>
      </c>
      <c r="D12" s="106">
        <f t="shared" ref="D12:R12" si="1">IF($D$8="NO",D$9,D$10)</f>
        <v>0.05</v>
      </c>
      <c r="E12" s="106">
        <f t="shared" si="1"/>
        <v>0.05</v>
      </c>
      <c r="F12" s="106">
        <f t="shared" si="1"/>
        <v>0.09</v>
      </c>
      <c r="G12" s="106">
        <f t="shared" si="1"/>
        <v>0.09</v>
      </c>
      <c r="H12" s="106">
        <f t="shared" si="1"/>
        <v>0.09</v>
      </c>
      <c r="I12" s="106">
        <f t="shared" si="1"/>
        <v>0.09</v>
      </c>
      <c r="J12" s="106">
        <f t="shared" si="1"/>
        <v>0.09</v>
      </c>
      <c r="K12" s="106">
        <f t="shared" si="1"/>
        <v>0.09</v>
      </c>
      <c r="L12" s="106">
        <f t="shared" si="1"/>
        <v>0.09</v>
      </c>
      <c r="M12" s="106">
        <f t="shared" si="1"/>
        <v>0.09</v>
      </c>
      <c r="N12" s="106">
        <f t="shared" si="1"/>
        <v>0.09</v>
      </c>
      <c r="O12" s="106">
        <f t="shared" si="1"/>
        <v>0.09</v>
      </c>
      <c r="P12" s="106">
        <f t="shared" si="1"/>
        <v>0</v>
      </c>
      <c r="Q12" s="106">
        <f t="shared" si="1"/>
        <v>0</v>
      </c>
      <c r="R12" s="106">
        <f t="shared" si="1"/>
        <v>0</v>
      </c>
      <c r="S12" s="105">
        <f t="shared" ref="S12:S22" si="2">SUM(D12:R12)</f>
        <v>0.99999999999999978</v>
      </c>
    </row>
    <row r="13" spans="1:20" s="30" customFormat="1" x14ac:dyDescent="0.3">
      <c r="A13" s="48"/>
      <c r="B13" s="61">
        <f>'Revenue Input'!B9</f>
        <v>8012</v>
      </c>
      <c r="C13" s="61" t="str">
        <f>'Revenue Input'!C9</f>
        <v>LCFF for all grades; EPA portion</v>
      </c>
      <c r="D13" s="93">
        <v>0</v>
      </c>
      <c r="E13" s="93">
        <v>0</v>
      </c>
      <c r="F13" s="93">
        <v>0.25</v>
      </c>
      <c r="G13" s="93">
        <v>0</v>
      </c>
      <c r="H13" s="93">
        <v>0</v>
      </c>
      <c r="I13" s="93">
        <v>0.25</v>
      </c>
      <c r="J13" s="93">
        <v>0</v>
      </c>
      <c r="K13" s="93">
        <v>0</v>
      </c>
      <c r="L13" s="93">
        <v>0.25</v>
      </c>
      <c r="M13" s="93">
        <v>0</v>
      </c>
      <c r="N13" s="93">
        <v>0</v>
      </c>
      <c r="O13" s="93">
        <v>0.25</v>
      </c>
      <c r="P13" s="93">
        <v>0</v>
      </c>
      <c r="Q13" s="93">
        <v>0</v>
      </c>
      <c r="R13" s="93">
        <v>0</v>
      </c>
      <c r="S13" s="105">
        <f t="shared" si="2"/>
        <v>1</v>
      </c>
    </row>
    <row r="14" spans="1:20" s="30" customFormat="1" x14ac:dyDescent="0.3">
      <c r="A14" s="48"/>
      <c r="B14" s="61">
        <f>'Revenue Input'!B10</f>
        <v>8096</v>
      </c>
      <c r="C14" s="61" t="str">
        <f>'Revenue Input'!C10</f>
        <v>In-Lieu of Property Taxes, all grades</v>
      </c>
      <c r="D14" s="107">
        <v>0</v>
      </c>
      <c r="E14" s="107">
        <v>0.06</v>
      </c>
      <c r="F14" s="107">
        <v>0.12</v>
      </c>
      <c r="G14" s="107">
        <v>0.08</v>
      </c>
      <c r="H14" s="107">
        <v>0.08</v>
      </c>
      <c r="I14" s="107">
        <v>0.08</v>
      </c>
      <c r="J14" s="107">
        <v>0.08</v>
      </c>
      <c r="K14" s="107">
        <v>0.08</v>
      </c>
      <c r="L14" s="107">
        <v>0.14000000000000001</v>
      </c>
      <c r="M14" s="107">
        <v>7.0000000000000007E-2</v>
      </c>
      <c r="N14" s="107">
        <v>7.0000000000000007E-2</v>
      </c>
      <c r="O14" s="107">
        <v>0.14000000000000001</v>
      </c>
      <c r="P14" s="107">
        <v>0</v>
      </c>
      <c r="Q14" s="107">
        <v>0</v>
      </c>
      <c r="R14" s="107">
        <v>0</v>
      </c>
      <c r="S14" s="105">
        <f t="shared" si="2"/>
        <v>1</v>
      </c>
    </row>
    <row r="15" spans="1:20" s="30" customFormat="1" x14ac:dyDescent="0.3">
      <c r="A15" s="48"/>
      <c r="B15" s="61">
        <f>'Revenue Input'!B11</f>
        <v>8019</v>
      </c>
      <c r="C15" s="61" t="str">
        <f>'Revenue Input'!C11</f>
        <v>Prior Year Income / Adjustments</v>
      </c>
      <c r="D15" s="106">
        <f t="shared" ref="D15:R16" si="3">IF($D$8="NO",D$9,D$10)</f>
        <v>0.05</v>
      </c>
      <c r="E15" s="106">
        <f t="shared" si="3"/>
        <v>0.05</v>
      </c>
      <c r="F15" s="106">
        <f t="shared" si="3"/>
        <v>0.09</v>
      </c>
      <c r="G15" s="106">
        <f t="shared" si="3"/>
        <v>0.09</v>
      </c>
      <c r="H15" s="106">
        <f t="shared" si="3"/>
        <v>0.09</v>
      </c>
      <c r="I15" s="106">
        <f t="shared" si="3"/>
        <v>0.09</v>
      </c>
      <c r="J15" s="106">
        <f t="shared" si="3"/>
        <v>0.09</v>
      </c>
      <c r="K15" s="106">
        <f t="shared" si="3"/>
        <v>0.09</v>
      </c>
      <c r="L15" s="106">
        <f t="shared" si="3"/>
        <v>0.09</v>
      </c>
      <c r="M15" s="106">
        <f t="shared" si="3"/>
        <v>0.09</v>
      </c>
      <c r="N15" s="106">
        <f t="shared" si="3"/>
        <v>0.09</v>
      </c>
      <c r="O15" s="106">
        <f t="shared" si="3"/>
        <v>0.09</v>
      </c>
      <c r="P15" s="106">
        <f t="shared" si="3"/>
        <v>0</v>
      </c>
      <c r="Q15" s="106">
        <f t="shared" si="3"/>
        <v>0</v>
      </c>
      <c r="R15" s="106">
        <f t="shared" si="3"/>
        <v>0</v>
      </c>
      <c r="S15" s="105">
        <f t="shared" si="2"/>
        <v>0.99999999999999978</v>
      </c>
    </row>
    <row r="16" spans="1:20" s="30" customFormat="1" x14ac:dyDescent="0.3">
      <c r="A16" s="48"/>
      <c r="B16" s="61">
        <f>'Revenue Input'!B30</f>
        <v>8520</v>
      </c>
      <c r="C16" s="61" t="str">
        <f>'Revenue Input'!C30</f>
        <v>State Child Nutrition Program</v>
      </c>
      <c r="D16" s="106">
        <f t="shared" si="3"/>
        <v>0.05</v>
      </c>
      <c r="E16" s="106">
        <f t="shared" si="3"/>
        <v>0.05</v>
      </c>
      <c r="F16" s="106">
        <f t="shared" si="3"/>
        <v>0.09</v>
      </c>
      <c r="G16" s="106">
        <f t="shared" si="3"/>
        <v>0.09</v>
      </c>
      <c r="H16" s="106">
        <f t="shared" si="3"/>
        <v>0.09</v>
      </c>
      <c r="I16" s="106">
        <f t="shared" si="3"/>
        <v>0.09</v>
      </c>
      <c r="J16" s="106">
        <f t="shared" si="3"/>
        <v>0.09</v>
      </c>
      <c r="K16" s="106">
        <f t="shared" si="3"/>
        <v>0.09</v>
      </c>
      <c r="L16" s="106">
        <f t="shared" si="3"/>
        <v>0.09</v>
      </c>
      <c r="M16" s="106">
        <f t="shared" si="3"/>
        <v>0.09</v>
      </c>
      <c r="N16" s="106">
        <f t="shared" si="3"/>
        <v>0.09</v>
      </c>
      <c r="O16" s="106">
        <f t="shared" si="3"/>
        <v>0.09</v>
      </c>
      <c r="P16" s="106">
        <f t="shared" si="3"/>
        <v>0</v>
      </c>
      <c r="Q16" s="106">
        <f t="shared" si="3"/>
        <v>0</v>
      </c>
      <c r="R16" s="106">
        <f t="shared" si="3"/>
        <v>0</v>
      </c>
      <c r="S16" s="105">
        <f t="shared" si="2"/>
        <v>0.99999999999999978</v>
      </c>
    </row>
    <row r="17" spans="1:20" s="30" customFormat="1" x14ac:dyDescent="0.3">
      <c r="A17" s="48"/>
      <c r="B17" s="61">
        <f>'Revenue Input'!B31</f>
        <v>8550</v>
      </c>
      <c r="C17" s="61" t="str">
        <f>'Revenue Input'!C31</f>
        <v>Mandate Block Grant</v>
      </c>
      <c r="D17" s="106">
        <v>0</v>
      </c>
      <c r="E17" s="106">
        <v>0</v>
      </c>
      <c r="F17" s="106">
        <v>0</v>
      </c>
      <c r="G17" s="106">
        <v>0</v>
      </c>
      <c r="H17" s="106">
        <v>0</v>
      </c>
      <c r="I17" s="106">
        <v>0.25</v>
      </c>
      <c r="J17" s="106">
        <v>0</v>
      </c>
      <c r="K17" s="106">
        <v>0.25</v>
      </c>
      <c r="L17" s="106">
        <v>0</v>
      </c>
      <c r="M17" s="106">
        <f>IF($D$8="NO",0.25,"")</f>
        <v>0.25</v>
      </c>
      <c r="N17" s="106">
        <v>0</v>
      </c>
      <c r="O17" s="106">
        <v>0.25</v>
      </c>
      <c r="P17" s="106">
        <v>0</v>
      </c>
      <c r="Q17" s="106">
        <v>0</v>
      </c>
      <c r="R17" s="106">
        <v>0</v>
      </c>
      <c r="S17" s="105">
        <f t="shared" si="2"/>
        <v>1</v>
      </c>
      <c r="T17" s="1"/>
    </row>
    <row r="18" spans="1:20" s="30" customFormat="1" x14ac:dyDescent="0.3">
      <c r="A18" s="47"/>
      <c r="B18" s="61">
        <f>'Revenue Input'!B32</f>
        <v>8560</v>
      </c>
      <c r="C18" s="61" t="str">
        <f>'Revenue Input'!C32</f>
        <v>Lottery</v>
      </c>
      <c r="D18" s="106">
        <v>0</v>
      </c>
      <c r="E18" s="106">
        <v>0</v>
      </c>
      <c r="F18" s="106">
        <v>0</v>
      </c>
      <c r="G18" s="111">
        <v>0</v>
      </c>
      <c r="H18" s="111">
        <v>0.1</v>
      </c>
      <c r="I18" s="111">
        <v>0.1</v>
      </c>
      <c r="J18" s="111">
        <v>0.1</v>
      </c>
      <c r="K18" s="111">
        <v>0.1</v>
      </c>
      <c r="L18" s="111">
        <v>0.1</v>
      </c>
      <c r="M18" s="111">
        <v>0.1</v>
      </c>
      <c r="N18" s="111">
        <v>0.1</v>
      </c>
      <c r="O18" s="111">
        <v>0.3</v>
      </c>
      <c r="P18" s="111">
        <v>0</v>
      </c>
      <c r="Q18" s="106">
        <v>0</v>
      </c>
      <c r="R18" s="106">
        <v>0</v>
      </c>
      <c r="S18" s="105">
        <f t="shared" si="2"/>
        <v>1</v>
      </c>
    </row>
    <row r="19" spans="1:20" s="30" customFormat="1" x14ac:dyDescent="0.3">
      <c r="A19" s="48"/>
      <c r="B19" s="61">
        <f>'Revenue Input'!B34</f>
        <v>8590</v>
      </c>
      <c r="C19" s="61" t="str">
        <f>'Revenue Input'!C34</f>
        <v xml:space="preserve">Other State Revenues </v>
      </c>
      <c r="D19" s="106">
        <v>0</v>
      </c>
      <c r="E19" s="106">
        <v>0</v>
      </c>
      <c r="F19" s="106">
        <v>0</v>
      </c>
      <c r="G19" s="106">
        <v>0</v>
      </c>
      <c r="H19" s="106">
        <v>0.25</v>
      </c>
      <c r="I19" s="106">
        <v>0</v>
      </c>
      <c r="J19" s="106">
        <v>0</v>
      </c>
      <c r="K19" s="106">
        <v>0.25</v>
      </c>
      <c r="L19" s="106">
        <v>0</v>
      </c>
      <c r="M19" s="106">
        <v>0</v>
      </c>
      <c r="N19" s="106">
        <v>0.25</v>
      </c>
      <c r="O19" s="106">
        <v>0.25</v>
      </c>
      <c r="P19" s="106">
        <v>0</v>
      </c>
      <c r="Q19" s="106">
        <v>0</v>
      </c>
      <c r="R19" s="106">
        <v>0</v>
      </c>
      <c r="S19" s="105">
        <f t="shared" si="2"/>
        <v>1</v>
      </c>
    </row>
    <row r="20" spans="1:20" s="30" customFormat="1" ht="17.399999999999999" x14ac:dyDescent="0.3">
      <c r="A20" s="45"/>
      <c r="B20" s="61">
        <f>'Revenue Input'!B37</f>
        <v>8591</v>
      </c>
      <c r="C20" s="61" t="str">
        <f>'Revenue Input'!C37</f>
        <v>SB740</v>
      </c>
      <c r="D20" s="106">
        <v>0</v>
      </c>
      <c r="E20" s="106">
        <v>0</v>
      </c>
      <c r="F20" s="106">
        <v>0</v>
      </c>
      <c r="G20" s="106">
        <v>0</v>
      </c>
      <c r="H20" s="106">
        <v>0.65</v>
      </c>
      <c r="I20" s="106">
        <v>0</v>
      </c>
      <c r="J20" s="106">
        <v>0</v>
      </c>
      <c r="K20" s="106">
        <v>0</v>
      </c>
      <c r="L20" s="106">
        <v>0</v>
      </c>
      <c r="M20" s="106">
        <v>0</v>
      </c>
      <c r="N20" s="106">
        <v>0</v>
      </c>
      <c r="O20" s="106">
        <v>0.35</v>
      </c>
      <c r="P20" s="106">
        <v>0</v>
      </c>
      <c r="Q20" s="106">
        <v>0</v>
      </c>
      <c r="R20" s="106">
        <v>0</v>
      </c>
      <c r="S20" s="105">
        <f t="shared" si="2"/>
        <v>1</v>
      </c>
    </row>
    <row r="21" spans="1:20" s="30" customFormat="1" ht="17.399999999999999" x14ac:dyDescent="0.3">
      <c r="A21" s="45"/>
      <c r="B21" s="61">
        <f>'Revenue Input'!B38</f>
        <v>8599</v>
      </c>
      <c r="C21" s="61" t="str">
        <f>'Revenue Input'!C38</f>
        <v>Prior Year State Income</v>
      </c>
      <c r="D21" s="106">
        <v>0</v>
      </c>
      <c r="E21" s="106">
        <v>0</v>
      </c>
      <c r="F21" s="106">
        <v>0.5</v>
      </c>
      <c r="G21" s="106">
        <v>0</v>
      </c>
      <c r="H21" s="106">
        <v>0</v>
      </c>
      <c r="I21" s="106">
        <v>0</v>
      </c>
      <c r="J21" s="106">
        <v>0.5</v>
      </c>
      <c r="K21" s="106">
        <v>0</v>
      </c>
      <c r="L21" s="106">
        <v>0</v>
      </c>
      <c r="M21" s="106">
        <v>0</v>
      </c>
      <c r="N21" s="106">
        <v>0</v>
      </c>
      <c r="O21" s="106">
        <v>0</v>
      </c>
      <c r="P21" s="106">
        <v>0</v>
      </c>
      <c r="Q21" s="106">
        <v>0</v>
      </c>
      <c r="R21" s="106">
        <v>0</v>
      </c>
      <c r="S21" s="105">
        <f>SUM(D21:R21)</f>
        <v>1</v>
      </c>
    </row>
    <row r="22" spans="1:20" s="30" customFormat="1" ht="17.399999999999999" x14ac:dyDescent="0.3">
      <c r="A22" s="45"/>
      <c r="B22" s="61">
        <f>'Revenue Input'!B39</f>
        <v>8792</v>
      </c>
      <c r="C22" s="61" t="str">
        <f>'Revenue Input'!C39</f>
        <v>Special Education - AB 602</v>
      </c>
      <c r="D22" s="106">
        <v>0</v>
      </c>
      <c r="E22" s="106">
        <v>0</v>
      </c>
      <c r="F22" s="106">
        <v>0</v>
      </c>
      <c r="G22" s="106">
        <v>0</v>
      </c>
      <c r="H22" s="106">
        <v>0</v>
      </c>
      <c r="I22" s="106">
        <v>0</v>
      </c>
      <c r="J22" s="106">
        <v>0.4</v>
      </c>
      <c r="K22" s="106">
        <v>0</v>
      </c>
      <c r="L22" s="106">
        <v>0</v>
      </c>
      <c r="M22" s="106">
        <v>0.4</v>
      </c>
      <c r="N22" s="106">
        <v>0</v>
      </c>
      <c r="O22" s="106">
        <v>0.2</v>
      </c>
      <c r="P22" s="106">
        <v>0</v>
      </c>
      <c r="Q22" s="106">
        <v>0</v>
      </c>
      <c r="R22" s="106">
        <v>0</v>
      </c>
      <c r="S22" s="105">
        <f t="shared" si="2"/>
        <v>1</v>
      </c>
    </row>
    <row r="23" spans="1:20" s="30" customFormat="1" ht="17.399999999999999" x14ac:dyDescent="0.3">
      <c r="A23" s="45"/>
      <c r="B23" s="68"/>
      <c r="C23" s="48"/>
      <c r="D23" s="114"/>
      <c r="E23" s="114"/>
      <c r="F23" s="114"/>
      <c r="G23" s="114"/>
      <c r="H23" s="114"/>
      <c r="I23" s="114"/>
      <c r="J23" s="114"/>
      <c r="K23" s="114"/>
      <c r="L23" s="114"/>
      <c r="M23" s="114"/>
      <c r="N23" s="114"/>
      <c r="O23" s="114"/>
      <c r="P23" s="114"/>
      <c r="Q23" s="114"/>
      <c r="R23" s="115"/>
      <c r="S23" s="105"/>
    </row>
    <row r="24" spans="1:20" s="30" customFormat="1" ht="17.399999999999999" x14ac:dyDescent="0.3">
      <c r="A24" s="45"/>
      <c r="B24" s="68"/>
      <c r="C24" s="48"/>
      <c r="D24" s="113"/>
      <c r="E24" s="113"/>
      <c r="F24" s="113"/>
      <c r="G24" s="113"/>
      <c r="H24" s="113"/>
      <c r="I24" s="113"/>
      <c r="J24" s="113"/>
      <c r="K24" s="113"/>
      <c r="L24" s="113"/>
      <c r="M24" s="113"/>
      <c r="N24" s="113"/>
      <c r="O24" s="113"/>
      <c r="P24" s="113"/>
      <c r="Q24" s="113"/>
      <c r="R24" s="113"/>
    </row>
    <row r="25" spans="1:20" s="30" customFormat="1" ht="17.399999999999999" x14ac:dyDescent="0.3">
      <c r="B25" s="45" t="s">
        <v>781</v>
      </c>
      <c r="C25" s="48"/>
      <c r="D25" s="113"/>
      <c r="E25" s="113"/>
      <c r="F25" s="113"/>
      <c r="G25" s="113"/>
      <c r="H25" s="113"/>
      <c r="I25" s="113"/>
      <c r="J25" s="113"/>
      <c r="K25" s="113"/>
      <c r="L25" s="113"/>
      <c r="M25" s="113"/>
      <c r="N25" s="113"/>
      <c r="O25" s="113"/>
      <c r="P25" s="113"/>
      <c r="Q25" s="113"/>
      <c r="R25" s="113"/>
    </row>
    <row r="26" spans="1:20" s="30" customFormat="1" ht="17.399999999999999" x14ac:dyDescent="0.3">
      <c r="A26" s="45"/>
      <c r="B26" s="61">
        <f>'Revenue Input'!B15</f>
        <v>8181</v>
      </c>
      <c r="C26" s="61" t="str">
        <f>'Revenue Input'!C15</f>
        <v>Special Education - Federal IDEA</v>
      </c>
      <c r="D26" s="111"/>
      <c r="E26" s="111"/>
      <c r="F26" s="111"/>
      <c r="G26" s="111"/>
      <c r="H26" s="111">
        <v>0.1</v>
      </c>
      <c r="I26" s="111">
        <v>0.1</v>
      </c>
      <c r="J26" s="111">
        <v>0.1</v>
      </c>
      <c r="K26" s="111">
        <v>0.1</v>
      </c>
      <c r="L26" s="111">
        <v>0.1</v>
      </c>
      <c r="M26" s="111">
        <v>0.1</v>
      </c>
      <c r="N26" s="111">
        <v>0.1</v>
      </c>
      <c r="O26" s="111">
        <v>0.3</v>
      </c>
      <c r="P26" s="111">
        <v>0</v>
      </c>
      <c r="Q26" s="106">
        <v>0</v>
      </c>
      <c r="R26" s="106"/>
      <c r="S26" s="101">
        <f t="shared" ref="S26:S33" si="4">SUM(D26:R26)</f>
        <v>1</v>
      </c>
    </row>
    <row r="27" spans="1:20" s="30" customFormat="1" ht="17.399999999999999" x14ac:dyDescent="0.3">
      <c r="A27" s="45"/>
      <c r="B27" s="61">
        <f>'Revenue Input'!B17</f>
        <v>8290</v>
      </c>
      <c r="C27" s="61" t="str">
        <f>'Revenue Input'!C17</f>
        <v>All Other Federal Revenue, GEER/CRF</v>
      </c>
      <c r="D27" s="106"/>
      <c r="E27" s="106"/>
      <c r="F27" s="106"/>
      <c r="G27" s="106"/>
      <c r="H27" s="106"/>
      <c r="I27" s="106"/>
      <c r="J27" s="106">
        <v>0.25</v>
      </c>
      <c r="K27" s="106"/>
      <c r="L27" s="106"/>
      <c r="M27" s="106">
        <v>0.5</v>
      </c>
      <c r="N27" s="106"/>
      <c r="O27" s="106">
        <v>0.25</v>
      </c>
      <c r="P27" s="106"/>
      <c r="Q27" s="106"/>
      <c r="R27" s="106"/>
      <c r="S27" s="101">
        <f t="shared" si="4"/>
        <v>1</v>
      </c>
    </row>
    <row r="28" spans="1:20" s="30" customFormat="1" ht="17.399999999999999" x14ac:dyDescent="0.3">
      <c r="A28" s="45"/>
      <c r="B28" s="61">
        <f>'Revenue Input'!B21</f>
        <v>8291</v>
      </c>
      <c r="C28" s="61" t="str">
        <f>'Revenue Input'!C21</f>
        <v>Title I</v>
      </c>
      <c r="D28" s="106">
        <v>0</v>
      </c>
      <c r="E28" s="106">
        <v>0</v>
      </c>
      <c r="F28" s="106">
        <v>0</v>
      </c>
      <c r="G28" s="106">
        <v>0</v>
      </c>
      <c r="H28" s="106">
        <v>0</v>
      </c>
      <c r="I28" s="106">
        <v>0</v>
      </c>
      <c r="J28" s="106">
        <v>0.25</v>
      </c>
      <c r="K28" s="106">
        <v>0</v>
      </c>
      <c r="L28" s="106">
        <v>0</v>
      </c>
      <c r="M28" s="106">
        <v>0.5</v>
      </c>
      <c r="N28" s="106">
        <v>0</v>
      </c>
      <c r="O28" s="106">
        <v>0.25</v>
      </c>
      <c r="P28" s="106">
        <v>0</v>
      </c>
      <c r="Q28" s="106">
        <v>0</v>
      </c>
      <c r="R28" s="106">
        <v>0</v>
      </c>
      <c r="S28" s="101">
        <f t="shared" si="4"/>
        <v>1</v>
      </c>
    </row>
    <row r="29" spans="1:20" s="30" customFormat="1" ht="17.399999999999999" x14ac:dyDescent="0.3">
      <c r="A29" s="45"/>
      <c r="B29" s="61">
        <f>'Revenue Input'!B22</f>
        <v>8292</v>
      </c>
      <c r="C29" s="61" t="str">
        <f>'Revenue Input'!C22</f>
        <v>Title II</v>
      </c>
      <c r="D29" s="106">
        <v>0</v>
      </c>
      <c r="E29" s="106">
        <v>0</v>
      </c>
      <c r="F29" s="106">
        <v>0</v>
      </c>
      <c r="G29" s="106">
        <v>0</v>
      </c>
      <c r="H29" s="106">
        <v>0</v>
      </c>
      <c r="I29" s="106">
        <v>0</v>
      </c>
      <c r="J29" s="106">
        <v>0.25</v>
      </c>
      <c r="K29" s="106">
        <v>0</v>
      </c>
      <c r="L29" s="106">
        <v>0</v>
      </c>
      <c r="M29" s="106">
        <v>0.5</v>
      </c>
      <c r="N29" s="106">
        <v>0</v>
      </c>
      <c r="O29" s="106">
        <v>0.25</v>
      </c>
      <c r="P29" s="106">
        <v>0</v>
      </c>
      <c r="Q29" s="106">
        <v>0</v>
      </c>
      <c r="R29" s="106">
        <v>0</v>
      </c>
      <c r="S29" s="101">
        <f t="shared" si="4"/>
        <v>1</v>
      </c>
    </row>
    <row r="30" spans="1:20" s="30" customFormat="1" ht="17.399999999999999" x14ac:dyDescent="0.3">
      <c r="A30" s="45"/>
      <c r="B30" s="61">
        <f>'Revenue Input'!B23</f>
        <v>8293</v>
      </c>
      <c r="C30" s="61" t="str">
        <f>'Revenue Input'!C23</f>
        <v>Title III</v>
      </c>
      <c r="D30" s="106"/>
      <c r="E30" s="106"/>
      <c r="F30" s="106"/>
      <c r="G30" s="106"/>
      <c r="H30" s="106"/>
      <c r="I30" s="106"/>
      <c r="J30" s="106">
        <v>0.25</v>
      </c>
      <c r="K30" s="106"/>
      <c r="L30" s="106"/>
      <c r="M30" s="106">
        <v>0.5</v>
      </c>
      <c r="N30" s="106"/>
      <c r="O30" s="106">
        <v>0.25</v>
      </c>
      <c r="P30" s="106"/>
      <c r="Q30" s="106"/>
      <c r="R30" s="106"/>
      <c r="S30" s="101">
        <f t="shared" si="4"/>
        <v>1</v>
      </c>
    </row>
    <row r="31" spans="1:20" s="30" customFormat="1" ht="17.399999999999999" x14ac:dyDescent="0.3">
      <c r="A31" s="45"/>
      <c r="B31" s="61">
        <f>'Revenue Input'!B24</f>
        <v>8294</v>
      </c>
      <c r="C31" s="61" t="str">
        <f>'Revenue Input'!C24</f>
        <v>Title IV</v>
      </c>
      <c r="D31" s="106"/>
      <c r="E31" s="106"/>
      <c r="F31" s="106"/>
      <c r="G31" s="106"/>
      <c r="H31" s="106"/>
      <c r="I31" s="106"/>
      <c r="J31" s="106">
        <v>0.25</v>
      </c>
      <c r="K31" s="106"/>
      <c r="L31" s="106"/>
      <c r="M31" s="106">
        <v>0.5</v>
      </c>
      <c r="N31" s="106"/>
      <c r="O31" s="106">
        <v>0.25</v>
      </c>
      <c r="P31" s="106"/>
      <c r="Q31" s="106"/>
      <c r="R31" s="106"/>
      <c r="S31" s="101">
        <f t="shared" si="4"/>
        <v>1</v>
      </c>
    </row>
    <row r="32" spans="1:20" s="30" customFormat="1" ht="17.399999999999999" x14ac:dyDescent="0.3">
      <c r="A32" s="45"/>
      <c r="B32" s="61">
        <f>'Revenue Input'!B25</f>
        <v>8295</v>
      </c>
      <c r="C32" s="61" t="str">
        <f>'Revenue Input'!C25</f>
        <v>Title V</v>
      </c>
      <c r="D32" s="106"/>
      <c r="E32" s="106"/>
      <c r="F32" s="106">
        <v>1</v>
      </c>
      <c r="G32" s="106"/>
      <c r="H32" s="106"/>
      <c r="I32" s="106"/>
      <c r="J32" s="106"/>
      <c r="K32" s="106"/>
      <c r="L32" s="106"/>
      <c r="M32" s="106"/>
      <c r="N32" s="106"/>
      <c r="O32" s="106"/>
      <c r="P32" s="106"/>
      <c r="Q32" s="106"/>
      <c r="R32" s="106"/>
      <c r="S32" s="101">
        <f t="shared" si="4"/>
        <v>1</v>
      </c>
    </row>
    <row r="33" spans="1:19" s="30" customFormat="1" ht="17.399999999999999" x14ac:dyDescent="0.3">
      <c r="A33" s="45"/>
      <c r="B33" s="61">
        <f>'Revenue Input'!B26</f>
        <v>8299</v>
      </c>
      <c r="C33" s="61" t="str">
        <f>'Revenue Input'!C26</f>
        <v>Prior Year Federal Revenue</v>
      </c>
      <c r="D33" s="106"/>
      <c r="E33" s="106"/>
      <c r="F33" s="106"/>
      <c r="G33" s="106"/>
      <c r="H33" s="106"/>
      <c r="I33" s="106">
        <v>0.5</v>
      </c>
      <c r="J33" s="106"/>
      <c r="K33" s="106">
        <v>0.4</v>
      </c>
      <c r="L33" s="106"/>
      <c r="M33" s="106"/>
      <c r="N33" s="106">
        <v>0.1</v>
      </c>
      <c r="O33" s="106"/>
      <c r="P33" s="106"/>
      <c r="Q33" s="106"/>
      <c r="R33" s="106"/>
      <c r="S33" s="101">
        <f t="shared" si="4"/>
        <v>1</v>
      </c>
    </row>
    <row r="34" spans="1:19" s="30" customFormat="1" ht="17.399999999999999" x14ac:dyDescent="0.3">
      <c r="A34" s="45"/>
      <c r="B34" s="68"/>
      <c r="C34" s="48"/>
      <c r="D34" s="114"/>
      <c r="E34" s="114"/>
      <c r="F34" s="114"/>
      <c r="G34" s="114"/>
      <c r="H34" s="114"/>
      <c r="I34" s="114"/>
      <c r="J34" s="114"/>
      <c r="K34" s="114"/>
      <c r="L34" s="114"/>
      <c r="M34" s="114"/>
      <c r="N34" s="114"/>
      <c r="O34" s="114"/>
      <c r="P34" s="114"/>
      <c r="Q34" s="114"/>
      <c r="R34" s="114"/>
      <c r="S34" s="101"/>
    </row>
    <row r="35" spans="1:19" s="30" customFormat="1" ht="17.399999999999999" x14ac:dyDescent="0.3">
      <c r="A35" s="45"/>
      <c r="B35" s="68"/>
      <c r="C35" s="48"/>
      <c r="D35" s="117"/>
      <c r="E35" s="117"/>
      <c r="F35" s="117"/>
      <c r="G35" s="117"/>
      <c r="H35" s="117"/>
      <c r="I35" s="117"/>
      <c r="J35" s="117"/>
      <c r="K35" s="117"/>
      <c r="L35" s="117"/>
      <c r="M35" s="117"/>
      <c r="N35" s="117"/>
      <c r="O35" s="117"/>
      <c r="P35" s="117"/>
      <c r="Q35" s="117"/>
      <c r="R35" s="117"/>
    </row>
    <row r="36" spans="1:19" s="30" customFormat="1" ht="17.399999999999999" x14ac:dyDescent="0.3">
      <c r="B36" s="45" t="s">
        <v>790</v>
      </c>
      <c r="C36" s="48"/>
      <c r="D36" s="117"/>
      <c r="E36" s="117"/>
      <c r="F36" s="117"/>
      <c r="G36" s="117"/>
      <c r="H36" s="117"/>
      <c r="I36" s="117"/>
      <c r="J36" s="117"/>
      <c r="K36" s="117"/>
      <c r="L36" s="117"/>
      <c r="M36" s="117"/>
      <c r="N36" s="117"/>
      <c r="O36" s="117"/>
      <c r="P36" s="117"/>
      <c r="Q36" s="117"/>
      <c r="R36" s="117"/>
    </row>
    <row r="37" spans="1:19" s="30" customFormat="1" ht="17.399999999999999" x14ac:dyDescent="0.3">
      <c r="A37" s="45"/>
      <c r="B37" s="61">
        <f>'Revenue Input'!B44</f>
        <v>8660</v>
      </c>
      <c r="C37" s="61" t="str">
        <f>'Revenue Input'!C44</f>
        <v>Interest</v>
      </c>
      <c r="D37" s="111">
        <v>8.3000000000000004E-2</v>
      </c>
      <c r="E37" s="111">
        <v>8.3000000000000004E-2</v>
      </c>
      <c r="F37" s="111">
        <v>8.3000000000000004E-2</v>
      </c>
      <c r="G37" s="111">
        <v>8.3000000000000004E-2</v>
      </c>
      <c r="H37" s="111">
        <v>8.3000000000000004E-2</v>
      </c>
      <c r="I37" s="111">
        <v>8.3000000000000004E-2</v>
      </c>
      <c r="J37" s="111">
        <v>8.3000000000000004E-2</v>
      </c>
      <c r="K37" s="111">
        <v>8.3000000000000004E-2</v>
      </c>
      <c r="L37" s="111">
        <v>8.4000000000000005E-2</v>
      </c>
      <c r="M37" s="111">
        <v>8.4000000000000005E-2</v>
      </c>
      <c r="N37" s="111">
        <v>8.4000000000000005E-2</v>
      </c>
      <c r="O37" s="111">
        <v>8.4000000000000005E-2</v>
      </c>
      <c r="P37" s="106"/>
      <c r="Q37" s="106"/>
      <c r="R37" s="106"/>
      <c r="S37" s="101">
        <f t="shared" ref="S37:S49" si="5">SUM(D37:R37)</f>
        <v>0.99999999999999989</v>
      </c>
    </row>
    <row r="38" spans="1:19" s="30" customFormat="1" ht="17.399999999999999" x14ac:dyDescent="0.3">
      <c r="A38" s="45"/>
      <c r="B38" s="61">
        <f>'Revenue Input'!B45</f>
        <v>8682</v>
      </c>
      <c r="C38" s="61" t="str">
        <f>'Revenue Input'!C45</f>
        <v>Foundation Grants / Donations</v>
      </c>
      <c r="D38" s="111">
        <v>0</v>
      </c>
      <c r="E38" s="111">
        <v>0</v>
      </c>
      <c r="F38" s="111">
        <v>0.1</v>
      </c>
      <c r="G38" s="111">
        <v>0.1</v>
      </c>
      <c r="H38" s="111">
        <v>0.1</v>
      </c>
      <c r="I38" s="111">
        <v>0.1</v>
      </c>
      <c r="J38" s="111">
        <v>0.1</v>
      </c>
      <c r="K38" s="111">
        <v>0.1</v>
      </c>
      <c r="L38" s="111">
        <v>0.1</v>
      </c>
      <c r="M38" s="111">
        <v>0.1</v>
      </c>
      <c r="N38" s="111">
        <v>0.1</v>
      </c>
      <c r="O38" s="111">
        <v>0.1</v>
      </c>
      <c r="P38" s="106"/>
      <c r="Q38" s="106"/>
      <c r="R38" s="106"/>
      <c r="S38" s="101">
        <f t="shared" si="5"/>
        <v>0.99999999999999989</v>
      </c>
    </row>
    <row r="39" spans="1:19" s="30" customFormat="1" ht="17.399999999999999" x14ac:dyDescent="0.3">
      <c r="A39" s="45"/>
      <c r="B39" s="61">
        <f>'Revenue Input'!B46</f>
        <v>8684</v>
      </c>
      <c r="C39" s="61" t="str">
        <f>'Revenue Input'!C46</f>
        <v>Student  Body (ASB) Fundraising Revenue</v>
      </c>
      <c r="D39" s="111">
        <v>0</v>
      </c>
      <c r="E39" s="111">
        <v>0</v>
      </c>
      <c r="F39" s="111">
        <v>0.1</v>
      </c>
      <c r="G39" s="111">
        <v>0.1</v>
      </c>
      <c r="H39" s="111">
        <v>0.1</v>
      </c>
      <c r="I39" s="111">
        <v>0.1</v>
      </c>
      <c r="J39" s="111">
        <v>0.1</v>
      </c>
      <c r="K39" s="111">
        <v>0.1</v>
      </c>
      <c r="L39" s="111">
        <v>0.1</v>
      </c>
      <c r="M39" s="111">
        <v>0.1</v>
      </c>
      <c r="N39" s="111">
        <v>0.1</v>
      </c>
      <c r="O39" s="111">
        <v>0.1</v>
      </c>
      <c r="P39" s="106"/>
      <c r="Q39" s="106"/>
      <c r="R39" s="106"/>
      <c r="S39" s="101">
        <f t="shared" si="5"/>
        <v>0.99999999999999989</v>
      </c>
    </row>
    <row r="40" spans="1:19" s="30" customFormat="1" x14ac:dyDescent="0.3">
      <c r="A40" s="47"/>
      <c r="B40" s="61">
        <f>'Revenue Input'!B47</f>
        <v>8685</v>
      </c>
      <c r="C40" s="61" t="str">
        <f>'Revenue Input'!C47</f>
        <v>School Site Fundraising</v>
      </c>
      <c r="D40" s="111">
        <v>0</v>
      </c>
      <c r="E40" s="111">
        <v>0</v>
      </c>
      <c r="F40" s="111">
        <v>0.1</v>
      </c>
      <c r="G40" s="111">
        <v>0.1</v>
      </c>
      <c r="H40" s="111">
        <v>0.1</v>
      </c>
      <c r="I40" s="111">
        <v>0.1</v>
      </c>
      <c r="J40" s="111">
        <v>0.1</v>
      </c>
      <c r="K40" s="111">
        <v>0.1</v>
      </c>
      <c r="L40" s="111">
        <v>0.1</v>
      </c>
      <c r="M40" s="111">
        <v>0.1</v>
      </c>
      <c r="N40" s="111">
        <v>0.1</v>
      </c>
      <c r="O40" s="111">
        <v>0.1</v>
      </c>
      <c r="P40" s="106"/>
      <c r="Q40" s="106"/>
      <c r="R40" s="106"/>
      <c r="S40" s="101">
        <f t="shared" si="5"/>
        <v>0.99999999999999989</v>
      </c>
    </row>
    <row r="41" spans="1:19" s="30" customFormat="1" x14ac:dyDescent="0.3">
      <c r="A41" s="48"/>
      <c r="B41" s="61">
        <f>'Revenue Input'!B48</f>
        <v>8686</v>
      </c>
      <c r="C41" s="61" t="str">
        <f>'Revenue Input'!C48</f>
        <v>Donations</v>
      </c>
      <c r="D41" s="111">
        <v>0</v>
      </c>
      <c r="E41" s="111">
        <v>0</v>
      </c>
      <c r="F41" s="111">
        <v>0.1</v>
      </c>
      <c r="G41" s="111">
        <v>0.1</v>
      </c>
      <c r="H41" s="111">
        <v>0.1</v>
      </c>
      <c r="I41" s="111">
        <v>0.1</v>
      </c>
      <c r="J41" s="111">
        <v>0.1</v>
      </c>
      <c r="K41" s="111">
        <v>0.1</v>
      </c>
      <c r="L41" s="111">
        <v>0.1</v>
      </c>
      <c r="M41" s="111">
        <v>0.1</v>
      </c>
      <c r="N41" s="111">
        <v>0.1</v>
      </c>
      <c r="O41" s="111">
        <v>0.1</v>
      </c>
      <c r="P41" s="106"/>
      <c r="Q41" s="106"/>
      <c r="R41" s="106"/>
      <c r="S41" s="101">
        <f t="shared" si="5"/>
        <v>0.99999999999999989</v>
      </c>
    </row>
    <row r="42" spans="1:19" s="30" customFormat="1" ht="17.399999999999999" x14ac:dyDescent="0.3">
      <c r="A42" s="45"/>
      <c r="B42" s="61">
        <f>'Revenue Input'!B49</f>
        <v>8687</v>
      </c>
      <c r="C42" s="61" t="str">
        <f>'Revenue Input'!C49</f>
        <v>Fund Development</v>
      </c>
      <c r="D42" s="111">
        <v>0</v>
      </c>
      <c r="E42" s="111">
        <v>0</v>
      </c>
      <c r="F42" s="111">
        <v>0.1</v>
      </c>
      <c r="G42" s="111">
        <v>0.1</v>
      </c>
      <c r="H42" s="111">
        <v>0.1</v>
      </c>
      <c r="I42" s="111">
        <v>0.1</v>
      </c>
      <c r="J42" s="111">
        <v>0.1</v>
      </c>
      <c r="K42" s="111">
        <v>0.1</v>
      </c>
      <c r="L42" s="111">
        <v>0.1</v>
      </c>
      <c r="M42" s="111">
        <v>0.1</v>
      </c>
      <c r="N42" s="111">
        <v>0.1</v>
      </c>
      <c r="O42" s="111">
        <v>0.1</v>
      </c>
      <c r="P42" s="106"/>
      <c r="Q42" s="106"/>
      <c r="R42" s="106"/>
      <c r="S42" s="101">
        <f t="shared" si="5"/>
        <v>0.99999999999999989</v>
      </c>
    </row>
    <row r="43" spans="1:19" s="30" customFormat="1" ht="17.399999999999999" x14ac:dyDescent="0.3">
      <c r="A43" s="45"/>
      <c r="B43" s="61">
        <f>'Revenue Input'!B50</f>
        <v>8688</v>
      </c>
      <c r="C43" s="61" t="str">
        <f>'Revenue Input'!C50</f>
        <v>In Kind Contributions</v>
      </c>
      <c r="D43" s="111">
        <v>0</v>
      </c>
      <c r="E43" s="111">
        <v>0</v>
      </c>
      <c r="F43" s="111">
        <v>0.1</v>
      </c>
      <c r="G43" s="111">
        <v>0.1</v>
      </c>
      <c r="H43" s="111">
        <v>0.1</v>
      </c>
      <c r="I43" s="111">
        <v>0.1</v>
      </c>
      <c r="J43" s="111">
        <v>0.1</v>
      </c>
      <c r="K43" s="111">
        <v>0.1</v>
      </c>
      <c r="L43" s="111">
        <v>0.1</v>
      </c>
      <c r="M43" s="111">
        <v>0.1</v>
      </c>
      <c r="N43" s="111">
        <v>0.1</v>
      </c>
      <c r="O43" s="111">
        <v>0.1</v>
      </c>
      <c r="P43" s="106"/>
      <c r="Q43" s="106"/>
      <c r="R43" s="106"/>
      <c r="S43" s="101">
        <f t="shared" si="5"/>
        <v>0.99999999999999989</v>
      </c>
    </row>
    <row r="44" spans="1:19" s="30" customFormat="1" ht="17.399999999999999" x14ac:dyDescent="0.3">
      <c r="A44" s="45"/>
      <c r="B44" s="61" t="e">
        <f>'Revenue Input'!#REF!</f>
        <v>#REF!</v>
      </c>
      <c r="C44" s="61" t="e">
        <f>'Revenue Input'!#REF!</f>
        <v>#REF!</v>
      </c>
      <c r="D44" s="111">
        <v>0</v>
      </c>
      <c r="E44" s="111">
        <v>0</v>
      </c>
      <c r="F44" s="111">
        <v>0.1</v>
      </c>
      <c r="G44" s="111">
        <v>0.1</v>
      </c>
      <c r="H44" s="111">
        <v>0.1</v>
      </c>
      <c r="I44" s="111">
        <v>0.1</v>
      </c>
      <c r="J44" s="111">
        <v>0.1</v>
      </c>
      <c r="K44" s="111">
        <v>0.1</v>
      </c>
      <c r="L44" s="111">
        <v>0.1</v>
      </c>
      <c r="M44" s="111">
        <v>0.1</v>
      </c>
      <c r="N44" s="111">
        <v>0.1</v>
      </c>
      <c r="O44" s="111">
        <v>0.1</v>
      </c>
      <c r="P44" s="106"/>
      <c r="Q44" s="106"/>
      <c r="R44" s="106"/>
      <c r="S44" s="101">
        <f t="shared" si="5"/>
        <v>0.99999999999999989</v>
      </c>
    </row>
    <row r="45" spans="1:19" s="30" customFormat="1" ht="17.399999999999999" x14ac:dyDescent="0.3">
      <c r="A45" s="45"/>
      <c r="B45" s="61" t="e">
        <f>'Revenue Input'!#REF!</f>
        <v>#REF!</v>
      </c>
      <c r="C45" s="61" t="e">
        <f>'Revenue Input'!#REF!</f>
        <v>#REF!</v>
      </c>
      <c r="D45" s="111">
        <v>0</v>
      </c>
      <c r="E45" s="111">
        <v>0</v>
      </c>
      <c r="F45" s="111">
        <v>0.1</v>
      </c>
      <c r="G45" s="111">
        <v>0.1</v>
      </c>
      <c r="H45" s="111">
        <v>0.1</v>
      </c>
      <c r="I45" s="111">
        <v>0.1</v>
      </c>
      <c r="J45" s="111">
        <v>0.1</v>
      </c>
      <c r="K45" s="111">
        <v>0.1</v>
      </c>
      <c r="L45" s="111">
        <v>0.1</v>
      </c>
      <c r="M45" s="111">
        <v>0.1</v>
      </c>
      <c r="N45" s="111">
        <v>0.1</v>
      </c>
      <c r="O45" s="111">
        <v>0.1</v>
      </c>
      <c r="P45" s="106"/>
      <c r="Q45" s="106"/>
      <c r="R45" s="106"/>
      <c r="S45" s="101">
        <f t="shared" si="5"/>
        <v>0.99999999999999989</v>
      </c>
    </row>
    <row r="46" spans="1:19" s="30" customFormat="1" ht="17.399999999999999" x14ac:dyDescent="0.3">
      <c r="A46" s="45"/>
      <c r="B46" s="61">
        <f>'Revenue Input'!B51</f>
        <v>8689</v>
      </c>
      <c r="C46" s="61" t="str">
        <f>'Revenue Input'!C51</f>
        <v xml:space="preserve">All Other Local Revenue </v>
      </c>
      <c r="D46" s="111">
        <v>0</v>
      </c>
      <c r="E46" s="111">
        <v>0</v>
      </c>
      <c r="F46" s="111">
        <v>0.1</v>
      </c>
      <c r="G46" s="111">
        <v>0.1</v>
      </c>
      <c r="H46" s="111">
        <v>0.1</v>
      </c>
      <c r="I46" s="111">
        <v>0.1</v>
      </c>
      <c r="J46" s="111">
        <v>0.1</v>
      </c>
      <c r="K46" s="111">
        <v>0.1</v>
      </c>
      <c r="L46" s="111">
        <v>0.1</v>
      </c>
      <c r="M46" s="111">
        <v>0.1</v>
      </c>
      <c r="N46" s="111">
        <v>0.1</v>
      </c>
      <c r="O46" s="111">
        <v>0.1</v>
      </c>
      <c r="P46" s="106"/>
      <c r="Q46" s="106"/>
      <c r="R46" s="106"/>
      <c r="S46" s="101">
        <f>SUM(D46:R46)</f>
        <v>0.99999999999999989</v>
      </c>
    </row>
    <row r="47" spans="1:19" s="30" customFormat="1" ht="17.399999999999999" x14ac:dyDescent="0.3">
      <c r="A47" s="45"/>
      <c r="B47" s="61">
        <f>'Revenue Input'!B52</f>
        <v>8699</v>
      </c>
      <c r="C47" s="61" t="str">
        <f>'Revenue Input'!C52</f>
        <v xml:space="preserve">All Other Local Revenue </v>
      </c>
      <c r="D47" s="111">
        <v>0</v>
      </c>
      <c r="E47" s="111">
        <v>0</v>
      </c>
      <c r="F47" s="111">
        <v>0.1</v>
      </c>
      <c r="G47" s="111">
        <v>0.1</v>
      </c>
      <c r="H47" s="111">
        <v>0.1</v>
      </c>
      <c r="I47" s="111">
        <v>0.1</v>
      </c>
      <c r="J47" s="111">
        <v>0.1</v>
      </c>
      <c r="K47" s="111">
        <v>0.1</v>
      </c>
      <c r="L47" s="111">
        <v>0.1</v>
      </c>
      <c r="M47" s="111">
        <v>0.1</v>
      </c>
      <c r="N47" s="111">
        <v>0.1</v>
      </c>
      <c r="O47" s="111">
        <v>0.1</v>
      </c>
      <c r="P47" s="106"/>
      <c r="Q47" s="106"/>
      <c r="R47" s="106"/>
      <c r="S47" s="101">
        <f>SUM(D47:R47)</f>
        <v>0.99999999999999989</v>
      </c>
    </row>
    <row r="48" spans="1:19" s="30" customFormat="1" ht="17.399999999999999" x14ac:dyDescent="0.3">
      <c r="A48" s="45"/>
      <c r="B48" s="61">
        <f>'Revenue Input'!B53</f>
        <v>8792</v>
      </c>
      <c r="C48" s="61" t="str">
        <f>'Revenue Input'!C53</f>
        <v>SPED State/Other Transfers of Apportionments from County</v>
      </c>
      <c r="D48" s="111">
        <v>0</v>
      </c>
      <c r="E48" s="111">
        <v>0</v>
      </c>
      <c r="F48" s="111">
        <v>0.1</v>
      </c>
      <c r="G48" s="111">
        <v>0.1</v>
      </c>
      <c r="H48" s="111">
        <v>0.1</v>
      </c>
      <c r="I48" s="111">
        <v>0.1</v>
      </c>
      <c r="J48" s="111">
        <v>0.1</v>
      </c>
      <c r="K48" s="111">
        <v>0.1</v>
      </c>
      <c r="L48" s="111">
        <v>0.1</v>
      </c>
      <c r="M48" s="111">
        <v>0.1</v>
      </c>
      <c r="N48" s="111">
        <v>0.1</v>
      </c>
      <c r="O48" s="111">
        <v>0.1</v>
      </c>
      <c r="P48" s="106"/>
      <c r="Q48" s="106"/>
      <c r="R48" s="106"/>
      <c r="S48" s="101">
        <f>SUM(D48:R48)</f>
        <v>0.99999999999999989</v>
      </c>
    </row>
    <row r="49" spans="1:19" s="30" customFormat="1" ht="17.399999999999999" x14ac:dyDescent="0.3">
      <c r="A49" s="45"/>
      <c r="B49" s="61">
        <f>'Revenue Input'!B55</f>
        <v>8984</v>
      </c>
      <c r="C49" s="61" t="str">
        <f>'Revenue Input'!C55</f>
        <v>Student Body (ASB Fundraising)</v>
      </c>
      <c r="D49" s="111">
        <v>0</v>
      </c>
      <c r="E49" s="111">
        <v>0</v>
      </c>
      <c r="F49" s="111">
        <v>0.1</v>
      </c>
      <c r="G49" s="111">
        <v>0.1</v>
      </c>
      <c r="H49" s="111">
        <v>0.1</v>
      </c>
      <c r="I49" s="111">
        <v>0.1</v>
      </c>
      <c r="J49" s="111">
        <v>0.1</v>
      </c>
      <c r="K49" s="111">
        <v>0.1</v>
      </c>
      <c r="L49" s="111">
        <v>0.1</v>
      </c>
      <c r="M49" s="111">
        <v>0.1</v>
      </c>
      <c r="N49" s="111">
        <v>0.1</v>
      </c>
      <c r="O49" s="111">
        <v>0.1</v>
      </c>
      <c r="P49" s="106"/>
      <c r="Q49" s="106"/>
      <c r="R49" s="106"/>
      <c r="S49" s="101">
        <f t="shared" si="5"/>
        <v>0.99999999999999989</v>
      </c>
    </row>
    <row r="50" spans="1:19" s="30" customFormat="1" ht="17.399999999999999" x14ac:dyDescent="0.3">
      <c r="A50" s="45"/>
      <c r="B50" s="68"/>
      <c r="C50" s="48"/>
      <c r="D50" s="113"/>
      <c r="E50" s="113"/>
      <c r="F50" s="113"/>
      <c r="G50" s="113"/>
      <c r="H50" s="113"/>
      <c r="I50" s="113"/>
      <c r="J50" s="113"/>
      <c r="K50" s="113"/>
      <c r="L50" s="113"/>
      <c r="M50" s="113"/>
      <c r="N50" s="113"/>
      <c r="O50" s="113"/>
      <c r="P50" s="94"/>
      <c r="Q50" s="94"/>
      <c r="R50" s="94"/>
      <c r="S50" s="101"/>
    </row>
    <row r="51" spans="1:19" s="30" customFormat="1" ht="17.399999999999999" x14ac:dyDescent="0.3">
      <c r="A51" s="45"/>
      <c r="B51" s="68"/>
      <c r="C51" s="48"/>
      <c r="D51" s="113"/>
      <c r="E51" s="113"/>
      <c r="F51" s="113"/>
      <c r="G51" s="113"/>
      <c r="H51" s="113"/>
      <c r="I51" s="113"/>
      <c r="J51" s="113"/>
      <c r="K51" s="113"/>
      <c r="L51" s="113"/>
      <c r="M51" s="113"/>
      <c r="N51" s="113"/>
      <c r="O51" s="113"/>
      <c r="P51" s="94"/>
      <c r="Q51" s="94"/>
      <c r="R51" s="94"/>
      <c r="S51" s="101"/>
    </row>
    <row r="52" spans="1:19" s="30" customFormat="1" ht="17.399999999999999" x14ac:dyDescent="0.3">
      <c r="A52" s="45"/>
      <c r="B52" s="68"/>
      <c r="C52" s="48"/>
      <c r="D52" s="94"/>
      <c r="E52" s="94"/>
      <c r="F52" s="94"/>
      <c r="G52" s="94"/>
      <c r="H52" s="94"/>
      <c r="I52" s="94"/>
      <c r="J52" s="94"/>
      <c r="K52" s="94"/>
      <c r="L52" s="94"/>
      <c r="M52" s="94"/>
      <c r="N52" s="94"/>
      <c r="O52" s="94"/>
      <c r="P52" s="94"/>
      <c r="Q52" s="94"/>
      <c r="R52" s="94"/>
    </row>
    <row r="53" spans="1:19" s="30" customFormat="1" ht="17.399999999999999" x14ac:dyDescent="0.3">
      <c r="A53" s="45" t="s">
        <v>796</v>
      </c>
      <c r="B53" s="69"/>
      <c r="C53" s="33"/>
      <c r="D53" s="95"/>
      <c r="E53" s="95"/>
      <c r="F53" s="95"/>
      <c r="G53" s="95"/>
      <c r="H53" s="95"/>
      <c r="I53" s="95"/>
      <c r="J53" s="95"/>
      <c r="K53" s="95"/>
      <c r="L53" s="95"/>
      <c r="M53" s="95"/>
      <c r="N53" s="95"/>
      <c r="O53" s="95"/>
      <c r="P53" s="95"/>
      <c r="Q53" s="95"/>
      <c r="R53" s="95"/>
    </row>
    <row r="54" spans="1:19" x14ac:dyDescent="0.3">
      <c r="A54" s="1"/>
      <c r="B54" s="33" t="s">
        <v>732</v>
      </c>
      <c r="C54" s="3"/>
    </row>
    <row r="55" spans="1:19" x14ac:dyDescent="0.3">
      <c r="A55" s="35"/>
      <c r="B55" s="63" t="str">
        <f>'Expenses Summary'!B8</f>
        <v>1100</v>
      </c>
      <c r="C55" s="63" t="str">
        <f>'Expenses Summary'!C8</f>
        <v>Teachers'  Salaries</v>
      </c>
      <c r="D55" s="106">
        <v>0.02</v>
      </c>
      <c r="E55" s="106">
        <v>0.05</v>
      </c>
      <c r="F55" s="106">
        <v>0.1</v>
      </c>
      <c r="G55" s="106">
        <v>0.1</v>
      </c>
      <c r="H55" s="106">
        <v>0.1</v>
      </c>
      <c r="I55" s="106">
        <v>0.1</v>
      </c>
      <c r="J55" s="106">
        <v>0.1</v>
      </c>
      <c r="K55" s="106">
        <v>0.1</v>
      </c>
      <c r="L55" s="106">
        <v>0.1</v>
      </c>
      <c r="M55" s="106">
        <v>0.1</v>
      </c>
      <c r="N55" s="106">
        <v>0.1</v>
      </c>
      <c r="O55" s="106">
        <v>0.03</v>
      </c>
      <c r="P55" s="106"/>
      <c r="Q55" s="93"/>
      <c r="R55" s="93"/>
      <c r="S55" s="231">
        <f t="shared" ref="S55:S62" si="6">SUM(D55:R55)</f>
        <v>0.99999999999999989</v>
      </c>
    </row>
    <row r="56" spans="1:19" x14ac:dyDescent="0.3">
      <c r="A56" s="35"/>
      <c r="B56" s="63" t="str">
        <f>'Expenses Summary'!B9</f>
        <v>1105</v>
      </c>
      <c r="C56" s="63" t="str">
        <f>'Expenses Summary'!C9</f>
        <v>Teachers'  Stipend</v>
      </c>
      <c r="D56" s="106">
        <v>0</v>
      </c>
      <c r="E56" s="106">
        <v>0</v>
      </c>
      <c r="F56" s="106">
        <v>0</v>
      </c>
      <c r="G56" s="106">
        <v>0</v>
      </c>
      <c r="H56" s="106">
        <v>0</v>
      </c>
      <c r="I56" s="106">
        <v>0.5</v>
      </c>
      <c r="J56" s="106">
        <v>0</v>
      </c>
      <c r="K56" s="106">
        <v>0</v>
      </c>
      <c r="L56" s="106">
        <v>0</v>
      </c>
      <c r="M56" s="106">
        <v>0</v>
      </c>
      <c r="N56" s="106">
        <v>0</v>
      </c>
      <c r="O56" s="106">
        <v>0.5</v>
      </c>
      <c r="P56" s="93"/>
      <c r="Q56" s="93"/>
      <c r="R56" s="93"/>
      <c r="S56" s="231">
        <f t="shared" si="6"/>
        <v>1</v>
      </c>
    </row>
    <row r="57" spans="1:19" x14ac:dyDescent="0.3">
      <c r="A57" s="35"/>
      <c r="B57" s="63" t="str">
        <f>'Expenses Summary'!B10</f>
        <v>1120</v>
      </c>
      <c r="C57" s="63" t="str">
        <f>'Expenses Summary'!C10</f>
        <v>Substitute Expense</v>
      </c>
      <c r="D57" s="106">
        <v>0</v>
      </c>
      <c r="E57" s="106">
        <v>0</v>
      </c>
      <c r="F57" s="111">
        <v>0.1</v>
      </c>
      <c r="G57" s="111">
        <v>0.1</v>
      </c>
      <c r="H57" s="111">
        <v>0.1</v>
      </c>
      <c r="I57" s="111">
        <v>0.1</v>
      </c>
      <c r="J57" s="111">
        <v>0.1</v>
      </c>
      <c r="K57" s="111">
        <v>0.1</v>
      </c>
      <c r="L57" s="111">
        <v>0.1</v>
      </c>
      <c r="M57" s="111">
        <v>0.1</v>
      </c>
      <c r="N57" s="111">
        <v>0.1</v>
      </c>
      <c r="O57" s="111">
        <v>0.1</v>
      </c>
      <c r="P57" s="93"/>
      <c r="Q57" s="93"/>
      <c r="R57" s="93"/>
      <c r="S57" s="231">
        <f t="shared" si="6"/>
        <v>0.99999999999999989</v>
      </c>
    </row>
    <row r="58" spans="1:19" x14ac:dyDescent="0.3">
      <c r="A58" s="35"/>
      <c r="B58" s="63" t="str">
        <f>'Expenses Summary'!B11</f>
        <v>1200</v>
      </c>
      <c r="C58" s="63" t="str">
        <f>'Expenses Summary'!C11</f>
        <v>Certificated Pupil Support Salaries</v>
      </c>
      <c r="D58" s="106">
        <v>0</v>
      </c>
      <c r="E58" s="106">
        <v>0</v>
      </c>
      <c r="F58" s="111">
        <v>0.1</v>
      </c>
      <c r="G58" s="111">
        <v>0.1</v>
      </c>
      <c r="H58" s="111">
        <v>0.1</v>
      </c>
      <c r="I58" s="111">
        <v>0.1</v>
      </c>
      <c r="J58" s="111">
        <v>0.1</v>
      </c>
      <c r="K58" s="111">
        <v>0.1</v>
      </c>
      <c r="L58" s="111">
        <v>0.1</v>
      </c>
      <c r="M58" s="111">
        <v>0.1</v>
      </c>
      <c r="N58" s="111">
        <v>0.1</v>
      </c>
      <c r="O58" s="111">
        <v>0.1</v>
      </c>
      <c r="P58" s="93"/>
      <c r="Q58" s="93"/>
      <c r="R58" s="93"/>
      <c r="S58" s="231">
        <f t="shared" si="6"/>
        <v>0.99999999999999989</v>
      </c>
    </row>
    <row r="59" spans="1:19" x14ac:dyDescent="0.3">
      <c r="A59" s="35"/>
      <c r="B59" s="63" t="str">
        <f>'Expenses Summary'!B13</f>
        <v>1300</v>
      </c>
      <c r="C59" s="63" t="str">
        <f>'Expenses Summary'!C13</f>
        <v>Certificated Supervisor and Administrator Salaries</v>
      </c>
      <c r="D59" s="111">
        <v>8.3000000000000004E-2</v>
      </c>
      <c r="E59" s="111">
        <v>8.3000000000000004E-2</v>
      </c>
      <c r="F59" s="111">
        <v>8.3000000000000004E-2</v>
      </c>
      <c r="G59" s="111">
        <v>8.3000000000000004E-2</v>
      </c>
      <c r="H59" s="111">
        <v>8.3000000000000004E-2</v>
      </c>
      <c r="I59" s="111">
        <v>8.3000000000000004E-2</v>
      </c>
      <c r="J59" s="111">
        <v>8.3000000000000004E-2</v>
      </c>
      <c r="K59" s="111">
        <v>8.3000000000000004E-2</v>
      </c>
      <c r="L59" s="111">
        <v>8.4000000000000005E-2</v>
      </c>
      <c r="M59" s="111">
        <v>8.4000000000000005E-2</v>
      </c>
      <c r="N59" s="111">
        <v>8.4000000000000005E-2</v>
      </c>
      <c r="O59" s="111">
        <v>8.4000000000000005E-2</v>
      </c>
      <c r="P59" s="93"/>
      <c r="Q59" s="93"/>
      <c r="R59" s="93"/>
      <c r="S59" s="231">
        <f t="shared" si="6"/>
        <v>0.99999999999999989</v>
      </c>
    </row>
    <row r="60" spans="1:19" x14ac:dyDescent="0.3">
      <c r="A60" s="35"/>
      <c r="B60" s="63" t="str">
        <f>'Expenses Summary'!B14</f>
        <v>1305</v>
      </c>
      <c r="C60" s="63" t="str">
        <f>'Expenses Summary'!C14</f>
        <v>Certificated Supervisor and Administrator Bonuses</v>
      </c>
      <c r="D60" s="106">
        <v>0</v>
      </c>
      <c r="E60" s="106">
        <v>0</v>
      </c>
      <c r="F60" s="106">
        <v>0</v>
      </c>
      <c r="G60" s="106">
        <v>0</v>
      </c>
      <c r="H60" s="106">
        <v>0</v>
      </c>
      <c r="I60" s="106">
        <v>0.5</v>
      </c>
      <c r="J60" s="106">
        <v>0</v>
      </c>
      <c r="K60" s="106">
        <v>0</v>
      </c>
      <c r="L60" s="106">
        <v>0</v>
      </c>
      <c r="M60" s="106">
        <v>0</v>
      </c>
      <c r="N60" s="106">
        <v>0</v>
      </c>
      <c r="O60" s="106">
        <v>0.5</v>
      </c>
      <c r="P60" s="93"/>
      <c r="Q60" s="93"/>
      <c r="R60" s="93"/>
      <c r="S60" s="231">
        <f t="shared" si="6"/>
        <v>1</v>
      </c>
    </row>
    <row r="61" spans="1:19" x14ac:dyDescent="0.3">
      <c r="A61" s="35"/>
      <c r="B61" s="63" t="str">
        <f>'Expenses Summary'!B15</f>
        <v>1900</v>
      </c>
      <c r="C61" s="63" t="str">
        <f>'Expenses Summary'!C15</f>
        <v>Other Certificated Salaries</v>
      </c>
      <c r="D61" s="106">
        <v>0</v>
      </c>
      <c r="E61" s="106">
        <v>9.1666666666666702E-2</v>
      </c>
      <c r="F61" s="106">
        <v>9.1666666666666702E-2</v>
      </c>
      <c r="G61" s="106">
        <v>9.1666666666666702E-2</v>
      </c>
      <c r="H61" s="106">
        <v>9.1666666666666702E-2</v>
      </c>
      <c r="I61" s="106">
        <v>9.1666666666666702E-2</v>
      </c>
      <c r="J61" s="106">
        <v>9.1666666666666702E-2</v>
      </c>
      <c r="K61" s="106">
        <v>9.1666666666666702E-2</v>
      </c>
      <c r="L61" s="106">
        <v>9.1666666666666702E-2</v>
      </c>
      <c r="M61" s="106">
        <v>9.1666666666666702E-2</v>
      </c>
      <c r="N61" s="106">
        <v>9.1666666666666702E-2</v>
      </c>
      <c r="O61" s="106">
        <v>8.3333333332999998E-2</v>
      </c>
      <c r="P61" s="93"/>
      <c r="Q61" s="93"/>
      <c r="R61" s="93"/>
      <c r="S61" s="231">
        <f t="shared" si="6"/>
        <v>0.99999999999966682</v>
      </c>
    </row>
    <row r="62" spans="1:19" x14ac:dyDescent="0.3">
      <c r="A62" s="35"/>
      <c r="B62" s="63" t="str">
        <f>'Expenses Summary'!B16</f>
        <v>1910</v>
      </c>
      <c r="C62" s="63" t="str">
        <f>'Expenses Summary'!C16</f>
        <v>Other Certificated Overtime</v>
      </c>
      <c r="D62" s="106">
        <v>0</v>
      </c>
      <c r="E62" s="106">
        <v>9.1666666666666702E-2</v>
      </c>
      <c r="F62" s="106">
        <v>9.1666666666666702E-2</v>
      </c>
      <c r="G62" s="106">
        <v>9.1666666666666702E-2</v>
      </c>
      <c r="H62" s="106">
        <v>9.1666666666666702E-2</v>
      </c>
      <c r="I62" s="106">
        <v>9.1666666666666702E-2</v>
      </c>
      <c r="J62" s="106">
        <v>9.1666666666666702E-2</v>
      </c>
      <c r="K62" s="106">
        <v>9.1666666666666702E-2</v>
      </c>
      <c r="L62" s="106">
        <v>9.1666666666666702E-2</v>
      </c>
      <c r="M62" s="106">
        <v>9.1666666666666702E-2</v>
      </c>
      <c r="N62" s="106">
        <v>9.1666666666666702E-2</v>
      </c>
      <c r="O62" s="106">
        <v>8.3333333332999998E-2</v>
      </c>
      <c r="P62" s="93"/>
      <c r="Q62" s="93"/>
      <c r="R62" s="93"/>
      <c r="S62" s="231">
        <f t="shared" si="6"/>
        <v>0.99999999999966682</v>
      </c>
    </row>
    <row r="63" spans="1:19" x14ac:dyDescent="0.3">
      <c r="A63" s="35"/>
      <c r="B63" s="82"/>
      <c r="C63" s="87"/>
      <c r="D63" s="94"/>
      <c r="E63" s="94"/>
      <c r="F63" s="113"/>
      <c r="G63" s="113"/>
      <c r="H63" s="113"/>
      <c r="I63" s="113"/>
      <c r="J63" s="113"/>
      <c r="K63" s="113"/>
      <c r="L63" s="113"/>
      <c r="M63" s="113"/>
      <c r="N63" s="113"/>
      <c r="O63" s="113"/>
      <c r="P63" s="94"/>
      <c r="Q63" s="94"/>
      <c r="R63" s="94"/>
      <c r="S63" s="231"/>
    </row>
    <row r="64" spans="1:19" s="30" customFormat="1" x14ac:dyDescent="0.3">
      <c r="A64" s="35"/>
      <c r="B64" s="39"/>
      <c r="C64" s="3"/>
      <c r="D64" s="96"/>
      <c r="E64" s="96"/>
      <c r="F64" s="96"/>
      <c r="G64" s="96"/>
      <c r="H64" s="96"/>
      <c r="I64" s="96"/>
      <c r="J64" s="96"/>
      <c r="K64" s="96"/>
      <c r="L64" s="96"/>
      <c r="M64" s="96"/>
      <c r="N64" s="96"/>
      <c r="O64" s="96"/>
      <c r="P64" s="96"/>
      <c r="Q64" s="96"/>
      <c r="R64" s="96"/>
      <c r="S64" s="231"/>
    </row>
    <row r="65" spans="1:19" s="30" customFormat="1" x14ac:dyDescent="0.3">
      <c r="B65" s="5" t="s">
        <v>733</v>
      </c>
      <c r="C65" s="3"/>
      <c r="D65" s="96"/>
      <c r="E65" s="96"/>
      <c r="F65" s="96"/>
      <c r="G65" s="96"/>
      <c r="H65" s="96"/>
      <c r="I65" s="96"/>
      <c r="J65" s="96"/>
      <c r="K65" s="96"/>
      <c r="L65" s="96"/>
      <c r="M65" s="96"/>
      <c r="N65" s="96"/>
      <c r="O65" s="96"/>
      <c r="P65" s="96"/>
      <c r="Q65" s="96"/>
      <c r="R65" s="96"/>
      <c r="S65" s="231"/>
    </row>
    <row r="66" spans="1:19" s="30" customFormat="1" x14ac:dyDescent="0.3">
      <c r="A66" s="35"/>
      <c r="B66" s="63" t="str">
        <f>'Expenses Summary'!B20</f>
        <v>2100</v>
      </c>
      <c r="C66" s="63" t="str">
        <f>'Expenses Summary'!C20</f>
        <v>Instructional Aide Salaries</v>
      </c>
      <c r="D66" s="106">
        <v>0</v>
      </c>
      <c r="E66" s="106">
        <v>0.05</v>
      </c>
      <c r="F66" s="111">
        <v>0.1</v>
      </c>
      <c r="G66" s="111">
        <v>0.1</v>
      </c>
      <c r="H66" s="111">
        <v>0.1</v>
      </c>
      <c r="I66" s="111">
        <v>0.1</v>
      </c>
      <c r="J66" s="111">
        <v>0.1</v>
      </c>
      <c r="K66" s="111">
        <v>0.1</v>
      </c>
      <c r="L66" s="111">
        <v>0.1</v>
      </c>
      <c r="M66" s="111">
        <v>0.1</v>
      </c>
      <c r="N66" s="111">
        <v>0.1</v>
      </c>
      <c r="O66" s="111">
        <v>0.05</v>
      </c>
      <c r="P66" s="93"/>
      <c r="Q66" s="93"/>
      <c r="R66" s="93"/>
      <c r="S66" s="231">
        <f t="shared" ref="S66:S75" si="7">SUM(D66:R66)</f>
        <v>0.99999999999999989</v>
      </c>
    </row>
    <row r="67" spans="1:19" s="30" customFormat="1" x14ac:dyDescent="0.3">
      <c r="A67" s="35"/>
      <c r="B67" s="63" t="str">
        <f>'Expenses Summary'!B21</f>
        <v>2110</v>
      </c>
      <c r="C67" s="63" t="str">
        <f>'Expenses Summary'!C21</f>
        <v>Instructional Aide Overtime</v>
      </c>
      <c r="D67" s="106">
        <v>0</v>
      </c>
      <c r="E67" s="106">
        <v>0</v>
      </c>
      <c r="F67" s="111">
        <v>0.1</v>
      </c>
      <c r="G67" s="111">
        <v>0.1</v>
      </c>
      <c r="H67" s="111">
        <v>0.1</v>
      </c>
      <c r="I67" s="111">
        <v>0.1</v>
      </c>
      <c r="J67" s="111">
        <v>0.1</v>
      </c>
      <c r="K67" s="111">
        <v>0.1</v>
      </c>
      <c r="L67" s="111">
        <v>0.1</v>
      </c>
      <c r="M67" s="111">
        <v>0.1</v>
      </c>
      <c r="N67" s="111">
        <v>0.1</v>
      </c>
      <c r="O67" s="111">
        <v>0.1</v>
      </c>
      <c r="P67" s="93"/>
      <c r="Q67" s="93"/>
      <c r="R67" s="93"/>
      <c r="S67" s="231">
        <f t="shared" si="7"/>
        <v>0.99999999999999989</v>
      </c>
    </row>
    <row r="68" spans="1:19" s="30" customFormat="1" x14ac:dyDescent="0.3">
      <c r="A68" s="35"/>
      <c r="B68" s="63" t="str">
        <f>'Expenses Summary'!B22</f>
        <v>2200</v>
      </c>
      <c r="C68" s="63" t="str">
        <f>'Expenses Summary'!C22</f>
        <v>Classified Support Salaries</v>
      </c>
      <c r="D68" s="106">
        <v>0</v>
      </c>
      <c r="E68" s="106">
        <v>0.05</v>
      </c>
      <c r="F68" s="111">
        <v>0.1</v>
      </c>
      <c r="G68" s="111">
        <v>0.1</v>
      </c>
      <c r="H68" s="111">
        <v>0.1</v>
      </c>
      <c r="I68" s="111">
        <v>0.1</v>
      </c>
      <c r="J68" s="111">
        <v>0.1</v>
      </c>
      <c r="K68" s="111">
        <v>0.1</v>
      </c>
      <c r="L68" s="111">
        <v>0.1</v>
      </c>
      <c r="M68" s="111">
        <v>0.1</v>
      </c>
      <c r="N68" s="111">
        <v>0.1</v>
      </c>
      <c r="O68" s="111">
        <v>0.05</v>
      </c>
      <c r="P68" s="93"/>
      <c r="Q68" s="93"/>
      <c r="R68" s="93"/>
      <c r="S68" s="231">
        <f t="shared" si="7"/>
        <v>0.99999999999999989</v>
      </c>
    </row>
    <row r="69" spans="1:19" s="30" customFormat="1" x14ac:dyDescent="0.3">
      <c r="A69" s="35"/>
      <c r="B69" s="63" t="str">
        <f>'Expenses Summary'!B23</f>
        <v>2210</v>
      </c>
      <c r="C69" s="63" t="str">
        <f>'Expenses Summary'!C23</f>
        <v>Classified Support Overtime</v>
      </c>
      <c r="D69" s="106">
        <v>0</v>
      </c>
      <c r="E69" s="106">
        <v>0</v>
      </c>
      <c r="F69" s="111">
        <v>0.1</v>
      </c>
      <c r="G69" s="111">
        <v>0.1</v>
      </c>
      <c r="H69" s="111">
        <v>0.1</v>
      </c>
      <c r="I69" s="111">
        <v>0.1</v>
      </c>
      <c r="J69" s="111">
        <v>0.1</v>
      </c>
      <c r="K69" s="111">
        <v>0.1</v>
      </c>
      <c r="L69" s="111">
        <v>0.1</v>
      </c>
      <c r="M69" s="111">
        <v>0.1</v>
      </c>
      <c r="N69" s="111">
        <v>0.1</v>
      </c>
      <c r="O69" s="111">
        <v>0.1</v>
      </c>
      <c r="P69" s="93"/>
      <c r="Q69" s="93"/>
      <c r="R69" s="93"/>
      <c r="S69" s="231">
        <f t="shared" si="7"/>
        <v>0.99999999999999989</v>
      </c>
    </row>
    <row r="70" spans="1:19" s="30" customFormat="1" x14ac:dyDescent="0.3">
      <c r="A70" s="35"/>
      <c r="B70" s="63" t="str">
        <f>'Expenses Summary'!B24</f>
        <v>2300</v>
      </c>
      <c r="C70" s="63" t="str">
        <f>'Expenses Summary'!C24</f>
        <v>Classified Supervisor and Administrator Salaries</v>
      </c>
      <c r="D70" s="111">
        <v>8.3000000000000004E-2</v>
      </c>
      <c r="E70" s="111">
        <v>8.3000000000000004E-2</v>
      </c>
      <c r="F70" s="111">
        <v>8.3000000000000004E-2</v>
      </c>
      <c r="G70" s="111">
        <v>8.3000000000000004E-2</v>
      </c>
      <c r="H70" s="111">
        <v>8.3000000000000004E-2</v>
      </c>
      <c r="I70" s="111">
        <v>8.3000000000000004E-2</v>
      </c>
      <c r="J70" s="111">
        <v>8.3000000000000004E-2</v>
      </c>
      <c r="K70" s="111">
        <v>8.3000000000000004E-2</v>
      </c>
      <c r="L70" s="111">
        <v>8.4000000000000005E-2</v>
      </c>
      <c r="M70" s="111">
        <v>8.4000000000000005E-2</v>
      </c>
      <c r="N70" s="111">
        <v>8.4000000000000005E-2</v>
      </c>
      <c r="O70" s="111">
        <v>8.4000000000000005E-2</v>
      </c>
      <c r="P70" s="93"/>
      <c r="Q70" s="93"/>
      <c r="R70" s="93"/>
      <c r="S70" s="231">
        <f t="shared" si="7"/>
        <v>0.99999999999999989</v>
      </c>
    </row>
    <row r="71" spans="1:19" s="30" customFormat="1" x14ac:dyDescent="0.3">
      <c r="A71" s="35"/>
      <c r="B71" s="63" t="str">
        <f>'Expenses Summary'!B25</f>
        <v>2400</v>
      </c>
      <c r="C71" s="63" t="str">
        <f>'Expenses Summary'!C25</f>
        <v>Clerical, Technical, and Office Staff Salaries</v>
      </c>
      <c r="D71" s="111">
        <v>8.3000000000000004E-2</v>
      </c>
      <c r="E71" s="111">
        <v>8.3000000000000004E-2</v>
      </c>
      <c r="F71" s="111">
        <v>8.3000000000000004E-2</v>
      </c>
      <c r="G71" s="111">
        <v>8.3000000000000004E-2</v>
      </c>
      <c r="H71" s="111">
        <v>8.3000000000000004E-2</v>
      </c>
      <c r="I71" s="111">
        <v>8.3000000000000004E-2</v>
      </c>
      <c r="J71" s="111">
        <v>8.3000000000000004E-2</v>
      </c>
      <c r="K71" s="111">
        <v>8.3000000000000004E-2</v>
      </c>
      <c r="L71" s="111">
        <v>8.4000000000000005E-2</v>
      </c>
      <c r="M71" s="111">
        <v>8.4000000000000005E-2</v>
      </c>
      <c r="N71" s="111">
        <v>8.4000000000000005E-2</v>
      </c>
      <c r="O71" s="111">
        <v>8.4000000000000005E-2</v>
      </c>
      <c r="P71" s="93"/>
      <c r="Q71" s="93"/>
      <c r="R71" s="93"/>
      <c r="S71" s="231">
        <f t="shared" si="7"/>
        <v>0.99999999999999989</v>
      </c>
    </row>
    <row r="72" spans="1:19" s="30" customFormat="1" x14ac:dyDescent="0.3">
      <c r="A72" s="35"/>
      <c r="B72" s="63" t="str">
        <f>'Expenses Summary'!B26</f>
        <v>2410</v>
      </c>
      <c r="C72" s="63" t="str">
        <f>'Expenses Summary'!C26</f>
        <v>Clerical, Technical, and Office Staff Overtime</v>
      </c>
      <c r="D72" s="111">
        <v>8.3000000000000004E-2</v>
      </c>
      <c r="E72" s="111">
        <v>8.3000000000000004E-2</v>
      </c>
      <c r="F72" s="111">
        <v>8.3000000000000004E-2</v>
      </c>
      <c r="G72" s="111">
        <v>8.3000000000000004E-2</v>
      </c>
      <c r="H72" s="111">
        <v>8.3000000000000004E-2</v>
      </c>
      <c r="I72" s="111">
        <v>8.3000000000000004E-2</v>
      </c>
      <c r="J72" s="111">
        <v>8.3000000000000004E-2</v>
      </c>
      <c r="K72" s="111">
        <v>8.3000000000000004E-2</v>
      </c>
      <c r="L72" s="111">
        <v>8.4000000000000005E-2</v>
      </c>
      <c r="M72" s="111">
        <v>8.4000000000000005E-2</v>
      </c>
      <c r="N72" s="111">
        <v>8.4000000000000005E-2</v>
      </c>
      <c r="O72" s="111">
        <v>8.4000000000000005E-2</v>
      </c>
      <c r="P72" s="93"/>
      <c r="Q72" s="93"/>
      <c r="R72" s="93"/>
      <c r="S72" s="231">
        <f t="shared" si="7"/>
        <v>0.99999999999999989</v>
      </c>
    </row>
    <row r="73" spans="1:19" s="30" customFormat="1" x14ac:dyDescent="0.3">
      <c r="A73" s="35"/>
      <c r="B73" s="63" t="str">
        <f>'Expenses Summary'!B27</f>
        <v>2900</v>
      </c>
      <c r="C73" s="63" t="str">
        <f>'Expenses Summary'!C27</f>
        <v>Other Classified Salaries</v>
      </c>
      <c r="D73" s="106">
        <v>0</v>
      </c>
      <c r="E73" s="106">
        <v>0.05</v>
      </c>
      <c r="F73" s="111">
        <v>0.1</v>
      </c>
      <c r="G73" s="111">
        <v>0.1</v>
      </c>
      <c r="H73" s="111">
        <v>0.1</v>
      </c>
      <c r="I73" s="111">
        <v>0.1</v>
      </c>
      <c r="J73" s="111">
        <v>0.1</v>
      </c>
      <c r="K73" s="111">
        <v>0.1</v>
      </c>
      <c r="L73" s="111">
        <v>0.1</v>
      </c>
      <c r="M73" s="111">
        <v>0.1</v>
      </c>
      <c r="N73" s="111">
        <v>0.1</v>
      </c>
      <c r="O73" s="111">
        <v>0.05</v>
      </c>
      <c r="P73" s="93"/>
      <c r="Q73" s="93"/>
      <c r="R73" s="93"/>
      <c r="S73" s="231">
        <f t="shared" si="7"/>
        <v>0.99999999999999989</v>
      </c>
    </row>
    <row r="74" spans="1:19" s="30" customFormat="1" x14ac:dyDescent="0.3">
      <c r="A74" s="35"/>
      <c r="B74" s="63" t="str">
        <f>'Expenses Summary'!B28</f>
        <v>2905</v>
      </c>
      <c r="C74" s="63" t="str">
        <f>'Expenses Summary'!C28</f>
        <v>Other Stipends</v>
      </c>
      <c r="D74" s="106">
        <v>0</v>
      </c>
      <c r="E74" s="106">
        <v>0</v>
      </c>
      <c r="F74" s="111">
        <v>0.1</v>
      </c>
      <c r="G74" s="111">
        <v>0.1</v>
      </c>
      <c r="H74" s="111">
        <v>0.1</v>
      </c>
      <c r="I74" s="111">
        <v>0.1</v>
      </c>
      <c r="J74" s="111">
        <v>0.1</v>
      </c>
      <c r="K74" s="111">
        <v>0.1</v>
      </c>
      <c r="L74" s="111">
        <v>0.1</v>
      </c>
      <c r="M74" s="111">
        <v>0.1</v>
      </c>
      <c r="N74" s="111">
        <v>0.1</v>
      </c>
      <c r="O74" s="111">
        <v>0.1</v>
      </c>
      <c r="P74" s="93"/>
      <c r="Q74" s="93"/>
      <c r="R74" s="93"/>
      <c r="S74" s="231">
        <f t="shared" si="7"/>
        <v>0.99999999999999989</v>
      </c>
    </row>
    <row r="75" spans="1:19" s="30" customFormat="1" x14ac:dyDescent="0.3">
      <c r="A75" s="35"/>
      <c r="B75" s="63" t="str">
        <f>'Expenses Summary'!B29</f>
        <v>2910</v>
      </c>
      <c r="C75" s="63" t="str">
        <f>'Expenses Summary'!C29</f>
        <v>Other Classified Overtime</v>
      </c>
      <c r="D75" s="106">
        <v>0</v>
      </c>
      <c r="E75" s="106">
        <v>0</v>
      </c>
      <c r="F75" s="111">
        <v>0.1</v>
      </c>
      <c r="G75" s="111">
        <v>0.1</v>
      </c>
      <c r="H75" s="111">
        <v>0.1</v>
      </c>
      <c r="I75" s="111">
        <v>0.1</v>
      </c>
      <c r="J75" s="111">
        <v>0.1</v>
      </c>
      <c r="K75" s="111">
        <v>0.1</v>
      </c>
      <c r="L75" s="111">
        <v>0.1</v>
      </c>
      <c r="M75" s="111">
        <v>0.1</v>
      </c>
      <c r="N75" s="111">
        <v>0.1</v>
      </c>
      <c r="O75" s="111">
        <v>0.1</v>
      </c>
      <c r="P75" s="93"/>
      <c r="Q75" s="93"/>
      <c r="R75" s="93"/>
      <c r="S75" s="231">
        <f t="shared" si="7"/>
        <v>0.99999999999999989</v>
      </c>
    </row>
    <row r="76" spans="1:19" s="30" customFormat="1" x14ac:dyDescent="0.3">
      <c r="A76" s="35"/>
      <c r="B76" s="82"/>
      <c r="C76" s="87"/>
      <c r="D76" s="94"/>
      <c r="E76" s="94"/>
      <c r="F76" s="113"/>
      <c r="G76" s="113"/>
      <c r="H76" s="113"/>
      <c r="I76" s="113"/>
      <c r="J76" s="113"/>
      <c r="K76" s="113"/>
      <c r="L76" s="113"/>
      <c r="M76" s="113"/>
      <c r="N76" s="113"/>
      <c r="O76" s="113"/>
      <c r="P76" s="94"/>
      <c r="Q76" s="94"/>
      <c r="R76" s="94"/>
      <c r="S76" s="231"/>
    </row>
    <row r="77" spans="1:19" s="30" customFormat="1" x14ac:dyDescent="0.3">
      <c r="A77" s="35"/>
      <c r="B77" s="39"/>
      <c r="C77" s="3"/>
      <c r="D77" s="96"/>
      <c r="E77" s="96"/>
      <c r="F77" s="96"/>
      <c r="G77" s="96"/>
      <c r="H77" s="96"/>
      <c r="I77" s="96"/>
      <c r="J77" s="96"/>
      <c r="K77" s="96"/>
      <c r="L77" s="96"/>
      <c r="M77" s="96"/>
      <c r="N77" s="96"/>
      <c r="O77" s="96"/>
      <c r="P77" s="96"/>
      <c r="Q77" s="96"/>
      <c r="R77" s="96"/>
      <c r="S77" s="231"/>
    </row>
    <row r="78" spans="1:19" s="30" customFormat="1" x14ac:dyDescent="0.3">
      <c r="B78" s="33" t="s">
        <v>734</v>
      </c>
      <c r="C78" s="3"/>
      <c r="D78" s="96"/>
      <c r="E78" s="96"/>
      <c r="F78" s="96"/>
      <c r="G78" s="96"/>
      <c r="H78" s="96"/>
      <c r="I78" s="96"/>
      <c r="J78" s="96"/>
      <c r="K78" s="96"/>
      <c r="L78" s="96"/>
      <c r="M78" s="96"/>
      <c r="N78" s="96"/>
      <c r="O78" s="96"/>
      <c r="P78" s="96"/>
      <c r="Q78" s="96"/>
      <c r="R78" s="96"/>
      <c r="S78" s="231"/>
    </row>
    <row r="79" spans="1:19" s="30" customFormat="1" x14ac:dyDescent="0.3">
      <c r="A79" s="35"/>
      <c r="B79" s="63" t="str">
        <f>'Expenses Summary'!B33</f>
        <v>3101</v>
      </c>
      <c r="C79" s="63" t="str">
        <f>'Expenses Summary'!C33</f>
        <v>State Teachers' Retirement System, certificated positions</v>
      </c>
      <c r="D79" s="106">
        <v>0.02</v>
      </c>
      <c r="E79" s="106">
        <v>0.05</v>
      </c>
      <c r="F79" s="106">
        <v>0.1</v>
      </c>
      <c r="G79" s="106">
        <v>0.1</v>
      </c>
      <c r="H79" s="106">
        <v>0.1</v>
      </c>
      <c r="I79" s="106">
        <v>0.1</v>
      </c>
      <c r="J79" s="106">
        <v>0.1</v>
      </c>
      <c r="K79" s="106">
        <v>0.1</v>
      </c>
      <c r="L79" s="106">
        <v>0.1</v>
      </c>
      <c r="M79" s="106">
        <v>0.1</v>
      </c>
      <c r="N79" s="106">
        <v>0.1</v>
      </c>
      <c r="O79" s="106">
        <v>0.03</v>
      </c>
      <c r="P79" s="93"/>
      <c r="Q79" s="93"/>
      <c r="R79" s="93"/>
      <c r="S79" s="231">
        <f t="shared" ref="S79:S87" si="8">SUM(D79:R79)</f>
        <v>0.99999999999999989</v>
      </c>
    </row>
    <row r="80" spans="1:19" s="30" customFormat="1" x14ac:dyDescent="0.3">
      <c r="A80" s="35"/>
      <c r="B80" s="63" t="str">
        <f>'Expenses Summary'!B34</f>
        <v>3202</v>
      </c>
      <c r="C80" s="63" t="str">
        <f>'Expenses Summary'!C34</f>
        <v>Public Employees' Retirement System, classified positions</v>
      </c>
      <c r="D80" s="106">
        <v>0.02</v>
      </c>
      <c r="E80" s="106">
        <v>0.05</v>
      </c>
      <c r="F80" s="106">
        <v>0.1</v>
      </c>
      <c r="G80" s="106">
        <v>0.1</v>
      </c>
      <c r="H80" s="106">
        <v>0.1</v>
      </c>
      <c r="I80" s="106">
        <v>0.1</v>
      </c>
      <c r="J80" s="106">
        <v>0.1</v>
      </c>
      <c r="K80" s="106">
        <v>0.1</v>
      </c>
      <c r="L80" s="106">
        <v>0.1</v>
      </c>
      <c r="M80" s="106">
        <v>0.1</v>
      </c>
      <c r="N80" s="106">
        <v>0.1</v>
      </c>
      <c r="O80" s="106">
        <v>0.03</v>
      </c>
      <c r="P80" s="93"/>
      <c r="Q80" s="93"/>
      <c r="R80" s="93"/>
      <c r="S80" s="231">
        <f t="shared" si="8"/>
        <v>0.99999999999999989</v>
      </c>
    </row>
    <row r="81" spans="1:19" s="30" customFormat="1" x14ac:dyDescent="0.3">
      <c r="A81" s="35"/>
      <c r="B81" s="63" t="str">
        <f>'Expenses Summary'!B35</f>
        <v>3313</v>
      </c>
      <c r="C81" s="63" t="str">
        <f>'Expenses Summary'!C35</f>
        <v>OASDI</v>
      </c>
      <c r="D81" s="93">
        <v>8.3000000000000004E-2</v>
      </c>
      <c r="E81" s="93">
        <v>8.3000000000000004E-2</v>
      </c>
      <c r="F81" s="107">
        <v>8.3000000000000004E-2</v>
      </c>
      <c r="G81" s="107">
        <v>8.3000000000000004E-2</v>
      </c>
      <c r="H81" s="107">
        <v>8.3000000000000004E-2</v>
      </c>
      <c r="I81" s="107">
        <v>8.3000000000000004E-2</v>
      </c>
      <c r="J81" s="107">
        <v>8.3000000000000004E-2</v>
      </c>
      <c r="K81" s="107">
        <v>8.3000000000000004E-2</v>
      </c>
      <c r="L81" s="107">
        <v>8.4000000000000005E-2</v>
      </c>
      <c r="M81" s="107">
        <v>8.4000000000000005E-2</v>
      </c>
      <c r="N81" s="107">
        <v>8.4000000000000005E-2</v>
      </c>
      <c r="O81" s="107">
        <v>8.4000000000000005E-2</v>
      </c>
      <c r="P81" s="93"/>
      <c r="Q81" s="93"/>
      <c r="R81" s="93"/>
      <c r="S81" s="231">
        <f t="shared" si="8"/>
        <v>0.99999999999999989</v>
      </c>
    </row>
    <row r="82" spans="1:19" s="30" customFormat="1" x14ac:dyDescent="0.3">
      <c r="A82" s="35"/>
      <c r="B82" s="63" t="str">
        <f>'Expenses Summary'!B36</f>
        <v>3323</v>
      </c>
      <c r="C82" s="63" t="str">
        <f>'Expenses Summary'!C36</f>
        <v>Medicare</v>
      </c>
      <c r="D82" s="93">
        <v>8.3000000000000004E-2</v>
      </c>
      <c r="E82" s="93">
        <v>8.3000000000000004E-2</v>
      </c>
      <c r="F82" s="107">
        <v>8.3000000000000004E-2</v>
      </c>
      <c r="G82" s="107">
        <v>8.3000000000000004E-2</v>
      </c>
      <c r="H82" s="107">
        <v>8.3000000000000004E-2</v>
      </c>
      <c r="I82" s="107">
        <v>8.3000000000000004E-2</v>
      </c>
      <c r="J82" s="107">
        <v>8.3000000000000004E-2</v>
      </c>
      <c r="K82" s="107">
        <v>8.3000000000000004E-2</v>
      </c>
      <c r="L82" s="107">
        <v>8.4000000000000005E-2</v>
      </c>
      <c r="M82" s="107">
        <v>8.4000000000000005E-2</v>
      </c>
      <c r="N82" s="107">
        <v>8.4000000000000005E-2</v>
      </c>
      <c r="O82" s="107">
        <v>8.4000000000000005E-2</v>
      </c>
      <c r="P82" s="93"/>
      <c r="Q82" s="93"/>
      <c r="R82" s="93"/>
      <c r="S82" s="231">
        <f t="shared" si="8"/>
        <v>0.99999999999999989</v>
      </c>
    </row>
    <row r="83" spans="1:19" s="30" customFormat="1" x14ac:dyDescent="0.3">
      <c r="A83" s="35"/>
      <c r="B83" s="63" t="str">
        <f>'Expenses Summary'!B37</f>
        <v>3403</v>
      </c>
      <c r="C83" s="63" t="str">
        <f>'Expenses Summary'!C37</f>
        <v>Health &amp; Welfare Benefits</v>
      </c>
      <c r="D83" s="93">
        <v>8.3000000000000004E-2</v>
      </c>
      <c r="E83" s="93">
        <v>8.3000000000000004E-2</v>
      </c>
      <c r="F83" s="107">
        <v>8.3000000000000004E-2</v>
      </c>
      <c r="G83" s="107">
        <v>8.3000000000000004E-2</v>
      </c>
      <c r="H83" s="107">
        <v>8.3000000000000004E-2</v>
      </c>
      <c r="I83" s="107">
        <v>8.3000000000000004E-2</v>
      </c>
      <c r="J83" s="107">
        <v>8.3000000000000004E-2</v>
      </c>
      <c r="K83" s="107">
        <v>8.3000000000000004E-2</v>
      </c>
      <c r="L83" s="107">
        <v>8.4000000000000005E-2</v>
      </c>
      <c r="M83" s="107">
        <v>8.4000000000000005E-2</v>
      </c>
      <c r="N83" s="107">
        <v>8.4000000000000005E-2</v>
      </c>
      <c r="O83" s="107">
        <v>8.4000000000000005E-2</v>
      </c>
      <c r="P83" s="93"/>
      <c r="Q83" s="93"/>
      <c r="R83" s="93"/>
      <c r="S83" s="231">
        <f t="shared" si="8"/>
        <v>0.99999999999999989</v>
      </c>
    </row>
    <row r="84" spans="1:19" s="30" customFormat="1" x14ac:dyDescent="0.3">
      <c r="A84" s="35"/>
      <c r="B84" s="63" t="str">
        <f>'Expenses Summary'!B38</f>
        <v>3503</v>
      </c>
      <c r="C84" s="63" t="str">
        <f>'Expenses Summary'!C38</f>
        <v>State Unemployment Insurance</v>
      </c>
      <c r="D84" s="93">
        <v>8.3000000000000004E-2</v>
      </c>
      <c r="E84" s="93">
        <v>8.3000000000000004E-2</v>
      </c>
      <c r="F84" s="107">
        <v>8.3000000000000004E-2</v>
      </c>
      <c r="G84" s="107">
        <v>8.3000000000000004E-2</v>
      </c>
      <c r="H84" s="107">
        <v>8.3000000000000004E-2</v>
      </c>
      <c r="I84" s="107">
        <v>8.3000000000000004E-2</v>
      </c>
      <c r="J84" s="107">
        <v>8.3000000000000004E-2</v>
      </c>
      <c r="K84" s="107">
        <v>8.3000000000000004E-2</v>
      </c>
      <c r="L84" s="107">
        <v>8.4000000000000005E-2</v>
      </c>
      <c r="M84" s="107">
        <v>8.4000000000000005E-2</v>
      </c>
      <c r="N84" s="107">
        <v>8.4000000000000005E-2</v>
      </c>
      <c r="O84" s="107">
        <v>8.4000000000000005E-2</v>
      </c>
      <c r="P84" s="93"/>
      <c r="Q84" s="93"/>
      <c r="R84" s="93"/>
      <c r="S84" s="231">
        <f t="shared" si="8"/>
        <v>0.99999999999999989</v>
      </c>
    </row>
    <row r="85" spans="1:19" s="30" customFormat="1" x14ac:dyDescent="0.3">
      <c r="A85" s="35"/>
      <c r="B85" s="63" t="str">
        <f>'Expenses Summary'!B39</f>
        <v>3603</v>
      </c>
      <c r="C85" s="63" t="str">
        <f>'Expenses Summary'!C39</f>
        <v>Worker Compensation Insurance</v>
      </c>
      <c r="D85" s="93">
        <v>8.3000000000000004E-2</v>
      </c>
      <c r="E85" s="93">
        <v>8.3000000000000004E-2</v>
      </c>
      <c r="F85" s="107">
        <v>8.3000000000000004E-2</v>
      </c>
      <c r="G85" s="107">
        <v>8.3000000000000004E-2</v>
      </c>
      <c r="H85" s="107">
        <v>8.3000000000000004E-2</v>
      </c>
      <c r="I85" s="107">
        <v>8.3000000000000004E-2</v>
      </c>
      <c r="J85" s="107">
        <v>8.3000000000000004E-2</v>
      </c>
      <c r="K85" s="107">
        <v>8.3000000000000004E-2</v>
      </c>
      <c r="L85" s="107">
        <v>8.4000000000000005E-2</v>
      </c>
      <c r="M85" s="107">
        <v>8.4000000000000005E-2</v>
      </c>
      <c r="N85" s="107">
        <v>8.4000000000000005E-2</v>
      </c>
      <c r="O85" s="107">
        <v>8.4000000000000005E-2</v>
      </c>
      <c r="P85" s="93"/>
      <c r="Q85" s="93"/>
      <c r="R85" s="93"/>
      <c r="S85" s="231">
        <f t="shared" si="8"/>
        <v>0.99999999999999989</v>
      </c>
    </row>
    <row r="86" spans="1:19" s="30" customFormat="1" x14ac:dyDescent="0.3">
      <c r="A86" s="35"/>
      <c r="B86" s="63" t="str">
        <f>'Expenses Summary'!B40</f>
        <v>3703</v>
      </c>
      <c r="C86" s="63" t="str">
        <f>'Expenses Summary'!C40</f>
        <v>Other Post Employement Benefits</v>
      </c>
      <c r="D86" s="93">
        <v>8.3000000000000004E-2</v>
      </c>
      <c r="E86" s="93">
        <v>8.3000000000000004E-2</v>
      </c>
      <c r="F86" s="107">
        <v>8.3000000000000004E-2</v>
      </c>
      <c r="G86" s="107">
        <v>8.3000000000000004E-2</v>
      </c>
      <c r="H86" s="107">
        <v>8.3000000000000004E-2</v>
      </c>
      <c r="I86" s="107">
        <v>8.3000000000000004E-2</v>
      </c>
      <c r="J86" s="107">
        <v>8.3000000000000004E-2</v>
      </c>
      <c r="K86" s="107">
        <v>8.3000000000000004E-2</v>
      </c>
      <c r="L86" s="107">
        <v>8.4000000000000005E-2</v>
      </c>
      <c r="M86" s="107">
        <v>8.4000000000000005E-2</v>
      </c>
      <c r="N86" s="107">
        <v>8.4000000000000005E-2</v>
      </c>
      <c r="O86" s="107">
        <v>8.4000000000000005E-2</v>
      </c>
      <c r="P86" s="93"/>
      <c r="Q86" s="93"/>
      <c r="R86" s="93"/>
      <c r="S86" s="231">
        <f t="shared" si="8"/>
        <v>0.99999999999999989</v>
      </c>
    </row>
    <row r="87" spans="1:19" s="30" customFormat="1" x14ac:dyDescent="0.3">
      <c r="A87" s="35"/>
      <c r="B87" s="63" t="str">
        <f>'Expenses Summary'!B41</f>
        <v>3903</v>
      </c>
      <c r="C87" s="63" t="str">
        <f>'Expenses Summary'!C41</f>
        <v>Other Benefits</v>
      </c>
      <c r="D87" s="93">
        <v>8.3000000000000004E-2</v>
      </c>
      <c r="E87" s="93">
        <v>8.3000000000000004E-2</v>
      </c>
      <c r="F87" s="107">
        <v>8.3000000000000004E-2</v>
      </c>
      <c r="G87" s="107">
        <v>8.3000000000000004E-2</v>
      </c>
      <c r="H87" s="107">
        <v>8.3000000000000004E-2</v>
      </c>
      <c r="I87" s="107">
        <v>8.3000000000000004E-2</v>
      </c>
      <c r="J87" s="107">
        <v>8.3000000000000004E-2</v>
      </c>
      <c r="K87" s="107">
        <v>8.3000000000000004E-2</v>
      </c>
      <c r="L87" s="107">
        <v>8.4000000000000005E-2</v>
      </c>
      <c r="M87" s="107">
        <v>8.4000000000000005E-2</v>
      </c>
      <c r="N87" s="107">
        <v>8.4000000000000005E-2</v>
      </c>
      <c r="O87" s="107">
        <v>8.4000000000000005E-2</v>
      </c>
      <c r="P87" s="93"/>
      <c r="Q87" s="93"/>
      <c r="R87" s="93"/>
      <c r="S87" s="231">
        <f t="shared" si="8"/>
        <v>0.99999999999999989</v>
      </c>
    </row>
    <row r="88" spans="1:19" s="30" customFormat="1" x14ac:dyDescent="0.3">
      <c r="A88" s="35"/>
      <c r="B88" s="116"/>
      <c r="C88" s="116"/>
      <c r="D88" s="117"/>
      <c r="E88" s="117"/>
      <c r="F88" s="117"/>
      <c r="G88" s="117"/>
      <c r="H88" s="117"/>
      <c r="I88" s="117"/>
      <c r="J88" s="117"/>
      <c r="K88" s="117"/>
      <c r="L88" s="117"/>
      <c r="M88" s="117"/>
      <c r="N88" s="117"/>
      <c r="O88" s="117"/>
      <c r="P88" s="94"/>
      <c r="Q88" s="94"/>
      <c r="R88" s="94"/>
      <c r="S88" s="231"/>
    </row>
    <row r="89" spans="1:19" s="30" customFormat="1" x14ac:dyDescent="0.3">
      <c r="A89" s="35"/>
      <c r="B89" s="39"/>
      <c r="C89" s="1"/>
      <c r="D89" s="89"/>
      <c r="E89" s="89"/>
      <c r="F89" s="89"/>
      <c r="G89" s="89"/>
      <c r="H89" s="89"/>
      <c r="I89" s="89"/>
      <c r="J89" s="89"/>
      <c r="K89" s="89"/>
      <c r="L89" s="89"/>
      <c r="M89" s="89"/>
      <c r="N89" s="89"/>
      <c r="O89" s="89"/>
      <c r="P89" s="89"/>
      <c r="Q89" s="89"/>
      <c r="R89" s="89"/>
      <c r="S89" s="231"/>
    </row>
    <row r="90" spans="1:19" s="30" customFormat="1" x14ac:dyDescent="0.3">
      <c r="B90" s="33" t="s">
        <v>677</v>
      </c>
      <c r="C90" s="3"/>
      <c r="D90" s="89"/>
      <c r="E90" s="89"/>
      <c r="F90" s="89"/>
      <c r="G90" s="89"/>
      <c r="H90" s="89"/>
      <c r="I90" s="89"/>
      <c r="J90" s="89"/>
      <c r="K90" s="89"/>
      <c r="L90" s="89"/>
      <c r="M90" s="89"/>
      <c r="N90" s="89"/>
      <c r="O90" s="89"/>
      <c r="P90" s="89"/>
      <c r="Q90" s="89"/>
      <c r="R90" s="89"/>
      <c r="S90" s="231"/>
    </row>
    <row r="91" spans="1:19" s="30" customFormat="1" x14ac:dyDescent="0.3">
      <c r="A91" s="35"/>
      <c r="B91" s="62" t="str">
        <f>'Expenses Summary'!B47</f>
        <v>4100</v>
      </c>
      <c r="C91" s="62" t="str">
        <f>'Expenses Summary'!C47</f>
        <v>Approved Textbooks and Core Curricula Materials</v>
      </c>
      <c r="D91" s="93">
        <v>0.1</v>
      </c>
      <c r="E91" s="93">
        <v>0.1</v>
      </c>
      <c r="F91" s="93">
        <v>0.1</v>
      </c>
      <c r="G91" s="93">
        <v>0.1</v>
      </c>
      <c r="H91" s="93">
        <v>0.1</v>
      </c>
      <c r="I91" s="97">
        <v>0.1</v>
      </c>
      <c r="J91" s="97">
        <v>0.1</v>
      </c>
      <c r="K91" s="97">
        <v>0.1</v>
      </c>
      <c r="L91" s="97">
        <v>0.1</v>
      </c>
      <c r="M91" s="97">
        <v>0.1</v>
      </c>
      <c r="N91" s="97">
        <v>0</v>
      </c>
      <c r="O91" s="97">
        <v>0</v>
      </c>
      <c r="P91" s="97"/>
      <c r="Q91" s="97"/>
      <c r="R91" s="97"/>
      <c r="S91" s="231">
        <f t="shared" ref="S91:S96" si="9">SUM(D91:R91)</f>
        <v>0.99999999999999989</v>
      </c>
    </row>
    <row r="92" spans="1:19" x14ac:dyDescent="0.3">
      <c r="A92" s="35"/>
      <c r="B92" s="62" t="str">
        <f>'Expenses Summary'!B48</f>
        <v>4200</v>
      </c>
      <c r="C92" s="62" t="str">
        <f>'Expenses Summary'!C48</f>
        <v>Books and Other Reference Materials</v>
      </c>
      <c r="D92" s="93">
        <v>0.05</v>
      </c>
      <c r="E92" s="93">
        <v>0.1</v>
      </c>
      <c r="F92" s="93">
        <v>0.1</v>
      </c>
      <c r="G92" s="93">
        <v>0.1</v>
      </c>
      <c r="H92" s="93">
        <v>0.1</v>
      </c>
      <c r="I92" s="93">
        <v>0.1</v>
      </c>
      <c r="J92" s="93">
        <v>0.1</v>
      </c>
      <c r="K92" s="93">
        <v>0.1</v>
      </c>
      <c r="L92" s="93">
        <v>0.1</v>
      </c>
      <c r="M92" s="93">
        <v>0.1</v>
      </c>
      <c r="N92" s="93">
        <v>0.05</v>
      </c>
      <c r="O92" s="97">
        <v>0</v>
      </c>
      <c r="P92" s="97"/>
      <c r="Q92" s="97"/>
      <c r="R92" s="97"/>
      <c r="S92" s="231">
        <f t="shared" si="9"/>
        <v>0.99999999999999989</v>
      </c>
    </row>
    <row r="93" spans="1:19" x14ac:dyDescent="0.3">
      <c r="A93" s="35"/>
      <c r="B93" s="62" t="str">
        <f>'Expenses Summary'!B49</f>
        <v>4300</v>
      </c>
      <c r="C93" s="62" t="str">
        <f>'Expenses Summary'!C49</f>
        <v>Materials and Supplies</v>
      </c>
      <c r="D93" s="111">
        <v>8.3000000000000004E-2</v>
      </c>
      <c r="E93" s="111">
        <v>8.3000000000000004E-2</v>
      </c>
      <c r="F93" s="111">
        <v>8.3000000000000004E-2</v>
      </c>
      <c r="G93" s="111">
        <v>8.3000000000000004E-2</v>
      </c>
      <c r="H93" s="111">
        <v>8.3000000000000004E-2</v>
      </c>
      <c r="I93" s="111">
        <v>8.3000000000000004E-2</v>
      </c>
      <c r="J93" s="111">
        <v>8.3000000000000004E-2</v>
      </c>
      <c r="K93" s="111">
        <v>8.3000000000000004E-2</v>
      </c>
      <c r="L93" s="111">
        <v>8.4000000000000005E-2</v>
      </c>
      <c r="M93" s="111">
        <v>8.4000000000000005E-2</v>
      </c>
      <c r="N93" s="111">
        <v>8.4000000000000005E-2</v>
      </c>
      <c r="O93" s="111">
        <v>8.4000000000000005E-2</v>
      </c>
      <c r="P93" s="97"/>
      <c r="Q93" s="97"/>
      <c r="R93" s="97"/>
      <c r="S93" s="231">
        <f t="shared" si="9"/>
        <v>0.99999999999999989</v>
      </c>
    </row>
    <row r="94" spans="1:19" x14ac:dyDescent="0.3">
      <c r="A94" s="35"/>
      <c r="B94" s="62" t="str">
        <f>'Expenses Summary'!B50</f>
        <v>4315</v>
      </c>
      <c r="C94" s="62" t="str">
        <f>'Expenses Summary'!C50</f>
        <v>Classroom Materials and Supplies</v>
      </c>
      <c r="D94" s="93">
        <v>8.3000000000000004E-2</v>
      </c>
      <c r="E94" s="93">
        <v>8.3000000000000004E-2</v>
      </c>
      <c r="F94" s="93">
        <v>8.3000000000000004E-2</v>
      </c>
      <c r="G94" s="93">
        <v>8.3000000000000004E-2</v>
      </c>
      <c r="H94" s="93">
        <v>8.3000000000000004E-2</v>
      </c>
      <c r="I94" s="93">
        <v>8.3000000000000004E-2</v>
      </c>
      <c r="J94" s="93">
        <v>8.3000000000000004E-2</v>
      </c>
      <c r="K94" s="93">
        <v>8.3000000000000004E-2</v>
      </c>
      <c r="L94" s="93">
        <v>8.3000000000000004E-2</v>
      </c>
      <c r="M94" s="93">
        <v>8.3000000000000004E-2</v>
      </c>
      <c r="N94" s="93">
        <v>8.3000000000000004E-2</v>
      </c>
      <c r="O94" s="93">
        <v>8.3000000000000004E-2</v>
      </c>
      <c r="P94" s="97"/>
      <c r="Q94" s="97"/>
      <c r="R94" s="97"/>
      <c r="S94" s="231">
        <f t="shared" si="9"/>
        <v>0.99599999999999989</v>
      </c>
    </row>
    <row r="95" spans="1:19" x14ac:dyDescent="0.3">
      <c r="A95" s="35"/>
      <c r="B95" s="62" t="str">
        <f>'Expenses Summary'!B51</f>
        <v>4342</v>
      </c>
      <c r="C95" s="62" t="str">
        <f>'Expenses Summary'!C51</f>
        <v>Materials for Athletics</v>
      </c>
      <c r="D95" s="111">
        <v>8.3000000000000004E-2</v>
      </c>
      <c r="E95" s="111">
        <v>8.3000000000000004E-2</v>
      </c>
      <c r="F95" s="111">
        <v>8.3000000000000004E-2</v>
      </c>
      <c r="G95" s="111">
        <v>8.3000000000000004E-2</v>
      </c>
      <c r="H95" s="111">
        <v>8.3000000000000004E-2</v>
      </c>
      <c r="I95" s="111">
        <v>8.3000000000000004E-2</v>
      </c>
      <c r="J95" s="111">
        <v>8.3000000000000004E-2</v>
      </c>
      <c r="K95" s="111">
        <v>8.3000000000000004E-2</v>
      </c>
      <c r="L95" s="111">
        <v>8.4000000000000005E-2</v>
      </c>
      <c r="M95" s="111">
        <v>8.4000000000000005E-2</v>
      </c>
      <c r="N95" s="111">
        <v>8.4000000000000005E-2</v>
      </c>
      <c r="O95" s="111">
        <v>8.4000000000000005E-2</v>
      </c>
      <c r="P95" s="93"/>
      <c r="Q95" s="93"/>
      <c r="R95" s="93"/>
      <c r="S95" s="231">
        <f t="shared" si="9"/>
        <v>0.99999999999999989</v>
      </c>
    </row>
    <row r="96" spans="1:19" x14ac:dyDescent="0.3">
      <c r="A96" s="35"/>
      <c r="B96" s="62" t="str">
        <f>'Expenses Summary'!B52</f>
        <v>4381</v>
      </c>
      <c r="C96" s="62" t="str">
        <f>'Expenses Summary'!C52</f>
        <v>Materials for Plant Maintenance</v>
      </c>
      <c r="D96" s="93">
        <v>8.3000000000000004E-2</v>
      </c>
      <c r="E96" s="93">
        <v>8.3000000000000004E-2</v>
      </c>
      <c r="F96" s="93">
        <v>8.3000000000000004E-2</v>
      </c>
      <c r="G96" s="93">
        <v>8.3000000000000004E-2</v>
      </c>
      <c r="H96" s="93">
        <v>8.3000000000000004E-2</v>
      </c>
      <c r="I96" s="93">
        <v>8.3000000000000004E-2</v>
      </c>
      <c r="J96" s="93">
        <v>8.3000000000000004E-2</v>
      </c>
      <c r="K96" s="93">
        <v>8.3000000000000004E-2</v>
      </c>
      <c r="L96" s="93">
        <v>8.3000000000000004E-2</v>
      </c>
      <c r="M96" s="93">
        <v>8.3000000000000004E-2</v>
      </c>
      <c r="N96" s="93">
        <v>8.3000000000000004E-2</v>
      </c>
      <c r="O96" s="93">
        <v>8.3000000000000004E-2</v>
      </c>
      <c r="P96" s="97"/>
      <c r="Q96" s="97"/>
      <c r="R96" s="97"/>
      <c r="S96" s="231">
        <f t="shared" si="9"/>
        <v>0.99599999999999989</v>
      </c>
    </row>
    <row r="97" spans="1:19" outlineLevel="1" x14ac:dyDescent="0.3">
      <c r="A97" s="35"/>
      <c r="B97" s="62" t="str">
        <f>'Expenses Summary'!B53</f>
        <v>4400</v>
      </c>
      <c r="C97" s="62" t="str">
        <f>'Expenses Summary'!C53</f>
        <v>Noncapitalized Equipment</v>
      </c>
      <c r="D97" s="93"/>
      <c r="E97" s="93"/>
      <c r="F97" s="107">
        <v>0.1</v>
      </c>
      <c r="G97" s="107">
        <v>0.1</v>
      </c>
      <c r="H97" s="107">
        <v>0.1</v>
      </c>
      <c r="I97" s="107">
        <v>0.1</v>
      </c>
      <c r="J97" s="107">
        <v>0.1</v>
      </c>
      <c r="K97" s="107">
        <v>0.1</v>
      </c>
      <c r="L97" s="107">
        <v>0.1</v>
      </c>
      <c r="M97" s="107">
        <v>0.1</v>
      </c>
      <c r="N97" s="107">
        <v>0.1</v>
      </c>
      <c r="O97" s="107">
        <v>0.1</v>
      </c>
      <c r="P97" s="97"/>
      <c r="Q97" s="97"/>
      <c r="R97" s="97"/>
      <c r="S97" s="231">
        <f t="shared" ref="S97:S107" si="10">SUM(D97:R97)</f>
        <v>0.99999999999999989</v>
      </c>
    </row>
    <row r="98" spans="1:19" outlineLevel="1" x14ac:dyDescent="0.3">
      <c r="A98" s="35"/>
      <c r="B98" s="308">
        <f>'Expenses Summary'!B54</f>
        <v>4410</v>
      </c>
      <c r="C98" s="62" t="str">
        <f>'Expenses Summary'!C54</f>
        <v>Software &amp; Software Licensing</v>
      </c>
      <c r="D98" s="93"/>
      <c r="E98" s="93"/>
      <c r="F98" s="107">
        <v>0.1</v>
      </c>
      <c r="G98" s="107">
        <v>0.1</v>
      </c>
      <c r="H98" s="107">
        <v>0.1</v>
      </c>
      <c r="I98" s="107">
        <v>0.1</v>
      </c>
      <c r="J98" s="107">
        <v>0.1</v>
      </c>
      <c r="K98" s="107">
        <v>0.1</v>
      </c>
      <c r="L98" s="107">
        <v>0.1</v>
      </c>
      <c r="M98" s="107">
        <v>0.1</v>
      </c>
      <c r="N98" s="107">
        <v>0.1</v>
      </c>
      <c r="O98" s="107">
        <v>0.1</v>
      </c>
      <c r="P98" s="97"/>
      <c r="Q98" s="97"/>
      <c r="R98" s="97"/>
      <c r="S98" s="231">
        <f>SUM(D98:R98)</f>
        <v>0.99999999999999989</v>
      </c>
    </row>
    <row r="99" spans="1:19" outlineLevel="1" x14ac:dyDescent="0.3">
      <c r="A99" s="35"/>
      <c r="B99" s="62" t="str">
        <f>'Expenses Summary'!B55</f>
        <v>4430</v>
      </c>
      <c r="C99" s="62" t="str">
        <f>'Expenses Summary'!C55</f>
        <v>General Student Equipment</v>
      </c>
      <c r="D99" s="93"/>
      <c r="E99" s="93"/>
      <c r="F99" s="107">
        <v>0.1</v>
      </c>
      <c r="G99" s="107">
        <v>0.1</v>
      </c>
      <c r="H99" s="107">
        <v>0.1</v>
      </c>
      <c r="I99" s="107">
        <v>0.1</v>
      </c>
      <c r="J99" s="107">
        <v>0.1</v>
      </c>
      <c r="K99" s="107">
        <v>0.1</v>
      </c>
      <c r="L99" s="107">
        <v>0.1</v>
      </c>
      <c r="M99" s="107">
        <v>0.1</v>
      </c>
      <c r="N99" s="107">
        <v>0.1</v>
      </c>
      <c r="O99" s="107">
        <v>0.1</v>
      </c>
      <c r="P99" s="97"/>
      <c r="Q99" s="97"/>
      <c r="R99" s="97"/>
      <c r="S99" s="231">
        <f t="shared" si="10"/>
        <v>0.99999999999999989</v>
      </c>
    </row>
    <row r="100" spans="1:19" hidden="1" outlineLevel="1" x14ac:dyDescent="0.3">
      <c r="A100" s="35"/>
      <c r="B100" s="88">
        <f>'Expenses Summary'!B56</f>
        <v>0</v>
      </c>
      <c r="C100" s="62">
        <f>'Expenses Summary'!C56</f>
        <v>0</v>
      </c>
      <c r="D100" s="93"/>
      <c r="E100" s="93"/>
      <c r="F100" s="107">
        <v>0.1</v>
      </c>
      <c r="G100" s="107">
        <v>0.1</v>
      </c>
      <c r="H100" s="107">
        <v>0.1</v>
      </c>
      <c r="I100" s="107">
        <v>0.1</v>
      </c>
      <c r="J100" s="107">
        <v>0.1</v>
      </c>
      <c r="K100" s="107">
        <v>0.1</v>
      </c>
      <c r="L100" s="107">
        <v>0.1</v>
      </c>
      <c r="M100" s="107">
        <v>0.1</v>
      </c>
      <c r="N100" s="107">
        <v>0.1</v>
      </c>
      <c r="O100" s="107">
        <v>0.1</v>
      </c>
      <c r="P100" s="97"/>
      <c r="Q100" s="97"/>
      <c r="R100" s="97"/>
      <c r="S100" s="231">
        <f t="shared" si="10"/>
        <v>0.99999999999999989</v>
      </c>
    </row>
    <row r="101" spans="1:19" hidden="1" outlineLevel="1" x14ac:dyDescent="0.3">
      <c r="A101" s="35"/>
      <c r="B101" s="88">
        <f>'Expenses Summary'!B57</f>
        <v>0</v>
      </c>
      <c r="C101" s="62">
        <f>'Expenses Summary'!C57</f>
        <v>0</v>
      </c>
      <c r="D101" s="93"/>
      <c r="E101" s="93"/>
      <c r="F101" s="107">
        <v>0.1</v>
      </c>
      <c r="G101" s="107">
        <v>0.1</v>
      </c>
      <c r="H101" s="107">
        <v>0.1</v>
      </c>
      <c r="I101" s="107">
        <v>0.1</v>
      </c>
      <c r="J101" s="107">
        <v>0.1</v>
      </c>
      <c r="K101" s="107">
        <v>0.1</v>
      </c>
      <c r="L101" s="107">
        <v>0.1</v>
      </c>
      <c r="M101" s="107">
        <v>0.1</v>
      </c>
      <c r="N101" s="107">
        <v>0.1</v>
      </c>
      <c r="O101" s="107">
        <v>0.1</v>
      </c>
      <c r="P101" s="97"/>
      <c r="Q101" s="97"/>
      <c r="R101" s="97"/>
      <c r="S101" s="231">
        <f t="shared" si="10"/>
        <v>0.99999999999999989</v>
      </c>
    </row>
    <row r="102" spans="1:19" hidden="1" outlineLevel="1" x14ac:dyDescent="0.3">
      <c r="A102" s="35"/>
      <c r="B102" s="88">
        <f>'Expenses Summary'!B58</f>
        <v>0</v>
      </c>
      <c r="C102" s="62">
        <f>'Expenses Summary'!C58</f>
        <v>0</v>
      </c>
      <c r="D102" s="93"/>
      <c r="E102" s="93"/>
      <c r="F102" s="107">
        <v>0.1</v>
      </c>
      <c r="G102" s="107">
        <v>0.1</v>
      </c>
      <c r="H102" s="107">
        <v>0.1</v>
      </c>
      <c r="I102" s="107">
        <v>0.1</v>
      </c>
      <c r="J102" s="107">
        <v>0.1</v>
      </c>
      <c r="K102" s="107">
        <v>0.1</v>
      </c>
      <c r="L102" s="107">
        <v>0.1</v>
      </c>
      <c r="M102" s="107">
        <v>0.1</v>
      </c>
      <c r="N102" s="107">
        <v>0.1</v>
      </c>
      <c r="O102" s="107">
        <v>0.1</v>
      </c>
      <c r="P102" s="97"/>
      <c r="Q102" s="97"/>
      <c r="R102" s="97"/>
      <c r="S102" s="231">
        <f t="shared" si="10"/>
        <v>0.99999999999999989</v>
      </c>
    </row>
    <row r="103" spans="1:19" hidden="1" outlineLevel="1" x14ac:dyDescent="0.3">
      <c r="A103" s="35"/>
      <c r="B103" s="88">
        <f>'Expenses Summary'!B59</f>
        <v>0</v>
      </c>
      <c r="C103" s="62">
        <f>'Expenses Summary'!C59</f>
        <v>0</v>
      </c>
      <c r="D103" s="93"/>
      <c r="E103" s="93"/>
      <c r="F103" s="107">
        <v>0.1</v>
      </c>
      <c r="G103" s="107">
        <v>0.1</v>
      </c>
      <c r="H103" s="107">
        <v>0.1</v>
      </c>
      <c r="I103" s="107">
        <v>0.1</v>
      </c>
      <c r="J103" s="107">
        <v>0.1</v>
      </c>
      <c r="K103" s="107">
        <v>0.1</v>
      </c>
      <c r="L103" s="107">
        <v>0.1</v>
      </c>
      <c r="M103" s="107">
        <v>0.1</v>
      </c>
      <c r="N103" s="107">
        <v>0.1</v>
      </c>
      <c r="O103" s="107">
        <v>0.1</v>
      </c>
      <c r="P103" s="97"/>
      <c r="Q103" s="97"/>
      <c r="R103" s="97"/>
      <c r="S103" s="231">
        <f t="shared" si="10"/>
        <v>0.99999999999999989</v>
      </c>
    </row>
    <row r="104" spans="1:19" hidden="1" outlineLevel="1" x14ac:dyDescent="0.3">
      <c r="A104" s="35"/>
      <c r="B104" s="88">
        <f>'Expenses Summary'!B60</f>
        <v>0</v>
      </c>
      <c r="C104" s="62">
        <f>'Expenses Summary'!C60</f>
        <v>0</v>
      </c>
      <c r="D104" s="93"/>
      <c r="E104" s="93"/>
      <c r="F104" s="107">
        <v>0.1</v>
      </c>
      <c r="G104" s="107">
        <v>0.1</v>
      </c>
      <c r="H104" s="107">
        <v>0.1</v>
      </c>
      <c r="I104" s="107">
        <v>0.1</v>
      </c>
      <c r="J104" s="107">
        <v>0.1</v>
      </c>
      <c r="K104" s="107">
        <v>0.1</v>
      </c>
      <c r="L104" s="107">
        <v>0.1</v>
      </c>
      <c r="M104" s="107">
        <v>0.1</v>
      </c>
      <c r="N104" s="107">
        <v>0.1</v>
      </c>
      <c r="O104" s="107">
        <v>0.1</v>
      </c>
      <c r="P104" s="97"/>
      <c r="Q104" s="97"/>
      <c r="R104" s="97"/>
      <c r="S104" s="231">
        <f t="shared" si="10"/>
        <v>0.99999999999999989</v>
      </c>
    </row>
    <row r="105" spans="1:19" hidden="1" outlineLevel="1" x14ac:dyDescent="0.3">
      <c r="A105" s="35"/>
      <c r="B105" s="88">
        <f>'Expenses Summary'!B61</f>
        <v>0</v>
      </c>
      <c r="C105" s="62">
        <f>'Expenses Summary'!C61</f>
        <v>0</v>
      </c>
      <c r="D105" s="93"/>
      <c r="E105" s="93"/>
      <c r="F105" s="107">
        <v>0.1</v>
      </c>
      <c r="G105" s="107">
        <v>0.1</v>
      </c>
      <c r="H105" s="107">
        <v>0.1</v>
      </c>
      <c r="I105" s="107">
        <v>0.1</v>
      </c>
      <c r="J105" s="107">
        <v>0.1</v>
      </c>
      <c r="K105" s="107">
        <v>0.1</v>
      </c>
      <c r="L105" s="107">
        <v>0.1</v>
      </c>
      <c r="M105" s="107">
        <v>0.1</v>
      </c>
      <c r="N105" s="107">
        <v>0.1</v>
      </c>
      <c r="O105" s="107">
        <v>0.1</v>
      </c>
      <c r="P105" s="97"/>
      <c r="Q105" s="97"/>
      <c r="R105" s="97"/>
      <c r="S105" s="231">
        <f t="shared" si="10"/>
        <v>0.99999999999999989</v>
      </c>
    </row>
    <row r="106" spans="1:19" hidden="1" outlineLevel="1" x14ac:dyDescent="0.3">
      <c r="A106" s="35"/>
      <c r="B106" s="88">
        <f>'Expenses Summary'!B62</f>
        <v>0</v>
      </c>
      <c r="C106" s="62">
        <f>'Expenses Summary'!C62</f>
        <v>0</v>
      </c>
      <c r="D106" s="93"/>
      <c r="E106" s="93"/>
      <c r="F106" s="107">
        <v>0.1</v>
      </c>
      <c r="G106" s="107">
        <v>0.1</v>
      </c>
      <c r="H106" s="107">
        <v>0.1</v>
      </c>
      <c r="I106" s="107">
        <v>0.1</v>
      </c>
      <c r="J106" s="107">
        <v>0.1</v>
      </c>
      <c r="K106" s="107">
        <v>0.1</v>
      </c>
      <c r="L106" s="107">
        <v>0.1</v>
      </c>
      <c r="M106" s="107">
        <v>0.1</v>
      </c>
      <c r="N106" s="107">
        <v>0.1</v>
      </c>
      <c r="O106" s="107">
        <v>0.1</v>
      </c>
      <c r="P106" s="97"/>
      <c r="Q106" s="97"/>
      <c r="R106" s="97"/>
      <c r="S106" s="231">
        <f t="shared" si="10"/>
        <v>0.99999999999999989</v>
      </c>
    </row>
    <row r="107" spans="1:19" hidden="1" outlineLevel="1" x14ac:dyDescent="0.3">
      <c r="A107" s="35"/>
      <c r="B107" s="88">
        <f>'Expenses Summary'!B63</f>
        <v>0</v>
      </c>
      <c r="C107" s="62">
        <f>'Expenses Summary'!C63</f>
        <v>0</v>
      </c>
      <c r="D107" s="93"/>
      <c r="E107" s="93"/>
      <c r="F107" s="107">
        <v>0.1</v>
      </c>
      <c r="G107" s="107">
        <v>0.1</v>
      </c>
      <c r="H107" s="107">
        <v>0.1</v>
      </c>
      <c r="I107" s="107">
        <v>0.1</v>
      </c>
      <c r="J107" s="107">
        <v>0.1</v>
      </c>
      <c r="K107" s="107">
        <v>0.1</v>
      </c>
      <c r="L107" s="107">
        <v>0.1</v>
      </c>
      <c r="M107" s="107">
        <v>0.1</v>
      </c>
      <c r="N107" s="107">
        <v>0.1</v>
      </c>
      <c r="O107" s="107">
        <v>0.1</v>
      </c>
      <c r="P107" s="97"/>
      <c r="Q107" s="97"/>
      <c r="R107" s="97"/>
      <c r="S107" s="231">
        <f t="shared" si="10"/>
        <v>0.99999999999999989</v>
      </c>
    </row>
    <row r="108" spans="1:19" s="30" customFormat="1" x14ac:dyDescent="0.3">
      <c r="A108" s="35"/>
      <c r="B108" s="62" t="str">
        <f>'Expenses Summary'!B64</f>
        <v>4700</v>
      </c>
      <c r="C108" s="62" t="str">
        <f>'Expenses Summary'!C64</f>
        <v>Food and Food Supplies</v>
      </c>
      <c r="D108" s="106">
        <v>0</v>
      </c>
      <c r="E108" s="106">
        <v>0</v>
      </c>
      <c r="F108" s="111">
        <v>0.1</v>
      </c>
      <c r="G108" s="111">
        <v>0.1</v>
      </c>
      <c r="H108" s="111">
        <v>0.1</v>
      </c>
      <c r="I108" s="111">
        <v>0.1</v>
      </c>
      <c r="J108" s="111">
        <v>0.1</v>
      </c>
      <c r="K108" s="111">
        <v>0.1</v>
      </c>
      <c r="L108" s="111">
        <v>0.1</v>
      </c>
      <c r="M108" s="111">
        <v>0.1</v>
      </c>
      <c r="N108" s="111">
        <v>0.1</v>
      </c>
      <c r="O108" s="111">
        <v>0.1</v>
      </c>
      <c r="P108" s="97">
        <v>0</v>
      </c>
      <c r="Q108" s="97">
        <v>0</v>
      </c>
      <c r="R108" s="97">
        <v>0</v>
      </c>
      <c r="S108" s="231">
        <f>SUM(D108:R108)</f>
        <v>0.99999999999999989</v>
      </c>
    </row>
    <row r="109" spans="1:19" s="30" customFormat="1" x14ac:dyDescent="0.3">
      <c r="A109" s="35"/>
      <c r="B109" s="118"/>
      <c r="C109" s="87"/>
      <c r="D109" s="94"/>
      <c r="E109" s="94"/>
      <c r="F109" s="113"/>
      <c r="G109" s="113"/>
      <c r="H109" s="113"/>
      <c r="I109" s="113"/>
      <c r="J109" s="113"/>
      <c r="K109" s="113"/>
      <c r="L109" s="113"/>
      <c r="M109" s="113"/>
      <c r="N109" s="113"/>
      <c r="O109" s="113"/>
      <c r="P109" s="102"/>
      <c r="Q109" s="102"/>
      <c r="R109" s="102"/>
      <c r="S109" s="231"/>
    </row>
    <row r="110" spans="1:19" s="30" customFormat="1" x14ac:dyDescent="0.3">
      <c r="A110" s="35"/>
      <c r="B110" s="4"/>
      <c r="C110" s="3"/>
      <c r="D110" s="89"/>
      <c r="E110" s="89"/>
      <c r="F110" s="89"/>
      <c r="G110" s="89"/>
      <c r="H110" s="89"/>
      <c r="I110" s="89"/>
      <c r="J110" s="89"/>
      <c r="K110" s="89"/>
      <c r="L110" s="89"/>
      <c r="M110" s="89"/>
      <c r="N110" s="89"/>
      <c r="O110" s="89"/>
      <c r="P110" s="89"/>
      <c r="Q110" s="89"/>
      <c r="R110" s="89"/>
      <c r="S110" s="231"/>
    </row>
    <row r="111" spans="1:19" s="30" customFormat="1" x14ac:dyDescent="0.3">
      <c r="B111" s="5" t="s">
        <v>721</v>
      </c>
      <c r="C111" s="3"/>
      <c r="D111" s="89"/>
      <c r="E111" s="89"/>
      <c r="F111" s="89"/>
      <c r="G111" s="89"/>
      <c r="H111" s="89"/>
      <c r="I111" s="89"/>
      <c r="J111" s="89"/>
      <c r="K111" s="89"/>
      <c r="L111" s="89"/>
      <c r="M111" s="89"/>
      <c r="N111" s="89"/>
      <c r="O111" s="89"/>
      <c r="P111" s="89"/>
      <c r="Q111" s="89"/>
      <c r="R111" s="89"/>
      <c r="S111" s="231"/>
    </row>
    <row r="112" spans="1:19" s="30" customFormat="1" x14ac:dyDescent="0.3">
      <c r="A112" s="35"/>
      <c r="B112" s="62" t="str">
        <f>'Expenses Summary'!B68</f>
        <v>5200</v>
      </c>
      <c r="C112" s="62" t="str">
        <f>'Expenses Summary'!C68</f>
        <v>Travel and Conferences</v>
      </c>
      <c r="D112" s="93">
        <v>0</v>
      </c>
      <c r="E112" s="93">
        <v>0</v>
      </c>
      <c r="F112" s="93">
        <v>0.3</v>
      </c>
      <c r="G112" s="93">
        <v>0.1</v>
      </c>
      <c r="H112" s="93">
        <v>0.1</v>
      </c>
      <c r="I112" s="93">
        <v>0.1</v>
      </c>
      <c r="J112" s="93">
        <v>0.1</v>
      </c>
      <c r="K112" s="93">
        <v>0.1</v>
      </c>
      <c r="L112" s="93">
        <v>0.1</v>
      </c>
      <c r="M112" s="93">
        <v>0.1</v>
      </c>
      <c r="N112" s="93">
        <v>0</v>
      </c>
      <c r="O112" s="93">
        <v>0</v>
      </c>
      <c r="P112" s="93">
        <v>0</v>
      </c>
      <c r="Q112" s="93">
        <v>0</v>
      </c>
      <c r="R112" s="93">
        <v>0</v>
      </c>
      <c r="S112" s="231">
        <f t="shared" ref="S112:S131" si="11">SUM(D112:R112)</f>
        <v>0.99999999999999989</v>
      </c>
    </row>
    <row r="113" spans="1:19" s="30" customFormat="1" x14ac:dyDescent="0.3">
      <c r="A113" s="35"/>
      <c r="B113" s="62" t="str">
        <f>'Expenses Summary'!B69</f>
        <v>5210</v>
      </c>
      <c r="C113" s="62" t="str">
        <f>'Expenses Summary'!C69</f>
        <v>Training and Development Expense</v>
      </c>
      <c r="D113" s="93">
        <v>0</v>
      </c>
      <c r="E113" s="93">
        <v>0</v>
      </c>
      <c r="F113" s="93">
        <v>0.3</v>
      </c>
      <c r="G113" s="93">
        <v>0.1</v>
      </c>
      <c r="H113" s="93">
        <v>0.1</v>
      </c>
      <c r="I113" s="93">
        <v>0.1</v>
      </c>
      <c r="J113" s="93">
        <v>0.1</v>
      </c>
      <c r="K113" s="93">
        <v>0.1</v>
      </c>
      <c r="L113" s="93">
        <v>0.1</v>
      </c>
      <c r="M113" s="93">
        <v>0.1</v>
      </c>
      <c r="N113" s="93">
        <v>0</v>
      </c>
      <c r="O113" s="93">
        <v>0</v>
      </c>
      <c r="P113" s="93">
        <v>0</v>
      </c>
      <c r="Q113" s="93">
        <v>0</v>
      </c>
      <c r="R113" s="93">
        <v>0</v>
      </c>
      <c r="S113" s="231">
        <f t="shared" si="11"/>
        <v>0.99999999999999989</v>
      </c>
    </row>
    <row r="114" spans="1:19" s="30" customFormat="1" x14ac:dyDescent="0.3">
      <c r="A114" s="35"/>
      <c r="B114" s="62" t="str">
        <f>'Expenses Summary'!B70</f>
        <v>5300</v>
      </c>
      <c r="C114" s="62" t="str">
        <f>'Expenses Summary'!C70</f>
        <v>Dues and Memberships</v>
      </c>
      <c r="D114" s="93">
        <v>0</v>
      </c>
      <c r="E114" s="93">
        <v>0</v>
      </c>
      <c r="F114" s="93">
        <v>0.3</v>
      </c>
      <c r="G114" s="93">
        <v>0.1</v>
      </c>
      <c r="H114" s="93">
        <v>0.1</v>
      </c>
      <c r="I114" s="93">
        <v>0.1</v>
      </c>
      <c r="J114" s="93">
        <v>0.1</v>
      </c>
      <c r="K114" s="93">
        <v>0.1</v>
      </c>
      <c r="L114" s="93">
        <v>0.1</v>
      </c>
      <c r="M114" s="93">
        <v>0.1</v>
      </c>
      <c r="N114" s="93">
        <v>0</v>
      </c>
      <c r="O114" s="93">
        <v>0</v>
      </c>
      <c r="P114" s="93">
        <v>0</v>
      </c>
      <c r="Q114" s="93">
        <v>0</v>
      </c>
      <c r="R114" s="93">
        <v>0</v>
      </c>
      <c r="S114" s="231">
        <f t="shared" si="11"/>
        <v>0.99999999999999989</v>
      </c>
    </row>
    <row r="115" spans="1:19" s="30" customFormat="1" x14ac:dyDescent="0.3">
      <c r="A115" s="35"/>
      <c r="B115" s="62" t="str">
        <f>'Expenses Summary'!B71</f>
        <v>5400</v>
      </c>
      <c r="C115" s="62" t="str">
        <f>'Expenses Summary'!C71</f>
        <v>Insurance</v>
      </c>
      <c r="D115" s="93">
        <v>0</v>
      </c>
      <c r="E115" s="93">
        <v>0</v>
      </c>
      <c r="F115" s="93">
        <v>0.3</v>
      </c>
      <c r="G115" s="93">
        <v>0.1</v>
      </c>
      <c r="H115" s="93">
        <v>0.1</v>
      </c>
      <c r="I115" s="93">
        <v>0.1</v>
      </c>
      <c r="J115" s="93">
        <v>0.1</v>
      </c>
      <c r="K115" s="93">
        <v>0.1</v>
      </c>
      <c r="L115" s="93">
        <v>0.1</v>
      </c>
      <c r="M115" s="93">
        <v>0.1</v>
      </c>
      <c r="N115" s="93">
        <v>0</v>
      </c>
      <c r="O115" s="93">
        <v>0</v>
      </c>
      <c r="P115" s="93">
        <v>0</v>
      </c>
      <c r="Q115" s="93">
        <v>0</v>
      </c>
      <c r="R115" s="93">
        <v>0</v>
      </c>
      <c r="S115" s="231">
        <f t="shared" si="11"/>
        <v>0.99999999999999989</v>
      </c>
    </row>
    <row r="116" spans="1:19" s="30" customFormat="1" x14ac:dyDescent="0.3">
      <c r="A116" s="35"/>
      <c r="B116" s="62" t="str">
        <f>'Expenses Summary'!B72</f>
        <v>5450</v>
      </c>
      <c r="C116" s="62" t="str">
        <f>'Expenses Summary'!C72</f>
        <v>Property Tax</v>
      </c>
      <c r="D116" s="93">
        <v>0</v>
      </c>
      <c r="E116" s="93">
        <v>0</v>
      </c>
      <c r="F116" s="93">
        <v>0.6</v>
      </c>
      <c r="G116" s="93">
        <v>0</v>
      </c>
      <c r="H116" s="93">
        <v>0</v>
      </c>
      <c r="I116" s="93">
        <v>0</v>
      </c>
      <c r="J116" s="97">
        <v>0.4</v>
      </c>
      <c r="K116" s="93">
        <v>0</v>
      </c>
      <c r="L116" s="93">
        <v>0</v>
      </c>
      <c r="M116" s="93">
        <v>0</v>
      </c>
      <c r="N116" s="93">
        <v>0</v>
      </c>
      <c r="O116" s="93">
        <v>0</v>
      </c>
      <c r="P116" s="93">
        <v>0</v>
      </c>
      <c r="Q116" s="93">
        <v>0</v>
      </c>
      <c r="R116" s="93">
        <v>0</v>
      </c>
      <c r="S116" s="231">
        <f t="shared" si="11"/>
        <v>1</v>
      </c>
    </row>
    <row r="117" spans="1:19" s="30" customFormat="1" x14ac:dyDescent="0.3">
      <c r="A117" s="35"/>
      <c r="B117" s="62" t="str">
        <f>'Expenses Summary'!B73</f>
        <v>5500</v>
      </c>
      <c r="C117" s="62" t="str">
        <f>'Expenses Summary'!C73</f>
        <v>Operation and Housekeeping Services/Supplies</v>
      </c>
      <c r="D117" s="111">
        <v>8.3000000000000004E-2</v>
      </c>
      <c r="E117" s="111">
        <v>8.3000000000000004E-2</v>
      </c>
      <c r="F117" s="111">
        <v>8.3000000000000004E-2</v>
      </c>
      <c r="G117" s="111">
        <v>8.3000000000000004E-2</v>
      </c>
      <c r="H117" s="111">
        <v>8.3000000000000004E-2</v>
      </c>
      <c r="I117" s="111">
        <v>8.3000000000000004E-2</v>
      </c>
      <c r="J117" s="111">
        <v>8.3000000000000004E-2</v>
      </c>
      <c r="K117" s="111">
        <v>8.3000000000000004E-2</v>
      </c>
      <c r="L117" s="111">
        <v>8.4000000000000005E-2</v>
      </c>
      <c r="M117" s="111">
        <v>8.4000000000000005E-2</v>
      </c>
      <c r="N117" s="111">
        <v>8.4000000000000005E-2</v>
      </c>
      <c r="O117" s="111">
        <v>8.4000000000000005E-2</v>
      </c>
      <c r="P117" s="93">
        <v>0</v>
      </c>
      <c r="Q117" s="93">
        <v>0</v>
      </c>
      <c r="R117" s="93">
        <v>0</v>
      </c>
      <c r="S117" s="231">
        <f t="shared" si="11"/>
        <v>0.99999999999999989</v>
      </c>
    </row>
    <row r="118" spans="1:19" s="30" customFormat="1" x14ac:dyDescent="0.3">
      <c r="A118" s="35"/>
      <c r="B118" s="62" t="str">
        <f>'Expenses Summary'!B74</f>
        <v>5501</v>
      </c>
      <c r="C118" s="62" t="str">
        <f>'Expenses Summary'!C74</f>
        <v>Utilities</v>
      </c>
      <c r="D118" s="111">
        <v>8.3000000000000004E-2</v>
      </c>
      <c r="E118" s="111">
        <v>8.3000000000000004E-2</v>
      </c>
      <c r="F118" s="111">
        <v>8.3000000000000004E-2</v>
      </c>
      <c r="G118" s="111">
        <v>8.3000000000000004E-2</v>
      </c>
      <c r="H118" s="111">
        <v>8.3000000000000004E-2</v>
      </c>
      <c r="I118" s="111">
        <v>8.3000000000000004E-2</v>
      </c>
      <c r="J118" s="111">
        <v>8.3000000000000004E-2</v>
      </c>
      <c r="K118" s="111">
        <v>8.3000000000000004E-2</v>
      </c>
      <c r="L118" s="111">
        <v>8.4000000000000005E-2</v>
      </c>
      <c r="M118" s="111">
        <v>8.4000000000000005E-2</v>
      </c>
      <c r="N118" s="111">
        <v>8.4000000000000005E-2</v>
      </c>
      <c r="O118" s="111">
        <v>8.4000000000000005E-2</v>
      </c>
      <c r="P118" s="93">
        <v>0</v>
      </c>
      <c r="Q118" s="93">
        <v>0</v>
      </c>
      <c r="R118" s="93">
        <v>0</v>
      </c>
      <c r="S118" s="231">
        <f t="shared" si="11"/>
        <v>0.99999999999999989</v>
      </c>
    </row>
    <row r="119" spans="1:19" s="30" customFormat="1" x14ac:dyDescent="0.3">
      <c r="A119" s="35"/>
      <c r="B119" s="62" t="str">
        <f>'Expenses Summary'!B75</f>
        <v>5505</v>
      </c>
      <c r="C119" s="62" t="str">
        <f>'Expenses Summary'!C75</f>
        <v>Student Transportation / Field Trips</v>
      </c>
      <c r="D119" s="106">
        <v>0</v>
      </c>
      <c r="E119" s="106">
        <v>0</v>
      </c>
      <c r="F119" s="111">
        <v>0.1</v>
      </c>
      <c r="G119" s="111">
        <v>0.1</v>
      </c>
      <c r="H119" s="111">
        <v>0.1</v>
      </c>
      <c r="I119" s="111">
        <v>0.1</v>
      </c>
      <c r="J119" s="111">
        <v>0.1</v>
      </c>
      <c r="K119" s="111">
        <v>0.1</v>
      </c>
      <c r="L119" s="111">
        <v>0.1</v>
      </c>
      <c r="M119" s="111">
        <v>0.1</v>
      </c>
      <c r="N119" s="111">
        <v>0.1</v>
      </c>
      <c r="O119" s="111">
        <v>0.1</v>
      </c>
      <c r="P119" s="93">
        <v>0</v>
      </c>
      <c r="Q119" s="93">
        <v>0</v>
      </c>
      <c r="R119" s="93">
        <v>0</v>
      </c>
      <c r="S119" s="231">
        <f t="shared" si="11"/>
        <v>0.99999999999999989</v>
      </c>
    </row>
    <row r="120" spans="1:19" s="30" customFormat="1" x14ac:dyDescent="0.3">
      <c r="A120" s="35"/>
      <c r="B120" s="62" t="str">
        <f>'Expenses Summary'!B76</f>
        <v>5600</v>
      </c>
      <c r="C120" s="62" t="str">
        <f>'Expenses Summary'!C76</f>
        <v>Space Rental/Leases Expense</v>
      </c>
      <c r="D120" s="111">
        <v>8.3000000000000004E-2</v>
      </c>
      <c r="E120" s="111">
        <v>8.3000000000000004E-2</v>
      </c>
      <c r="F120" s="111">
        <v>8.3000000000000004E-2</v>
      </c>
      <c r="G120" s="111">
        <v>8.3000000000000004E-2</v>
      </c>
      <c r="H120" s="111">
        <v>8.3000000000000004E-2</v>
      </c>
      <c r="I120" s="111">
        <v>8.3000000000000004E-2</v>
      </c>
      <c r="J120" s="111">
        <v>8.3000000000000004E-2</v>
      </c>
      <c r="K120" s="111">
        <v>8.3000000000000004E-2</v>
      </c>
      <c r="L120" s="111">
        <v>8.4000000000000005E-2</v>
      </c>
      <c r="M120" s="111">
        <v>8.4000000000000005E-2</v>
      </c>
      <c r="N120" s="111">
        <v>8.4000000000000005E-2</v>
      </c>
      <c r="O120" s="111">
        <v>8.4000000000000005E-2</v>
      </c>
      <c r="P120" s="93">
        <v>0</v>
      </c>
      <c r="Q120" s="93">
        <v>0</v>
      </c>
      <c r="R120" s="93">
        <v>0</v>
      </c>
      <c r="S120" s="231">
        <f t="shared" si="11"/>
        <v>0.99999999999999989</v>
      </c>
    </row>
    <row r="121" spans="1:19" s="30" customFormat="1" x14ac:dyDescent="0.3">
      <c r="A121" s="35"/>
      <c r="B121" s="62" t="str">
        <f>'Expenses Summary'!B77</f>
        <v>5601</v>
      </c>
      <c r="C121" s="62" t="str">
        <f>'Expenses Summary'!C77</f>
        <v>Building Maintenance</v>
      </c>
      <c r="D121" s="111">
        <v>8.3000000000000004E-2</v>
      </c>
      <c r="E121" s="111">
        <v>8.3000000000000004E-2</v>
      </c>
      <c r="F121" s="111">
        <v>8.3000000000000004E-2</v>
      </c>
      <c r="G121" s="111">
        <v>8.3000000000000004E-2</v>
      </c>
      <c r="H121" s="111">
        <v>8.3000000000000004E-2</v>
      </c>
      <c r="I121" s="111">
        <v>8.3000000000000004E-2</v>
      </c>
      <c r="J121" s="111">
        <v>8.3000000000000004E-2</v>
      </c>
      <c r="K121" s="111">
        <v>8.3000000000000004E-2</v>
      </c>
      <c r="L121" s="111">
        <v>8.4000000000000005E-2</v>
      </c>
      <c r="M121" s="111">
        <v>8.4000000000000005E-2</v>
      </c>
      <c r="N121" s="111">
        <v>8.4000000000000005E-2</v>
      </c>
      <c r="O121" s="111">
        <v>8.4000000000000005E-2</v>
      </c>
      <c r="P121" s="93">
        <v>0</v>
      </c>
      <c r="Q121" s="93">
        <v>0</v>
      </c>
      <c r="R121" s="93">
        <v>0</v>
      </c>
      <c r="S121" s="231">
        <f t="shared" si="11"/>
        <v>0.99999999999999989</v>
      </c>
    </row>
    <row r="122" spans="1:19" s="30" customFormat="1" x14ac:dyDescent="0.3">
      <c r="A122" s="35"/>
      <c r="B122" s="62" t="str">
        <f>'Expenses Summary'!B78</f>
        <v>5602</v>
      </c>
      <c r="C122" s="62" t="str">
        <f>'Expenses Summary'!C78</f>
        <v>Other Space Rental</v>
      </c>
      <c r="D122" s="111">
        <v>8.3000000000000004E-2</v>
      </c>
      <c r="E122" s="111">
        <v>8.3000000000000004E-2</v>
      </c>
      <c r="F122" s="111">
        <v>8.3000000000000004E-2</v>
      </c>
      <c r="G122" s="111">
        <v>8.3000000000000004E-2</v>
      </c>
      <c r="H122" s="111">
        <v>8.3000000000000004E-2</v>
      </c>
      <c r="I122" s="111">
        <v>8.3000000000000004E-2</v>
      </c>
      <c r="J122" s="111">
        <v>8.3000000000000004E-2</v>
      </c>
      <c r="K122" s="111">
        <v>8.3000000000000004E-2</v>
      </c>
      <c r="L122" s="111">
        <v>8.4000000000000005E-2</v>
      </c>
      <c r="M122" s="111">
        <v>8.4000000000000005E-2</v>
      </c>
      <c r="N122" s="111">
        <v>8.4000000000000005E-2</v>
      </c>
      <c r="O122" s="111">
        <v>8.4000000000000005E-2</v>
      </c>
      <c r="P122" s="93">
        <v>0</v>
      </c>
      <c r="Q122" s="93">
        <v>0</v>
      </c>
      <c r="R122" s="93">
        <v>0</v>
      </c>
      <c r="S122" s="231">
        <f t="shared" si="11"/>
        <v>0.99999999999999989</v>
      </c>
    </row>
    <row r="123" spans="1:19" s="30" customFormat="1" x14ac:dyDescent="0.3">
      <c r="A123" s="35"/>
      <c r="B123" s="62" t="str">
        <f>'Expenses Summary'!B79</f>
        <v>5605</v>
      </c>
      <c r="C123" s="62" t="str">
        <f>'Expenses Summary'!C79</f>
        <v>Equipment Rental/Lease Expense</v>
      </c>
      <c r="D123" s="111">
        <v>8.3000000000000004E-2</v>
      </c>
      <c r="E123" s="111">
        <v>8.3000000000000004E-2</v>
      </c>
      <c r="F123" s="111">
        <v>8.3000000000000004E-2</v>
      </c>
      <c r="G123" s="111">
        <v>8.3000000000000004E-2</v>
      </c>
      <c r="H123" s="111">
        <v>8.3000000000000004E-2</v>
      </c>
      <c r="I123" s="111">
        <v>8.3000000000000004E-2</v>
      </c>
      <c r="J123" s="111">
        <v>8.3000000000000004E-2</v>
      </c>
      <c r="K123" s="111">
        <v>8.3000000000000004E-2</v>
      </c>
      <c r="L123" s="111">
        <v>8.4000000000000005E-2</v>
      </c>
      <c r="M123" s="111">
        <v>8.4000000000000005E-2</v>
      </c>
      <c r="N123" s="111">
        <v>8.4000000000000005E-2</v>
      </c>
      <c r="O123" s="111">
        <v>8.4000000000000005E-2</v>
      </c>
      <c r="P123" s="93">
        <v>0</v>
      </c>
      <c r="Q123" s="93">
        <v>0</v>
      </c>
      <c r="R123" s="93">
        <v>0</v>
      </c>
      <c r="S123" s="231">
        <f t="shared" si="11"/>
        <v>0.99999999999999989</v>
      </c>
    </row>
    <row r="124" spans="1:19" s="30" customFormat="1" x14ac:dyDescent="0.3">
      <c r="A124" s="35"/>
      <c r="B124" s="62" t="str">
        <f>'Expenses Summary'!B80</f>
        <v>5610</v>
      </c>
      <c r="C124" s="62" t="str">
        <f>'Expenses Summary'!C80</f>
        <v>Equipment Repair</v>
      </c>
      <c r="D124" s="111">
        <v>8.3000000000000004E-2</v>
      </c>
      <c r="E124" s="111">
        <v>8.3000000000000004E-2</v>
      </c>
      <c r="F124" s="111">
        <v>8.3000000000000004E-2</v>
      </c>
      <c r="G124" s="111">
        <v>8.3000000000000004E-2</v>
      </c>
      <c r="H124" s="111">
        <v>8.3000000000000004E-2</v>
      </c>
      <c r="I124" s="111">
        <v>8.3000000000000004E-2</v>
      </c>
      <c r="J124" s="111">
        <v>8.3000000000000004E-2</v>
      </c>
      <c r="K124" s="111">
        <v>8.3000000000000004E-2</v>
      </c>
      <c r="L124" s="111">
        <v>8.4000000000000005E-2</v>
      </c>
      <c r="M124" s="111">
        <v>8.4000000000000005E-2</v>
      </c>
      <c r="N124" s="111">
        <v>8.4000000000000005E-2</v>
      </c>
      <c r="O124" s="111">
        <v>8.4000000000000005E-2</v>
      </c>
      <c r="P124" s="93">
        <v>0</v>
      </c>
      <c r="Q124" s="93">
        <v>0</v>
      </c>
      <c r="R124" s="93">
        <v>0</v>
      </c>
      <c r="S124" s="231">
        <f t="shared" si="11"/>
        <v>0.99999999999999989</v>
      </c>
    </row>
    <row r="125" spans="1:19" s="30" customFormat="1" x14ac:dyDescent="0.3">
      <c r="A125" s="35"/>
      <c r="B125" s="62" t="str">
        <f>'Expenses Summary'!B81</f>
        <v>5800</v>
      </c>
      <c r="C125" s="62" t="str">
        <f>'Expenses Summary'!C81</f>
        <v>Professional/Consulting Services and Operating Expenditures</v>
      </c>
      <c r="D125" s="111">
        <v>8.3000000000000004E-2</v>
      </c>
      <c r="E125" s="111">
        <v>8.3000000000000004E-2</v>
      </c>
      <c r="F125" s="111">
        <v>8.3000000000000004E-2</v>
      </c>
      <c r="G125" s="111">
        <v>8.3000000000000004E-2</v>
      </c>
      <c r="H125" s="111">
        <v>8.3000000000000004E-2</v>
      </c>
      <c r="I125" s="111">
        <v>8.3000000000000004E-2</v>
      </c>
      <c r="J125" s="111">
        <v>8.3000000000000004E-2</v>
      </c>
      <c r="K125" s="111">
        <v>8.3000000000000004E-2</v>
      </c>
      <c r="L125" s="111">
        <v>8.4000000000000005E-2</v>
      </c>
      <c r="M125" s="111">
        <v>8.4000000000000005E-2</v>
      </c>
      <c r="N125" s="111">
        <v>8.4000000000000005E-2</v>
      </c>
      <c r="O125" s="111">
        <v>8.4000000000000005E-2</v>
      </c>
      <c r="P125" s="93">
        <v>0</v>
      </c>
      <c r="Q125" s="93">
        <v>0</v>
      </c>
      <c r="R125" s="93">
        <v>0</v>
      </c>
      <c r="S125" s="231">
        <f t="shared" si="11"/>
        <v>0.99999999999999989</v>
      </c>
    </row>
    <row r="126" spans="1:19" s="30" customFormat="1" x14ac:dyDescent="0.3">
      <c r="A126" s="35"/>
      <c r="B126" s="62" t="str">
        <f>'Expenses Summary'!B82</f>
        <v>5803</v>
      </c>
      <c r="C126" s="62" t="str">
        <f>'Expenses Summary'!C82</f>
        <v>Banking and Payroll Service Fees</v>
      </c>
      <c r="D126" s="111">
        <v>8.3000000000000004E-2</v>
      </c>
      <c r="E126" s="111">
        <v>8.3000000000000004E-2</v>
      </c>
      <c r="F126" s="111">
        <v>8.3000000000000004E-2</v>
      </c>
      <c r="G126" s="111">
        <v>8.3000000000000004E-2</v>
      </c>
      <c r="H126" s="111">
        <v>8.3000000000000004E-2</v>
      </c>
      <c r="I126" s="111">
        <v>8.3000000000000004E-2</v>
      </c>
      <c r="J126" s="111">
        <v>8.3000000000000004E-2</v>
      </c>
      <c r="K126" s="111">
        <v>8.3000000000000004E-2</v>
      </c>
      <c r="L126" s="111">
        <v>8.4000000000000005E-2</v>
      </c>
      <c r="M126" s="111">
        <v>8.4000000000000005E-2</v>
      </c>
      <c r="N126" s="111">
        <v>8.4000000000000005E-2</v>
      </c>
      <c r="O126" s="111">
        <v>8.4000000000000005E-2</v>
      </c>
      <c r="P126" s="93">
        <v>0</v>
      </c>
      <c r="Q126" s="93">
        <v>0</v>
      </c>
      <c r="R126" s="93">
        <v>0</v>
      </c>
      <c r="S126" s="231">
        <f t="shared" si="11"/>
        <v>0.99999999999999989</v>
      </c>
    </row>
    <row r="127" spans="1:19" s="30" customFormat="1" x14ac:dyDescent="0.3">
      <c r="A127" s="35"/>
      <c r="B127" s="62" t="str">
        <f>'Expenses Summary'!B83</f>
        <v>5805</v>
      </c>
      <c r="C127" s="62" t="str">
        <f>'Expenses Summary'!C83</f>
        <v xml:space="preserve">Legal Services </v>
      </c>
      <c r="D127" s="111">
        <v>8.3000000000000004E-2</v>
      </c>
      <c r="E127" s="111">
        <v>8.3000000000000004E-2</v>
      </c>
      <c r="F127" s="111">
        <v>8.3000000000000004E-2</v>
      </c>
      <c r="G127" s="111">
        <v>8.3000000000000004E-2</v>
      </c>
      <c r="H127" s="111">
        <v>8.3000000000000004E-2</v>
      </c>
      <c r="I127" s="111">
        <v>8.3000000000000004E-2</v>
      </c>
      <c r="J127" s="111">
        <v>8.3000000000000004E-2</v>
      </c>
      <c r="K127" s="111">
        <v>8.3000000000000004E-2</v>
      </c>
      <c r="L127" s="111">
        <v>8.4000000000000005E-2</v>
      </c>
      <c r="M127" s="111">
        <v>8.4000000000000005E-2</v>
      </c>
      <c r="N127" s="111">
        <v>8.4000000000000005E-2</v>
      </c>
      <c r="O127" s="111">
        <v>8.4000000000000005E-2</v>
      </c>
      <c r="P127" s="93">
        <v>0</v>
      </c>
      <c r="Q127" s="93">
        <v>0</v>
      </c>
      <c r="R127" s="93">
        <v>0</v>
      </c>
      <c r="S127" s="231">
        <f t="shared" si="11"/>
        <v>0.99999999999999989</v>
      </c>
    </row>
    <row r="128" spans="1:19" s="30" customFormat="1" x14ac:dyDescent="0.3">
      <c r="A128" s="35"/>
      <c r="B128" s="62" t="str">
        <f>'Expenses Summary'!B84</f>
        <v>5806</v>
      </c>
      <c r="C128" s="62" t="str">
        <f>'Expenses Summary'!C84</f>
        <v>Audit Services</v>
      </c>
      <c r="D128" s="93">
        <v>0</v>
      </c>
      <c r="E128" s="93">
        <v>0</v>
      </c>
      <c r="F128" s="93">
        <v>0</v>
      </c>
      <c r="G128" s="93">
        <v>0</v>
      </c>
      <c r="H128" s="93">
        <v>0.5</v>
      </c>
      <c r="I128" s="93">
        <v>0</v>
      </c>
      <c r="J128" s="93">
        <v>0</v>
      </c>
      <c r="K128" s="93">
        <v>0</v>
      </c>
      <c r="L128" s="93">
        <v>0</v>
      </c>
      <c r="M128" s="93">
        <v>0</v>
      </c>
      <c r="N128" s="93">
        <v>0.5</v>
      </c>
      <c r="O128" s="93">
        <v>0</v>
      </c>
      <c r="P128" s="93">
        <v>0</v>
      </c>
      <c r="Q128" s="93">
        <v>0</v>
      </c>
      <c r="R128" s="93">
        <v>0</v>
      </c>
      <c r="S128" s="231">
        <f t="shared" si="11"/>
        <v>1</v>
      </c>
    </row>
    <row r="129" spans="1:19" s="30" customFormat="1" x14ac:dyDescent="0.3">
      <c r="A129" s="35"/>
      <c r="B129" s="62" t="str">
        <f>'Expenses Summary'!B85</f>
        <v>5810</v>
      </c>
      <c r="C129" s="62" t="str">
        <f>'Expenses Summary'!C85</f>
        <v>Educational Consultants</v>
      </c>
      <c r="D129" s="111">
        <v>8.3000000000000004E-2</v>
      </c>
      <c r="E129" s="111">
        <v>8.3000000000000004E-2</v>
      </c>
      <c r="F129" s="111">
        <v>8.3000000000000004E-2</v>
      </c>
      <c r="G129" s="111">
        <v>8.3000000000000004E-2</v>
      </c>
      <c r="H129" s="111">
        <v>8.3000000000000004E-2</v>
      </c>
      <c r="I129" s="111">
        <v>8.3000000000000004E-2</v>
      </c>
      <c r="J129" s="111">
        <v>8.3000000000000004E-2</v>
      </c>
      <c r="K129" s="111">
        <v>8.3000000000000004E-2</v>
      </c>
      <c r="L129" s="111">
        <v>8.4000000000000005E-2</v>
      </c>
      <c r="M129" s="111">
        <v>8.4000000000000005E-2</v>
      </c>
      <c r="N129" s="111">
        <v>8.4000000000000005E-2</v>
      </c>
      <c r="O129" s="111">
        <v>8.4000000000000005E-2</v>
      </c>
      <c r="P129" s="93">
        <v>0</v>
      </c>
      <c r="Q129" s="93">
        <v>0</v>
      </c>
      <c r="R129" s="93">
        <v>0</v>
      </c>
      <c r="S129" s="231">
        <f t="shared" si="11"/>
        <v>0.99999999999999989</v>
      </c>
    </row>
    <row r="130" spans="1:19" s="30" customFormat="1" x14ac:dyDescent="0.3">
      <c r="A130" s="35"/>
      <c r="B130" s="62" t="str">
        <f>'Expenses Summary'!B86</f>
        <v>5811</v>
      </c>
      <c r="C130" s="62" t="str">
        <f>'Expenses Summary'!C86</f>
        <v>Student Transportation / Events</v>
      </c>
      <c r="D130" s="93">
        <v>0</v>
      </c>
      <c r="E130" s="93">
        <v>0</v>
      </c>
      <c r="F130" s="107">
        <v>0.1</v>
      </c>
      <c r="G130" s="107">
        <v>0.1</v>
      </c>
      <c r="H130" s="107">
        <v>0.1</v>
      </c>
      <c r="I130" s="107">
        <v>0.1</v>
      </c>
      <c r="J130" s="107">
        <v>0.1</v>
      </c>
      <c r="K130" s="107">
        <v>0.1</v>
      </c>
      <c r="L130" s="107">
        <v>0.1</v>
      </c>
      <c r="M130" s="107">
        <v>0.1</v>
      </c>
      <c r="N130" s="107">
        <v>0.1</v>
      </c>
      <c r="O130" s="107">
        <v>0.1</v>
      </c>
      <c r="P130" s="93">
        <v>0</v>
      </c>
      <c r="Q130" s="93">
        <v>0</v>
      </c>
      <c r="R130" s="93">
        <v>0</v>
      </c>
      <c r="S130" s="231">
        <f t="shared" si="11"/>
        <v>0.99999999999999989</v>
      </c>
    </row>
    <row r="131" spans="1:19" s="30" customFormat="1" x14ac:dyDescent="0.3">
      <c r="A131" s="35"/>
      <c r="B131" s="62" t="str">
        <f>'Expenses Summary'!B88</f>
        <v>5815</v>
      </c>
      <c r="C131" s="62" t="str">
        <f>'Expenses Summary'!C88</f>
        <v>Advertising / Recruiting</v>
      </c>
      <c r="D131" s="111">
        <v>8.33285E-2</v>
      </c>
      <c r="E131" s="111">
        <v>8.33285E-2</v>
      </c>
      <c r="F131" s="111">
        <v>8.33285E-2</v>
      </c>
      <c r="G131" s="111">
        <v>8.33285E-2</v>
      </c>
      <c r="H131" s="111">
        <v>8.33285E-2</v>
      </c>
      <c r="I131" s="111">
        <v>8.33285E-2</v>
      </c>
      <c r="J131" s="111">
        <v>8.33285E-2</v>
      </c>
      <c r="K131" s="111">
        <v>8.33285E-2</v>
      </c>
      <c r="L131" s="111">
        <v>8.33285E-2</v>
      </c>
      <c r="M131" s="111">
        <v>8.33285E-2</v>
      </c>
      <c r="N131" s="111">
        <v>8.33285E-2</v>
      </c>
      <c r="O131" s="111">
        <v>8.3386000000000002E-2</v>
      </c>
      <c r="P131" s="93">
        <v>0</v>
      </c>
      <c r="Q131" s="93">
        <v>0</v>
      </c>
      <c r="R131" s="93">
        <v>0</v>
      </c>
      <c r="S131" s="231">
        <f t="shared" si="11"/>
        <v>0.99999950000000015</v>
      </c>
    </row>
    <row r="132" spans="1:19" s="30" customFormat="1" x14ac:dyDescent="0.3">
      <c r="A132" s="35"/>
      <c r="B132" s="62" t="str">
        <f>'Expenses Summary'!B89</f>
        <v>5820</v>
      </c>
      <c r="C132" s="62" t="str">
        <f>'Expenses Summary'!C89</f>
        <v>Fundraising Expense</v>
      </c>
      <c r="D132" s="111">
        <v>8.33285E-2</v>
      </c>
      <c r="E132" s="111">
        <v>8.33285E-2</v>
      </c>
      <c r="F132" s="111">
        <v>8.33285E-2</v>
      </c>
      <c r="G132" s="111">
        <v>8.33285E-2</v>
      </c>
      <c r="H132" s="111">
        <v>8.33285E-2</v>
      </c>
      <c r="I132" s="111">
        <v>8.33285E-2</v>
      </c>
      <c r="J132" s="111">
        <v>8.33285E-2</v>
      </c>
      <c r="K132" s="111">
        <v>8.33285E-2</v>
      </c>
      <c r="L132" s="111">
        <v>8.33285E-2</v>
      </c>
      <c r="M132" s="111">
        <v>8.33285E-2</v>
      </c>
      <c r="N132" s="111">
        <v>8.33285E-2</v>
      </c>
      <c r="O132" s="111">
        <v>8.3386000000000002E-2</v>
      </c>
      <c r="P132" s="93">
        <v>0</v>
      </c>
      <c r="Q132" s="93">
        <v>0</v>
      </c>
      <c r="R132" s="93">
        <v>0</v>
      </c>
      <c r="S132" s="231">
        <f t="shared" ref="S132:S142" si="12">SUM(D132:R132)</f>
        <v>0.99999950000000015</v>
      </c>
    </row>
    <row r="133" spans="1:19" s="30" customFormat="1" x14ac:dyDescent="0.3">
      <c r="A133" s="35"/>
      <c r="B133" s="62" t="str">
        <f>'Expenses Summary'!B91</f>
        <v>5836</v>
      </c>
      <c r="C133" s="62" t="str">
        <f>'Expenses Summary'!C91</f>
        <v>Transportation Services</v>
      </c>
      <c r="D133" s="111">
        <v>8.3000000000000004E-2</v>
      </c>
      <c r="E133" s="111">
        <v>8.3000000000000004E-2</v>
      </c>
      <c r="F133" s="111">
        <v>8.3000000000000004E-2</v>
      </c>
      <c r="G133" s="111">
        <v>8.3000000000000004E-2</v>
      </c>
      <c r="H133" s="111">
        <v>8.3000000000000004E-2</v>
      </c>
      <c r="I133" s="111">
        <v>8.3000000000000004E-2</v>
      </c>
      <c r="J133" s="111">
        <v>8.3000000000000004E-2</v>
      </c>
      <c r="K133" s="111">
        <v>8.3000000000000004E-2</v>
      </c>
      <c r="L133" s="111">
        <v>8.4000000000000005E-2</v>
      </c>
      <c r="M133" s="111">
        <v>8.4000000000000005E-2</v>
      </c>
      <c r="N133" s="111">
        <v>8.4000000000000005E-2</v>
      </c>
      <c r="O133" s="111">
        <v>8.4000000000000005E-2</v>
      </c>
      <c r="P133" s="93">
        <v>0</v>
      </c>
      <c r="Q133" s="93">
        <v>0</v>
      </c>
      <c r="R133" s="93">
        <v>0</v>
      </c>
      <c r="S133" s="231">
        <f t="shared" si="12"/>
        <v>0.99999999999999989</v>
      </c>
    </row>
    <row r="134" spans="1:19" s="30" customFormat="1" hidden="1" outlineLevel="1" x14ac:dyDescent="0.3">
      <c r="A134" s="35"/>
      <c r="B134" s="62" t="str">
        <f>'Expenses Summary'!B92</f>
        <v>5842</v>
      </c>
      <c r="C134" s="62" t="str">
        <f>'Expenses Summary'!C92</f>
        <v>Services Student Athletics</v>
      </c>
      <c r="D134" s="93"/>
      <c r="E134" s="93"/>
      <c r="F134" s="107">
        <v>0.1</v>
      </c>
      <c r="G134" s="107">
        <v>0.1</v>
      </c>
      <c r="H134" s="107">
        <v>0.1</v>
      </c>
      <c r="I134" s="107">
        <v>0.1</v>
      </c>
      <c r="J134" s="107">
        <v>0.1</v>
      </c>
      <c r="K134" s="107">
        <v>0.1</v>
      </c>
      <c r="L134" s="107">
        <v>0.1</v>
      </c>
      <c r="M134" s="107">
        <v>0.1</v>
      </c>
      <c r="N134" s="107">
        <v>0.1</v>
      </c>
      <c r="O134" s="107">
        <v>0.1</v>
      </c>
      <c r="P134" s="93">
        <v>0</v>
      </c>
      <c r="Q134" s="93">
        <v>0</v>
      </c>
      <c r="R134" s="93">
        <v>0</v>
      </c>
      <c r="S134" s="231">
        <f t="shared" si="12"/>
        <v>0.99999999999999989</v>
      </c>
    </row>
    <row r="135" spans="1:19" s="30" customFormat="1" hidden="1" outlineLevel="1" x14ac:dyDescent="0.3">
      <c r="A135" s="35"/>
      <c r="B135" s="62" t="str">
        <f>'Expenses Summary'!B93</f>
        <v>5850</v>
      </c>
      <c r="C135" s="62" t="str">
        <f>'Expenses Summary'!C93</f>
        <v>Scholarships</v>
      </c>
      <c r="D135" s="93"/>
      <c r="E135" s="93"/>
      <c r="F135" s="107">
        <v>0.1</v>
      </c>
      <c r="G135" s="107">
        <v>0.1</v>
      </c>
      <c r="H135" s="107">
        <v>0.1</v>
      </c>
      <c r="I135" s="107">
        <v>0.1</v>
      </c>
      <c r="J135" s="107">
        <v>0.1</v>
      </c>
      <c r="K135" s="107">
        <v>0.1</v>
      </c>
      <c r="L135" s="107">
        <v>0.1</v>
      </c>
      <c r="M135" s="107">
        <v>0.1</v>
      </c>
      <c r="N135" s="107">
        <v>0.1</v>
      </c>
      <c r="O135" s="107">
        <v>0.1</v>
      </c>
      <c r="P135" s="93">
        <v>0</v>
      </c>
      <c r="Q135" s="93">
        <v>0</v>
      </c>
      <c r="R135" s="93">
        <v>0</v>
      </c>
      <c r="S135" s="231">
        <f t="shared" si="12"/>
        <v>0.99999999999999989</v>
      </c>
    </row>
    <row r="136" spans="1:19" s="30" customFormat="1" hidden="1" outlineLevel="1" x14ac:dyDescent="0.3">
      <c r="A136" s="35"/>
      <c r="B136" s="62" t="str">
        <f>'Expenses Summary'!B94</f>
        <v>5873</v>
      </c>
      <c r="C136" s="62" t="str">
        <f>'Expenses Summary'!C94</f>
        <v>Financial Services</v>
      </c>
      <c r="D136" s="93"/>
      <c r="E136" s="93"/>
      <c r="F136" s="107">
        <v>0.1</v>
      </c>
      <c r="G136" s="107">
        <v>0.1</v>
      </c>
      <c r="H136" s="107">
        <v>0.1</v>
      </c>
      <c r="I136" s="107">
        <v>0.1</v>
      </c>
      <c r="J136" s="107">
        <v>0.1</v>
      </c>
      <c r="K136" s="107">
        <v>0.1</v>
      </c>
      <c r="L136" s="107">
        <v>0.1</v>
      </c>
      <c r="M136" s="107">
        <v>0.1</v>
      </c>
      <c r="N136" s="107">
        <v>0.1</v>
      </c>
      <c r="O136" s="107">
        <v>0.1</v>
      </c>
      <c r="P136" s="93">
        <v>0</v>
      </c>
      <c r="Q136" s="93">
        <v>0</v>
      </c>
      <c r="R136" s="93">
        <v>0</v>
      </c>
      <c r="S136" s="231">
        <f t="shared" si="12"/>
        <v>0.99999999999999989</v>
      </c>
    </row>
    <row r="137" spans="1:19" s="30" customFormat="1" hidden="1" outlineLevel="1" x14ac:dyDescent="0.3">
      <c r="A137" s="35"/>
      <c r="B137" s="62" t="str">
        <f>'Expenses Summary'!B96</f>
        <v>5875</v>
      </c>
      <c r="C137" s="62" t="str">
        <f>'Expenses Summary'!C96</f>
        <v>District Oversight Fee</v>
      </c>
      <c r="D137" s="93"/>
      <c r="E137" s="93"/>
      <c r="F137" s="107">
        <v>0.1</v>
      </c>
      <c r="G137" s="107">
        <v>0.1</v>
      </c>
      <c r="H137" s="107">
        <v>0.1</v>
      </c>
      <c r="I137" s="107">
        <v>0.1</v>
      </c>
      <c r="J137" s="107">
        <v>0.1</v>
      </c>
      <c r="K137" s="107">
        <v>0.1</v>
      </c>
      <c r="L137" s="107">
        <v>0.1</v>
      </c>
      <c r="M137" s="107">
        <v>0.1</v>
      </c>
      <c r="N137" s="107">
        <v>0.1</v>
      </c>
      <c r="O137" s="107">
        <v>0.1</v>
      </c>
      <c r="P137" s="93">
        <v>0</v>
      </c>
      <c r="Q137" s="93">
        <v>0</v>
      </c>
      <c r="R137" s="93">
        <v>0</v>
      </c>
      <c r="S137" s="231">
        <f t="shared" si="12"/>
        <v>0.99999999999999989</v>
      </c>
    </row>
    <row r="138" spans="1:19" s="30" customFormat="1" hidden="1" outlineLevel="1" x14ac:dyDescent="0.3">
      <c r="A138" s="35"/>
      <c r="B138" s="62" t="str">
        <f>'Expenses Summary'!B97</f>
        <v>5877</v>
      </c>
      <c r="C138" s="62" t="str">
        <f>'Expenses Summary'!C97</f>
        <v>IT Services</v>
      </c>
      <c r="D138" s="93"/>
      <c r="E138" s="93"/>
      <c r="F138" s="107">
        <v>0.1</v>
      </c>
      <c r="G138" s="107">
        <v>0.1</v>
      </c>
      <c r="H138" s="107">
        <v>0.1</v>
      </c>
      <c r="I138" s="107">
        <v>0.1</v>
      </c>
      <c r="J138" s="107">
        <v>0.1</v>
      </c>
      <c r="K138" s="107">
        <v>0.1</v>
      </c>
      <c r="L138" s="107">
        <v>0.1</v>
      </c>
      <c r="M138" s="107">
        <v>0.1</v>
      </c>
      <c r="N138" s="107">
        <v>0.1</v>
      </c>
      <c r="O138" s="107">
        <v>0.1</v>
      </c>
      <c r="P138" s="93">
        <v>0</v>
      </c>
      <c r="Q138" s="93">
        <v>0</v>
      </c>
      <c r="R138" s="93">
        <v>0</v>
      </c>
      <c r="S138" s="231">
        <f t="shared" si="12"/>
        <v>0.99999999999999989</v>
      </c>
    </row>
    <row r="139" spans="1:19" s="30" customFormat="1" hidden="1" outlineLevel="1" x14ac:dyDescent="0.3">
      <c r="A139" s="35"/>
      <c r="B139" s="62" t="str">
        <f>'Expenses Summary'!B98</f>
        <v>5885</v>
      </c>
      <c r="C139" s="62" t="str">
        <f>'Expenses Summary'!C98</f>
        <v>Summer School Program</v>
      </c>
      <c r="D139" s="93"/>
      <c r="E139" s="93"/>
      <c r="F139" s="107">
        <v>0.1</v>
      </c>
      <c r="G139" s="107">
        <v>0.1</v>
      </c>
      <c r="H139" s="107">
        <v>0.1</v>
      </c>
      <c r="I139" s="107">
        <v>0.1</v>
      </c>
      <c r="J139" s="107">
        <v>0.1</v>
      </c>
      <c r="K139" s="107">
        <v>0.1</v>
      </c>
      <c r="L139" s="107">
        <v>0.1</v>
      </c>
      <c r="M139" s="107">
        <v>0.1</v>
      </c>
      <c r="N139" s="107">
        <v>0.1</v>
      </c>
      <c r="O139" s="107">
        <v>0.1</v>
      </c>
      <c r="P139" s="93">
        <v>0</v>
      </c>
      <c r="Q139" s="93">
        <v>0</v>
      </c>
      <c r="R139" s="93">
        <v>0</v>
      </c>
      <c r="S139" s="231">
        <f t="shared" si="12"/>
        <v>0.99999999999999989</v>
      </c>
    </row>
    <row r="140" spans="1:19" s="30" customFormat="1" hidden="1" outlineLevel="1" x14ac:dyDescent="0.3">
      <c r="A140" s="35"/>
      <c r="B140" s="62" t="str">
        <f>'Expenses Summary'!B99</f>
        <v>5890</v>
      </c>
      <c r="C140" s="62" t="str">
        <f>'Expenses Summary'!C99</f>
        <v>Interest Expense / Misc. Fees</v>
      </c>
      <c r="D140" s="93"/>
      <c r="E140" s="93"/>
      <c r="F140" s="107">
        <v>0.1</v>
      </c>
      <c r="G140" s="107">
        <v>0.1</v>
      </c>
      <c r="H140" s="107">
        <v>0.1</v>
      </c>
      <c r="I140" s="107">
        <v>0.1</v>
      </c>
      <c r="J140" s="107">
        <v>0.1</v>
      </c>
      <c r="K140" s="107">
        <v>0.1</v>
      </c>
      <c r="L140" s="107">
        <v>0.1</v>
      </c>
      <c r="M140" s="107">
        <v>0.1</v>
      </c>
      <c r="N140" s="107">
        <v>0.1</v>
      </c>
      <c r="O140" s="107">
        <v>0.1</v>
      </c>
      <c r="P140" s="93">
        <v>0</v>
      </c>
      <c r="Q140" s="93">
        <v>0</v>
      </c>
      <c r="R140" s="93">
        <v>0</v>
      </c>
      <c r="S140" s="231">
        <f t="shared" si="12"/>
        <v>0.99999999999999989</v>
      </c>
    </row>
    <row r="141" spans="1:19" s="30" customFormat="1" hidden="1" outlineLevel="1" x14ac:dyDescent="0.3">
      <c r="A141" s="35"/>
      <c r="B141" s="62" t="str">
        <f>'Expenses Summary'!B100</f>
        <v>5900</v>
      </c>
      <c r="C141" s="62" t="str">
        <f>'Expenses Summary'!C100</f>
        <v>Communications</v>
      </c>
      <c r="D141" s="93"/>
      <c r="E141" s="93"/>
      <c r="F141" s="107">
        <v>0.1</v>
      </c>
      <c r="G141" s="107">
        <v>0.1</v>
      </c>
      <c r="H141" s="107">
        <v>0.1</v>
      </c>
      <c r="I141" s="107">
        <v>0.1</v>
      </c>
      <c r="J141" s="107">
        <v>0.1</v>
      </c>
      <c r="K141" s="107">
        <v>0.1</v>
      </c>
      <c r="L141" s="107">
        <v>0.1</v>
      </c>
      <c r="M141" s="107">
        <v>0.1</v>
      </c>
      <c r="N141" s="107">
        <v>0.1</v>
      </c>
      <c r="O141" s="107">
        <v>0.1</v>
      </c>
      <c r="P141" s="93">
        <v>0</v>
      </c>
      <c r="Q141" s="93">
        <v>0</v>
      </c>
      <c r="R141" s="93">
        <v>0</v>
      </c>
      <c r="S141" s="231">
        <f t="shared" si="12"/>
        <v>0.99999999999999989</v>
      </c>
    </row>
    <row r="142" spans="1:19" s="30" customFormat="1" hidden="1" outlineLevel="1" x14ac:dyDescent="0.3">
      <c r="A142" s="35"/>
      <c r="B142" s="62" t="str">
        <f>'Expenses Summary'!B101</f>
        <v>7010</v>
      </c>
      <c r="C142" s="62" t="str">
        <f>'Expenses Summary'!C101</f>
        <v>Special Education Encroachment</v>
      </c>
      <c r="D142" s="93"/>
      <c r="E142" s="93"/>
      <c r="F142" s="107">
        <v>0.1</v>
      </c>
      <c r="G142" s="107">
        <v>0.1</v>
      </c>
      <c r="H142" s="107">
        <v>0.1</v>
      </c>
      <c r="I142" s="107">
        <v>0.1</v>
      </c>
      <c r="J142" s="107">
        <v>0.1</v>
      </c>
      <c r="K142" s="107">
        <v>0.1</v>
      </c>
      <c r="L142" s="107">
        <v>0.1</v>
      </c>
      <c r="M142" s="107">
        <v>0.1</v>
      </c>
      <c r="N142" s="107">
        <v>0.1</v>
      </c>
      <c r="O142" s="107">
        <v>0.1</v>
      </c>
      <c r="P142" s="93">
        <v>0</v>
      </c>
      <c r="Q142" s="93">
        <v>0</v>
      </c>
      <c r="R142" s="93">
        <v>0</v>
      </c>
      <c r="S142" s="231">
        <f t="shared" si="12"/>
        <v>0.99999999999999989</v>
      </c>
    </row>
    <row r="143" spans="1:19" s="30" customFormat="1" hidden="1" outlineLevel="1" x14ac:dyDescent="0.3">
      <c r="A143" s="35"/>
      <c r="B143" s="62" t="e">
        <f>'Expenses Summary'!#REF!</f>
        <v>#REF!</v>
      </c>
      <c r="C143" s="62" t="e">
        <f>'Expenses Summary'!#REF!</f>
        <v>#REF!</v>
      </c>
      <c r="D143" s="93"/>
      <c r="E143" s="93"/>
      <c r="F143" s="107">
        <v>0.1</v>
      </c>
      <c r="G143" s="107">
        <v>0.1</v>
      </c>
      <c r="H143" s="107">
        <v>0.1</v>
      </c>
      <c r="I143" s="107">
        <v>0.1</v>
      </c>
      <c r="J143" s="107">
        <v>0.1</v>
      </c>
      <c r="K143" s="107">
        <v>0.1</v>
      </c>
      <c r="L143" s="107">
        <v>0.1</v>
      </c>
      <c r="M143" s="107">
        <v>0.1</v>
      </c>
      <c r="N143" s="107">
        <v>0.1</v>
      </c>
      <c r="O143" s="107">
        <v>0.1</v>
      </c>
      <c r="P143" s="93">
        <v>0</v>
      </c>
      <c r="Q143" s="93">
        <v>0</v>
      </c>
      <c r="R143" s="93">
        <v>0</v>
      </c>
      <c r="S143" s="231">
        <f>SUM(D143:R143)</f>
        <v>0.99999999999999989</v>
      </c>
    </row>
    <row r="144" spans="1:19" s="30" customFormat="1" collapsed="1" x14ac:dyDescent="0.3">
      <c r="A144" s="35"/>
      <c r="B144" s="62" t="str">
        <f>'Expenses Summary'!B102</f>
        <v>5999</v>
      </c>
      <c r="C144" s="62" t="str">
        <f>'Expenses Summary'!C102</f>
        <v>Expense Suspense</v>
      </c>
      <c r="D144" s="93">
        <v>0.05</v>
      </c>
      <c r="E144" s="93">
        <v>0.05</v>
      </c>
      <c r="F144" s="93">
        <v>0.09</v>
      </c>
      <c r="G144" s="93">
        <v>0.09</v>
      </c>
      <c r="H144" s="93">
        <v>0.09</v>
      </c>
      <c r="I144" s="93">
        <v>0.09</v>
      </c>
      <c r="J144" s="93">
        <v>0.09</v>
      </c>
      <c r="K144" s="93">
        <v>0.09</v>
      </c>
      <c r="L144" s="93">
        <v>0.09</v>
      </c>
      <c r="M144" s="93">
        <v>0.09</v>
      </c>
      <c r="N144" s="93">
        <v>0.09</v>
      </c>
      <c r="O144" s="93">
        <v>0.09</v>
      </c>
      <c r="P144" s="93">
        <v>0</v>
      </c>
      <c r="Q144" s="93">
        <v>0</v>
      </c>
      <c r="R144" s="93">
        <v>0</v>
      </c>
      <c r="S144" s="231">
        <f>SUM(D144:R144)</f>
        <v>0.99999999999999978</v>
      </c>
    </row>
    <row r="145" spans="1:24" s="30" customFormat="1" x14ac:dyDescent="0.3">
      <c r="A145" s="35"/>
      <c r="B145" s="118"/>
      <c r="C145" s="87"/>
      <c r="D145" s="94"/>
      <c r="E145" s="94"/>
      <c r="F145" s="94"/>
      <c r="G145" s="94"/>
      <c r="H145" s="94"/>
      <c r="I145" s="94"/>
      <c r="J145" s="94"/>
      <c r="K145" s="94"/>
      <c r="L145" s="94"/>
      <c r="M145" s="94"/>
      <c r="N145" s="94"/>
      <c r="O145" s="94"/>
      <c r="P145" s="102"/>
      <c r="Q145" s="102"/>
      <c r="R145" s="102"/>
      <c r="S145" s="231"/>
    </row>
    <row r="146" spans="1:24" s="30" customFormat="1" x14ac:dyDescent="0.3">
      <c r="A146" s="35"/>
      <c r="B146" s="4"/>
      <c r="C146" s="3"/>
      <c r="D146" s="89"/>
      <c r="E146" s="89"/>
      <c r="F146" s="89"/>
      <c r="G146" s="89"/>
      <c r="H146" s="89"/>
      <c r="I146" s="89"/>
      <c r="J146" s="89"/>
      <c r="K146" s="89"/>
      <c r="L146" s="89"/>
      <c r="M146" s="89"/>
      <c r="N146" s="89"/>
      <c r="O146" s="89"/>
      <c r="P146" s="89"/>
      <c r="Q146" s="89"/>
      <c r="R146" s="89"/>
      <c r="S146" s="231"/>
    </row>
    <row r="147" spans="1:24" s="30" customFormat="1" x14ac:dyDescent="0.3">
      <c r="B147" s="33" t="s">
        <v>722</v>
      </c>
      <c r="C147" s="3"/>
      <c r="D147" s="89"/>
      <c r="E147" s="89"/>
      <c r="F147" s="89"/>
      <c r="G147" s="89"/>
      <c r="H147" s="89"/>
      <c r="I147" s="89"/>
      <c r="J147" s="89"/>
      <c r="K147" s="89"/>
      <c r="L147" s="89"/>
      <c r="M147" s="89"/>
      <c r="N147" s="89"/>
      <c r="O147" s="89"/>
      <c r="P147" s="89"/>
      <c r="Q147" s="89"/>
      <c r="R147" s="89"/>
      <c r="S147" s="231"/>
    </row>
    <row r="148" spans="1:24" s="30" customFormat="1" x14ac:dyDescent="0.3">
      <c r="A148" s="35"/>
      <c r="B148" s="62" t="str">
        <f>'Expenses Summary'!B106</f>
        <v>6900</v>
      </c>
      <c r="C148" s="62" t="str">
        <f>'Expenses Summary'!C106</f>
        <v xml:space="preserve">Depreciation Expense      </v>
      </c>
      <c r="D148" s="93">
        <v>0</v>
      </c>
      <c r="E148" s="93">
        <v>0</v>
      </c>
      <c r="F148" s="93">
        <v>0</v>
      </c>
      <c r="G148" s="93">
        <v>0</v>
      </c>
      <c r="H148" s="93">
        <v>0</v>
      </c>
      <c r="I148" s="93">
        <v>0</v>
      </c>
      <c r="J148" s="93">
        <v>0</v>
      </c>
      <c r="K148" s="93">
        <v>0</v>
      </c>
      <c r="L148" s="93">
        <v>0</v>
      </c>
      <c r="M148" s="93">
        <v>0</v>
      </c>
      <c r="N148" s="93">
        <v>0</v>
      </c>
      <c r="O148" s="93">
        <v>1</v>
      </c>
      <c r="P148" s="93">
        <v>0</v>
      </c>
      <c r="Q148" s="93">
        <v>0</v>
      </c>
      <c r="R148" s="93">
        <v>0</v>
      </c>
      <c r="S148" s="231">
        <f>SUM(D148:R148)</f>
        <v>1</v>
      </c>
    </row>
    <row r="149" spans="1:24" s="30" customFormat="1" x14ac:dyDescent="0.3">
      <c r="A149" s="35"/>
      <c r="B149" s="118"/>
      <c r="C149" s="87"/>
      <c r="D149" s="94"/>
      <c r="E149" s="94"/>
      <c r="F149" s="94"/>
      <c r="G149" s="94"/>
      <c r="H149" s="94"/>
      <c r="I149" s="102"/>
      <c r="J149" s="102"/>
      <c r="K149" s="102"/>
      <c r="L149" s="102"/>
      <c r="M149" s="102"/>
      <c r="N149" s="102"/>
      <c r="O149" s="102"/>
      <c r="P149" s="102"/>
      <c r="Q149" s="102"/>
      <c r="R149" s="102"/>
      <c r="S149" s="231"/>
    </row>
    <row r="150" spans="1:24" s="30" customFormat="1" x14ac:dyDescent="0.3">
      <c r="A150" s="35"/>
      <c r="B150" s="4"/>
      <c r="C150" s="3"/>
      <c r="D150" s="89"/>
      <c r="E150" s="98"/>
      <c r="F150" s="98"/>
      <c r="G150" s="89"/>
      <c r="H150" s="89"/>
      <c r="I150" s="89"/>
      <c r="J150" s="89"/>
      <c r="K150" s="89"/>
      <c r="L150" s="89"/>
      <c r="M150" s="89"/>
      <c r="N150" s="89"/>
      <c r="O150" s="89"/>
      <c r="P150" s="89"/>
      <c r="Q150" s="89"/>
      <c r="R150" s="89"/>
      <c r="S150" s="231"/>
    </row>
    <row r="151" spans="1:24" s="30" customFormat="1" x14ac:dyDescent="0.3">
      <c r="B151" s="33" t="s">
        <v>723</v>
      </c>
      <c r="C151" s="3"/>
      <c r="D151" s="89"/>
      <c r="E151" s="98"/>
      <c r="F151" s="98"/>
      <c r="G151" s="89"/>
      <c r="H151" s="89"/>
      <c r="I151" s="89"/>
      <c r="J151" s="89"/>
      <c r="K151" s="89"/>
      <c r="L151" s="89"/>
      <c r="M151" s="89"/>
      <c r="N151" s="89"/>
      <c r="O151" s="89"/>
      <c r="P151" s="89"/>
      <c r="Q151" s="89"/>
      <c r="R151" s="89"/>
      <c r="S151" s="231"/>
    </row>
    <row r="152" spans="1:24" s="30" customFormat="1" x14ac:dyDescent="0.3">
      <c r="A152" s="35"/>
      <c r="B152" s="62" t="str">
        <f>'Expenses Summary'!B110</f>
        <v>7000</v>
      </c>
      <c r="C152" s="62" t="str">
        <f>'Expenses Summary'!C110</f>
        <v>Miscellaneous Expense</v>
      </c>
      <c r="D152" s="93">
        <v>0.05</v>
      </c>
      <c r="E152" s="93">
        <v>0.05</v>
      </c>
      <c r="F152" s="93">
        <v>0.09</v>
      </c>
      <c r="G152" s="93">
        <v>0.09</v>
      </c>
      <c r="H152" s="93">
        <v>0.09</v>
      </c>
      <c r="I152" s="93">
        <v>0.09</v>
      </c>
      <c r="J152" s="93">
        <v>0.09</v>
      </c>
      <c r="K152" s="93">
        <v>0.09</v>
      </c>
      <c r="L152" s="93">
        <v>0.09</v>
      </c>
      <c r="M152" s="93">
        <v>0.09</v>
      </c>
      <c r="N152" s="93">
        <v>0.09</v>
      </c>
      <c r="O152" s="93">
        <v>0.09</v>
      </c>
      <c r="P152" s="93">
        <v>0</v>
      </c>
      <c r="Q152" s="93">
        <v>0</v>
      </c>
      <c r="R152" s="93">
        <v>0</v>
      </c>
      <c r="S152" s="231">
        <f>SUM(D152:R152)</f>
        <v>0.99999999999999978</v>
      </c>
    </row>
    <row r="153" spans="1:24" s="30" customFormat="1" x14ac:dyDescent="0.3">
      <c r="A153" s="35"/>
      <c r="B153" s="62" t="e">
        <f>'Expenses Summary'!#REF!</f>
        <v>#REF!</v>
      </c>
      <c r="C153" s="62" t="e">
        <f>'Expenses Summary'!#REF!</f>
        <v>#REF!</v>
      </c>
      <c r="D153" s="93">
        <v>0</v>
      </c>
      <c r="E153" s="93">
        <v>0</v>
      </c>
      <c r="F153" s="93">
        <v>0.1</v>
      </c>
      <c r="G153" s="93">
        <v>0.1</v>
      </c>
      <c r="H153" s="93">
        <v>0.1</v>
      </c>
      <c r="I153" s="93">
        <v>0.1</v>
      </c>
      <c r="J153" s="93">
        <v>0.1</v>
      </c>
      <c r="K153" s="93">
        <v>0.1</v>
      </c>
      <c r="L153" s="93">
        <v>0.1</v>
      </c>
      <c r="M153" s="93">
        <v>0.1</v>
      </c>
      <c r="N153" s="93">
        <v>0.1</v>
      </c>
      <c r="O153" s="93">
        <v>0.1</v>
      </c>
      <c r="P153" s="93">
        <v>0</v>
      </c>
      <c r="Q153" s="93">
        <v>0</v>
      </c>
      <c r="R153" s="93">
        <v>0</v>
      </c>
      <c r="S153" s="231">
        <f>SUM(D153:R153)</f>
        <v>0.99999999999999989</v>
      </c>
    </row>
    <row r="154" spans="1:24" s="30" customFormat="1" x14ac:dyDescent="0.3">
      <c r="A154" s="35"/>
      <c r="B154" s="62" t="str">
        <f>'Expenses Summary'!B111</f>
        <v>7438</v>
      </c>
      <c r="C154" s="62" t="str">
        <f>'Expenses Summary'!C111</f>
        <v xml:space="preserve">Debt </v>
      </c>
      <c r="D154" s="93">
        <v>0</v>
      </c>
      <c r="E154" s="93">
        <v>0</v>
      </c>
      <c r="F154" s="93">
        <v>0</v>
      </c>
      <c r="G154" s="93">
        <v>0</v>
      </c>
      <c r="H154" s="93">
        <v>0</v>
      </c>
      <c r="I154" s="93">
        <v>0</v>
      </c>
      <c r="J154" s="93">
        <v>0</v>
      </c>
      <c r="K154" s="93">
        <v>0</v>
      </c>
      <c r="L154" s="93">
        <v>0</v>
      </c>
      <c r="M154" s="93">
        <v>0</v>
      </c>
      <c r="N154" s="93">
        <v>0</v>
      </c>
      <c r="O154" s="93">
        <v>1</v>
      </c>
      <c r="P154" s="93">
        <v>0</v>
      </c>
      <c r="Q154" s="93">
        <v>0</v>
      </c>
      <c r="R154" s="93">
        <v>0</v>
      </c>
      <c r="S154" s="231">
        <f>SUM(D154:R154)</f>
        <v>1</v>
      </c>
    </row>
    <row r="155" spans="1:24" s="30" customFormat="1" x14ac:dyDescent="0.3">
      <c r="A155" s="35"/>
      <c r="B155" s="62" t="str">
        <f>'Expenses Summary'!B112</f>
        <v>8910</v>
      </c>
      <c r="C155" s="62" t="str">
        <f>'Expenses Summary'!C112</f>
        <v>Transfer in From LLC</v>
      </c>
      <c r="D155" s="93">
        <v>0</v>
      </c>
      <c r="E155" s="93">
        <v>0</v>
      </c>
      <c r="F155" s="93">
        <v>0</v>
      </c>
      <c r="G155" s="93">
        <v>0</v>
      </c>
      <c r="H155" s="93">
        <v>0</v>
      </c>
      <c r="I155" s="93">
        <v>0</v>
      </c>
      <c r="J155" s="93">
        <v>0</v>
      </c>
      <c r="K155" s="93">
        <v>0</v>
      </c>
      <c r="L155" s="93">
        <v>0</v>
      </c>
      <c r="M155" s="93">
        <v>0</v>
      </c>
      <c r="N155" s="93">
        <v>0</v>
      </c>
      <c r="O155" s="93">
        <v>1</v>
      </c>
      <c r="P155" s="93">
        <v>0</v>
      </c>
      <c r="Q155" s="93">
        <v>0</v>
      </c>
      <c r="R155" s="93">
        <v>0</v>
      </c>
      <c r="S155" s="231">
        <f>SUM(D155:R155)</f>
        <v>1</v>
      </c>
    </row>
    <row r="156" spans="1:24" s="30" customFormat="1" x14ac:dyDescent="0.3">
      <c r="A156" s="35"/>
      <c r="B156" s="39"/>
      <c r="C156" s="1"/>
      <c r="D156" s="99"/>
      <c r="E156" s="99"/>
      <c r="F156" s="99"/>
      <c r="G156" s="99"/>
      <c r="H156" s="99"/>
      <c r="I156" s="99"/>
      <c r="J156" s="99"/>
      <c r="K156" s="99"/>
      <c r="L156" s="99"/>
      <c r="M156" s="99"/>
      <c r="N156" s="99"/>
      <c r="O156" s="99"/>
      <c r="P156" s="99"/>
      <c r="Q156" s="99"/>
      <c r="R156" s="99"/>
    </row>
    <row r="157" spans="1:24" s="30" customFormat="1" x14ac:dyDescent="0.3">
      <c r="A157" s="35"/>
      <c r="B157" s="39"/>
      <c r="C157" s="1"/>
      <c r="D157" s="89"/>
      <c r="E157" s="89"/>
      <c r="F157" s="89"/>
      <c r="G157" s="89"/>
      <c r="H157" s="89"/>
      <c r="I157" s="89"/>
      <c r="J157" s="89"/>
      <c r="K157" s="89"/>
      <c r="L157" s="89"/>
      <c r="M157" s="89"/>
      <c r="N157" s="89"/>
      <c r="O157" s="89"/>
      <c r="P157" s="89"/>
      <c r="Q157" s="89"/>
      <c r="R157" s="89"/>
      <c r="T157" s="148" t="s">
        <v>824</v>
      </c>
    </row>
    <row r="158" spans="1:24" s="30" customFormat="1" x14ac:dyDescent="0.3">
      <c r="A158" s="35"/>
      <c r="B158" s="33" t="s">
        <v>818</v>
      </c>
      <c r="C158" s="3"/>
      <c r="D158" s="89"/>
      <c r="E158" s="98"/>
      <c r="F158" s="98"/>
      <c r="G158" s="89"/>
      <c r="H158" s="89"/>
      <c r="I158" s="89"/>
      <c r="J158" s="89"/>
      <c r="K158" s="89"/>
      <c r="L158" s="89"/>
      <c r="M158" s="89"/>
      <c r="N158" s="89"/>
      <c r="O158" s="89"/>
      <c r="P158" s="89"/>
      <c r="Q158" s="89"/>
      <c r="R158" s="89"/>
      <c r="T158" s="30" t="str">
        <f>A3</f>
        <v>2020-21</v>
      </c>
    </row>
    <row r="159" spans="1:24" s="30" customFormat="1" x14ac:dyDescent="0.3">
      <c r="A159" s="35"/>
      <c r="B159" s="62"/>
      <c r="C159" s="129" t="s">
        <v>819</v>
      </c>
      <c r="D159" s="93">
        <v>1</v>
      </c>
      <c r="E159" s="93"/>
      <c r="F159" s="93"/>
      <c r="G159" s="93"/>
      <c r="H159" s="93"/>
      <c r="I159" s="93"/>
      <c r="J159" s="93"/>
      <c r="K159" s="93"/>
      <c r="L159" s="93"/>
      <c r="M159" s="93"/>
      <c r="N159" s="93"/>
      <c r="O159" s="93"/>
      <c r="P159" s="97"/>
      <c r="Q159" s="97"/>
      <c r="R159" s="97"/>
      <c r="S159" s="101">
        <f>SUM(D159:R159)</f>
        <v>1</v>
      </c>
      <c r="T159" s="143"/>
      <c r="U159" s="143"/>
      <c r="V159" s="143"/>
      <c r="W159" s="143"/>
      <c r="X159" s="143"/>
    </row>
    <row r="160" spans="1:24" s="30" customFormat="1" x14ac:dyDescent="0.3">
      <c r="A160" s="35"/>
      <c r="B160" s="62"/>
      <c r="C160" s="129" t="s">
        <v>820</v>
      </c>
      <c r="D160" s="93">
        <v>0.6</v>
      </c>
      <c r="E160" s="93">
        <v>0.25</v>
      </c>
      <c r="F160" s="107">
        <v>0.1</v>
      </c>
      <c r="G160" s="107">
        <v>0.05</v>
      </c>
      <c r="H160" s="107"/>
      <c r="I160" s="107"/>
      <c r="J160" s="107"/>
      <c r="K160" s="107"/>
      <c r="L160" s="107"/>
      <c r="M160" s="107"/>
      <c r="N160" s="107"/>
      <c r="O160" s="107"/>
      <c r="P160" s="97"/>
      <c r="Q160" s="97"/>
      <c r="R160" s="97"/>
      <c r="S160" s="101">
        <f>SUM(D160:R160)</f>
        <v>1</v>
      </c>
      <c r="T160" s="143"/>
      <c r="U160" s="143"/>
      <c r="V160" s="143"/>
      <c r="W160" s="143"/>
      <c r="X160" s="143"/>
    </row>
    <row r="161" spans="1:24" s="30" customFormat="1" x14ac:dyDescent="0.3">
      <c r="A161" s="35"/>
      <c r="B161" s="62"/>
      <c r="C161" s="129" t="s">
        <v>821</v>
      </c>
      <c r="D161" s="93">
        <v>0.5</v>
      </c>
      <c r="E161" s="93">
        <v>0.3</v>
      </c>
      <c r="F161" s="93">
        <v>0.2</v>
      </c>
      <c r="G161" s="93"/>
      <c r="H161" s="93"/>
      <c r="I161" s="97"/>
      <c r="J161" s="97"/>
      <c r="K161" s="97"/>
      <c r="L161" s="97"/>
      <c r="M161" s="97"/>
      <c r="N161" s="97"/>
      <c r="O161" s="97"/>
      <c r="P161" s="97"/>
      <c r="Q161" s="97"/>
      <c r="R161" s="97"/>
      <c r="S161" s="101">
        <f>SUM(D161:R161)</f>
        <v>1</v>
      </c>
      <c r="T161" s="143"/>
      <c r="U161" s="143"/>
      <c r="V161" s="143"/>
      <c r="W161" s="143"/>
      <c r="X161" s="143"/>
    </row>
    <row r="162" spans="1:24" s="39" customFormat="1" x14ac:dyDescent="0.3">
      <c r="A162" s="35"/>
      <c r="B162" s="62"/>
      <c r="C162" s="129" t="s">
        <v>822</v>
      </c>
      <c r="D162" s="93"/>
      <c r="E162" s="93"/>
      <c r="F162" s="144">
        <f>F154</f>
        <v>0</v>
      </c>
      <c r="G162" s="144">
        <f t="shared" ref="G162:O162" si="13">G154</f>
        <v>0</v>
      </c>
      <c r="H162" s="144">
        <f t="shared" si="13"/>
        <v>0</v>
      </c>
      <c r="I162" s="144">
        <f t="shared" si="13"/>
        <v>0</v>
      </c>
      <c r="J162" s="144">
        <f t="shared" si="13"/>
        <v>0</v>
      </c>
      <c r="K162" s="144">
        <f t="shared" si="13"/>
        <v>0</v>
      </c>
      <c r="L162" s="144">
        <f t="shared" si="13"/>
        <v>0</v>
      </c>
      <c r="M162" s="144">
        <f t="shared" si="13"/>
        <v>0</v>
      </c>
      <c r="N162" s="144">
        <f t="shared" si="13"/>
        <v>0</v>
      </c>
      <c r="O162" s="144">
        <f t="shared" si="13"/>
        <v>1</v>
      </c>
      <c r="P162" s="97"/>
      <c r="Q162" s="97"/>
      <c r="R162" s="97"/>
      <c r="S162" s="101">
        <f>SUM(D162:R162)</f>
        <v>1</v>
      </c>
      <c r="T162" s="143">
        <v>0</v>
      </c>
      <c r="U162" s="143"/>
      <c r="V162" s="143"/>
      <c r="W162" s="143"/>
      <c r="X162" s="143"/>
    </row>
    <row r="163" spans="1:24" s="39" customFormat="1" x14ac:dyDescent="0.3">
      <c r="A163" s="35"/>
      <c r="C163" s="1"/>
      <c r="D163" s="89"/>
      <c r="E163" s="89"/>
      <c r="F163" s="89"/>
      <c r="G163" s="89"/>
      <c r="H163" s="89"/>
      <c r="I163" s="89"/>
      <c r="J163" s="89"/>
      <c r="K163" s="89"/>
      <c r="L163" s="89"/>
      <c r="M163" s="89"/>
      <c r="N163" s="89"/>
      <c r="O163" s="89"/>
      <c r="P163" s="89"/>
      <c r="Q163" s="89"/>
      <c r="R163" s="89"/>
    </row>
    <row r="164" spans="1:24" s="39" customFormat="1" x14ac:dyDescent="0.3">
      <c r="A164" s="35"/>
      <c r="C164" s="1"/>
      <c r="D164" s="89"/>
      <c r="E164" s="89"/>
      <c r="F164" s="89"/>
      <c r="G164" s="89"/>
      <c r="H164" s="89"/>
      <c r="I164" s="89"/>
      <c r="J164" s="89"/>
      <c r="K164" s="89"/>
      <c r="L164" s="89"/>
      <c r="M164" s="89"/>
      <c r="N164" s="89"/>
      <c r="O164" s="89"/>
      <c r="P164" s="89"/>
      <c r="Q164" s="89"/>
      <c r="R164" s="89"/>
    </row>
    <row r="165" spans="1:24" s="39" customFormat="1" x14ac:dyDescent="0.3">
      <c r="A165" s="35"/>
      <c r="C165" s="1"/>
      <c r="D165" s="89"/>
      <c r="E165" s="89"/>
      <c r="F165" s="89"/>
      <c r="G165" s="89"/>
      <c r="H165" s="89"/>
      <c r="I165" s="89"/>
      <c r="J165" s="89"/>
      <c r="K165" s="89"/>
      <c r="L165" s="89"/>
      <c r="M165" s="89"/>
      <c r="N165" s="89"/>
      <c r="O165" s="89"/>
      <c r="P165" s="89"/>
      <c r="Q165" s="89"/>
      <c r="R165" s="89"/>
    </row>
    <row r="166" spans="1:24" s="39" customFormat="1" x14ac:dyDescent="0.3">
      <c r="A166" s="35"/>
      <c r="C166" s="1"/>
      <c r="D166" s="89"/>
      <c r="E166" s="89"/>
      <c r="F166" s="89"/>
      <c r="G166" s="89"/>
      <c r="H166" s="89"/>
      <c r="I166" s="89"/>
      <c r="J166" s="89"/>
      <c r="K166" s="89"/>
      <c r="L166" s="89"/>
      <c r="M166" s="89"/>
      <c r="N166" s="89"/>
      <c r="O166" s="89"/>
      <c r="P166" s="89"/>
      <c r="Q166" s="89"/>
      <c r="R166" s="89"/>
    </row>
    <row r="167" spans="1:24" s="39" customFormat="1" x14ac:dyDescent="0.3">
      <c r="A167" s="35"/>
      <c r="C167" s="1"/>
      <c r="D167" s="89"/>
      <c r="E167" s="89"/>
      <c r="F167" s="89"/>
      <c r="G167" s="89"/>
      <c r="H167" s="89"/>
      <c r="I167" s="89"/>
      <c r="J167" s="89"/>
      <c r="K167" s="89"/>
      <c r="L167" s="89"/>
      <c r="M167" s="89"/>
      <c r="N167" s="89"/>
      <c r="O167" s="89"/>
      <c r="P167" s="89"/>
      <c r="Q167" s="89"/>
      <c r="R167" s="89"/>
    </row>
    <row r="168" spans="1:24" s="39" customFormat="1" x14ac:dyDescent="0.3">
      <c r="A168" s="35"/>
      <c r="C168" s="1"/>
      <c r="D168" s="89"/>
      <c r="E168" s="89"/>
      <c r="F168" s="89"/>
      <c r="G168" s="89"/>
      <c r="H168" s="89"/>
      <c r="I168" s="89"/>
      <c r="J168" s="89"/>
      <c r="K168" s="89"/>
      <c r="L168" s="89"/>
      <c r="M168" s="89"/>
      <c r="N168" s="89"/>
      <c r="O168" s="89"/>
      <c r="P168" s="89"/>
      <c r="Q168" s="89"/>
      <c r="R168" s="89"/>
    </row>
    <row r="169" spans="1:24" s="39" customFormat="1" x14ac:dyDescent="0.3">
      <c r="A169" s="35"/>
      <c r="C169" s="1"/>
      <c r="D169" s="89"/>
      <c r="E169" s="89"/>
      <c r="F169" s="89"/>
      <c r="G169" s="89"/>
      <c r="H169" s="89"/>
      <c r="I169" s="89"/>
      <c r="J169" s="89"/>
      <c r="K169" s="89"/>
      <c r="L169" s="89"/>
      <c r="M169" s="89"/>
      <c r="N169" s="89"/>
      <c r="O169" s="89"/>
      <c r="P169" s="89"/>
      <c r="Q169" s="89"/>
      <c r="R169" s="89"/>
    </row>
    <row r="170" spans="1:24" s="39" customFormat="1" x14ac:dyDescent="0.3">
      <c r="A170" s="35"/>
      <c r="C170" s="1"/>
      <c r="D170" s="89"/>
      <c r="E170" s="89"/>
      <c r="F170" s="89"/>
      <c r="G170" s="89"/>
      <c r="H170" s="89"/>
      <c r="I170" s="89"/>
      <c r="J170" s="89"/>
      <c r="K170" s="89"/>
      <c r="L170" s="89"/>
      <c r="M170" s="89"/>
      <c r="N170" s="89"/>
      <c r="O170" s="89"/>
      <c r="P170" s="89"/>
      <c r="Q170" s="89"/>
      <c r="R170" s="89"/>
    </row>
  </sheetData>
  <pageMargins left="0.25" right="0.25" top="0.5" bottom="0.5" header="0.25" footer="0.25"/>
  <pageSetup scale="63" fitToHeight="3" orientation="landscape" r:id="rId1"/>
  <headerFooter alignWithMargins="0">
    <oddHeader>&amp;A</oddHeader>
    <oddFooter>Page &amp;P</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S177"/>
  <sheetViews>
    <sheetView workbookViewId="0">
      <pane xSplit="3" ySplit="6" topLeftCell="D74" activePane="bottomRight" state="frozen"/>
      <selection activeCell="L14" sqref="L14"/>
      <selection pane="topRight" activeCell="L14" sqref="L14"/>
      <selection pane="bottomLeft" activeCell="L14" sqref="L14"/>
      <selection pane="bottomRight" activeCell="Q22" sqref="Q22"/>
    </sheetView>
  </sheetViews>
  <sheetFormatPr defaultRowHeight="15.6" outlineLevelRow="1" x14ac:dyDescent="0.3"/>
  <cols>
    <col min="1" max="1" width="5.6640625" style="34" customWidth="1"/>
    <col min="2" max="2" width="7.6640625" style="39" customWidth="1"/>
    <col min="3" max="3" width="42.5546875" style="1" customWidth="1"/>
    <col min="4" max="15" width="12.44140625" style="89" customWidth="1"/>
    <col min="16" max="17" width="14" style="89" bestFit="1" customWidth="1"/>
    <col min="18" max="18" width="12.44140625" style="89" hidden="1" customWidth="1"/>
    <col min="19" max="19" width="12.109375" style="1" customWidth="1"/>
    <col min="20" max="254" width="9.109375" style="1"/>
    <col min="255" max="255" width="22.88671875" style="1" customWidth="1"/>
    <col min="256" max="510" width="9.109375" style="1"/>
    <col min="511" max="511" width="22.88671875" style="1" customWidth="1"/>
    <col min="512" max="766" width="9.109375" style="1"/>
    <col min="767" max="767" width="22.88671875" style="1" customWidth="1"/>
    <col min="768" max="1022" width="9.109375" style="1"/>
    <col min="1023" max="1023" width="22.88671875" style="1" customWidth="1"/>
    <col min="1024" max="1278" width="9.109375" style="1"/>
    <col min="1279" max="1279" width="22.88671875" style="1" customWidth="1"/>
    <col min="1280" max="1534" width="9.109375" style="1"/>
    <col min="1535" max="1535" width="22.88671875" style="1" customWidth="1"/>
    <col min="1536" max="1790" width="9.109375" style="1"/>
    <col min="1791" max="1791" width="22.88671875" style="1" customWidth="1"/>
    <col min="1792" max="2046" width="9.109375" style="1"/>
    <col min="2047" max="2047" width="22.88671875" style="1" customWidth="1"/>
    <col min="2048" max="2302" width="9.109375" style="1"/>
    <col min="2303" max="2303" width="22.88671875" style="1" customWidth="1"/>
    <col min="2304" max="2558" width="9.109375" style="1"/>
    <col min="2559" max="2559" width="22.88671875" style="1" customWidth="1"/>
    <col min="2560" max="2814" width="9.109375" style="1"/>
    <col min="2815" max="2815" width="22.88671875" style="1" customWidth="1"/>
    <col min="2816" max="3070" width="9.109375" style="1"/>
    <col min="3071" max="3071" width="22.88671875" style="1" customWidth="1"/>
    <col min="3072" max="3326" width="9.109375" style="1"/>
    <col min="3327" max="3327" width="22.88671875" style="1" customWidth="1"/>
    <col min="3328" max="3582" width="9.109375" style="1"/>
    <col min="3583" max="3583" width="22.88671875" style="1" customWidth="1"/>
    <col min="3584" max="3838" width="9.109375" style="1"/>
    <col min="3839" max="3839" width="22.88671875" style="1" customWidth="1"/>
    <col min="3840" max="4094" width="9.109375" style="1"/>
    <col min="4095" max="4095" width="22.88671875" style="1" customWidth="1"/>
    <col min="4096" max="4350" width="9.109375" style="1"/>
    <col min="4351" max="4351" width="22.88671875" style="1" customWidth="1"/>
    <col min="4352" max="4606" width="9.109375" style="1"/>
    <col min="4607" max="4607" width="22.88671875" style="1" customWidth="1"/>
    <col min="4608" max="4862" width="9.109375" style="1"/>
    <col min="4863" max="4863" width="22.88671875" style="1" customWidth="1"/>
    <col min="4864" max="5118" width="9.109375" style="1"/>
    <col min="5119" max="5119" width="22.88671875" style="1" customWidth="1"/>
    <col min="5120" max="5374" width="9.109375" style="1"/>
    <col min="5375" max="5375" width="22.88671875" style="1" customWidth="1"/>
    <col min="5376" max="5630" width="9.109375" style="1"/>
    <col min="5631" max="5631" width="22.88671875" style="1" customWidth="1"/>
    <col min="5632" max="5886" width="9.109375" style="1"/>
    <col min="5887" max="5887" width="22.88671875" style="1" customWidth="1"/>
    <col min="5888" max="6142" width="9.109375" style="1"/>
    <col min="6143" max="6143" width="22.88671875" style="1" customWidth="1"/>
    <col min="6144" max="6398" width="9.109375" style="1"/>
    <col min="6399" max="6399" width="22.88671875" style="1" customWidth="1"/>
    <col min="6400" max="6654" width="9.109375" style="1"/>
    <col min="6655" max="6655" width="22.88671875" style="1" customWidth="1"/>
    <col min="6656" max="6910" width="9.109375" style="1"/>
    <col min="6911" max="6911" width="22.88671875" style="1" customWidth="1"/>
    <col min="6912" max="7166" width="9.109375" style="1"/>
    <col min="7167" max="7167" width="22.88671875" style="1" customWidth="1"/>
    <col min="7168" max="7422" width="9.109375" style="1"/>
    <col min="7423" max="7423" width="22.88671875" style="1" customWidth="1"/>
    <col min="7424" max="7678" width="9.109375" style="1"/>
    <col min="7679" max="7679" width="22.88671875" style="1" customWidth="1"/>
    <col min="7680" max="7934" width="9.109375" style="1"/>
    <col min="7935" max="7935" width="22.88671875" style="1" customWidth="1"/>
    <col min="7936" max="8190" width="9.109375" style="1"/>
    <col min="8191" max="8191" width="22.88671875" style="1" customWidth="1"/>
    <col min="8192" max="8446" width="9.109375" style="1"/>
    <col min="8447" max="8447" width="22.88671875" style="1" customWidth="1"/>
    <col min="8448" max="8702" width="9.109375" style="1"/>
    <col min="8703" max="8703" width="22.88671875" style="1" customWidth="1"/>
    <col min="8704" max="8958" width="9.109375" style="1"/>
    <col min="8959" max="8959" width="22.88671875" style="1" customWidth="1"/>
    <col min="8960" max="9214" width="9.109375" style="1"/>
    <col min="9215" max="9215" width="22.88671875" style="1" customWidth="1"/>
    <col min="9216" max="9470" width="9.109375" style="1"/>
    <col min="9471" max="9471" width="22.88671875" style="1" customWidth="1"/>
    <col min="9472" max="9726" width="9.109375" style="1"/>
    <col min="9727" max="9727" width="22.88671875" style="1" customWidth="1"/>
    <col min="9728" max="9982" width="9.109375" style="1"/>
    <col min="9983" max="9983" width="22.88671875" style="1" customWidth="1"/>
    <col min="9984" max="10238" width="9.109375" style="1"/>
    <col min="10239" max="10239" width="22.88671875" style="1" customWidth="1"/>
    <col min="10240" max="10494" width="9.109375" style="1"/>
    <col min="10495" max="10495" width="22.88671875" style="1" customWidth="1"/>
    <col min="10496" max="10750" width="9.109375" style="1"/>
    <col min="10751" max="10751" width="22.88671875" style="1" customWidth="1"/>
    <col min="10752" max="11006" width="9.109375" style="1"/>
    <col min="11007" max="11007" width="22.88671875" style="1" customWidth="1"/>
    <col min="11008" max="11262" width="9.109375" style="1"/>
    <col min="11263" max="11263" width="22.88671875" style="1" customWidth="1"/>
    <col min="11264" max="11518" width="9.109375" style="1"/>
    <col min="11519" max="11519" width="22.88671875" style="1" customWidth="1"/>
    <col min="11520" max="11774" width="9.109375" style="1"/>
    <col min="11775" max="11775" width="22.88671875" style="1" customWidth="1"/>
    <col min="11776" max="12030" width="9.109375" style="1"/>
    <col min="12031" max="12031" width="22.88671875" style="1" customWidth="1"/>
    <col min="12032" max="12286" width="9.109375" style="1"/>
    <col min="12287" max="12287" width="22.88671875" style="1" customWidth="1"/>
    <col min="12288" max="12542" width="9.109375" style="1"/>
    <col min="12543" max="12543" width="22.88671875" style="1" customWidth="1"/>
    <col min="12544" max="12798" width="9.109375" style="1"/>
    <col min="12799" max="12799" width="22.88671875" style="1" customWidth="1"/>
    <col min="12800" max="13054" width="9.109375" style="1"/>
    <col min="13055" max="13055" width="22.88671875" style="1" customWidth="1"/>
    <col min="13056" max="13310" width="9.109375" style="1"/>
    <col min="13311" max="13311" width="22.88671875" style="1" customWidth="1"/>
    <col min="13312" max="13566" width="9.109375" style="1"/>
    <col min="13567" max="13567" width="22.88671875" style="1" customWidth="1"/>
    <col min="13568" max="13822" width="9.109375" style="1"/>
    <col min="13823" max="13823" width="22.88671875" style="1" customWidth="1"/>
    <col min="13824" max="14078" width="9.109375" style="1"/>
    <col min="14079" max="14079" width="22.88671875" style="1" customWidth="1"/>
    <col min="14080" max="14334" width="9.109375" style="1"/>
    <col min="14335" max="14335" width="22.88671875" style="1" customWidth="1"/>
    <col min="14336" max="14590" width="9.109375" style="1"/>
    <col min="14591" max="14591" width="22.88671875" style="1" customWidth="1"/>
    <col min="14592" max="14846" width="9.109375" style="1"/>
    <col min="14847" max="14847" width="22.88671875" style="1" customWidth="1"/>
    <col min="14848" max="15102" width="9.109375" style="1"/>
    <col min="15103" max="15103" width="22.88671875" style="1" customWidth="1"/>
    <col min="15104" max="15358" width="9.109375" style="1"/>
    <col min="15359" max="15359" width="22.88671875" style="1" customWidth="1"/>
    <col min="15360" max="15614" width="9.109375" style="1"/>
    <col min="15615" max="15615" width="22.88671875" style="1" customWidth="1"/>
    <col min="15616" max="15870" width="9.109375" style="1"/>
    <col min="15871" max="15871" width="22.88671875" style="1" customWidth="1"/>
    <col min="15872" max="16126" width="9.109375" style="1"/>
    <col min="16127" max="16127" width="22.88671875" style="1" customWidth="1"/>
    <col min="16128" max="16384" width="9.109375" style="1"/>
  </cols>
  <sheetData>
    <row r="1" spans="1:19" ht="20.399999999999999" x14ac:dyDescent="0.35">
      <c r="A1" s="21" t="str">
        <f>'Student Info'!$A$1</f>
        <v>Three Rivers - 23-65565-0123737</v>
      </c>
    </row>
    <row r="2" spans="1:19" ht="17.399999999999999" x14ac:dyDescent="0.3">
      <c r="A2" s="20" t="s">
        <v>814</v>
      </c>
    </row>
    <row r="3" spans="1:19" ht="17.399999999999999" x14ac:dyDescent="0.3">
      <c r="A3" s="20" t="str">
        <f>'Student Info'!D6</f>
        <v>2020-21</v>
      </c>
    </row>
    <row r="5" spans="1:19" ht="17.399999999999999" x14ac:dyDescent="0.3">
      <c r="A5" s="28"/>
      <c r="B5" s="40"/>
      <c r="C5" s="28"/>
      <c r="D5" s="90"/>
      <c r="E5" s="90"/>
      <c r="F5" s="90"/>
      <c r="G5" s="90"/>
      <c r="H5" s="90"/>
      <c r="I5" s="90"/>
      <c r="J5" s="90"/>
      <c r="K5" s="90"/>
      <c r="L5" s="90"/>
      <c r="M5" s="90"/>
      <c r="N5" s="90"/>
      <c r="O5" s="90"/>
      <c r="P5" s="90"/>
      <c r="Q5" s="90"/>
      <c r="R5" s="90"/>
    </row>
    <row r="6" spans="1:19"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row>
    <row r="7" spans="1:19" ht="17.399999999999999" x14ac:dyDescent="0.3">
      <c r="A7" s="45" t="s">
        <v>789</v>
      </c>
      <c r="B7" s="81"/>
      <c r="D7" s="30"/>
      <c r="F7" s="91"/>
      <c r="G7" s="91"/>
      <c r="H7" s="91"/>
      <c r="I7" s="30"/>
      <c r="J7" s="30"/>
      <c r="K7" s="91"/>
      <c r="L7" s="91"/>
      <c r="M7" s="91"/>
      <c r="N7" s="91"/>
      <c r="O7" s="91"/>
      <c r="P7" s="91"/>
      <c r="Q7" s="91"/>
      <c r="R7" s="91"/>
    </row>
    <row r="8" spans="1:19" ht="17.399999999999999" hidden="1" x14ac:dyDescent="0.3">
      <c r="A8" s="45"/>
      <c r="B8" s="81"/>
      <c r="C8" s="119" t="s">
        <v>815</v>
      </c>
      <c r="D8" s="104"/>
      <c r="F8" s="91"/>
      <c r="G8" s="91"/>
      <c r="H8" s="91"/>
      <c r="I8" s="30"/>
      <c r="J8" s="30"/>
      <c r="K8" s="91"/>
      <c r="L8" s="91"/>
      <c r="M8" s="91"/>
      <c r="N8" s="91"/>
      <c r="O8" s="91"/>
      <c r="P8" s="91"/>
      <c r="Q8" s="91"/>
      <c r="R8" s="91"/>
    </row>
    <row r="9" spans="1:19" ht="17.399999999999999" hidden="1" x14ac:dyDescent="0.3">
      <c r="A9" s="45"/>
      <c r="B9" s="81"/>
      <c r="C9" s="83"/>
      <c r="D9" s="93"/>
      <c r="E9" s="108"/>
      <c r="F9" s="108"/>
      <c r="G9" s="108"/>
      <c r="H9" s="108"/>
      <c r="I9" s="108"/>
      <c r="J9" s="108"/>
      <c r="K9" s="108"/>
      <c r="L9" s="109"/>
      <c r="M9" s="108"/>
      <c r="N9" s="108"/>
      <c r="O9" s="109"/>
      <c r="P9" s="108"/>
      <c r="Q9" s="106"/>
      <c r="R9" s="106"/>
    </row>
    <row r="10" spans="1:19" ht="17.399999999999999" hidden="1" x14ac:dyDescent="0.3">
      <c r="A10" s="45"/>
      <c r="B10" s="81"/>
      <c r="C10" s="83"/>
      <c r="D10" s="93"/>
      <c r="E10" s="110"/>
      <c r="F10" s="110"/>
      <c r="G10" s="108"/>
      <c r="H10" s="110"/>
      <c r="I10" s="110"/>
      <c r="J10" s="108"/>
      <c r="K10" s="110"/>
      <c r="L10" s="109"/>
      <c r="M10" s="111"/>
      <c r="N10" s="111"/>
      <c r="O10" s="111"/>
      <c r="P10" s="112"/>
      <c r="Q10" s="93"/>
      <c r="R10" s="106"/>
    </row>
    <row r="11" spans="1:19" s="30" customFormat="1" ht="17.399999999999999" x14ac:dyDescent="0.3">
      <c r="B11" s="66" t="s">
        <v>1256</v>
      </c>
      <c r="C11" s="47"/>
      <c r="D11" s="92"/>
      <c r="E11" s="92"/>
      <c r="F11" s="92"/>
      <c r="G11" s="92"/>
      <c r="H11" s="92"/>
      <c r="I11" s="92"/>
      <c r="J11" s="92"/>
      <c r="K11" s="92"/>
      <c r="L11" s="92"/>
      <c r="M11" s="92"/>
      <c r="N11" s="92"/>
      <c r="O11" s="92"/>
      <c r="P11" s="92"/>
      <c r="Q11" s="92"/>
      <c r="R11" s="92"/>
    </row>
    <row r="12" spans="1:19" s="30" customFormat="1" x14ac:dyDescent="0.3">
      <c r="A12" s="48"/>
      <c r="B12" s="61">
        <f>'Revenue Input'!B8</f>
        <v>8011</v>
      </c>
      <c r="C12" s="61" t="str">
        <f>'Revenue Input'!C8</f>
        <v>LCFF for all grades; state aid portion</v>
      </c>
      <c r="D12" s="60">
        <f>IF('Revenue Input'!$D8="","",IF('Cash Flow %s Yr1'!D12="","",'Cash Flow %s Yr1'!D12*'Revenue Input'!$D8))</f>
        <v>20681.7</v>
      </c>
      <c r="E12" s="60">
        <f>IF('Revenue Input'!$D8="","",IF('Cash Flow %s Yr1'!E12="","",'Cash Flow %s Yr1'!E12*'Revenue Input'!$D8))</f>
        <v>20681.7</v>
      </c>
      <c r="F12" s="60">
        <f>IF('Revenue Input'!$D8="","",IF('Cash Flow %s Yr1'!F12="","",'Cash Flow %s Yr1'!F12*'Revenue Input'!$D8))</f>
        <v>37227.06</v>
      </c>
      <c r="G12" s="60">
        <f>IF('Revenue Input'!$D8="","",IF('Cash Flow %s Yr1'!G12="","",'Cash Flow %s Yr1'!G12*'Revenue Input'!$D8))</f>
        <v>37227.06</v>
      </c>
      <c r="H12" s="60">
        <f>IF('Revenue Input'!$D8="","",IF('Cash Flow %s Yr1'!H12="","",'Cash Flow %s Yr1'!H12*'Revenue Input'!$D8))</f>
        <v>37227.06</v>
      </c>
      <c r="I12" s="60">
        <f>IF('Revenue Input'!$D8="","",IF('Cash Flow %s Yr1'!I12="","",'Cash Flow %s Yr1'!I12*'Revenue Input'!$D8))</f>
        <v>37227.06</v>
      </c>
      <c r="J12" s="60">
        <f>IF('Revenue Input'!$D8="","",IF('Cash Flow %s Yr1'!J12="","",'Cash Flow %s Yr1'!J12*'Revenue Input'!$D8))</f>
        <v>37227.06</v>
      </c>
      <c r="K12" s="60">
        <f>IF('Revenue Input'!$D8="","",IF('Cash Flow %s Yr1'!K12="","",'Cash Flow %s Yr1'!K12*'Revenue Input'!$D8))</f>
        <v>37227.06</v>
      </c>
      <c r="L12" s="60">
        <f>IF('Revenue Input'!$D8="","",IF('Cash Flow %s Yr1'!L12="","",'Cash Flow %s Yr1'!L12*'Revenue Input'!$D8))</f>
        <v>37227.06</v>
      </c>
      <c r="M12" s="60">
        <f>IF('Revenue Input'!$D8="","",IF('Cash Flow %s Yr1'!M12="","",'Cash Flow %s Yr1'!M12*'Revenue Input'!$D8))</f>
        <v>37227.06</v>
      </c>
      <c r="N12" s="60">
        <f>IF('Revenue Input'!$D8="","",IF('Cash Flow %s Yr1'!N12="","",'Cash Flow %s Yr1'!N12*'Revenue Input'!$D8))</f>
        <v>37227.06</v>
      </c>
      <c r="O12" s="60">
        <f>IF('Revenue Input'!$D8="","",IF('Cash Flow %s Yr1'!O12="","",'Cash Flow %s Yr1'!O12*'Revenue Input'!$D8))</f>
        <v>37227.06</v>
      </c>
      <c r="P12" s="60">
        <f>IF('Revenue Input'!$D8="","",IF('Cash Flow %s Yr1'!P12="","",'Cash Flow %s Yr1'!P12*'Revenue Input'!$D8))</f>
        <v>0</v>
      </c>
      <c r="Q12" s="60">
        <f>IF('Revenue Input'!$D8="","",IF('Cash Flow %s Yr1'!Q12="","",'Cash Flow %s Yr1'!Q12*'Revenue Input'!$D8))</f>
        <v>0</v>
      </c>
      <c r="R12" s="60">
        <f>IF('Revenue Input'!$D8="","",IF('Cash Flow %s Yr1'!R12="","",'Cash Flow %s Yr1'!R12*'Revenue Input'!$D8))</f>
        <v>0</v>
      </c>
      <c r="S12" s="178">
        <f t="shared" ref="S12:S17" si="0">SUM(D12:R12)</f>
        <v>413634</v>
      </c>
    </row>
    <row r="13" spans="1:19" s="30" customFormat="1" x14ac:dyDescent="0.3">
      <c r="A13" s="48"/>
      <c r="B13" s="61">
        <f>'Revenue Input'!B9</f>
        <v>8012</v>
      </c>
      <c r="C13" s="61" t="str">
        <f>'Revenue Input'!C9</f>
        <v>LCFF for all grades; EPA portion</v>
      </c>
      <c r="D13" s="60">
        <f>IF('Revenue Input'!$D9="","",IF('Cash Flow %s Yr1'!D13="","",'Cash Flow %s Yr1'!D13*'Revenue Input'!$D9))</f>
        <v>0</v>
      </c>
      <c r="E13" s="60">
        <f>IF('Revenue Input'!$D9="","",IF('Cash Flow %s Yr1'!E13="","",'Cash Flow %s Yr1'!E13*'Revenue Input'!$D9))</f>
        <v>0</v>
      </c>
      <c r="F13" s="60">
        <f>IF('Revenue Input'!$D9="","",IF('Cash Flow %s Yr1'!F13="","",'Cash Flow %s Yr1'!F13*'Revenue Input'!$D9))</f>
        <v>34061.75</v>
      </c>
      <c r="G13" s="60">
        <f>IF('Revenue Input'!$D9="","",IF('Cash Flow %s Yr1'!G13="","",'Cash Flow %s Yr1'!G13*'Revenue Input'!$D9))</f>
        <v>0</v>
      </c>
      <c r="H13" s="60">
        <f>IF('Revenue Input'!$D9="","",IF('Cash Flow %s Yr1'!H13="","",'Cash Flow %s Yr1'!H13*'Revenue Input'!$D9))</f>
        <v>0</v>
      </c>
      <c r="I13" s="60">
        <f>IF('Revenue Input'!$D9="","",IF('Cash Flow %s Yr1'!I13="","",'Cash Flow %s Yr1'!I13*'Revenue Input'!$D9))</f>
        <v>34061.75</v>
      </c>
      <c r="J13" s="60">
        <f>IF('Revenue Input'!$D9="","",IF('Cash Flow %s Yr1'!J13="","",'Cash Flow %s Yr1'!J13*'Revenue Input'!$D9))</f>
        <v>0</v>
      </c>
      <c r="K13" s="60">
        <f>IF('Revenue Input'!$D9="","",IF('Cash Flow %s Yr1'!K13="","",'Cash Flow %s Yr1'!K13*'Revenue Input'!$D9))</f>
        <v>0</v>
      </c>
      <c r="L13" s="60">
        <f>IF('Revenue Input'!$D9="","",IF('Cash Flow %s Yr1'!L13="","",'Cash Flow %s Yr1'!L13*'Revenue Input'!$D9))</f>
        <v>34061.75</v>
      </c>
      <c r="M13" s="60">
        <f>IF('Revenue Input'!$D9="","",IF('Cash Flow %s Yr1'!M13="","",'Cash Flow %s Yr1'!M13*'Revenue Input'!$D9))</f>
        <v>0</v>
      </c>
      <c r="N13" s="60">
        <f>IF('Revenue Input'!$D9="","",IF('Cash Flow %s Yr1'!N13="","",'Cash Flow %s Yr1'!N13*'Revenue Input'!$D9))</f>
        <v>0</v>
      </c>
      <c r="O13" s="60">
        <f>IF('Revenue Input'!$D9="","",IF('Cash Flow %s Yr1'!O13="","",'Cash Flow %s Yr1'!O13*'Revenue Input'!$D9))</f>
        <v>34061.75</v>
      </c>
      <c r="P13" s="60">
        <f>IF('Revenue Input'!$D9="","",IF('Cash Flow %s Yr1'!P13="","",'Cash Flow %s Yr1'!P13*'Revenue Input'!$D9))</f>
        <v>0</v>
      </c>
      <c r="Q13" s="60">
        <f>IF('Revenue Input'!$D9="","",IF('Cash Flow %s Yr1'!Q13="","",'Cash Flow %s Yr1'!Q13*'Revenue Input'!$D9))</f>
        <v>0</v>
      </c>
      <c r="R13" s="60">
        <f>IF('Revenue Input'!$D9="","",IF('Cash Flow %s Yr1'!R13="","",'Cash Flow %s Yr1'!R13*'Revenue Input'!$D9))</f>
        <v>0</v>
      </c>
      <c r="S13" s="178">
        <f t="shared" si="0"/>
        <v>136247</v>
      </c>
    </row>
    <row r="14" spans="1:19" s="30" customFormat="1" x14ac:dyDescent="0.3">
      <c r="A14" s="48"/>
      <c r="B14" s="61">
        <f>'Revenue Input'!B10</f>
        <v>8096</v>
      </c>
      <c r="C14" s="61" t="str">
        <f>'Revenue Input'!C10</f>
        <v>In-Lieu of Property Taxes, all grades</v>
      </c>
      <c r="D14" s="60">
        <f>IF('Revenue Input'!$D10="","",IF('Cash Flow %s Yr1'!D14="","",'Cash Flow %s Yr1'!D14*'Revenue Input'!$D10))</f>
        <v>0</v>
      </c>
      <c r="E14" s="60">
        <f>IF('Revenue Input'!$D10="","",IF('Cash Flow %s Yr1'!E14="","",'Cash Flow %s Yr1'!E14*'Revenue Input'!$D10))</f>
        <v>20985.66</v>
      </c>
      <c r="F14" s="60">
        <f>IF('Revenue Input'!$D10="","",IF('Cash Flow %s Yr1'!F14="","",'Cash Flow %s Yr1'!F14*'Revenue Input'!$D10))</f>
        <v>41971.32</v>
      </c>
      <c r="G14" s="60">
        <f>IF('Revenue Input'!$D10="","",IF('Cash Flow %s Yr1'!G14="","",'Cash Flow %s Yr1'!G14*'Revenue Input'!$D10))</f>
        <v>27980.880000000001</v>
      </c>
      <c r="H14" s="60">
        <f>IF('Revenue Input'!$D10="","",IF('Cash Flow %s Yr1'!H14="","",'Cash Flow %s Yr1'!H14*'Revenue Input'!$D10))</f>
        <v>27980.880000000001</v>
      </c>
      <c r="I14" s="60">
        <f>IF('Revenue Input'!$D10="","",IF('Cash Flow %s Yr1'!I14="","",'Cash Flow %s Yr1'!I14*'Revenue Input'!$D10))</f>
        <v>27980.880000000001</v>
      </c>
      <c r="J14" s="60">
        <f>IF('Revenue Input'!$D10="","",IF('Cash Flow %s Yr1'!J14="","",'Cash Flow %s Yr1'!J14*'Revenue Input'!$D10))</f>
        <v>27980.880000000001</v>
      </c>
      <c r="K14" s="60">
        <f>IF('Revenue Input'!$D10="","",IF('Cash Flow %s Yr1'!K14="","",'Cash Flow %s Yr1'!K14*'Revenue Input'!$D10))</f>
        <v>27980.880000000001</v>
      </c>
      <c r="L14" s="60">
        <f>IF('Revenue Input'!$D10="","",IF('Cash Flow %s Yr1'!L14="","",'Cash Flow %s Yr1'!L14*'Revenue Input'!$D10))</f>
        <v>48966.540000000008</v>
      </c>
      <c r="M14" s="60">
        <f>IF('Revenue Input'!$D10="","",IF('Cash Flow %s Yr1'!M14="","",'Cash Flow %s Yr1'!M14*'Revenue Input'!$D10))</f>
        <v>24483.270000000004</v>
      </c>
      <c r="N14" s="60">
        <f>IF('Revenue Input'!$D10="","",IF('Cash Flow %s Yr1'!N14="","",'Cash Flow %s Yr1'!N14*'Revenue Input'!$D10))</f>
        <v>24483.270000000004</v>
      </c>
      <c r="O14" s="60">
        <f>IF('Revenue Input'!$D10="","",IF('Cash Flow %s Yr1'!O14="","",'Cash Flow %s Yr1'!O14*'Revenue Input'!$D10))</f>
        <v>48966.540000000008</v>
      </c>
      <c r="P14" s="60">
        <f>IF('Revenue Input'!$D10="","",IF('Cash Flow %s Yr1'!P14="","",'Cash Flow %s Yr1'!P14*'Revenue Input'!$D10))</f>
        <v>0</v>
      </c>
      <c r="Q14" s="60">
        <f>IF('Revenue Input'!$D10="","",IF('Cash Flow %s Yr1'!Q14="","",'Cash Flow %s Yr1'!Q14*'Revenue Input'!$D10))</f>
        <v>0</v>
      </c>
      <c r="R14" s="60">
        <f>IF('Revenue Input'!$D10="","",IF('Cash Flow %s Yr1'!R14="","",'Cash Flow %s Yr1'!R14*'Revenue Input'!$D10))</f>
        <v>0</v>
      </c>
      <c r="S14" s="178">
        <f t="shared" si="0"/>
        <v>349761</v>
      </c>
    </row>
    <row r="15" spans="1:19" s="30" customFormat="1" x14ac:dyDescent="0.3">
      <c r="A15" s="48"/>
      <c r="B15" s="61">
        <f>'Revenue Input'!B11</f>
        <v>8019</v>
      </c>
      <c r="C15" s="61" t="str">
        <f>'Revenue Input'!C11</f>
        <v>Prior Year Income / Adjustments</v>
      </c>
      <c r="D15" s="60" t="str">
        <f>IF('Revenue Input'!$D11="","",IF('Cash Flow %s Yr1'!D15="","",'Cash Flow %s Yr1'!D15*'Revenue Input'!$D11))</f>
        <v/>
      </c>
      <c r="E15" s="60" t="str">
        <f>IF('Revenue Input'!$D11="","",IF('Cash Flow %s Yr1'!E15="","",'Cash Flow %s Yr1'!E15*'Revenue Input'!$D11))</f>
        <v/>
      </c>
      <c r="F15" s="60" t="str">
        <f>IF('Revenue Input'!$D11="","",IF('Cash Flow %s Yr1'!F15="","",'Cash Flow %s Yr1'!F15*'Revenue Input'!$D11))</f>
        <v/>
      </c>
      <c r="G15" s="60" t="str">
        <f>IF('Revenue Input'!$D11="","",IF('Cash Flow %s Yr1'!G15="","",'Cash Flow %s Yr1'!G15*'Revenue Input'!$D11))</f>
        <v/>
      </c>
      <c r="H15" s="60" t="str">
        <f>IF('Revenue Input'!$D11="","",IF('Cash Flow %s Yr1'!H15="","",'Cash Flow %s Yr1'!H15*'Revenue Input'!$D11))</f>
        <v/>
      </c>
      <c r="I15" s="60" t="str">
        <f>IF('Revenue Input'!$D11="","",IF('Cash Flow %s Yr1'!I15="","",'Cash Flow %s Yr1'!I15*'Revenue Input'!$D11))</f>
        <v/>
      </c>
      <c r="J15" s="60" t="str">
        <f>IF('Revenue Input'!$D11="","",IF('Cash Flow %s Yr1'!J15="","",'Cash Flow %s Yr1'!J15*'Revenue Input'!$D11))</f>
        <v/>
      </c>
      <c r="K15" s="60" t="str">
        <f>IF('Revenue Input'!$D11="","",IF('Cash Flow %s Yr1'!K15="","",'Cash Flow %s Yr1'!K15*'Revenue Input'!$D11))</f>
        <v/>
      </c>
      <c r="L15" s="60" t="str">
        <f>IF('Revenue Input'!$D11="","",IF('Cash Flow %s Yr1'!L15="","",'Cash Flow %s Yr1'!L15*'Revenue Input'!$D11))</f>
        <v/>
      </c>
      <c r="M15" s="60" t="str">
        <f>IF('Revenue Input'!$D11="","",IF('Cash Flow %s Yr1'!M15="","",'Cash Flow %s Yr1'!M15*'Revenue Input'!$D11))</f>
        <v/>
      </c>
      <c r="N15" s="60" t="str">
        <f>IF('Revenue Input'!$D11="","",IF('Cash Flow %s Yr1'!N15="","",'Cash Flow %s Yr1'!N15*'Revenue Input'!$D11))</f>
        <v/>
      </c>
      <c r="O15" s="60" t="str">
        <f>IF('Revenue Input'!$D11="","",IF('Cash Flow %s Yr1'!O15="","",'Cash Flow %s Yr1'!O15*'Revenue Input'!$D11))</f>
        <v/>
      </c>
      <c r="P15" s="60" t="str">
        <f>IF('Revenue Input'!$D11="","",IF('Cash Flow %s Yr1'!P15="","",'Cash Flow %s Yr1'!P15*'Revenue Input'!$D11))</f>
        <v/>
      </c>
      <c r="Q15" s="60" t="str">
        <f>IF('Revenue Input'!$D11="","",IF('Cash Flow %s Yr1'!Q15="","",'Cash Flow %s Yr1'!Q15*'Revenue Input'!$D11))</f>
        <v/>
      </c>
      <c r="R15" s="60" t="str">
        <f>IF('Revenue Input'!$D11="","",IF('Cash Flow %s Yr1'!R15="","",'Cash Flow %s Yr1'!R15*'Revenue Input'!$D11))</f>
        <v/>
      </c>
      <c r="S15" s="178">
        <f t="shared" si="0"/>
        <v>0</v>
      </c>
    </row>
    <row r="16" spans="1:19" s="30" customFormat="1" x14ac:dyDescent="0.3">
      <c r="A16" s="48"/>
      <c r="B16" s="61"/>
      <c r="C16" s="61"/>
      <c r="D16" s="60"/>
      <c r="E16" s="60"/>
      <c r="F16" s="60"/>
      <c r="G16" s="60"/>
      <c r="H16" s="60"/>
      <c r="I16" s="60"/>
      <c r="J16" s="60"/>
      <c r="K16" s="60"/>
      <c r="L16" s="60"/>
      <c r="M16" s="60"/>
      <c r="N16" s="60"/>
      <c r="O16" s="60"/>
      <c r="P16" s="60"/>
      <c r="Q16" s="60"/>
      <c r="R16" s="60"/>
      <c r="S16" s="178">
        <f t="shared" si="0"/>
        <v>0</v>
      </c>
    </row>
    <row r="17" spans="1:19" s="67" customFormat="1" x14ac:dyDescent="0.3">
      <c r="A17" s="48"/>
      <c r="B17" s="68"/>
      <c r="C17" s="68"/>
      <c r="D17" s="79">
        <f>SUM(D12:D16)</f>
        <v>20681.7</v>
      </c>
      <c r="E17" s="79">
        <f t="shared" ref="E17:O17" si="1">SUM(E12:E16)</f>
        <v>41667.360000000001</v>
      </c>
      <c r="F17" s="79">
        <f t="shared" si="1"/>
        <v>113260.13</v>
      </c>
      <c r="G17" s="79">
        <f t="shared" si="1"/>
        <v>65207.94</v>
      </c>
      <c r="H17" s="79">
        <f t="shared" si="1"/>
        <v>65207.94</v>
      </c>
      <c r="I17" s="79">
        <f t="shared" si="1"/>
        <v>99269.69</v>
      </c>
      <c r="J17" s="79">
        <f t="shared" si="1"/>
        <v>65207.94</v>
      </c>
      <c r="K17" s="79">
        <f t="shared" si="1"/>
        <v>65207.94</v>
      </c>
      <c r="L17" s="79">
        <f t="shared" si="1"/>
        <v>120255.35</v>
      </c>
      <c r="M17" s="79">
        <f t="shared" si="1"/>
        <v>61710.33</v>
      </c>
      <c r="N17" s="79">
        <f t="shared" si="1"/>
        <v>61710.33</v>
      </c>
      <c r="O17" s="79">
        <f t="shared" si="1"/>
        <v>120255.35</v>
      </c>
      <c r="P17" s="79"/>
      <c r="Q17" s="79"/>
      <c r="R17" s="79"/>
      <c r="S17" s="178">
        <f t="shared" si="0"/>
        <v>899641.99999999988</v>
      </c>
    </row>
    <row r="18" spans="1:19" s="67" customFormat="1" ht="17.399999999999999" x14ac:dyDescent="0.3">
      <c r="A18" s="48"/>
      <c r="B18" s="66" t="s">
        <v>1242</v>
      </c>
      <c r="C18" s="68"/>
      <c r="D18" s="79"/>
      <c r="E18" s="79"/>
      <c r="F18" s="79"/>
      <c r="G18" s="79"/>
      <c r="H18" s="79"/>
      <c r="I18" s="79"/>
      <c r="J18" s="79"/>
      <c r="K18" s="79"/>
      <c r="L18" s="79"/>
      <c r="M18" s="79"/>
      <c r="N18" s="79"/>
      <c r="O18" s="79"/>
      <c r="P18" s="79"/>
      <c r="Q18" s="79"/>
      <c r="R18" s="79"/>
    </row>
    <row r="19" spans="1:19" s="30" customFormat="1" x14ac:dyDescent="0.3">
      <c r="A19" s="48"/>
      <c r="B19" s="61">
        <f>+'Revenue Input'!B30</f>
        <v>8520</v>
      </c>
      <c r="C19" s="61" t="str">
        <f>+'Revenue Input'!C30</f>
        <v>State Child Nutrition Program</v>
      </c>
      <c r="D19" s="60" t="str">
        <f>IF('Revenue Input'!$D30="","",IF('Cash Flow %s Yr1'!D17="","",'Cash Flow %s Yr1'!D17*'Revenue Input'!$D30))</f>
        <v/>
      </c>
      <c r="E19" s="60" t="str">
        <f>IF('Revenue Input'!$D30="","",IF('Cash Flow %s Yr1'!E17="","",'Cash Flow %s Yr1'!E17*'Revenue Input'!$D30))</f>
        <v/>
      </c>
      <c r="F19" s="60" t="str">
        <f>IF('Revenue Input'!$D30="","",IF('Cash Flow %s Yr1'!F17="","",'Cash Flow %s Yr1'!F17*'Revenue Input'!$D30))</f>
        <v/>
      </c>
      <c r="G19" s="60" t="str">
        <f>IF('Revenue Input'!$D30="","",IF('Cash Flow %s Yr1'!G17="","",'Cash Flow %s Yr1'!G17*'Revenue Input'!$D30))</f>
        <v/>
      </c>
      <c r="H19" s="60" t="str">
        <f>IF('Revenue Input'!$D30="","",IF('Cash Flow %s Yr1'!H17="","",'Cash Flow %s Yr1'!H17*'Revenue Input'!$D30))</f>
        <v/>
      </c>
      <c r="I19" s="60" t="str">
        <f>IF('Revenue Input'!$D30="","",IF('Cash Flow %s Yr1'!I17="","",'Cash Flow %s Yr1'!I17*'Revenue Input'!$D30))</f>
        <v/>
      </c>
      <c r="J19" s="60" t="str">
        <f>IF('Revenue Input'!$D30="","",IF('Cash Flow %s Yr1'!J17="","",'Cash Flow %s Yr1'!J17*'Revenue Input'!$D30))</f>
        <v/>
      </c>
      <c r="K19" s="60" t="str">
        <f>IF('Revenue Input'!$D30="","",IF('Cash Flow %s Yr1'!K17="","",'Cash Flow %s Yr1'!K17*'Revenue Input'!$D30))</f>
        <v/>
      </c>
      <c r="L19" s="60" t="str">
        <f>IF('Revenue Input'!$D30="","",IF('Cash Flow %s Yr1'!L17="","",'Cash Flow %s Yr1'!L17*'Revenue Input'!$D30))</f>
        <v/>
      </c>
      <c r="M19" s="60" t="str">
        <f>IF('Revenue Input'!$D30="","",IF('Cash Flow %s Yr1'!M17="","",'Cash Flow %s Yr1'!M17*'Revenue Input'!$D30))</f>
        <v/>
      </c>
      <c r="N19" s="60" t="str">
        <f>IF('Revenue Input'!$D30="","",IF('Cash Flow %s Yr1'!N17="","",'Cash Flow %s Yr1'!N17*'Revenue Input'!$D30))</f>
        <v/>
      </c>
      <c r="O19" s="60" t="str">
        <f>IF('Revenue Input'!$D30="","",IF('Cash Flow %s Yr1'!O17="","",'Cash Flow %s Yr1'!O17*'Revenue Input'!$D30))</f>
        <v/>
      </c>
      <c r="P19" s="60" t="str">
        <f>IF('Revenue Input'!$D30="","",IF('Cash Flow %s Yr1'!P17="","",'Cash Flow %s Yr1'!P17*'Revenue Input'!$D30))</f>
        <v/>
      </c>
      <c r="Q19" s="60" t="str">
        <f>IF('Revenue Input'!$D30="","",IF('Cash Flow %s Yr1'!Q17="","",'Cash Flow %s Yr1'!Q17*'Revenue Input'!$D30))</f>
        <v/>
      </c>
      <c r="R19" s="60" t="str">
        <f>IF('Revenue Input'!$D30="","",IF('Cash Flow %s Yr1'!R17="","",'Cash Flow %s Yr1'!R17*'Revenue Input'!$D30))</f>
        <v/>
      </c>
      <c r="S19" s="178">
        <f>SUM(D19:P19)</f>
        <v>0</v>
      </c>
    </row>
    <row r="20" spans="1:19" s="30" customFormat="1" x14ac:dyDescent="0.3">
      <c r="A20" s="47"/>
      <c r="B20" s="61">
        <f>+'Revenue Input'!B31</f>
        <v>8550</v>
      </c>
      <c r="C20" s="61" t="str">
        <f>+'Revenue Input'!C31</f>
        <v>Mandate Block Grant</v>
      </c>
      <c r="D20" s="60">
        <f>IF('Revenue Input'!$D31="","",IF('Cash Flow %s Yr1'!D18="","",'Cash Flow %s Yr1'!D18*'Revenue Input'!$D31))</f>
        <v>0</v>
      </c>
      <c r="E20" s="60">
        <f>IF('Revenue Input'!$D31="","",IF('Cash Flow %s Yr1'!E18="","",'Cash Flow %s Yr1'!E18*'Revenue Input'!$D31))</f>
        <v>0</v>
      </c>
      <c r="F20" s="60">
        <f>IF('Revenue Input'!$D31="","",IF('Cash Flow %s Yr1'!F18="","",'Cash Flow %s Yr1'!F18*'Revenue Input'!$D31))</f>
        <v>0</v>
      </c>
      <c r="G20" s="60">
        <f>IF('Revenue Input'!$D31="","",IF('Cash Flow %s Yr1'!G18="","",'Cash Flow %s Yr1'!G18*'Revenue Input'!$D31))</f>
        <v>0</v>
      </c>
      <c r="H20" s="60">
        <f>IF('Revenue Input'!$D31="","",IF('Cash Flow %s Yr1'!H18="","",'Cash Flow %s Yr1'!H18*'Revenue Input'!$D31))</f>
        <v>366.47652999999997</v>
      </c>
      <c r="I20" s="60">
        <f>IF('Revenue Input'!$D31="","",IF('Cash Flow %s Yr1'!I18="","",'Cash Flow %s Yr1'!I18*'Revenue Input'!$D31))</f>
        <v>366.47652999999997</v>
      </c>
      <c r="J20" s="60">
        <f>IF('Revenue Input'!$D31="","",IF('Cash Flow %s Yr1'!J18="","",'Cash Flow %s Yr1'!J18*'Revenue Input'!$D31))</f>
        <v>366.47652999999997</v>
      </c>
      <c r="K20" s="60">
        <f>IF('Revenue Input'!$D31="","",IF('Cash Flow %s Yr1'!K18="","",'Cash Flow %s Yr1'!K18*'Revenue Input'!$D31))</f>
        <v>366.47652999999997</v>
      </c>
      <c r="L20" s="60">
        <f>IF('Revenue Input'!$D31="","",IF('Cash Flow %s Yr1'!L18="","",'Cash Flow %s Yr1'!L18*'Revenue Input'!$D31))</f>
        <v>366.47652999999997</v>
      </c>
      <c r="M20" s="60">
        <f>IF('Revenue Input'!$D31="","",IF('Cash Flow %s Yr1'!M18="","",'Cash Flow %s Yr1'!M18*'Revenue Input'!$D31))</f>
        <v>366.47652999999997</v>
      </c>
      <c r="N20" s="60">
        <f>IF('Revenue Input'!$D31="","",IF('Cash Flow %s Yr1'!N18="","",'Cash Flow %s Yr1'!N18*'Revenue Input'!$D31))</f>
        <v>366.47652999999997</v>
      </c>
      <c r="O20" s="60">
        <f>IF('Revenue Input'!$D31="","",IF('Cash Flow %s Yr1'!O18="","",'Cash Flow %s Yr1'!O18*'Revenue Input'!$D31))</f>
        <v>1099.4295899999997</v>
      </c>
      <c r="P20" s="60">
        <f>IF('Revenue Input'!$D31="","",IF('Cash Flow %s Yr1'!P18="","",'Cash Flow %s Yr1'!P18*'Revenue Input'!$D31))</f>
        <v>0</v>
      </c>
      <c r="Q20" s="60">
        <f>IF('Revenue Input'!$D31="","",IF('Cash Flow %s Yr1'!Q18="","",'Cash Flow %s Yr1'!Q18*'Revenue Input'!$D31))</f>
        <v>0</v>
      </c>
      <c r="R20" s="60">
        <f>IF('Revenue Input'!$D31="","",IF('Cash Flow %s Yr1'!R18="","",'Cash Flow %s Yr1'!R18*'Revenue Input'!$D31))</f>
        <v>0</v>
      </c>
      <c r="S20" s="178">
        <f t="shared" ref="S20:S28" si="2">SUM(D20:P20)</f>
        <v>3664.7652999999996</v>
      </c>
    </row>
    <row r="21" spans="1:19" s="30" customFormat="1" x14ac:dyDescent="0.3">
      <c r="A21" s="48"/>
      <c r="B21" s="61">
        <f>+'Revenue Input'!B32</f>
        <v>8560</v>
      </c>
      <c r="C21" s="61" t="str">
        <f>+'Revenue Input'!C32</f>
        <v>Lottery</v>
      </c>
      <c r="D21" s="60">
        <f>IF('Revenue Input'!$D32="","",IF('Cash Flow %s Yr1'!D19="","",'Cash Flow %s Yr1'!D19*'Revenue Input'!$D32))</f>
        <v>0</v>
      </c>
      <c r="E21" s="60">
        <f>IF('Revenue Input'!$D32="","",IF('Cash Flow %s Yr1'!E19="","",'Cash Flow %s Yr1'!E19*'Revenue Input'!$D32))</f>
        <v>0</v>
      </c>
      <c r="F21" s="60">
        <f>IF('Revenue Input'!$D32="","",IF('Cash Flow %s Yr1'!F19="","",'Cash Flow %s Yr1'!F19*'Revenue Input'!$D32))</f>
        <v>0</v>
      </c>
      <c r="G21" s="60">
        <f>IF('Revenue Input'!$D32="","",IF('Cash Flow %s Yr1'!G19="","",'Cash Flow %s Yr1'!G19*'Revenue Input'!$D32))</f>
        <v>0</v>
      </c>
      <c r="H21" s="60">
        <f>IF('Revenue Input'!$D32="","",IF('Cash Flow %s Yr1'!H19="","",'Cash Flow %s Yr1'!H19*'Revenue Input'!$D32))</f>
        <v>2932.125</v>
      </c>
      <c r="I21" s="60">
        <f>IF('Revenue Input'!$D32="","",IF('Cash Flow %s Yr1'!I19="","",'Cash Flow %s Yr1'!I19*'Revenue Input'!$D32))</f>
        <v>0</v>
      </c>
      <c r="J21" s="60">
        <f>IF('Revenue Input'!$D32="","",IF('Cash Flow %s Yr1'!J19="","",'Cash Flow %s Yr1'!J19*'Revenue Input'!$D32))</f>
        <v>0</v>
      </c>
      <c r="K21" s="60">
        <f>IF('Revenue Input'!$D32="","",IF('Cash Flow %s Yr1'!K19="","",'Cash Flow %s Yr1'!K19*'Revenue Input'!$D32))</f>
        <v>2932.125</v>
      </c>
      <c r="L21" s="60">
        <f>IF('Revenue Input'!$D32="","",IF('Cash Flow %s Yr1'!L19="","",'Cash Flow %s Yr1'!L19*'Revenue Input'!$D32))</f>
        <v>0</v>
      </c>
      <c r="M21" s="60">
        <f>IF('Revenue Input'!$D32="","",IF('Cash Flow %s Yr1'!M19="","",'Cash Flow %s Yr1'!M19*'Revenue Input'!$D32))</f>
        <v>0</v>
      </c>
      <c r="N21" s="60">
        <f>IF('Revenue Input'!$D32="","",IF('Cash Flow %s Yr1'!N19="","",'Cash Flow %s Yr1'!N19*'Revenue Input'!$D32))</f>
        <v>2932.125</v>
      </c>
      <c r="O21" s="60">
        <f>IF('Revenue Input'!$D32="","",IF('Cash Flow %s Yr1'!O19="","",'Cash Flow %s Yr1'!O19*'Revenue Input'!$D32))</f>
        <v>2932.125</v>
      </c>
      <c r="P21" s="60">
        <f>IF('Revenue Input'!$D32="","",IF('Cash Flow %s Yr1'!P19="","",'Cash Flow %s Yr1'!P19*'Revenue Input'!$D32))</f>
        <v>0</v>
      </c>
      <c r="Q21" s="60">
        <f>IF('Revenue Input'!$D32="","",IF('Cash Flow %s Yr1'!Q19="","",'Cash Flow %s Yr1'!Q19*'Revenue Input'!$D32))</f>
        <v>0</v>
      </c>
      <c r="R21" s="60">
        <f>IF('Revenue Input'!$D32="","",IF('Cash Flow %s Yr1'!R19="","",'Cash Flow %s Yr1'!R19*'Revenue Input'!$D32))</f>
        <v>0</v>
      </c>
      <c r="S21" s="178">
        <f t="shared" si="2"/>
        <v>11728.5</v>
      </c>
    </row>
    <row r="22" spans="1:19" s="30" customFormat="1" x14ac:dyDescent="0.3">
      <c r="A22" s="48"/>
      <c r="B22" s="61">
        <f>+'Revenue Input'!B33</f>
        <v>8560</v>
      </c>
      <c r="C22" s="61" t="str">
        <f>+'Revenue Input'!C33</f>
        <v>Restricted Lottery</v>
      </c>
      <c r="D22" s="60">
        <f>IF('Revenue Input'!$D33="","",IF('Cash Flow %s Yr1'!D20="","",'Cash Flow %s Yr1'!D20*'Revenue Input'!$D33))</f>
        <v>0</v>
      </c>
      <c r="E22" s="60">
        <f>IF('Revenue Input'!$D33="","",IF('Cash Flow %s Yr1'!E20="","",'Cash Flow %s Yr1'!E20*'Revenue Input'!$D33))</f>
        <v>0</v>
      </c>
      <c r="F22" s="60">
        <f>IF('Revenue Input'!$D33="","",IF('Cash Flow %s Yr1'!F20="","",'Cash Flow %s Yr1'!F20*'Revenue Input'!$D33))</f>
        <v>0</v>
      </c>
      <c r="G22" s="60">
        <f>IF('Revenue Input'!$D33="","",IF('Cash Flow %s Yr1'!G20="","",'Cash Flow %s Yr1'!G20*'Revenue Input'!$D33))</f>
        <v>0</v>
      </c>
      <c r="H22" s="60">
        <f>IF('Revenue Input'!$D33="","",IF('Cash Flow %s Yr1'!H20="","",'Cash Flow %s Yr1'!H20*'Revenue Input'!$D33))</f>
        <v>2490.3515000000002</v>
      </c>
      <c r="I22" s="60">
        <f>IF('Revenue Input'!$D33="","",IF('Cash Flow %s Yr1'!I20="","",'Cash Flow %s Yr1'!I20*'Revenue Input'!$D33))</f>
        <v>0</v>
      </c>
      <c r="J22" s="60">
        <f>IF('Revenue Input'!$D33="","",IF('Cash Flow %s Yr1'!J20="","",'Cash Flow %s Yr1'!J20*'Revenue Input'!$D33))</f>
        <v>0</v>
      </c>
      <c r="K22" s="60">
        <f>IF('Revenue Input'!$D33="","",IF('Cash Flow %s Yr1'!K20="","",'Cash Flow %s Yr1'!K20*'Revenue Input'!$D33))</f>
        <v>0</v>
      </c>
      <c r="L22" s="60">
        <f>IF('Revenue Input'!$D33="","",IF('Cash Flow %s Yr1'!L20="","",'Cash Flow %s Yr1'!L20*'Revenue Input'!$D33))</f>
        <v>0</v>
      </c>
      <c r="M22" s="60">
        <f>IF('Revenue Input'!$D33="","",IF('Cash Flow %s Yr1'!M20="","",'Cash Flow %s Yr1'!M20*'Revenue Input'!$D33))</f>
        <v>0</v>
      </c>
      <c r="N22" s="60">
        <f>IF('Revenue Input'!$D33="","",IF('Cash Flow %s Yr1'!N20="","",'Cash Flow %s Yr1'!N20*'Revenue Input'!$D33))</f>
        <v>0</v>
      </c>
      <c r="O22" s="60">
        <f>IF('Revenue Input'!$D33="","",IF('Cash Flow %s Yr1'!O20="","",'Cash Flow %s Yr1'!O20*'Revenue Input'!$D33))</f>
        <v>1340.9585</v>
      </c>
      <c r="P22" s="60">
        <f>IF('Revenue Input'!$D33="","",IF('Cash Flow %s Yr1'!P20="","",'Cash Flow %s Yr1'!P20*'Revenue Input'!$D33))</f>
        <v>0</v>
      </c>
      <c r="Q22" s="60">
        <f>IF('Revenue Input'!$D33="","",IF('Cash Flow %s Yr1'!Q20="","",'Cash Flow %s Yr1'!Q20*'Revenue Input'!$D33))</f>
        <v>0</v>
      </c>
      <c r="R22" s="60">
        <f>IF('Revenue Input'!$D33="","",IF('Cash Flow %s Yr1'!R20="","",'Cash Flow %s Yr1'!R20*'Revenue Input'!$D33))</f>
        <v>0</v>
      </c>
      <c r="S22" s="178">
        <f t="shared" si="2"/>
        <v>3831.3100000000004</v>
      </c>
    </row>
    <row r="23" spans="1:19" s="30" customFormat="1" x14ac:dyDescent="0.3">
      <c r="A23" s="48"/>
      <c r="B23" s="61">
        <f>+'Revenue Input'!B34</f>
        <v>8590</v>
      </c>
      <c r="C23" s="61" t="str">
        <f>+'Revenue Input'!C34</f>
        <v xml:space="preserve">Other State Revenues </v>
      </c>
      <c r="D23" s="60">
        <f>IF('Revenue Input'!$D34="","",IF('Cash Flow %s Yr1'!D21="","",'Cash Flow %s Yr1'!D21*'Revenue Input'!$D34))</f>
        <v>0</v>
      </c>
      <c r="E23" s="60">
        <f>IF('Revenue Input'!$D34="","",IF('Cash Flow %s Yr1'!E21="","",'Cash Flow %s Yr1'!E21*'Revenue Input'!$D34))</f>
        <v>0</v>
      </c>
      <c r="F23" s="60">
        <f>IF('Revenue Input'!$D34="","",IF('Cash Flow %s Yr1'!F21="","",'Cash Flow %s Yr1'!F21*'Revenue Input'!$D34))</f>
        <v>3815.5</v>
      </c>
      <c r="G23" s="60">
        <f>IF('Revenue Input'!$D34="","",IF('Cash Flow %s Yr1'!G21="","",'Cash Flow %s Yr1'!G21*'Revenue Input'!$D34))</f>
        <v>0</v>
      </c>
      <c r="H23" s="60">
        <f>IF('Revenue Input'!$D34="","",IF('Cash Flow %s Yr1'!H21="","",'Cash Flow %s Yr1'!H21*'Revenue Input'!$D34))</f>
        <v>0</v>
      </c>
      <c r="I23" s="60">
        <f>IF('Revenue Input'!$D34="","",IF('Cash Flow %s Yr1'!I21="","",'Cash Flow %s Yr1'!I21*'Revenue Input'!$D34))</f>
        <v>0</v>
      </c>
      <c r="J23" s="60">
        <f>IF('Revenue Input'!$D34="","",IF('Cash Flow %s Yr1'!J21="","",'Cash Flow %s Yr1'!J21*'Revenue Input'!$D34))</f>
        <v>3815.5</v>
      </c>
      <c r="K23" s="60">
        <f>IF('Revenue Input'!$D34="","",IF('Cash Flow %s Yr1'!K21="","",'Cash Flow %s Yr1'!K21*'Revenue Input'!$D34))</f>
        <v>0</v>
      </c>
      <c r="L23" s="60">
        <f>IF('Revenue Input'!$D34="","",IF('Cash Flow %s Yr1'!L21="","",'Cash Flow %s Yr1'!L21*'Revenue Input'!$D34))</f>
        <v>0</v>
      </c>
      <c r="M23" s="60">
        <f>IF('Revenue Input'!$D34="","",IF('Cash Flow %s Yr1'!M21="","",'Cash Flow %s Yr1'!M21*'Revenue Input'!$D34))</f>
        <v>0</v>
      </c>
      <c r="N23" s="60">
        <f>IF('Revenue Input'!$D34="","",IF('Cash Flow %s Yr1'!N21="","",'Cash Flow %s Yr1'!N21*'Revenue Input'!$D34))</f>
        <v>0</v>
      </c>
      <c r="O23" s="60">
        <f>IF('Revenue Input'!$D34="","",IF('Cash Flow %s Yr1'!O21="","",'Cash Flow %s Yr1'!O21*'Revenue Input'!$D34))</f>
        <v>0</v>
      </c>
      <c r="P23" s="60">
        <f>IF('Revenue Input'!$D34="","",IF('Cash Flow %s Yr1'!P21="","",'Cash Flow %s Yr1'!P21*'Revenue Input'!$D34))</f>
        <v>0</v>
      </c>
      <c r="Q23" s="60">
        <f>IF('Revenue Input'!$D34="","",IF('Cash Flow %s Yr1'!Q21="","",'Cash Flow %s Yr1'!Q21*'Revenue Input'!$D34))</f>
        <v>0</v>
      </c>
      <c r="R23" s="60">
        <f>IF('Revenue Input'!$D34="","",IF('Cash Flow %s Yr1'!R21="","",'Cash Flow %s Yr1'!R21*'Revenue Input'!$D34))</f>
        <v>0</v>
      </c>
      <c r="S23" s="178">
        <f t="shared" si="2"/>
        <v>7631</v>
      </c>
    </row>
    <row r="24" spans="1:19" s="30" customFormat="1" x14ac:dyDescent="0.3">
      <c r="A24" s="48"/>
      <c r="B24" s="61">
        <f>+'Revenue Input'!B37</f>
        <v>8591</v>
      </c>
      <c r="C24" s="61" t="str">
        <f>+'Revenue Input'!C37</f>
        <v>SB740</v>
      </c>
      <c r="D24" s="60">
        <f>IF('Revenue Input'!$D37="","",IF('Cash Flow %s Yr1'!D22="","",'Cash Flow %s Yr1'!D22*'Revenue Input'!$D37))</f>
        <v>0</v>
      </c>
      <c r="E24" s="60">
        <f>IF('Revenue Input'!$D37="","",IF('Cash Flow %s Yr1'!E22="","",'Cash Flow %s Yr1'!E22*'Revenue Input'!$D37))</f>
        <v>0</v>
      </c>
      <c r="F24" s="60">
        <f>IF('Revenue Input'!$D37="","",IF('Cash Flow %s Yr1'!F22="","",'Cash Flow %s Yr1'!F22*'Revenue Input'!$D37))</f>
        <v>0</v>
      </c>
      <c r="G24" s="60">
        <f>IF('Revenue Input'!$D37="","",IF('Cash Flow %s Yr1'!G22="","",'Cash Flow %s Yr1'!G22*'Revenue Input'!$D37))</f>
        <v>0</v>
      </c>
      <c r="H24" s="60">
        <f>IF('Revenue Input'!$D37="","",IF('Cash Flow %s Yr1'!H22="","",'Cash Flow %s Yr1'!H22*'Revenue Input'!$D37))</f>
        <v>0</v>
      </c>
      <c r="I24" s="60">
        <f>IF('Revenue Input'!$D37="","",IF('Cash Flow %s Yr1'!I22="","",'Cash Flow %s Yr1'!I22*'Revenue Input'!$D37))</f>
        <v>0</v>
      </c>
      <c r="J24" s="60">
        <f>IF('Revenue Input'!$D37="","",IF('Cash Flow %s Yr1'!J22="","",'Cash Flow %s Yr1'!J22*'Revenue Input'!$D37))</f>
        <v>13860</v>
      </c>
      <c r="K24" s="60">
        <f>IF('Revenue Input'!$D37="","",IF('Cash Flow %s Yr1'!K22="","",'Cash Flow %s Yr1'!K22*'Revenue Input'!$D37))</f>
        <v>0</v>
      </c>
      <c r="L24" s="60">
        <f>IF('Revenue Input'!$D37="","",IF('Cash Flow %s Yr1'!L22="","",'Cash Flow %s Yr1'!L22*'Revenue Input'!$D37))</f>
        <v>0</v>
      </c>
      <c r="M24" s="60">
        <f>IF('Revenue Input'!$D37="","",IF('Cash Flow %s Yr1'!M22="","",'Cash Flow %s Yr1'!M22*'Revenue Input'!$D37))</f>
        <v>13860</v>
      </c>
      <c r="N24" s="60">
        <f>IF('Revenue Input'!$D37="","",IF('Cash Flow %s Yr1'!N22="","",'Cash Flow %s Yr1'!N22*'Revenue Input'!$D37))</f>
        <v>0</v>
      </c>
      <c r="O24" s="60">
        <f>IF('Revenue Input'!$D37="","",IF('Cash Flow %s Yr1'!O22="","",'Cash Flow %s Yr1'!O22*'Revenue Input'!$D37))</f>
        <v>6930</v>
      </c>
      <c r="P24" s="60">
        <f>IF('Revenue Input'!$D37="","",IF('Cash Flow %s Yr1'!P22="","",'Cash Flow %s Yr1'!P22*'Revenue Input'!$D37))</f>
        <v>0</v>
      </c>
      <c r="Q24" s="60">
        <f>IF('Revenue Input'!$D37="","",IF('Cash Flow %s Yr1'!Q22="","",'Cash Flow %s Yr1'!Q22*'Revenue Input'!$D37))</f>
        <v>0</v>
      </c>
      <c r="R24" s="60">
        <f>IF('Revenue Input'!$D37="","",IF('Cash Flow %s Yr1'!R22="","",'Cash Flow %s Yr1'!R22*'Revenue Input'!$D37))</f>
        <v>0</v>
      </c>
      <c r="S24" s="178">
        <f t="shared" si="2"/>
        <v>34650</v>
      </c>
    </row>
    <row r="25" spans="1:19" s="30" customFormat="1" ht="17.399999999999999" x14ac:dyDescent="0.3">
      <c r="A25" s="45"/>
      <c r="B25" s="61">
        <f>+'Revenue Input'!B38</f>
        <v>8599</v>
      </c>
      <c r="C25" s="61" t="str">
        <f>+'Revenue Input'!C38</f>
        <v>Prior Year State Income</v>
      </c>
      <c r="D25" s="60">
        <f>IF('Revenue Input'!$D38="","",IF('Cash Flow %s Yr1'!D21="","",'Cash Flow %s Yr1'!D21*'Revenue Input'!$D38))</f>
        <v>0</v>
      </c>
      <c r="E25" s="60">
        <f>IF('Revenue Input'!$D38="","",IF('Cash Flow %s Yr1'!E21="","",'Cash Flow %s Yr1'!E21*'Revenue Input'!$D38))</f>
        <v>0</v>
      </c>
      <c r="F25" s="60">
        <f>IF('Revenue Input'!$D38="","",IF('Cash Flow %s Yr1'!F21="","",'Cash Flow %s Yr1'!F21*'Revenue Input'!$D38))</f>
        <v>0</v>
      </c>
      <c r="G25" s="60">
        <f>IF('Revenue Input'!$D38="","",IF('Cash Flow %s Yr1'!G21="","",'Cash Flow %s Yr1'!G21*'Revenue Input'!$D38))</f>
        <v>0</v>
      </c>
      <c r="H25" s="60">
        <f>IF('Revenue Input'!$D38="","",IF('Cash Flow %s Yr1'!H21="","",'Cash Flow %s Yr1'!H21*'Revenue Input'!$D38))</f>
        <v>0</v>
      </c>
      <c r="I25" s="60">
        <f>IF('Revenue Input'!$D38="","",IF('Cash Flow %s Yr1'!I21="","",'Cash Flow %s Yr1'!I21*'Revenue Input'!$D38))</f>
        <v>0</v>
      </c>
      <c r="J25" s="60">
        <f>IF('Revenue Input'!$D38="","",IF('Cash Flow %s Yr1'!J21="","",'Cash Flow %s Yr1'!J21*'Revenue Input'!$D38))</f>
        <v>0</v>
      </c>
      <c r="K25" s="60">
        <f>IF('Revenue Input'!$D38="","",IF('Cash Flow %s Yr1'!K21="","",'Cash Flow %s Yr1'!K21*'Revenue Input'!$D38))</f>
        <v>0</v>
      </c>
      <c r="L25" s="60">
        <f>IF('Revenue Input'!$D38="","",IF('Cash Flow %s Yr1'!L21="","",'Cash Flow %s Yr1'!L21*'Revenue Input'!$D38))</f>
        <v>0</v>
      </c>
      <c r="M25" s="60">
        <f>IF('Revenue Input'!$D38="","",IF('Cash Flow %s Yr1'!M21="","",'Cash Flow %s Yr1'!M21*'Revenue Input'!$D38))</f>
        <v>0</v>
      </c>
      <c r="N25" s="60">
        <f>IF('Revenue Input'!$D38="","",IF('Cash Flow %s Yr1'!N21="","",'Cash Flow %s Yr1'!N21*'Revenue Input'!$D38))</f>
        <v>0</v>
      </c>
      <c r="O25" s="60">
        <f>IF('Revenue Input'!$D38="","",IF('Cash Flow %s Yr1'!O21="","",'Cash Flow %s Yr1'!O21*'Revenue Input'!$D38))</f>
        <v>0</v>
      </c>
      <c r="P25" s="60">
        <f>IF('Revenue Input'!$D38="","",IF('Cash Flow %s Yr1'!P21="","",'Cash Flow %s Yr1'!P21*'Revenue Input'!$D38))</f>
        <v>0</v>
      </c>
      <c r="Q25" s="60">
        <f>IF('Revenue Input'!$D38="","",IF('Cash Flow %s Yr1'!Q21="","",'Cash Flow %s Yr1'!Q21*'Revenue Input'!$D38))</f>
        <v>0</v>
      </c>
      <c r="R25" s="60">
        <f>IF('Revenue Input'!$D38="","",IF('Cash Flow %s Yr1'!R21="","",'Cash Flow %s Yr1'!R21*'Revenue Input'!$D38))</f>
        <v>0</v>
      </c>
      <c r="S25" s="178">
        <f t="shared" si="2"/>
        <v>0</v>
      </c>
    </row>
    <row r="26" spans="1:19" s="30" customFormat="1" ht="17.399999999999999" x14ac:dyDescent="0.3">
      <c r="A26" s="45"/>
      <c r="B26" s="61">
        <f>+'Revenue Input'!B39</f>
        <v>8792</v>
      </c>
      <c r="C26" s="61" t="str">
        <f>+'Revenue Input'!C39</f>
        <v>Special Education - AB 602</v>
      </c>
      <c r="D26" s="60" t="str">
        <f>IF('Revenue Input'!$D39="","",IF('Cash Flow %s Yr1'!D22="","",'Cash Flow %s Yr1'!D22*'Revenue Input'!$D39))</f>
        <v/>
      </c>
      <c r="E26" s="60" t="str">
        <f>IF('Revenue Input'!$D39="","",IF('Cash Flow %s Yr1'!E22="","",'Cash Flow %s Yr1'!E22*'Revenue Input'!$D39))</f>
        <v/>
      </c>
      <c r="F26" s="60" t="str">
        <f>IF('Revenue Input'!$D39="","",IF('Cash Flow %s Yr1'!F22="","",'Cash Flow %s Yr1'!F22*'Revenue Input'!$D39))</f>
        <v/>
      </c>
      <c r="G26" s="60" t="str">
        <f>IF('Revenue Input'!$D39="","",IF('Cash Flow %s Yr1'!G22="","",'Cash Flow %s Yr1'!G22*'Revenue Input'!$D39))</f>
        <v/>
      </c>
      <c r="H26" s="60" t="str">
        <f>IF('Revenue Input'!$D39="","",IF('Cash Flow %s Yr1'!H22="","",'Cash Flow %s Yr1'!H22*'Revenue Input'!$D39))</f>
        <v/>
      </c>
      <c r="I26" s="60" t="str">
        <f>IF('Revenue Input'!$D39="","",IF('Cash Flow %s Yr1'!I22="","",'Cash Flow %s Yr1'!I22*'Revenue Input'!$D39))</f>
        <v/>
      </c>
      <c r="J26" s="60" t="str">
        <f>IF('Revenue Input'!$D39="","",IF('Cash Flow %s Yr1'!J22="","",'Cash Flow %s Yr1'!J22*'Revenue Input'!$D39))</f>
        <v/>
      </c>
      <c r="K26" s="60" t="str">
        <f>IF('Revenue Input'!$D39="","",IF('Cash Flow %s Yr1'!K22="","",'Cash Flow %s Yr1'!K22*'Revenue Input'!$D39))</f>
        <v/>
      </c>
      <c r="L26" s="60" t="str">
        <f>IF('Revenue Input'!$D39="","",IF('Cash Flow %s Yr1'!L22="","",'Cash Flow %s Yr1'!L22*'Revenue Input'!$D39))</f>
        <v/>
      </c>
      <c r="M26" s="60" t="str">
        <f>IF('Revenue Input'!$D39="","",IF('Cash Flow %s Yr1'!M22="","",'Cash Flow %s Yr1'!M22*'Revenue Input'!$D39))</f>
        <v/>
      </c>
      <c r="N26" s="60" t="str">
        <f>IF('Revenue Input'!$D39="","",IF('Cash Flow %s Yr1'!N22="","",'Cash Flow %s Yr1'!N22*'Revenue Input'!$D39))</f>
        <v/>
      </c>
      <c r="O26" s="60" t="str">
        <f>IF('Revenue Input'!$D39="","",IF('Cash Flow %s Yr1'!O22="","",'Cash Flow %s Yr1'!O22*'Revenue Input'!$D39))</f>
        <v/>
      </c>
      <c r="P26" s="60" t="str">
        <f>IF('Revenue Input'!$D39="","",IF('Cash Flow %s Yr1'!P22="","",'Cash Flow %s Yr1'!P22*'Revenue Input'!$D39))</f>
        <v/>
      </c>
      <c r="Q26" s="60" t="str">
        <f>IF('Revenue Input'!$D39="","",IF('Cash Flow %s Yr1'!Q22="","",'Cash Flow %s Yr1'!Q22*'Revenue Input'!$D39))</f>
        <v/>
      </c>
      <c r="R26" s="60" t="str">
        <f>IF('Revenue Input'!$D39="","",IF('Cash Flow %s Yr1'!R22="","",'Cash Flow %s Yr1'!R22*'Revenue Input'!$D39))</f>
        <v/>
      </c>
      <c r="S26" s="178">
        <f t="shared" si="2"/>
        <v>0</v>
      </c>
    </row>
    <row r="27" spans="1:19" s="30" customFormat="1" ht="17.399999999999999" x14ac:dyDescent="0.3">
      <c r="A27" s="45"/>
      <c r="B27" s="61"/>
      <c r="C27" s="61"/>
      <c r="D27" s="60"/>
      <c r="E27" s="60"/>
      <c r="F27" s="60"/>
      <c r="G27" s="60"/>
      <c r="H27" s="60"/>
      <c r="I27" s="60"/>
      <c r="J27" s="60"/>
      <c r="K27" s="60"/>
      <c r="L27" s="60"/>
      <c r="M27" s="60"/>
      <c r="N27" s="60"/>
      <c r="O27" s="60"/>
      <c r="P27" s="60"/>
      <c r="Q27" s="60"/>
      <c r="R27" s="60"/>
      <c r="S27" s="178">
        <f t="shared" si="2"/>
        <v>0</v>
      </c>
    </row>
    <row r="28" spans="1:19" s="30" customFormat="1" ht="17.399999999999999" x14ac:dyDescent="0.3">
      <c r="A28" s="45"/>
      <c r="B28" s="69"/>
      <c r="C28" s="33" t="s">
        <v>1257</v>
      </c>
      <c r="D28" s="165">
        <f t="shared" ref="D28:R28" si="3">SUM(D12:D27)</f>
        <v>41363.4</v>
      </c>
      <c r="E28" s="165">
        <f t="shared" si="3"/>
        <v>83334.720000000001</v>
      </c>
      <c r="F28" s="165">
        <f t="shared" si="3"/>
        <v>230335.76</v>
      </c>
      <c r="G28" s="165">
        <f>SUM(G12:G27)</f>
        <v>130415.88</v>
      </c>
      <c r="H28" s="165">
        <f>SUM(H12:H27)</f>
        <v>136204.83302999998</v>
      </c>
      <c r="I28" s="165">
        <f>SUM(I12:I27)</f>
        <v>198905.85653000002</v>
      </c>
      <c r="J28" s="165">
        <f>SUM(J12:J27)</f>
        <v>148457.85652999999</v>
      </c>
      <c r="K28" s="165">
        <f t="shared" si="3"/>
        <v>133714.48152999999</v>
      </c>
      <c r="L28" s="165">
        <f t="shared" si="3"/>
        <v>240877.17653000003</v>
      </c>
      <c r="M28" s="165">
        <f t="shared" si="3"/>
        <v>137647.13653000002</v>
      </c>
      <c r="N28" s="165">
        <f t="shared" si="3"/>
        <v>126719.26153</v>
      </c>
      <c r="O28" s="165">
        <f>SUM(O12:O27)</f>
        <v>252813.21309000003</v>
      </c>
      <c r="P28" s="165">
        <f t="shared" si="3"/>
        <v>0</v>
      </c>
      <c r="Q28" s="165">
        <f t="shared" si="3"/>
        <v>0</v>
      </c>
      <c r="R28" s="165">
        <f t="shared" si="3"/>
        <v>0</v>
      </c>
      <c r="S28" s="178">
        <f t="shared" si="2"/>
        <v>1860789.5753000001</v>
      </c>
    </row>
    <row r="29" spans="1:19" s="30" customFormat="1" ht="17.399999999999999" x14ac:dyDescent="0.3">
      <c r="A29" s="45"/>
      <c r="B29" s="68"/>
      <c r="C29" s="48"/>
      <c r="D29" s="120"/>
      <c r="E29" s="120"/>
      <c r="F29" s="120"/>
      <c r="G29" s="120"/>
      <c r="H29" s="120"/>
      <c r="I29" s="120"/>
      <c r="J29" s="120"/>
      <c r="K29" s="120"/>
      <c r="L29" s="120"/>
      <c r="M29" s="120"/>
      <c r="N29" s="120"/>
      <c r="O29" s="120"/>
      <c r="P29" s="120"/>
      <c r="Q29" s="120"/>
      <c r="R29" s="120"/>
    </row>
    <row r="30" spans="1:19" s="30" customFormat="1" ht="17.399999999999999" x14ac:dyDescent="0.3">
      <c r="B30" s="45" t="s">
        <v>781</v>
      </c>
      <c r="C30" s="48"/>
      <c r="D30" s="120"/>
      <c r="E30" s="120"/>
      <c r="F30" s="120"/>
      <c r="G30" s="120"/>
      <c r="H30" s="120"/>
      <c r="I30" s="120"/>
      <c r="J30" s="120"/>
      <c r="K30" s="120"/>
      <c r="L30" s="120"/>
      <c r="M30" s="120"/>
      <c r="N30" s="120"/>
      <c r="O30" s="120"/>
      <c r="P30" s="120"/>
      <c r="Q30" s="120"/>
      <c r="R30" s="120"/>
    </row>
    <row r="31" spans="1:19" s="30" customFormat="1" ht="17.399999999999999" x14ac:dyDescent="0.3">
      <c r="A31" s="45"/>
      <c r="B31" s="61">
        <f>'Revenue Input'!B15</f>
        <v>8181</v>
      </c>
      <c r="C31" s="61" t="str">
        <f>'Revenue Input'!C15</f>
        <v>Special Education - Federal IDEA</v>
      </c>
      <c r="D31" s="60" t="str">
        <f>IF('Revenue Input'!$D15="","",IF('Cash Flow %s Yr1'!D26="","",'Cash Flow %s Yr1'!D26*'Revenue Input'!$D15))</f>
        <v/>
      </c>
      <c r="E31" s="60" t="str">
        <f>IF('Revenue Input'!$D15="","",IF('Cash Flow %s Yr1'!E26="","",'Cash Flow %s Yr1'!E26*'Revenue Input'!$D15))</f>
        <v/>
      </c>
      <c r="F31" s="60" t="str">
        <f>IF('Revenue Input'!$D15="","",IF('Cash Flow %s Yr1'!F26="","",'Cash Flow %s Yr1'!F26*'Revenue Input'!$D15))</f>
        <v/>
      </c>
      <c r="G31" s="60" t="str">
        <f>IF('Revenue Input'!$D15="","",IF('Cash Flow %s Yr1'!G26="","",'Cash Flow %s Yr1'!G26*'Revenue Input'!$D15))</f>
        <v/>
      </c>
      <c r="H31" s="60">
        <f>IF('Revenue Input'!$D15="","",IF('Cash Flow %s Yr1'!H26="","",'Cash Flow %s Yr1'!H26*'Revenue Input'!$D15))</f>
        <v>0</v>
      </c>
      <c r="I31" s="60">
        <f>IF('Revenue Input'!$D15="","",IF('Cash Flow %s Yr1'!I26="","",'Cash Flow %s Yr1'!I26*'Revenue Input'!$D15))</f>
        <v>0</v>
      </c>
      <c r="J31" s="60">
        <f>IF('Revenue Input'!$D15="","",IF('Cash Flow %s Yr1'!J26="","",'Cash Flow %s Yr1'!J26*'Revenue Input'!$D15))</f>
        <v>0</v>
      </c>
      <c r="K31" s="60">
        <f>IF('Revenue Input'!$D15="","",IF('Cash Flow %s Yr1'!K26="","",'Cash Flow %s Yr1'!K26*'Revenue Input'!$D15))</f>
        <v>0</v>
      </c>
      <c r="L31" s="60">
        <f>IF('Revenue Input'!$D15="","",IF('Cash Flow %s Yr1'!L26="","",'Cash Flow %s Yr1'!L26*'Revenue Input'!$D15))</f>
        <v>0</v>
      </c>
      <c r="M31" s="60">
        <f>IF('Revenue Input'!$D15="","",IF('Cash Flow %s Yr1'!M26="","",'Cash Flow %s Yr1'!M26*'Revenue Input'!$D15))</f>
        <v>0</v>
      </c>
      <c r="N31" s="60">
        <f>IF('Revenue Input'!$D15="","",IF('Cash Flow %s Yr1'!N26="","",'Cash Flow %s Yr1'!N26*'Revenue Input'!$D15))</f>
        <v>0</v>
      </c>
      <c r="O31" s="60">
        <f>IF('Revenue Input'!$D15="","",IF('Cash Flow %s Yr1'!O26="","",'Cash Flow %s Yr1'!O26*'Revenue Input'!$D15))</f>
        <v>0</v>
      </c>
      <c r="P31" s="60">
        <f>IF('Revenue Input'!$D15="","",IF('Cash Flow %s Yr1'!P26="","",'Cash Flow %s Yr1'!P26*'Revenue Input'!$D15))</f>
        <v>0</v>
      </c>
      <c r="Q31" s="60">
        <f>IF('Revenue Input'!$D15="","",IF('Cash Flow %s Yr1'!Q26="","",'Cash Flow %s Yr1'!Q26*'Revenue Input'!$D15))</f>
        <v>0</v>
      </c>
      <c r="R31" s="60" t="str">
        <f>IF('Revenue Input'!$D15="","",IF('Cash Flow %s Yr1'!R26="","",'Cash Flow %s Yr1'!R26*'Revenue Input'!$D15))</f>
        <v/>
      </c>
    </row>
    <row r="32" spans="1:19" s="30" customFormat="1" ht="17.399999999999999" x14ac:dyDescent="0.3">
      <c r="A32" s="45"/>
      <c r="B32" s="61">
        <f>'Revenue Input'!B17</f>
        <v>8290</v>
      </c>
      <c r="C32" s="61" t="str">
        <f>'Revenue Input'!C17</f>
        <v>All Other Federal Revenue, GEER/CRF</v>
      </c>
      <c r="D32" s="60" t="str">
        <f>IF('Revenue Input'!$D17="","",IF('Cash Flow %s Yr1'!D27="","",'Cash Flow %s Yr1'!D27*'Revenue Input'!$D17))</f>
        <v/>
      </c>
      <c r="E32" s="60" t="str">
        <f>IF('Revenue Input'!$D17="","",IF('Cash Flow %s Yr1'!E27="","",'Cash Flow %s Yr1'!E27*'Revenue Input'!$D17))</f>
        <v/>
      </c>
      <c r="F32" s="60" t="str">
        <f>IF('Revenue Input'!$D17="","",IF('Cash Flow %s Yr1'!F27="","",'Cash Flow %s Yr1'!F27*'Revenue Input'!$D17))</f>
        <v/>
      </c>
      <c r="G32" s="60" t="str">
        <f>IF('Revenue Input'!$D17="","",IF('Cash Flow %s Yr1'!G27="","",'Cash Flow %s Yr1'!G27*'Revenue Input'!$D17))</f>
        <v/>
      </c>
      <c r="H32" s="60" t="str">
        <f>IF('Revenue Input'!$D17="","",IF('Cash Flow %s Yr1'!H27="","",'Cash Flow %s Yr1'!H27*'Revenue Input'!$D17))</f>
        <v/>
      </c>
      <c r="I32" s="60" t="str">
        <f>IF('Revenue Input'!$D17="","",IF('Cash Flow %s Yr1'!I27="","",'Cash Flow %s Yr1'!I27*'Revenue Input'!$D17))</f>
        <v/>
      </c>
      <c r="J32" s="60">
        <f>IF('Revenue Input'!$D17="","",IF('Cash Flow %s Yr1'!J27="","",'Cash Flow %s Yr1'!J27*'Revenue Input'!$D17))</f>
        <v>16917.5</v>
      </c>
      <c r="K32" s="60" t="str">
        <f>IF('Revenue Input'!$D17="","",IF('Cash Flow %s Yr1'!K27="","",'Cash Flow %s Yr1'!K27*'Revenue Input'!$D17))</f>
        <v/>
      </c>
      <c r="L32" s="60" t="str">
        <f>IF('Revenue Input'!$D17="","",IF('Cash Flow %s Yr1'!L27="","",'Cash Flow %s Yr1'!L27*'Revenue Input'!$D17))</f>
        <v/>
      </c>
      <c r="M32" s="60">
        <f>IF('Revenue Input'!$D17="","",IF('Cash Flow %s Yr1'!M27="","",'Cash Flow %s Yr1'!M27*'Revenue Input'!$D17))</f>
        <v>33835</v>
      </c>
      <c r="N32" s="60" t="str">
        <f>IF('Revenue Input'!$D17="","",IF('Cash Flow %s Yr1'!N27="","",'Cash Flow %s Yr1'!N27*'Revenue Input'!$D17))</f>
        <v/>
      </c>
      <c r="O32" s="60">
        <f>IF('Revenue Input'!$D17="","",IF('Cash Flow %s Yr1'!O27="","",'Cash Flow %s Yr1'!O27*'Revenue Input'!$D17))</f>
        <v>16917.5</v>
      </c>
      <c r="P32" s="60" t="str">
        <f>IF('Revenue Input'!$D17="","",IF('Cash Flow %s Yr1'!P27="","",'Cash Flow %s Yr1'!P27*'Revenue Input'!$D17))</f>
        <v/>
      </c>
      <c r="Q32" s="60" t="str">
        <f>IF('Revenue Input'!$D17="","",IF('Cash Flow %s Yr1'!Q27="","",'Cash Flow %s Yr1'!Q27*'Revenue Input'!$D17))</f>
        <v/>
      </c>
      <c r="R32" s="60" t="str">
        <f>IF('Revenue Input'!$D17="","",IF('Cash Flow %s Yr1'!R27="","",'Cash Flow %s Yr1'!R27*'Revenue Input'!$D17))</f>
        <v/>
      </c>
    </row>
    <row r="33" spans="1:18" s="30" customFormat="1" ht="17.399999999999999" x14ac:dyDescent="0.3">
      <c r="A33" s="45"/>
      <c r="B33" s="61">
        <f>'Revenue Input'!B21</f>
        <v>8291</v>
      </c>
      <c r="C33" s="61" t="str">
        <f>'Revenue Input'!C21</f>
        <v>Title I</v>
      </c>
      <c r="D33" s="60">
        <f>IF('Revenue Input'!$D21="","",IF('Cash Flow %s Yr1'!D28="","",'Cash Flow %s Yr1'!D28*'Revenue Input'!$D21))</f>
        <v>0</v>
      </c>
      <c r="E33" s="60">
        <f>IF('Revenue Input'!$D21="","",IF('Cash Flow %s Yr1'!E28="","",'Cash Flow %s Yr1'!E28*'Revenue Input'!$D21))</f>
        <v>0</v>
      </c>
      <c r="F33" s="60">
        <f>IF('Revenue Input'!$D21="","",IF('Cash Flow %s Yr1'!F28="","",'Cash Flow %s Yr1'!F28*'Revenue Input'!$D21))</f>
        <v>0</v>
      </c>
      <c r="G33" s="60">
        <f>IF('Revenue Input'!$D21="","",IF('Cash Flow %s Yr1'!G28="","",'Cash Flow %s Yr1'!G28*'Revenue Input'!$D21))</f>
        <v>0</v>
      </c>
      <c r="H33" s="60">
        <f>IF('Revenue Input'!$D21="","",IF('Cash Flow %s Yr1'!H28="","",'Cash Flow %s Yr1'!H28*'Revenue Input'!$D21))</f>
        <v>0</v>
      </c>
      <c r="I33" s="60">
        <f>IF('Revenue Input'!$D21="","",IF('Cash Flow %s Yr1'!I28="","",'Cash Flow %s Yr1'!I28*'Revenue Input'!$D21))</f>
        <v>0</v>
      </c>
      <c r="J33" s="60">
        <f>IF('Revenue Input'!$D21="","",IF('Cash Flow %s Yr1'!J28="","",'Cash Flow %s Yr1'!J28*'Revenue Input'!$D21))</f>
        <v>8278.5</v>
      </c>
      <c r="K33" s="60">
        <f>IF('Revenue Input'!$D21="","",IF('Cash Flow %s Yr1'!K28="","",'Cash Flow %s Yr1'!K28*'Revenue Input'!$D21))</f>
        <v>0</v>
      </c>
      <c r="L33" s="60">
        <f>IF('Revenue Input'!$D21="","",IF('Cash Flow %s Yr1'!L28="","",'Cash Flow %s Yr1'!L28*'Revenue Input'!$D21))</f>
        <v>0</v>
      </c>
      <c r="M33" s="60">
        <f>IF('Revenue Input'!$D21="","",IF('Cash Flow %s Yr1'!M28="","",'Cash Flow %s Yr1'!M28*'Revenue Input'!$D21))</f>
        <v>16557</v>
      </c>
      <c r="N33" s="60">
        <f>IF('Revenue Input'!$D21="","",IF('Cash Flow %s Yr1'!N28="","",'Cash Flow %s Yr1'!N28*'Revenue Input'!$D21))</f>
        <v>0</v>
      </c>
      <c r="O33" s="60">
        <f>IF('Revenue Input'!$D21="","",IF('Cash Flow %s Yr1'!O28="","",'Cash Flow %s Yr1'!O28*'Revenue Input'!$D21))</f>
        <v>8278.5</v>
      </c>
      <c r="P33" s="60">
        <f>IF('Revenue Input'!$D21="","",IF('Cash Flow %s Yr1'!P28="","",'Cash Flow %s Yr1'!P28*'Revenue Input'!$D21))</f>
        <v>0</v>
      </c>
      <c r="Q33" s="60">
        <f>IF('Revenue Input'!$D21="","",IF('Cash Flow %s Yr1'!Q28="","",'Cash Flow %s Yr1'!Q28*'Revenue Input'!$D21))</f>
        <v>0</v>
      </c>
      <c r="R33" s="60">
        <f>IF('Revenue Input'!$D21="","",IF('Cash Flow %s Yr1'!R28="","",'Cash Flow %s Yr1'!R28*'Revenue Input'!$D21))</f>
        <v>0</v>
      </c>
    </row>
    <row r="34" spans="1:18" s="30" customFormat="1" ht="17.399999999999999" x14ac:dyDescent="0.3">
      <c r="A34" s="45"/>
      <c r="B34" s="61">
        <f>'Revenue Input'!B22</f>
        <v>8292</v>
      </c>
      <c r="C34" s="61" t="str">
        <f>'Revenue Input'!C22</f>
        <v>Title II</v>
      </c>
      <c r="D34" s="60">
        <f>IF('Revenue Input'!$D22="","",IF('Cash Flow %s Yr1'!D29="","",'Cash Flow %s Yr1'!D29*'Revenue Input'!$D22))</f>
        <v>0</v>
      </c>
      <c r="E34" s="60">
        <f>IF('Revenue Input'!$D22="","",IF('Cash Flow %s Yr1'!E29="","",'Cash Flow %s Yr1'!E29*'Revenue Input'!$D22))</f>
        <v>0</v>
      </c>
      <c r="F34" s="60">
        <f>IF('Revenue Input'!$D22="","",IF('Cash Flow %s Yr1'!F29="","",'Cash Flow %s Yr1'!F29*'Revenue Input'!$D22))</f>
        <v>0</v>
      </c>
      <c r="G34" s="60">
        <f>IF('Revenue Input'!$D22="","",IF('Cash Flow %s Yr1'!G29="","",'Cash Flow %s Yr1'!G29*'Revenue Input'!$D22))</f>
        <v>0</v>
      </c>
      <c r="H34" s="60">
        <f>IF('Revenue Input'!$D22="","",IF('Cash Flow %s Yr1'!H29="","",'Cash Flow %s Yr1'!H29*'Revenue Input'!$D22))</f>
        <v>0</v>
      </c>
      <c r="I34" s="60">
        <f>IF('Revenue Input'!$D22="","",IF('Cash Flow %s Yr1'!I29="","",'Cash Flow %s Yr1'!I29*'Revenue Input'!$D22))</f>
        <v>0</v>
      </c>
      <c r="J34" s="60">
        <f>IF('Revenue Input'!$D22="","",IF('Cash Flow %s Yr1'!J29="","",'Cash Flow %s Yr1'!J29*'Revenue Input'!$D22))</f>
        <v>927</v>
      </c>
      <c r="K34" s="60">
        <f>IF('Revenue Input'!$D22="","",IF('Cash Flow %s Yr1'!K29="","",'Cash Flow %s Yr1'!K29*'Revenue Input'!$D22))</f>
        <v>0</v>
      </c>
      <c r="L34" s="60">
        <f>IF('Revenue Input'!$D22="","",IF('Cash Flow %s Yr1'!L29="","",'Cash Flow %s Yr1'!L29*'Revenue Input'!$D22))</f>
        <v>0</v>
      </c>
      <c r="M34" s="60">
        <f>IF('Revenue Input'!$D22="","",IF('Cash Flow %s Yr1'!M29="","",'Cash Flow %s Yr1'!M29*'Revenue Input'!$D22))</f>
        <v>1854</v>
      </c>
      <c r="N34" s="60">
        <f>IF('Revenue Input'!$D22="","",IF('Cash Flow %s Yr1'!N29="","",'Cash Flow %s Yr1'!N29*'Revenue Input'!$D22))</f>
        <v>0</v>
      </c>
      <c r="O34" s="60">
        <f>IF('Revenue Input'!$D22="","",IF('Cash Flow %s Yr1'!O29="","",'Cash Flow %s Yr1'!O29*'Revenue Input'!$D22))</f>
        <v>927</v>
      </c>
      <c r="P34" s="60">
        <f>IF('Revenue Input'!$D22="","",IF('Cash Flow %s Yr1'!P29="","",'Cash Flow %s Yr1'!P29*'Revenue Input'!$D22))</f>
        <v>0</v>
      </c>
      <c r="Q34" s="60">
        <f>IF('Revenue Input'!$D22="","",IF('Cash Flow %s Yr1'!Q29="","",'Cash Flow %s Yr1'!Q29*'Revenue Input'!$D22))</f>
        <v>0</v>
      </c>
      <c r="R34" s="60">
        <f>IF('Revenue Input'!$D22="","",IF('Cash Flow %s Yr1'!R29="","",'Cash Flow %s Yr1'!R29*'Revenue Input'!$D22))</f>
        <v>0</v>
      </c>
    </row>
    <row r="35" spans="1:18" s="30" customFormat="1" ht="17.399999999999999" x14ac:dyDescent="0.3">
      <c r="A35" s="45"/>
      <c r="B35" s="61">
        <f>'Revenue Input'!B23</f>
        <v>8293</v>
      </c>
      <c r="C35" s="61" t="str">
        <f>'Revenue Input'!C23</f>
        <v>Title III</v>
      </c>
      <c r="D35" s="60" t="str">
        <f>IF('Revenue Input'!$D23="","",IF('Cash Flow %s Yr1'!D30="","",'Cash Flow %s Yr1'!D30*'Revenue Input'!$D23))</f>
        <v/>
      </c>
      <c r="E35" s="60" t="str">
        <f>IF('Revenue Input'!$D23="","",IF('Cash Flow %s Yr1'!E30="","",'Cash Flow %s Yr1'!E30*'Revenue Input'!$D23))</f>
        <v/>
      </c>
      <c r="F35" s="60" t="str">
        <f>IF('Revenue Input'!$D23="","",IF('Cash Flow %s Yr1'!F30="","",'Cash Flow %s Yr1'!F30*'Revenue Input'!$D23))</f>
        <v/>
      </c>
      <c r="G35" s="60" t="str">
        <f>IF('Revenue Input'!$D23="","",IF('Cash Flow %s Yr1'!G30="","",'Cash Flow %s Yr1'!G30*'Revenue Input'!$D23))</f>
        <v/>
      </c>
      <c r="H35" s="60" t="str">
        <f>IF('Revenue Input'!$D23="","",IF('Cash Flow %s Yr1'!H30="","",'Cash Flow %s Yr1'!H30*'Revenue Input'!$D23))</f>
        <v/>
      </c>
      <c r="I35" s="60" t="str">
        <f>IF('Revenue Input'!$D23="","",IF('Cash Flow %s Yr1'!I30="","",'Cash Flow %s Yr1'!I30*'Revenue Input'!$D23))</f>
        <v/>
      </c>
      <c r="J35" s="60" t="str">
        <f>IF('Revenue Input'!$D23="","",IF('Cash Flow %s Yr1'!J30="","",'Cash Flow %s Yr1'!J30*'Revenue Input'!$D23))</f>
        <v/>
      </c>
      <c r="K35" s="60" t="str">
        <f>IF('Revenue Input'!$D23="","",IF('Cash Flow %s Yr1'!K30="","",'Cash Flow %s Yr1'!K30*'Revenue Input'!$D23))</f>
        <v/>
      </c>
      <c r="L35" s="60" t="str">
        <f>IF('Revenue Input'!$D23="","",IF('Cash Flow %s Yr1'!L30="","",'Cash Flow %s Yr1'!L30*'Revenue Input'!$D23))</f>
        <v/>
      </c>
      <c r="M35" s="60" t="str">
        <f>IF('Revenue Input'!$D23="","",IF('Cash Flow %s Yr1'!M30="","",'Cash Flow %s Yr1'!M30*'Revenue Input'!$D23))</f>
        <v/>
      </c>
      <c r="N35" s="60" t="str">
        <f>IF('Revenue Input'!$D23="","",IF('Cash Flow %s Yr1'!N30="","",'Cash Flow %s Yr1'!N30*'Revenue Input'!$D23))</f>
        <v/>
      </c>
      <c r="O35" s="60" t="str">
        <f>IF('Revenue Input'!$D23="","",IF('Cash Flow %s Yr1'!O30="","",'Cash Flow %s Yr1'!O30*'Revenue Input'!$D23))</f>
        <v/>
      </c>
      <c r="P35" s="60" t="str">
        <f>IF('Revenue Input'!$D23="","",IF('Cash Flow %s Yr1'!P30="","",'Cash Flow %s Yr1'!P30*'Revenue Input'!$D23))</f>
        <v/>
      </c>
      <c r="Q35" s="60" t="str">
        <f>IF('Revenue Input'!$D23="","",IF('Cash Flow %s Yr1'!Q30="","",'Cash Flow %s Yr1'!Q30*'Revenue Input'!$D23))</f>
        <v/>
      </c>
      <c r="R35" s="60" t="str">
        <f>IF('Revenue Input'!$D23="","",IF('Cash Flow %s Yr1'!R30="","",'Cash Flow %s Yr1'!R30*'Revenue Input'!$D23))</f>
        <v/>
      </c>
    </row>
    <row r="36" spans="1:18" s="30" customFormat="1" ht="17.399999999999999" x14ac:dyDescent="0.3">
      <c r="A36" s="45"/>
      <c r="B36" s="61">
        <f>'Revenue Input'!B24</f>
        <v>8294</v>
      </c>
      <c r="C36" s="61" t="str">
        <f>'Revenue Input'!C24</f>
        <v>Title IV</v>
      </c>
      <c r="D36" s="60" t="str">
        <f>IF('Revenue Input'!$D24="","",IF('Cash Flow %s Yr1'!D31="","",'Cash Flow %s Yr1'!D31*'Revenue Input'!$D24))</f>
        <v/>
      </c>
      <c r="E36" s="60" t="str">
        <f>IF('Revenue Input'!$D24="","",IF('Cash Flow %s Yr1'!E31="","",'Cash Flow %s Yr1'!E31*'Revenue Input'!$D24))</f>
        <v/>
      </c>
      <c r="F36" s="60" t="str">
        <f>IF('Revenue Input'!$D24="","",IF('Cash Flow %s Yr1'!F31="","",'Cash Flow %s Yr1'!F31*'Revenue Input'!$D24))</f>
        <v/>
      </c>
      <c r="G36" s="60" t="str">
        <f>IF('Revenue Input'!$D24="","",IF('Cash Flow %s Yr1'!G31="","",'Cash Flow %s Yr1'!G31*'Revenue Input'!$D24))</f>
        <v/>
      </c>
      <c r="H36" s="60" t="str">
        <f>IF('Revenue Input'!$D24="","",IF('Cash Flow %s Yr1'!H31="","",'Cash Flow %s Yr1'!H31*'Revenue Input'!$D24))</f>
        <v/>
      </c>
      <c r="I36" s="60" t="str">
        <f>IF('Revenue Input'!$D24="","",IF('Cash Flow %s Yr1'!I31="","",'Cash Flow %s Yr1'!I31*'Revenue Input'!$D24))</f>
        <v/>
      </c>
      <c r="J36" s="60">
        <f>IF('Revenue Input'!$D24="","",IF('Cash Flow %s Yr1'!J31="","",'Cash Flow %s Yr1'!J31*'Revenue Input'!$D24))</f>
        <v>2500</v>
      </c>
      <c r="K36" s="60" t="str">
        <f>IF('Revenue Input'!$D24="","",IF('Cash Flow %s Yr1'!K31="","",'Cash Flow %s Yr1'!K31*'Revenue Input'!$D24))</f>
        <v/>
      </c>
      <c r="L36" s="60" t="str">
        <f>IF('Revenue Input'!$D24="","",IF('Cash Flow %s Yr1'!L31="","",'Cash Flow %s Yr1'!L31*'Revenue Input'!$D24))</f>
        <v/>
      </c>
      <c r="M36" s="60">
        <f>IF('Revenue Input'!$D24="","",IF('Cash Flow %s Yr1'!M31="","",'Cash Flow %s Yr1'!M31*'Revenue Input'!$D24))</f>
        <v>5000</v>
      </c>
      <c r="N36" s="60" t="str">
        <f>IF('Revenue Input'!$D24="","",IF('Cash Flow %s Yr1'!N31="","",'Cash Flow %s Yr1'!N31*'Revenue Input'!$D24))</f>
        <v/>
      </c>
      <c r="O36" s="60">
        <f>IF('Revenue Input'!$D24="","",IF('Cash Flow %s Yr1'!O31="","",'Cash Flow %s Yr1'!O31*'Revenue Input'!$D24))</f>
        <v>2500</v>
      </c>
      <c r="P36" s="60" t="str">
        <f>IF('Revenue Input'!$D24="","",IF('Cash Flow %s Yr1'!P31="","",'Cash Flow %s Yr1'!P31*'Revenue Input'!$D24))</f>
        <v/>
      </c>
      <c r="Q36" s="60" t="str">
        <f>IF('Revenue Input'!$D24="","",IF('Cash Flow %s Yr1'!Q31="","",'Cash Flow %s Yr1'!Q31*'Revenue Input'!$D24))</f>
        <v/>
      </c>
      <c r="R36" s="60" t="str">
        <f>IF('Revenue Input'!$D24="","",IF('Cash Flow %s Yr1'!R31="","",'Cash Flow %s Yr1'!R31*'Revenue Input'!$D24))</f>
        <v/>
      </c>
    </row>
    <row r="37" spans="1:18" s="30" customFormat="1" ht="17.399999999999999" x14ac:dyDescent="0.3">
      <c r="A37" s="45"/>
      <c r="B37" s="61">
        <f>'Revenue Input'!B25</f>
        <v>8295</v>
      </c>
      <c r="C37" s="61" t="str">
        <f>'Revenue Input'!C25</f>
        <v>Title V</v>
      </c>
      <c r="D37" s="60" t="str">
        <f>IF('Revenue Input'!$D25="","",IF('Cash Flow %s Yr1'!D32="","",'Cash Flow %s Yr1'!D32*'Revenue Input'!$D25))</f>
        <v/>
      </c>
      <c r="E37" s="60" t="str">
        <f>IF('Revenue Input'!$D25="","",IF('Cash Flow %s Yr1'!E32="","",'Cash Flow %s Yr1'!E32*'Revenue Input'!$D25))</f>
        <v/>
      </c>
      <c r="F37" s="60" t="str">
        <f>IF('Revenue Input'!$D25="","",IF('Cash Flow %s Yr1'!F32="","",'Cash Flow %s Yr1'!F32*'Revenue Input'!$D25))</f>
        <v/>
      </c>
      <c r="G37" s="60" t="str">
        <f>IF('Revenue Input'!$D25="","",IF('Cash Flow %s Yr1'!G32="","",'Cash Flow %s Yr1'!G32*'Revenue Input'!$D25))</f>
        <v/>
      </c>
      <c r="H37" s="60" t="str">
        <f>IF('Revenue Input'!$D25="","",IF('Cash Flow %s Yr1'!H32="","",'Cash Flow %s Yr1'!H32*'Revenue Input'!$D25))</f>
        <v/>
      </c>
      <c r="I37" s="60" t="str">
        <f>IF('Revenue Input'!$D25="","",IF('Cash Flow %s Yr1'!I32="","",'Cash Flow %s Yr1'!I32*'Revenue Input'!$D25))</f>
        <v/>
      </c>
      <c r="J37" s="60" t="str">
        <f>IF('Revenue Input'!$D25="","",IF('Cash Flow %s Yr1'!J32="","",'Cash Flow %s Yr1'!J32*'Revenue Input'!$D25))</f>
        <v/>
      </c>
      <c r="K37" s="60" t="str">
        <f>IF('Revenue Input'!$D25="","",IF('Cash Flow %s Yr1'!K32="","",'Cash Flow %s Yr1'!K32*'Revenue Input'!$D25))</f>
        <v/>
      </c>
      <c r="L37" s="60" t="str">
        <f>IF('Revenue Input'!$D25="","",IF('Cash Flow %s Yr1'!L32="","",'Cash Flow %s Yr1'!L32*'Revenue Input'!$D25))</f>
        <v/>
      </c>
      <c r="M37" s="60" t="str">
        <f>IF('Revenue Input'!$D25="","",IF('Cash Flow %s Yr1'!M32="","",'Cash Flow %s Yr1'!M32*'Revenue Input'!$D25))</f>
        <v/>
      </c>
      <c r="N37" s="60" t="str">
        <f>IF('Revenue Input'!$D25="","",IF('Cash Flow %s Yr1'!N32="","",'Cash Flow %s Yr1'!N32*'Revenue Input'!$D25))</f>
        <v/>
      </c>
      <c r="O37" s="60" t="str">
        <f>IF('Revenue Input'!$D25="","",IF('Cash Flow %s Yr1'!O32="","",'Cash Flow %s Yr1'!O32*'Revenue Input'!$D25))</f>
        <v/>
      </c>
      <c r="P37" s="60" t="str">
        <f>IF('Revenue Input'!$D25="","",IF('Cash Flow %s Yr1'!P32="","",'Cash Flow %s Yr1'!P32*'Revenue Input'!$D25))</f>
        <v/>
      </c>
      <c r="Q37" s="60" t="str">
        <f>IF('Revenue Input'!$D25="","",IF('Cash Flow %s Yr1'!Q32="","",'Cash Flow %s Yr1'!Q32*'Revenue Input'!$D25))</f>
        <v/>
      </c>
      <c r="R37" s="60" t="str">
        <f>IF('Revenue Input'!$D25="","",IF('Cash Flow %s Yr1'!R32="","",'Cash Flow %s Yr1'!R32*'Revenue Input'!$D25))</f>
        <v/>
      </c>
    </row>
    <row r="38" spans="1:18" s="30" customFormat="1" ht="17.399999999999999" x14ac:dyDescent="0.3">
      <c r="A38" s="45"/>
      <c r="B38" s="61">
        <f>'Revenue Input'!B26</f>
        <v>8299</v>
      </c>
      <c r="C38" s="61" t="str">
        <f>'Revenue Input'!C26</f>
        <v>Prior Year Federal Revenue</v>
      </c>
      <c r="D38" s="60" t="str">
        <f>IF('Revenue Input'!$D26="","",IF('Cash Flow %s Yr1'!D33="","",'Cash Flow %s Yr1'!D33*'Revenue Input'!$D26))</f>
        <v/>
      </c>
      <c r="E38" s="60" t="str">
        <f>IF('Revenue Input'!$D26="","",IF('Cash Flow %s Yr1'!E33="","",'Cash Flow %s Yr1'!E33*'Revenue Input'!$D26))</f>
        <v/>
      </c>
      <c r="F38" s="60" t="str">
        <f>IF('Revenue Input'!$D26="","",IF('Cash Flow %s Yr1'!F33="","",'Cash Flow %s Yr1'!F33*'Revenue Input'!$D26))</f>
        <v/>
      </c>
      <c r="G38" s="60" t="str">
        <f>IF('Revenue Input'!$D26="","",IF('Cash Flow %s Yr1'!G33="","",'Cash Flow %s Yr1'!G33*'Revenue Input'!$D26))</f>
        <v/>
      </c>
      <c r="H38" s="60" t="str">
        <f>IF('Revenue Input'!$D26="","",IF('Cash Flow %s Yr1'!H33="","",'Cash Flow %s Yr1'!H33*'Revenue Input'!$D26))</f>
        <v/>
      </c>
      <c r="I38" s="60" t="str">
        <f>IF('Revenue Input'!$D26="","",IF('Cash Flow %s Yr1'!I33="","",'Cash Flow %s Yr1'!I33*'Revenue Input'!$D26))</f>
        <v/>
      </c>
      <c r="J38" s="60" t="str">
        <f>IF('Revenue Input'!$D26="","",IF('Cash Flow %s Yr1'!J33="","",'Cash Flow %s Yr1'!J33*'Revenue Input'!$D26))</f>
        <v/>
      </c>
      <c r="K38" s="60" t="str">
        <f>IF('Revenue Input'!$D26="","",IF('Cash Flow %s Yr1'!K33="","",'Cash Flow %s Yr1'!K33*'Revenue Input'!$D26))</f>
        <v/>
      </c>
      <c r="L38" s="60" t="str">
        <f>IF('Revenue Input'!$D26="","",IF('Cash Flow %s Yr1'!L33="","",'Cash Flow %s Yr1'!L33*'Revenue Input'!$D26))</f>
        <v/>
      </c>
      <c r="M38" s="60" t="str">
        <f>IF('Revenue Input'!$D26="","",IF('Cash Flow %s Yr1'!M33="","",'Cash Flow %s Yr1'!M33*'Revenue Input'!$D26))</f>
        <v/>
      </c>
      <c r="N38" s="60" t="str">
        <f>IF('Revenue Input'!$D26="","",IF('Cash Flow %s Yr1'!N33="","",'Cash Flow %s Yr1'!N33*'Revenue Input'!$D26))</f>
        <v/>
      </c>
      <c r="O38" s="60" t="str">
        <f>IF('Revenue Input'!$D26="","",IF('Cash Flow %s Yr1'!O33="","",'Cash Flow %s Yr1'!O33*'Revenue Input'!$D26))</f>
        <v/>
      </c>
      <c r="P38" s="60" t="str">
        <f>IF('Revenue Input'!$D26="","",IF('Cash Flow %s Yr1'!P33="","",'Cash Flow %s Yr1'!P33*'Revenue Input'!$D26))</f>
        <v/>
      </c>
      <c r="Q38" s="60" t="str">
        <f>IF('Revenue Input'!$D26="","",IF('Cash Flow %s Yr1'!Q33="","",'Cash Flow %s Yr1'!Q33*'Revenue Input'!$D26))</f>
        <v/>
      </c>
      <c r="R38" s="60" t="str">
        <f>IF('Revenue Input'!$D26="","",IF('Cash Flow %s Yr1'!R33="","",'Cash Flow %s Yr1'!R33*'Revenue Input'!$D26))</f>
        <v/>
      </c>
    </row>
    <row r="39" spans="1:18" s="30" customFormat="1" ht="17.399999999999999" x14ac:dyDescent="0.3">
      <c r="A39" s="45"/>
      <c r="B39" s="69"/>
      <c r="C39" s="33" t="s">
        <v>1258</v>
      </c>
      <c r="D39" s="165">
        <f t="shared" ref="D39:R39" si="4">SUM(D31:D38)</f>
        <v>0</v>
      </c>
      <c r="E39" s="165">
        <f t="shared" si="4"/>
        <v>0</v>
      </c>
      <c r="F39" s="165">
        <f t="shared" si="4"/>
        <v>0</v>
      </c>
      <c r="G39" s="165">
        <f t="shared" si="4"/>
        <v>0</v>
      </c>
      <c r="H39" s="165">
        <f t="shared" si="4"/>
        <v>0</v>
      </c>
      <c r="I39" s="165">
        <f t="shared" si="4"/>
        <v>0</v>
      </c>
      <c r="J39" s="165">
        <f t="shared" si="4"/>
        <v>28623</v>
      </c>
      <c r="K39" s="165">
        <f t="shared" si="4"/>
        <v>0</v>
      </c>
      <c r="L39" s="165">
        <f t="shared" si="4"/>
        <v>0</v>
      </c>
      <c r="M39" s="165">
        <f t="shared" si="4"/>
        <v>57246</v>
      </c>
      <c r="N39" s="165">
        <f t="shared" si="4"/>
        <v>0</v>
      </c>
      <c r="O39" s="165">
        <f t="shared" si="4"/>
        <v>28623</v>
      </c>
      <c r="P39" s="165">
        <f t="shared" si="4"/>
        <v>0</v>
      </c>
      <c r="Q39" s="165">
        <f t="shared" si="4"/>
        <v>0</v>
      </c>
      <c r="R39" s="165">
        <f t="shared" si="4"/>
        <v>0</v>
      </c>
    </row>
    <row r="40" spans="1:18" s="30" customFormat="1" ht="17.399999999999999" x14ac:dyDescent="0.3">
      <c r="A40" s="45"/>
      <c r="B40" s="68"/>
      <c r="C40" s="48"/>
      <c r="D40" s="120"/>
      <c r="E40" s="120"/>
      <c r="F40" s="120"/>
      <c r="G40" s="120"/>
      <c r="H40" s="120"/>
      <c r="I40" s="120"/>
      <c r="J40" s="120"/>
      <c r="K40" s="120"/>
      <c r="L40" s="120"/>
      <c r="M40" s="120"/>
      <c r="N40" s="120"/>
      <c r="O40" s="120"/>
      <c r="P40" s="120"/>
      <c r="Q40" s="120"/>
      <c r="R40" s="120"/>
    </row>
    <row r="41" spans="1:18" s="30" customFormat="1" ht="17.399999999999999" x14ac:dyDescent="0.3">
      <c r="B41" s="45" t="s">
        <v>790</v>
      </c>
      <c r="C41" s="48"/>
      <c r="D41" s="120"/>
      <c r="E41" s="120"/>
      <c r="F41" s="120"/>
      <c r="G41" s="120"/>
      <c r="H41" s="120"/>
      <c r="I41" s="120"/>
      <c r="J41" s="120"/>
      <c r="K41" s="120"/>
      <c r="L41" s="120"/>
      <c r="M41" s="120"/>
      <c r="N41" s="120"/>
      <c r="O41" s="120"/>
      <c r="P41" s="120"/>
      <c r="Q41" s="120"/>
      <c r="R41" s="120"/>
    </row>
    <row r="42" spans="1:18" s="30" customFormat="1" ht="17.399999999999999" x14ac:dyDescent="0.3">
      <c r="A42" s="45"/>
      <c r="B42" s="61">
        <f>'Revenue Input'!B44</f>
        <v>8660</v>
      </c>
      <c r="C42" s="61" t="str">
        <f>'Revenue Input'!C44</f>
        <v>Interest</v>
      </c>
      <c r="D42" s="60">
        <f>IF('Revenue Input'!$D44="","",IF('Cash Flow %s Yr1'!D37="","",'Cash Flow %s Yr1'!D37*'Revenue Input'!$D44))</f>
        <v>645.90600000000006</v>
      </c>
      <c r="E42" s="60">
        <f>IF('Revenue Input'!$D44="","",IF('Cash Flow %s Yr1'!E37="","",'Cash Flow %s Yr1'!E37*'Revenue Input'!$D44))</f>
        <v>645.90600000000006</v>
      </c>
      <c r="F42" s="60">
        <f>IF('Revenue Input'!$D44="","",IF('Cash Flow %s Yr1'!F37="","",'Cash Flow %s Yr1'!F37*'Revenue Input'!$D44))</f>
        <v>645.90600000000006</v>
      </c>
      <c r="G42" s="60">
        <f>IF('Revenue Input'!$D44="","",IF('Cash Flow %s Yr1'!G37="","",'Cash Flow %s Yr1'!G37*'Revenue Input'!$D44))</f>
        <v>645.90600000000006</v>
      </c>
      <c r="H42" s="60">
        <f>IF('Revenue Input'!$D44="","",IF('Cash Flow %s Yr1'!H37="","",'Cash Flow %s Yr1'!H37*'Revenue Input'!$D44))</f>
        <v>645.90600000000006</v>
      </c>
      <c r="I42" s="60">
        <f>IF('Revenue Input'!$D44="","",IF('Cash Flow %s Yr1'!I37="","",'Cash Flow %s Yr1'!I37*'Revenue Input'!$D44))</f>
        <v>645.90600000000006</v>
      </c>
      <c r="J42" s="60">
        <f>IF('Revenue Input'!$D44="","",IF('Cash Flow %s Yr1'!J37="","",'Cash Flow %s Yr1'!J37*'Revenue Input'!$D44))</f>
        <v>645.90600000000006</v>
      </c>
      <c r="K42" s="60">
        <f>IF('Revenue Input'!$D44="","",IF('Cash Flow %s Yr1'!K37="","",'Cash Flow %s Yr1'!K37*'Revenue Input'!$D44))</f>
        <v>645.90600000000006</v>
      </c>
      <c r="L42" s="60">
        <f>IF('Revenue Input'!$D44="","",IF('Cash Flow %s Yr1'!L37="","",'Cash Flow %s Yr1'!L37*'Revenue Input'!$D44))</f>
        <v>653.68799999999999</v>
      </c>
      <c r="M42" s="60">
        <f>IF('Revenue Input'!$D44="","",IF('Cash Flow %s Yr1'!M37="","",'Cash Flow %s Yr1'!M37*'Revenue Input'!$D44))</f>
        <v>653.68799999999999</v>
      </c>
      <c r="N42" s="60">
        <f>IF('Revenue Input'!$D44="","",IF('Cash Flow %s Yr1'!N37="","",'Cash Flow %s Yr1'!N37*'Revenue Input'!$D44))</f>
        <v>653.68799999999999</v>
      </c>
      <c r="O42" s="60">
        <f>IF('Revenue Input'!$D44="","",IF('Cash Flow %s Yr1'!O37="","",'Cash Flow %s Yr1'!O37*'Revenue Input'!$D44))</f>
        <v>653.68799999999999</v>
      </c>
      <c r="P42" s="60" t="str">
        <f>IF('Revenue Input'!$D44="","",IF('Cash Flow %s Yr1'!P37="","",'Cash Flow %s Yr1'!P37*'Revenue Input'!$D44))</f>
        <v/>
      </c>
      <c r="Q42" s="60" t="str">
        <f>IF('Revenue Input'!$D44="","",IF('Cash Flow %s Yr1'!Q37="","",'Cash Flow %s Yr1'!Q37*'Revenue Input'!$D44))</f>
        <v/>
      </c>
      <c r="R42" s="60" t="str">
        <f>IF('Revenue Input'!$D44="","",IF('Cash Flow %s Yr1'!R37="","",'Cash Flow %s Yr1'!R37*'Revenue Input'!$D44))</f>
        <v/>
      </c>
    </row>
    <row r="43" spans="1:18" s="30" customFormat="1" ht="17.399999999999999" x14ac:dyDescent="0.3">
      <c r="A43" s="45"/>
      <c r="B43" s="61">
        <f>'Revenue Input'!B45</f>
        <v>8682</v>
      </c>
      <c r="C43" s="61" t="str">
        <f>'Revenue Input'!C45</f>
        <v>Foundation Grants / Donations</v>
      </c>
      <c r="D43" s="60">
        <f>IF('Revenue Input'!$D45="","",IF('Cash Flow %s Yr1'!D38="","",'Cash Flow %s Yr1'!D38*'Revenue Input'!$D45))</f>
        <v>0</v>
      </c>
      <c r="E43" s="60">
        <f>IF('Revenue Input'!$D45="","",IF('Cash Flow %s Yr1'!E38="","",'Cash Flow %s Yr1'!E38*'Revenue Input'!$D45))</f>
        <v>0</v>
      </c>
      <c r="F43" s="60">
        <f>IF('Revenue Input'!$D45="","",IF('Cash Flow %s Yr1'!F38="","",'Cash Flow %s Yr1'!F38*'Revenue Input'!$D45))</f>
        <v>48.7</v>
      </c>
      <c r="G43" s="60">
        <f>IF('Revenue Input'!$D45="","",IF('Cash Flow %s Yr1'!G38="","",'Cash Flow %s Yr1'!G38*'Revenue Input'!$D45))</f>
        <v>48.7</v>
      </c>
      <c r="H43" s="60">
        <f>IF('Revenue Input'!$D45="","",IF('Cash Flow %s Yr1'!H38="","",'Cash Flow %s Yr1'!H38*'Revenue Input'!$D45))</f>
        <v>48.7</v>
      </c>
      <c r="I43" s="60">
        <f>IF('Revenue Input'!$D45="","",IF('Cash Flow %s Yr1'!I38="","",'Cash Flow %s Yr1'!I38*'Revenue Input'!$D45))</f>
        <v>48.7</v>
      </c>
      <c r="J43" s="60">
        <f>IF('Revenue Input'!$D45="","",IF('Cash Flow %s Yr1'!J38="","",'Cash Flow %s Yr1'!J38*'Revenue Input'!$D45))</f>
        <v>48.7</v>
      </c>
      <c r="K43" s="60">
        <f>IF('Revenue Input'!$D45="","",IF('Cash Flow %s Yr1'!K38="","",'Cash Flow %s Yr1'!K38*'Revenue Input'!$D45))</f>
        <v>48.7</v>
      </c>
      <c r="L43" s="60">
        <f>IF('Revenue Input'!$D45="","",IF('Cash Flow %s Yr1'!L38="","",'Cash Flow %s Yr1'!L38*'Revenue Input'!$D45))</f>
        <v>48.7</v>
      </c>
      <c r="M43" s="60">
        <f>IF('Revenue Input'!$D45="","",IF('Cash Flow %s Yr1'!M38="","",'Cash Flow %s Yr1'!M38*'Revenue Input'!$D45))</f>
        <v>48.7</v>
      </c>
      <c r="N43" s="60">
        <f>IF('Revenue Input'!$D45="","",IF('Cash Flow %s Yr1'!N38="","",'Cash Flow %s Yr1'!N38*'Revenue Input'!$D45))</f>
        <v>48.7</v>
      </c>
      <c r="O43" s="60">
        <f>IF('Revenue Input'!$D45="","",IF('Cash Flow %s Yr1'!O38="","",'Cash Flow %s Yr1'!O38*'Revenue Input'!$D45))</f>
        <v>48.7</v>
      </c>
      <c r="P43" s="60" t="str">
        <f>IF('Revenue Input'!$D45="","",IF('Cash Flow %s Yr1'!P38="","",'Cash Flow %s Yr1'!P38*'Revenue Input'!$D45))</f>
        <v/>
      </c>
      <c r="Q43" s="60" t="str">
        <f>IF('Revenue Input'!$D45="","",IF('Cash Flow %s Yr1'!Q38="","",'Cash Flow %s Yr1'!Q38*'Revenue Input'!$D45))</f>
        <v/>
      </c>
      <c r="R43" s="60" t="str">
        <f>IF('Revenue Input'!$D45="","",IF('Cash Flow %s Yr1'!R38="","",'Cash Flow %s Yr1'!R38*'Revenue Input'!$D45))</f>
        <v/>
      </c>
    </row>
    <row r="44" spans="1:18" s="30" customFormat="1" ht="17.399999999999999" x14ac:dyDescent="0.3">
      <c r="A44" s="45"/>
      <c r="B44" s="61">
        <f>'Revenue Input'!B46</f>
        <v>8684</v>
      </c>
      <c r="C44" s="61" t="str">
        <f>'Revenue Input'!C46</f>
        <v>Student  Body (ASB) Fundraising Revenue</v>
      </c>
      <c r="D44" s="60" t="str">
        <f>IF('Revenue Input'!$D46="","",IF('Cash Flow %s Yr1'!D39="","",'Cash Flow %s Yr1'!D39*'Revenue Input'!$D46))</f>
        <v/>
      </c>
      <c r="E44" s="60" t="str">
        <f>IF('Revenue Input'!$D46="","",IF('Cash Flow %s Yr1'!E39="","",'Cash Flow %s Yr1'!E39*'Revenue Input'!$D46))</f>
        <v/>
      </c>
      <c r="F44" s="60" t="str">
        <f>IF('Revenue Input'!$D46="","",IF('Cash Flow %s Yr1'!F39="","",'Cash Flow %s Yr1'!F39*'Revenue Input'!$D46))</f>
        <v/>
      </c>
      <c r="G44" s="60" t="str">
        <f>IF('Revenue Input'!$D46="","",IF('Cash Flow %s Yr1'!G39="","",'Cash Flow %s Yr1'!G39*'Revenue Input'!$D46))</f>
        <v/>
      </c>
      <c r="H44" s="60" t="str">
        <f>IF('Revenue Input'!$D46="","",IF('Cash Flow %s Yr1'!H39="","",'Cash Flow %s Yr1'!H39*'Revenue Input'!$D46))</f>
        <v/>
      </c>
      <c r="I44" s="60" t="str">
        <f>IF('Revenue Input'!$D46="","",IF('Cash Flow %s Yr1'!I39="","",'Cash Flow %s Yr1'!I39*'Revenue Input'!$D46))</f>
        <v/>
      </c>
      <c r="J44" s="60" t="str">
        <f>IF('Revenue Input'!$D46="","",IF('Cash Flow %s Yr1'!J39="","",'Cash Flow %s Yr1'!J39*'Revenue Input'!$D46))</f>
        <v/>
      </c>
      <c r="K44" s="60" t="str">
        <f>IF('Revenue Input'!$D46="","",IF('Cash Flow %s Yr1'!K39="","",'Cash Flow %s Yr1'!K39*'Revenue Input'!$D46))</f>
        <v/>
      </c>
      <c r="L44" s="60" t="str">
        <f>IF('Revenue Input'!$D46="","",IF('Cash Flow %s Yr1'!L39="","",'Cash Flow %s Yr1'!L39*'Revenue Input'!$D46))</f>
        <v/>
      </c>
      <c r="M44" s="60" t="str">
        <f>IF('Revenue Input'!$D46="","",IF('Cash Flow %s Yr1'!M39="","",'Cash Flow %s Yr1'!M39*'Revenue Input'!$D46))</f>
        <v/>
      </c>
      <c r="N44" s="60" t="str">
        <f>IF('Revenue Input'!$D46="","",IF('Cash Flow %s Yr1'!N39="","",'Cash Flow %s Yr1'!N39*'Revenue Input'!$D46))</f>
        <v/>
      </c>
      <c r="O44" s="60" t="str">
        <f>IF('Revenue Input'!$D46="","",IF('Cash Flow %s Yr1'!O39="","",'Cash Flow %s Yr1'!O39*'Revenue Input'!$D46))</f>
        <v/>
      </c>
      <c r="P44" s="60" t="str">
        <f>IF('Revenue Input'!$D46="","",IF('Cash Flow %s Yr1'!P39="","",'Cash Flow %s Yr1'!P39*'Revenue Input'!$D46))</f>
        <v/>
      </c>
      <c r="Q44" s="60" t="str">
        <f>IF('Revenue Input'!$D46="","",IF('Cash Flow %s Yr1'!Q39="","",'Cash Flow %s Yr1'!Q39*'Revenue Input'!$D46))</f>
        <v/>
      </c>
      <c r="R44" s="60" t="str">
        <f>IF('Revenue Input'!$D46="","",IF('Cash Flow %s Yr1'!R39="","",'Cash Flow %s Yr1'!R39*'Revenue Input'!$D46))</f>
        <v/>
      </c>
    </row>
    <row r="45" spans="1:18" s="30" customFormat="1" x14ac:dyDescent="0.3">
      <c r="A45" s="47"/>
      <c r="B45" s="61">
        <f>'Revenue Input'!B47</f>
        <v>8685</v>
      </c>
      <c r="C45" s="61" t="str">
        <f>'Revenue Input'!C47</f>
        <v>School Site Fundraising</v>
      </c>
      <c r="D45" s="60">
        <f>IF('Revenue Input'!$D47="","",IF('Cash Flow %s Yr1'!D40="","",'Cash Flow %s Yr1'!D40*'Revenue Input'!$D47))</f>
        <v>0</v>
      </c>
      <c r="E45" s="60">
        <f>IF('Revenue Input'!$D47="","",IF('Cash Flow %s Yr1'!E40="","",'Cash Flow %s Yr1'!E40*'Revenue Input'!$D47))</f>
        <v>0</v>
      </c>
      <c r="F45" s="60">
        <f>IF('Revenue Input'!$D47="","",IF('Cash Flow %s Yr1'!F40="","",'Cash Flow %s Yr1'!F40*'Revenue Input'!$D47))</f>
        <v>60.300000000000004</v>
      </c>
      <c r="G45" s="60">
        <f>IF('Revenue Input'!$D47="","",IF('Cash Flow %s Yr1'!G40="","",'Cash Flow %s Yr1'!G40*'Revenue Input'!$D47))</f>
        <v>60.300000000000004</v>
      </c>
      <c r="H45" s="60">
        <f>IF('Revenue Input'!$D47="","",IF('Cash Flow %s Yr1'!H40="","",'Cash Flow %s Yr1'!H40*'Revenue Input'!$D47))</f>
        <v>60.300000000000004</v>
      </c>
      <c r="I45" s="60">
        <f>IF('Revenue Input'!$D47="","",IF('Cash Flow %s Yr1'!I40="","",'Cash Flow %s Yr1'!I40*'Revenue Input'!$D47))</f>
        <v>60.300000000000004</v>
      </c>
      <c r="J45" s="60">
        <f>IF('Revenue Input'!$D47="","",IF('Cash Flow %s Yr1'!J40="","",'Cash Flow %s Yr1'!J40*'Revenue Input'!$D47))</f>
        <v>60.300000000000004</v>
      </c>
      <c r="K45" s="60">
        <f>IF('Revenue Input'!$D47="","",IF('Cash Flow %s Yr1'!K40="","",'Cash Flow %s Yr1'!K40*'Revenue Input'!$D47))</f>
        <v>60.300000000000004</v>
      </c>
      <c r="L45" s="60">
        <f>IF('Revenue Input'!$D47="","",IF('Cash Flow %s Yr1'!L40="","",'Cash Flow %s Yr1'!L40*'Revenue Input'!$D47))</f>
        <v>60.300000000000004</v>
      </c>
      <c r="M45" s="60">
        <f>IF('Revenue Input'!$D47="","",IF('Cash Flow %s Yr1'!M40="","",'Cash Flow %s Yr1'!M40*'Revenue Input'!$D47))</f>
        <v>60.300000000000004</v>
      </c>
      <c r="N45" s="60">
        <f>IF('Revenue Input'!$D47="","",IF('Cash Flow %s Yr1'!N40="","",'Cash Flow %s Yr1'!N40*'Revenue Input'!$D47))</f>
        <v>60.300000000000004</v>
      </c>
      <c r="O45" s="60">
        <f>IF('Revenue Input'!$D47="","",IF('Cash Flow %s Yr1'!O40="","",'Cash Flow %s Yr1'!O40*'Revenue Input'!$D47))</f>
        <v>60.300000000000004</v>
      </c>
      <c r="P45" s="60" t="str">
        <f>IF('Revenue Input'!$D47="","",IF('Cash Flow %s Yr1'!P40="","",'Cash Flow %s Yr1'!P40*'Revenue Input'!$D47))</f>
        <v/>
      </c>
      <c r="Q45" s="60" t="str">
        <f>IF('Revenue Input'!$D47="","",IF('Cash Flow %s Yr1'!Q40="","",'Cash Flow %s Yr1'!Q40*'Revenue Input'!$D47))</f>
        <v/>
      </c>
      <c r="R45" s="60" t="str">
        <f>IF('Revenue Input'!$D47="","",IF('Cash Flow %s Yr1'!R40="","",'Cash Flow %s Yr1'!R40*'Revenue Input'!$D47))</f>
        <v/>
      </c>
    </row>
    <row r="46" spans="1:18" s="30" customFormat="1" x14ac:dyDescent="0.3">
      <c r="A46" s="48"/>
      <c r="B46" s="61">
        <f>'Revenue Input'!B48</f>
        <v>8686</v>
      </c>
      <c r="C46" s="61" t="str">
        <f>'Revenue Input'!C48</f>
        <v>Donations</v>
      </c>
      <c r="D46" s="60" t="str">
        <f>IF('Revenue Input'!$D48="","",IF('Cash Flow %s Yr1'!D41="","",'Cash Flow %s Yr1'!D41*'Revenue Input'!$D48))</f>
        <v/>
      </c>
      <c r="E46" s="60" t="str">
        <f>IF('Revenue Input'!$D48="","",IF('Cash Flow %s Yr1'!E41="","",'Cash Flow %s Yr1'!E41*'Revenue Input'!$D48))</f>
        <v/>
      </c>
      <c r="F46" s="60" t="str">
        <f>IF('Revenue Input'!$D48="","",IF('Cash Flow %s Yr1'!F41="","",'Cash Flow %s Yr1'!F41*'Revenue Input'!$D48))</f>
        <v/>
      </c>
      <c r="G46" s="60" t="str">
        <f>IF('Revenue Input'!$D48="","",IF('Cash Flow %s Yr1'!G41="","",'Cash Flow %s Yr1'!G41*'Revenue Input'!$D48))</f>
        <v/>
      </c>
      <c r="H46" s="60" t="str">
        <f>IF('Revenue Input'!$D48="","",IF('Cash Flow %s Yr1'!H41="","",'Cash Flow %s Yr1'!H41*'Revenue Input'!$D48))</f>
        <v/>
      </c>
      <c r="I46" s="60" t="str">
        <f>IF('Revenue Input'!$D48="","",IF('Cash Flow %s Yr1'!I41="","",'Cash Flow %s Yr1'!I41*'Revenue Input'!$D48))</f>
        <v/>
      </c>
      <c r="J46" s="60" t="str">
        <f>IF('Revenue Input'!$D48="","",IF('Cash Flow %s Yr1'!J41="","",'Cash Flow %s Yr1'!J41*'Revenue Input'!$D48))</f>
        <v/>
      </c>
      <c r="K46" s="60" t="str">
        <f>IF('Revenue Input'!$D48="","",IF('Cash Flow %s Yr1'!K41="","",'Cash Flow %s Yr1'!K41*'Revenue Input'!$D48))</f>
        <v/>
      </c>
      <c r="L46" s="60" t="str">
        <f>IF('Revenue Input'!$D48="","",IF('Cash Flow %s Yr1'!L41="","",'Cash Flow %s Yr1'!L41*'Revenue Input'!$D48))</f>
        <v/>
      </c>
      <c r="M46" s="60" t="str">
        <f>IF('Revenue Input'!$D48="","",IF('Cash Flow %s Yr1'!M41="","",'Cash Flow %s Yr1'!M41*'Revenue Input'!$D48))</f>
        <v/>
      </c>
      <c r="N46" s="60" t="str">
        <f>IF('Revenue Input'!$D48="","",IF('Cash Flow %s Yr1'!N41="","",'Cash Flow %s Yr1'!N41*'Revenue Input'!$D48))</f>
        <v/>
      </c>
      <c r="O46" s="60" t="str">
        <f>IF('Revenue Input'!$D48="","",IF('Cash Flow %s Yr1'!O41="","",'Cash Flow %s Yr1'!O41*'Revenue Input'!$D48))</f>
        <v/>
      </c>
      <c r="P46" s="60" t="str">
        <f>IF('Revenue Input'!$D48="","",IF('Cash Flow %s Yr1'!P41="","",'Cash Flow %s Yr1'!P41*'Revenue Input'!$D48))</f>
        <v/>
      </c>
      <c r="Q46" s="60" t="str">
        <f>IF('Revenue Input'!$D48="","",IF('Cash Flow %s Yr1'!Q41="","",'Cash Flow %s Yr1'!Q41*'Revenue Input'!$D48))</f>
        <v/>
      </c>
      <c r="R46" s="60" t="str">
        <f>IF('Revenue Input'!$D48="","",IF('Cash Flow %s Yr1'!R41="","",'Cash Flow %s Yr1'!R41*'Revenue Input'!$D48))</f>
        <v/>
      </c>
    </row>
    <row r="47" spans="1:18" s="30" customFormat="1" ht="17.399999999999999" x14ac:dyDescent="0.3">
      <c r="A47" s="45"/>
      <c r="B47" s="61">
        <f>'Revenue Input'!B49</f>
        <v>8687</v>
      </c>
      <c r="C47" s="61" t="str">
        <f>'Revenue Input'!C49</f>
        <v>Fund Development</v>
      </c>
      <c r="D47" s="60" t="str">
        <f>IF('Revenue Input'!$D49="","",IF('Cash Flow %s Yr1'!D42="","",'Cash Flow %s Yr1'!D42*'Revenue Input'!$D49))</f>
        <v/>
      </c>
      <c r="E47" s="60" t="str">
        <f>IF('Revenue Input'!$D49="","",IF('Cash Flow %s Yr1'!E42="","",'Cash Flow %s Yr1'!E42*'Revenue Input'!$D49))</f>
        <v/>
      </c>
      <c r="F47" s="60" t="str">
        <f>IF('Revenue Input'!$D49="","",IF('Cash Flow %s Yr1'!F42="","",'Cash Flow %s Yr1'!F42*'Revenue Input'!$D49))</f>
        <v/>
      </c>
      <c r="G47" s="60" t="str">
        <f>IF('Revenue Input'!$D49="","",IF('Cash Flow %s Yr1'!G42="","",'Cash Flow %s Yr1'!G42*'Revenue Input'!$D49))</f>
        <v/>
      </c>
      <c r="H47" s="60" t="str">
        <f>IF('Revenue Input'!$D49="","",IF('Cash Flow %s Yr1'!H42="","",'Cash Flow %s Yr1'!H42*'Revenue Input'!$D49))</f>
        <v/>
      </c>
      <c r="I47" s="60" t="str">
        <f>IF('Revenue Input'!$D49="","",IF('Cash Flow %s Yr1'!I42="","",'Cash Flow %s Yr1'!I42*'Revenue Input'!$D49))</f>
        <v/>
      </c>
      <c r="J47" s="60" t="str">
        <f>IF('Revenue Input'!$D49="","",IF('Cash Flow %s Yr1'!J42="","",'Cash Flow %s Yr1'!J42*'Revenue Input'!$D49))</f>
        <v/>
      </c>
      <c r="K47" s="60" t="str">
        <f>IF('Revenue Input'!$D49="","",IF('Cash Flow %s Yr1'!K42="","",'Cash Flow %s Yr1'!K42*'Revenue Input'!$D49))</f>
        <v/>
      </c>
      <c r="L47" s="60" t="str">
        <f>IF('Revenue Input'!$D49="","",IF('Cash Flow %s Yr1'!L42="","",'Cash Flow %s Yr1'!L42*'Revenue Input'!$D49))</f>
        <v/>
      </c>
      <c r="M47" s="60" t="str">
        <f>IF('Revenue Input'!$D49="","",IF('Cash Flow %s Yr1'!M42="","",'Cash Flow %s Yr1'!M42*'Revenue Input'!$D49))</f>
        <v/>
      </c>
      <c r="N47" s="60" t="str">
        <f>IF('Revenue Input'!$D49="","",IF('Cash Flow %s Yr1'!N42="","",'Cash Flow %s Yr1'!N42*'Revenue Input'!$D49))</f>
        <v/>
      </c>
      <c r="O47" s="60" t="str">
        <f>IF('Revenue Input'!$D49="","",IF('Cash Flow %s Yr1'!O42="","",'Cash Flow %s Yr1'!O42*'Revenue Input'!$D49))</f>
        <v/>
      </c>
      <c r="P47" s="60" t="str">
        <f>IF('Revenue Input'!$D49="","",IF('Cash Flow %s Yr1'!P42="","",'Cash Flow %s Yr1'!P42*'Revenue Input'!$D49))</f>
        <v/>
      </c>
      <c r="Q47" s="60" t="str">
        <f>IF('Revenue Input'!$D49="","",IF('Cash Flow %s Yr1'!Q42="","",'Cash Flow %s Yr1'!Q42*'Revenue Input'!$D49))</f>
        <v/>
      </c>
      <c r="R47" s="60" t="str">
        <f>IF('Revenue Input'!$D49="","",IF('Cash Flow %s Yr1'!R42="","",'Cash Flow %s Yr1'!R42*'Revenue Input'!$D49))</f>
        <v/>
      </c>
    </row>
    <row r="48" spans="1:18" s="30" customFormat="1" ht="17.399999999999999" x14ac:dyDescent="0.3">
      <c r="A48" s="45"/>
      <c r="B48" s="61">
        <f>'Revenue Input'!B50</f>
        <v>8688</v>
      </c>
      <c r="C48" s="61" t="str">
        <f>'Revenue Input'!C50</f>
        <v>In Kind Contributions</v>
      </c>
      <c r="D48" s="60" t="str">
        <f>IF('Revenue Input'!$D50="","",IF('Cash Flow %s Yr1'!D43="","",'Cash Flow %s Yr1'!D43*'Revenue Input'!$D50))</f>
        <v/>
      </c>
      <c r="E48" s="60" t="str">
        <f>IF('Revenue Input'!$D50="","",IF('Cash Flow %s Yr1'!E43="","",'Cash Flow %s Yr1'!E43*'Revenue Input'!$D50))</f>
        <v/>
      </c>
      <c r="F48" s="60" t="str">
        <f>IF('Revenue Input'!$D50="","",IF('Cash Flow %s Yr1'!F43="","",'Cash Flow %s Yr1'!F43*'Revenue Input'!$D50))</f>
        <v/>
      </c>
      <c r="G48" s="60" t="str">
        <f>IF('Revenue Input'!$D50="","",IF('Cash Flow %s Yr1'!G43="","",'Cash Flow %s Yr1'!G43*'Revenue Input'!$D50))</f>
        <v/>
      </c>
      <c r="H48" s="60" t="str">
        <f>IF('Revenue Input'!$D50="","",IF('Cash Flow %s Yr1'!H43="","",'Cash Flow %s Yr1'!H43*'Revenue Input'!$D50))</f>
        <v/>
      </c>
      <c r="I48" s="60" t="str">
        <f>IF('Revenue Input'!$D50="","",IF('Cash Flow %s Yr1'!I43="","",'Cash Flow %s Yr1'!I43*'Revenue Input'!$D50))</f>
        <v/>
      </c>
      <c r="J48" s="60" t="str">
        <f>IF('Revenue Input'!$D50="","",IF('Cash Flow %s Yr1'!J43="","",'Cash Flow %s Yr1'!J43*'Revenue Input'!$D50))</f>
        <v/>
      </c>
      <c r="K48" s="60" t="str">
        <f>IF('Revenue Input'!$D50="","",IF('Cash Flow %s Yr1'!K43="","",'Cash Flow %s Yr1'!K43*'Revenue Input'!$D50))</f>
        <v/>
      </c>
      <c r="L48" s="60" t="str">
        <f>IF('Revenue Input'!$D50="","",IF('Cash Flow %s Yr1'!L43="","",'Cash Flow %s Yr1'!L43*'Revenue Input'!$D50))</f>
        <v/>
      </c>
      <c r="M48" s="60" t="str">
        <f>IF('Revenue Input'!$D50="","",IF('Cash Flow %s Yr1'!M43="","",'Cash Flow %s Yr1'!M43*'Revenue Input'!$D50))</f>
        <v/>
      </c>
      <c r="N48" s="60" t="str">
        <f>IF('Revenue Input'!$D50="","",IF('Cash Flow %s Yr1'!N43="","",'Cash Flow %s Yr1'!N43*'Revenue Input'!$D50))</f>
        <v/>
      </c>
      <c r="O48" s="60" t="str">
        <f>IF('Revenue Input'!$D50="","",IF('Cash Flow %s Yr1'!O43="","",'Cash Flow %s Yr1'!O43*'Revenue Input'!$D50))</f>
        <v/>
      </c>
      <c r="P48" s="60" t="str">
        <f>IF('Revenue Input'!$D50="","",IF('Cash Flow %s Yr1'!P43="","",'Cash Flow %s Yr1'!P43*'Revenue Input'!$D50))</f>
        <v/>
      </c>
      <c r="Q48" s="60" t="str">
        <f>IF('Revenue Input'!$D50="","",IF('Cash Flow %s Yr1'!Q43="","",'Cash Flow %s Yr1'!Q43*'Revenue Input'!$D50))</f>
        <v/>
      </c>
      <c r="R48" s="60" t="str">
        <f>IF('Revenue Input'!$D50="","",IF('Cash Flow %s Yr1'!R43="","",'Cash Flow %s Yr1'!R43*'Revenue Input'!$D50))</f>
        <v/>
      </c>
    </row>
    <row r="49" spans="1:18" s="30" customFormat="1" ht="17.399999999999999" x14ac:dyDescent="0.3">
      <c r="A49" s="45"/>
      <c r="B49" s="61">
        <f>'Revenue Input'!B51</f>
        <v>8689</v>
      </c>
      <c r="C49" s="61" t="str">
        <f>'Revenue Input'!C51</f>
        <v xml:space="preserve">All Other Local Revenue </v>
      </c>
      <c r="D49" s="60" t="str">
        <f>IF('Revenue Input'!$D51="","",IF('Cash Flow %s Yr1'!D44="","",'Cash Flow %s Yr1'!D44*'Revenue Input'!$D51))</f>
        <v/>
      </c>
      <c r="E49" s="60" t="str">
        <f>IF('Revenue Input'!$D51="","",IF('Cash Flow %s Yr1'!E44="","",'Cash Flow %s Yr1'!E44*'Revenue Input'!$D51))</f>
        <v/>
      </c>
      <c r="F49" s="60" t="str">
        <f>IF('Revenue Input'!$D51="","",IF('Cash Flow %s Yr1'!F44="","",'Cash Flow %s Yr1'!F44*'Revenue Input'!$D51))</f>
        <v/>
      </c>
      <c r="G49" s="60" t="str">
        <f>IF('Revenue Input'!$D51="","",IF('Cash Flow %s Yr1'!G44="","",'Cash Flow %s Yr1'!G44*'Revenue Input'!$D51))</f>
        <v/>
      </c>
      <c r="H49" s="60" t="str">
        <f>IF('Revenue Input'!$D51="","",IF('Cash Flow %s Yr1'!H44="","",'Cash Flow %s Yr1'!H44*'Revenue Input'!$D51))</f>
        <v/>
      </c>
      <c r="I49" s="60" t="str">
        <f>IF('Revenue Input'!$D51="","",IF('Cash Flow %s Yr1'!I44="","",'Cash Flow %s Yr1'!I44*'Revenue Input'!$D51))</f>
        <v/>
      </c>
      <c r="J49" s="60" t="str">
        <f>IF('Revenue Input'!$D51="","",IF('Cash Flow %s Yr1'!J44="","",'Cash Flow %s Yr1'!J44*'Revenue Input'!$D51))</f>
        <v/>
      </c>
      <c r="K49" s="60" t="str">
        <f>IF('Revenue Input'!$D51="","",IF('Cash Flow %s Yr1'!K44="","",'Cash Flow %s Yr1'!K44*'Revenue Input'!$D51))</f>
        <v/>
      </c>
      <c r="L49" s="60" t="str">
        <f>IF('Revenue Input'!$D51="","",IF('Cash Flow %s Yr1'!L44="","",'Cash Flow %s Yr1'!L44*'Revenue Input'!$D51))</f>
        <v/>
      </c>
      <c r="M49" s="60" t="str">
        <f>IF('Revenue Input'!$D51="","",IF('Cash Flow %s Yr1'!M44="","",'Cash Flow %s Yr1'!M44*'Revenue Input'!$D51))</f>
        <v/>
      </c>
      <c r="N49" s="60" t="str">
        <f>IF('Revenue Input'!$D51="","",IF('Cash Flow %s Yr1'!N44="","",'Cash Flow %s Yr1'!N44*'Revenue Input'!$D51))</f>
        <v/>
      </c>
      <c r="O49" s="60" t="str">
        <f>IF('Revenue Input'!$D51="","",IF('Cash Flow %s Yr1'!O44="","",'Cash Flow %s Yr1'!O44*'Revenue Input'!$D51))</f>
        <v/>
      </c>
      <c r="P49" s="60" t="str">
        <f>IF('Revenue Input'!$D51="","",IF('Cash Flow %s Yr1'!P44="","",'Cash Flow %s Yr1'!P44*'Revenue Input'!$D51))</f>
        <v/>
      </c>
      <c r="Q49" s="60" t="str">
        <f>IF('Revenue Input'!$D51="","",IF('Cash Flow %s Yr1'!Q44="","",'Cash Flow %s Yr1'!Q44*'Revenue Input'!$D51))</f>
        <v/>
      </c>
      <c r="R49" s="60" t="str">
        <f>IF('Revenue Input'!$D51="","",IF('Cash Flow %s Yr1'!R44="","",'Cash Flow %s Yr1'!R44*'Revenue Input'!$D51))</f>
        <v/>
      </c>
    </row>
    <row r="50" spans="1:18" s="30" customFormat="1" ht="17.399999999999999" x14ac:dyDescent="0.3">
      <c r="A50" s="45"/>
      <c r="B50" s="61">
        <f>'Revenue Input'!B52</f>
        <v>8699</v>
      </c>
      <c r="C50" s="61" t="str">
        <f>'Revenue Input'!C52</f>
        <v xml:space="preserve">All Other Local Revenue </v>
      </c>
      <c r="D50" s="60">
        <f>IF('Revenue Input'!$D52="","",IF('Cash Flow %s Yr1'!D45="","",'Cash Flow %s Yr1'!D45*'Revenue Input'!$D52))</f>
        <v>0</v>
      </c>
      <c r="E50" s="60">
        <f>IF('Revenue Input'!$D52="","",IF('Cash Flow %s Yr1'!E45="","",'Cash Flow %s Yr1'!E45*'Revenue Input'!$D52))</f>
        <v>0</v>
      </c>
      <c r="F50" s="60">
        <f>IF('Revenue Input'!$D52="","",IF('Cash Flow %s Yr1'!F45="","",'Cash Flow %s Yr1'!F45*'Revenue Input'!$D52))</f>
        <v>96.600000000000009</v>
      </c>
      <c r="G50" s="60">
        <f>IF('Revenue Input'!$D52="","",IF('Cash Flow %s Yr1'!G45="","",'Cash Flow %s Yr1'!G45*'Revenue Input'!$D52))</f>
        <v>96.600000000000009</v>
      </c>
      <c r="H50" s="60">
        <f>IF('Revenue Input'!$D52="","",IF('Cash Flow %s Yr1'!H45="","",'Cash Flow %s Yr1'!H45*'Revenue Input'!$D52))</f>
        <v>96.600000000000009</v>
      </c>
      <c r="I50" s="60">
        <f>IF('Revenue Input'!$D52="","",IF('Cash Flow %s Yr1'!I45="","",'Cash Flow %s Yr1'!I45*'Revenue Input'!$D52))</f>
        <v>96.600000000000009</v>
      </c>
      <c r="J50" s="60">
        <f>IF('Revenue Input'!$D52="","",IF('Cash Flow %s Yr1'!J45="","",'Cash Flow %s Yr1'!J45*'Revenue Input'!$D52))</f>
        <v>96.600000000000009</v>
      </c>
      <c r="K50" s="60">
        <f>IF('Revenue Input'!$D52="","",IF('Cash Flow %s Yr1'!K45="","",'Cash Flow %s Yr1'!K45*'Revenue Input'!$D52))</f>
        <v>96.600000000000009</v>
      </c>
      <c r="L50" s="60">
        <f>IF('Revenue Input'!$D52="","",IF('Cash Flow %s Yr1'!L45="","",'Cash Flow %s Yr1'!L45*'Revenue Input'!$D52))</f>
        <v>96.600000000000009</v>
      </c>
      <c r="M50" s="60">
        <f>IF('Revenue Input'!$D52="","",IF('Cash Flow %s Yr1'!M45="","",'Cash Flow %s Yr1'!M45*'Revenue Input'!$D52))</f>
        <v>96.600000000000009</v>
      </c>
      <c r="N50" s="60">
        <f>IF('Revenue Input'!$D52="","",IF('Cash Flow %s Yr1'!N45="","",'Cash Flow %s Yr1'!N45*'Revenue Input'!$D52))</f>
        <v>96.600000000000009</v>
      </c>
      <c r="O50" s="60">
        <f>IF('Revenue Input'!$D52="","",IF('Cash Flow %s Yr1'!O45="","",'Cash Flow %s Yr1'!O45*'Revenue Input'!$D52))</f>
        <v>96.600000000000009</v>
      </c>
      <c r="P50" s="60" t="str">
        <f>IF('Revenue Input'!$D52="","",IF('Cash Flow %s Yr1'!P45="","",'Cash Flow %s Yr1'!P45*'Revenue Input'!$D52))</f>
        <v/>
      </c>
      <c r="Q50" s="60" t="str">
        <f>IF('Revenue Input'!$D52="","",IF('Cash Flow %s Yr1'!Q45="","",'Cash Flow %s Yr1'!Q45*'Revenue Input'!$D52))</f>
        <v/>
      </c>
      <c r="R50" s="60" t="str">
        <f>IF('Revenue Input'!$D52="","",IF('Cash Flow %s Yr1'!R45="","",'Cash Flow %s Yr1'!R45*'Revenue Input'!$D52))</f>
        <v/>
      </c>
    </row>
    <row r="51" spans="1:18" s="30" customFormat="1" ht="17.399999999999999" x14ac:dyDescent="0.3">
      <c r="A51" s="45"/>
      <c r="B51" s="61">
        <f>'Revenue Input'!B53</f>
        <v>8792</v>
      </c>
      <c r="C51" s="61" t="str">
        <f>'Revenue Input'!C53</f>
        <v>SPED State/Other Transfers of Apportionments from County</v>
      </c>
      <c r="D51" s="60">
        <f>IF('Revenue Input'!$D53="","",IF('Cash Flow %s Yr1'!D46="","",'Cash Flow %s Yr1'!D46*'Revenue Input'!$D53))</f>
        <v>0</v>
      </c>
      <c r="E51" s="60">
        <f>IF('Revenue Input'!$D53="","",IF('Cash Flow %s Yr1'!E46="","",'Cash Flow %s Yr1'!E46*'Revenue Input'!$D53))</f>
        <v>0</v>
      </c>
      <c r="F51" s="60">
        <f>IF('Revenue Input'!$D53="","",IF('Cash Flow %s Yr1'!F46="","",'Cash Flow %s Yr1'!F46*'Revenue Input'!$D53))</f>
        <v>0</v>
      </c>
      <c r="G51" s="60">
        <f>IF('Revenue Input'!$D53="","",IF('Cash Flow %s Yr1'!G46="","",'Cash Flow %s Yr1'!G46*'Revenue Input'!$D53))</f>
        <v>0</v>
      </c>
      <c r="H51" s="60">
        <f>IF('Revenue Input'!$D53="","",IF('Cash Flow %s Yr1'!H46="","",'Cash Flow %s Yr1'!H46*'Revenue Input'!$D53))</f>
        <v>0</v>
      </c>
      <c r="I51" s="60">
        <f>IF('Revenue Input'!$D53="","",IF('Cash Flow %s Yr1'!I46="","",'Cash Flow %s Yr1'!I46*'Revenue Input'!$D53))</f>
        <v>0</v>
      </c>
      <c r="J51" s="60">
        <f>IF('Revenue Input'!$D53="","",IF('Cash Flow %s Yr1'!J46="","",'Cash Flow %s Yr1'!J46*'Revenue Input'!$D53))</f>
        <v>0</v>
      </c>
      <c r="K51" s="60">
        <f>IF('Revenue Input'!$D53="","",IF('Cash Flow %s Yr1'!K46="","",'Cash Flow %s Yr1'!K46*'Revenue Input'!$D53))</f>
        <v>0</v>
      </c>
      <c r="L51" s="60">
        <f>IF('Revenue Input'!$D53="","",IF('Cash Flow %s Yr1'!L46="","",'Cash Flow %s Yr1'!L46*'Revenue Input'!$D53))</f>
        <v>0</v>
      </c>
      <c r="M51" s="60">
        <f>IF('Revenue Input'!$D53="","",IF('Cash Flow %s Yr1'!M46="","",'Cash Flow %s Yr1'!M46*'Revenue Input'!$D53))</f>
        <v>0</v>
      </c>
      <c r="N51" s="60">
        <f>IF('Revenue Input'!$D53="","",IF('Cash Flow %s Yr1'!N46="","",'Cash Flow %s Yr1'!N46*'Revenue Input'!$D53))</f>
        <v>0</v>
      </c>
      <c r="O51" s="60">
        <f>IF('Revenue Input'!$D53="","",IF('Cash Flow %s Yr1'!O46="","",'Cash Flow %s Yr1'!O46*'Revenue Input'!$D53))</f>
        <v>0</v>
      </c>
      <c r="P51" s="60" t="str">
        <f>IF('Revenue Input'!$D53="","",IF('Cash Flow %s Yr1'!P46="","",'Cash Flow %s Yr1'!P46*'Revenue Input'!$D53))</f>
        <v/>
      </c>
      <c r="Q51" s="60" t="str">
        <f>IF('Revenue Input'!$D53="","",IF('Cash Flow %s Yr1'!Q46="","",'Cash Flow %s Yr1'!Q46*'Revenue Input'!$D53))</f>
        <v/>
      </c>
      <c r="R51" s="60" t="str">
        <f>IF('Revenue Input'!$D53="","",IF('Cash Flow %s Yr1'!R46="","",'Cash Flow %s Yr1'!R46*'Revenue Input'!$D53))</f>
        <v/>
      </c>
    </row>
    <row r="52" spans="1:18" s="30" customFormat="1" ht="17.399999999999999" x14ac:dyDescent="0.3">
      <c r="A52" s="45"/>
      <c r="B52" s="61">
        <f>'Revenue Input'!B55</f>
        <v>8984</v>
      </c>
      <c r="C52" s="61" t="str">
        <f>'Revenue Input'!C55</f>
        <v>Student Body (ASB Fundraising)</v>
      </c>
      <c r="D52" s="60" t="str">
        <f>IF('Revenue Input'!$D55="","",IF('Cash Flow %s Yr1'!D47="","",'Cash Flow %s Yr1'!D47*'Revenue Input'!$D55))</f>
        <v/>
      </c>
      <c r="E52" s="60" t="str">
        <f>IF('Revenue Input'!$D55="","",IF('Cash Flow %s Yr1'!E47="","",'Cash Flow %s Yr1'!E47*'Revenue Input'!$D55))</f>
        <v/>
      </c>
      <c r="F52" s="60" t="str">
        <f>IF('Revenue Input'!$D55="","",IF('Cash Flow %s Yr1'!F47="","",'Cash Flow %s Yr1'!F47*'Revenue Input'!$D55))</f>
        <v/>
      </c>
      <c r="G52" s="60" t="str">
        <f>IF('Revenue Input'!$D55="","",IF('Cash Flow %s Yr1'!G47="","",'Cash Flow %s Yr1'!G47*'Revenue Input'!$D55))</f>
        <v/>
      </c>
      <c r="H52" s="60" t="str">
        <f>IF('Revenue Input'!$D55="","",IF('Cash Flow %s Yr1'!H47="","",'Cash Flow %s Yr1'!H47*'Revenue Input'!$D55))</f>
        <v/>
      </c>
      <c r="I52" s="60" t="str">
        <f>IF('Revenue Input'!$D55="","",IF('Cash Flow %s Yr1'!I47="","",'Cash Flow %s Yr1'!I47*'Revenue Input'!$D55))</f>
        <v/>
      </c>
      <c r="J52" s="60" t="str">
        <f>IF('Revenue Input'!$D55="","",IF('Cash Flow %s Yr1'!J47="","",'Cash Flow %s Yr1'!J47*'Revenue Input'!$D55))</f>
        <v/>
      </c>
      <c r="K52" s="60" t="str">
        <f>IF('Revenue Input'!$D55="","",IF('Cash Flow %s Yr1'!K47="","",'Cash Flow %s Yr1'!K47*'Revenue Input'!$D55))</f>
        <v/>
      </c>
      <c r="L52" s="60" t="str">
        <f>IF('Revenue Input'!$D55="","",IF('Cash Flow %s Yr1'!L47="","",'Cash Flow %s Yr1'!L47*'Revenue Input'!$D55))</f>
        <v/>
      </c>
      <c r="M52" s="60" t="str">
        <f>IF('Revenue Input'!$D55="","",IF('Cash Flow %s Yr1'!M47="","",'Cash Flow %s Yr1'!M47*'Revenue Input'!$D55))</f>
        <v/>
      </c>
      <c r="N52" s="60" t="str">
        <f>IF('Revenue Input'!$D55="","",IF('Cash Flow %s Yr1'!N47="","",'Cash Flow %s Yr1'!N47*'Revenue Input'!$D55))</f>
        <v/>
      </c>
      <c r="O52" s="60" t="str">
        <f>IF('Revenue Input'!$D55="","",IF('Cash Flow %s Yr1'!O47="","",'Cash Flow %s Yr1'!O47*'Revenue Input'!$D55))</f>
        <v/>
      </c>
      <c r="P52" s="60" t="str">
        <f>IF('Revenue Input'!$D55="","",IF('Cash Flow %s Yr1'!P47="","",'Cash Flow %s Yr1'!P47*'Revenue Input'!$D55))</f>
        <v/>
      </c>
      <c r="Q52" s="60" t="str">
        <f>IF('Revenue Input'!$D55="","",IF('Cash Flow %s Yr1'!Q47="","",'Cash Flow %s Yr1'!Q47*'Revenue Input'!$D55))</f>
        <v/>
      </c>
      <c r="R52" s="60" t="str">
        <f>IF('Revenue Input'!$D55="","",IF('Cash Flow %s Yr1'!R47="","",'Cash Flow %s Yr1'!R47*'Revenue Input'!$D55))</f>
        <v/>
      </c>
    </row>
    <row r="53" spans="1:18" s="30" customFormat="1" ht="17.399999999999999" x14ac:dyDescent="0.3">
      <c r="A53" s="45"/>
      <c r="B53" s="61"/>
      <c r="C53" s="61"/>
      <c r="D53" s="60"/>
      <c r="E53" s="60"/>
      <c r="F53" s="60"/>
      <c r="G53" s="60"/>
      <c r="H53" s="60"/>
      <c r="I53" s="60"/>
      <c r="J53" s="60"/>
      <c r="K53" s="60"/>
      <c r="L53" s="60"/>
      <c r="M53" s="60"/>
      <c r="N53" s="60"/>
      <c r="O53" s="60"/>
      <c r="P53" s="60"/>
      <c r="Q53" s="60"/>
      <c r="R53" s="60"/>
    </row>
    <row r="54" spans="1:18" s="30" customFormat="1" ht="17.399999999999999" x14ac:dyDescent="0.3">
      <c r="A54" s="45"/>
      <c r="B54" s="61"/>
      <c r="C54" s="61"/>
      <c r="D54" s="60"/>
      <c r="E54" s="60"/>
      <c r="F54" s="60"/>
      <c r="G54" s="60"/>
      <c r="H54" s="60"/>
      <c r="I54" s="60"/>
      <c r="J54" s="60"/>
      <c r="K54" s="60"/>
      <c r="L54" s="60"/>
      <c r="M54" s="60"/>
      <c r="N54" s="60"/>
      <c r="O54" s="60"/>
      <c r="P54" s="60"/>
      <c r="Q54" s="60"/>
      <c r="R54" s="60"/>
    </row>
    <row r="55" spans="1:18" s="30" customFormat="1" ht="17.399999999999999" x14ac:dyDescent="0.3">
      <c r="A55" s="45"/>
      <c r="B55" s="68"/>
      <c r="C55" s="33" t="s">
        <v>1259</v>
      </c>
      <c r="D55" s="183">
        <f t="shared" ref="D55:R55" si="5">SUM(D42:D54)</f>
        <v>645.90600000000006</v>
      </c>
      <c r="E55" s="183">
        <f t="shared" si="5"/>
        <v>645.90600000000006</v>
      </c>
      <c r="F55" s="183">
        <f t="shared" si="5"/>
        <v>851.50600000000009</v>
      </c>
      <c r="G55" s="183">
        <f>SUM(G42:G54)</f>
        <v>851.50600000000009</v>
      </c>
      <c r="H55" s="183">
        <f t="shared" si="5"/>
        <v>851.50600000000009</v>
      </c>
      <c r="I55" s="183">
        <f t="shared" si="5"/>
        <v>851.50600000000009</v>
      </c>
      <c r="J55" s="183">
        <f t="shared" si="5"/>
        <v>851.50600000000009</v>
      </c>
      <c r="K55" s="183">
        <f t="shared" si="5"/>
        <v>851.50600000000009</v>
      </c>
      <c r="L55" s="183">
        <f t="shared" si="5"/>
        <v>859.28800000000001</v>
      </c>
      <c r="M55" s="183">
        <f t="shared" si="5"/>
        <v>859.28800000000001</v>
      </c>
      <c r="N55" s="183">
        <f t="shared" si="5"/>
        <v>859.28800000000001</v>
      </c>
      <c r="O55" s="183">
        <f t="shared" si="5"/>
        <v>859.28800000000001</v>
      </c>
      <c r="P55" s="183">
        <f t="shared" si="5"/>
        <v>0</v>
      </c>
      <c r="Q55" s="183">
        <f t="shared" si="5"/>
        <v>0</v>
      </c>
      <c r="R55" s="183">
        <f t="shared" si="5"/>
        <v>0</v>
      </c>
    </row>
    <row r="56" spans="1:18" s="30" customFormat="1" ht="17.399999999999999" x14ac:dyDescent="0.3">
      <c r="A56" s="45"/>
      <c r="B56" s="47" t="s">
        <v>676</v>
      </c>
      <c r="C56" s="48"/>
      <c r="D56" s="184">
        <f t="shared" ref="D56:R56" si="6">SUM(D55,D39,D28)</f>
        <v>42009.306000000004</v>
      </c>
      <c r="E56" s="184">
        <f t="shared" si="6"/>
        <v>83980.626000000004</v>
      </c>
      <c r="F56" s="184">
        <f t="shared" si="6"/>
        <v>231187.266</v>
      </c>
      <c r="G56" s="184">
        <f>SUM(G55,G39,G28)</f>
        <v>131267.386</v>
      </c>
      <c r="H56" s="184">
        <f t="shared" si="6"/>
        <v>137056.33902999997</v>
      </c>
      <c r="I56" s="184">
        <f t="shared" si="6"/>
        <v>199757.36253000001</v>
      </c>
      <c r="J56" s="184">
        <f t="shared" si="6"/>
        <v>177932.36252999998</v>
      </c>
      <c r="K56" s="184">
        <f t="shared" si="6"/>
        <v>134565.98752999998</v>
      </c>
      <c r="L56" s="184">
        <f t="shared" si="6"/>
        <v>241736.46453000003</v>
      </c>
      <c r="M56" s="184">
        <f t="shared" si="6"/>
        <v>195752.42453000002</v>
      </c>
      <c r="N56" s="184">
        <f t="shared" si="6"/>
        <v>127578.54953</v>
      </c>
      <c r="O56" s="184">
        <f t="shared" si="6"/>
        <v>282295.50109000003</v>
      </c>
      <c r="P56" s="184">
        <f t="shared" si="6"/>
        <v>0</v>
      </c>
      <c r="Q56" s="184">
        <f t="shared" si="6"/>
        <v>0</v>
      </c>
      <c r="R56" s="184">
        <f t="shared" si="6"/>
        <v>0</v>
      </c>
    </row>
    <row r="57" spans="1:18" s="30" customFormat="1" ht="17.399999999999999" x14ac:dyDescent="0.3">
      <c r="A57" s="45"/>
      <c r="B57" s="68"/>
      <c r="C57" s="48"/>
      <c r="D57" s="121"/>
      <c r="E57" s="121"/>
      <c r="F57" s="121"/>
      <c r="G57" s="121"/>
      <c r="H57" s="121"/>
      <c r="I57" s="121"/>
      <c r="J57" s="121"/>
      <c r="K57" s="121"/>
      <c r="L57" s="121"/>
      <c r="M57" s="121"/>
      <c r="N57" s="121"/>
      <c r="O57" s="121"/>
      <c r="P57" s="121"/>
      <c r="Q57" s="121"/>
      <c r="R57" s="121"/>
    </row>
    <row r="58" spans="1:18" s="30" customFormat="1" ht="17.399999999999999" x14ac:dyDescent="0.3">
      <c r="A58" s="45" t="s">
        <v>796</v>
      </c>
      <c r="B58" s="69"/>
      <c r="C58" s="33"/>
      <c r="D58" s="122"/>
      <c r="E58" s="122"/>
      <c r="F58" s="122"/>
      <c r="G58" s="122"/>
      <c r="H58" s="122"/>
      <c r="I58" s="122"/>
      <c r="J58" s="122"/>
      <c r="K58" s="122"/>
      <c r="L58" s="122"/>
      <c r="M58" s="122"/>
      <c r="N58" s="122"/>
      <c r="O58" s="122"/>
      <c r="P58" s="122"/>
      <c r="Q58" s="122"/>
      <c r="R58" s="122"/>
    </row>
    <row r="59" spans="1:18" x14ac:dyDescent="0.3">
      <c r="A59" s="1"/>
      <c r="B59" s="33" t="s">
        <v>732</v>
      </c>
      <c r="C59" s="3"/>
      <c r="D59" s="101"/>
      <c r="E59" s="101"/>
      <c r="F59" s="101"/>
      <c r="G59" s="101"/>
      <c r="H59" s="101"/>
      <c r="I59" s="101"/>
      <c r="J59" s="101"/>
      <c r="K59" s="101"/>
      <c r="L59" s="101"/>
      <c r="M59" s="101"/>
      <c r="N59" s="101"/>
      <c r="O59" s="101"/>
      <c r="P59" s="101"/>
      <c r="Q59" s="101"/>
      <c r="R59" s="101"/>
    </row>
    <row r="60" spans="1:18" x14ac:dyDescent="0.3">
      <c r="A60" s="35"/>
      <c r="B60" s="63" t="str">
        <f>'Expenses Summary'!B8</f>
        <v>1100</v>
      </c>
      <c r="C60" s="63" t="str">
        <f>'Expenses Summary'!C8</f>
        <v>Teachers'  Salaries</v>
      </c>
      <c r="D60" s="60">
        <f>IF('Expenses Summary'!$D8="","",IF('Cash Flow %s Yr1'!D55="","",'Cash Flow %s Yr1'!D55*'Expenses Summary'!$D8))</f>
        <v>3404.26</v>
      </c>
      <c r="E60" s="60">
        <f>IF('Expenses Summary'!$D8="","",IF('Cash Flow %s Yr1'!E55="","",'Cash Flow %s Yr1'!E55*'Expenses Summary'!$D8))</f>
        <v>8510.65</v>
      </c>
      <c r="F60" s="60">
        <f>IF('Expenses Summary'!$D8="","",IF('Cash Flow %s Yr1'!F55="","",'Cash Flow %s Yr1'!F55*'Expenses Summary'!$D8))</f>
        <v>17021.3</v>
      </c>
      <c r="G60" s="60">
        <f>IF('Expenses Summary'!$D8="","",IF('Cash Flow %s Yr1'!G55="","",'Cash Flow %s Yr1'!G55*'Expenses Summary'!$D8))</f>
        <v>17021.3</v>
      </c>
      <c r="H60" s="60">
        <f>IF('Expenses Summary'!$D8="","",IF('Cash Flow %s Yr1'!H55="","",'Cash Flow %s Yr1'!H55*'Expenses Summary'!$D8))</f>
        <v>17021.3</v>
      </c>
      <c r="I60" s="60">
        <f>IF('Expenses Summary'!$D8="","",IF('Cash Flow %s Yr1'!I55="","",'Cash Flow %s Yr1'!I55*'Expenses Summary'!$D8))</f>
        <v>17021.3</v>
      </c>
      <c r="J60" s="60">
        <f>IF('Expenses Summary'!$D8="","",IF('Cash Flow %s Yr1'!J55="","",'Cash Flow %s Yr1'!J55*'Expenses Summary'!$D8))</f>
        <v>17021.3</v>
      </c>
      <c r="K60" s="60">
        <f>IF('Expenses Summary'!$D8="","",IF('Cash Flow %s Yr1'!K55="","",'Cash Flow %s Yr1'!K55*'Expenses Summary'!$D8))</f>
        <v>17021.3</v>
      </c>
      <c r="L60" s="60">
        <f>IF('Expenses Summary'!$D8="","",IF('Cash Flow %s Yr1'!L55="","",'Cash Flow %s Yr1'!L55*'Expenses Summary'!$D8))</f>
        <v>17021.3</v>
      </c>
      <c r="M60" s="60">
        <f>IF('Expenses Summary'!$D8="","",IF('Cash Flow %s Yr1'!M55="","",'Cash Flow %s Yr1'!M55*'Expenses Summary'!$D8))</f>
        <v>17021.3</v>
      </c>
      <c r="N60" s="60">
        <f>IF('Expenses Summary'!$D8="","",IF('Cash Flow %s Yr1'!N55="","",'Cash Flow %s Yr1'!N55*'Expenses Summary'!$D8))</f>
        <v>17021.3</v>
      </c>
      <c r="O60" s="60">
        <f>IF('Expenses Summary'!$D8="","",IF('Cash Flow %s Yr1'!O55="","",'Cash Flow %s Yr1'!O55*'Expenses Summary'!$D8))</f>
        <v>5106.3899999999994</v>
      </c>
      <c r="P60" s="60" t="str">
        <f>IF('Expenses Summary'!$D8="","",IF('Cash Flow %s Yr1'!P55="","",'Cash Flow %s Yr1'!P55*'Expenses Summary'!$D8))</f>
        <v/>
      </c>
      <c r="Q60" s="123"/>
      <c r="R60" s="123"/>
    </row>
    <row r="61" spans="1:18" x14ac:dyDescent="0.3">
      <c r="A61" s="35"/>
      <c r="B61" s="63" t="str">
        <f>'Expenses Summary'!B9</f>
        <v>1105</v>
      </c>
      <c r="C61" s="63" t="str">
        <f>'Expenses Summary'!C9</f>
        <v>Teachers'  Stipend</v>
      </c>
      <c r="D61" s="60">
        <f>IF('Expenses Summary'!$D9="","",IF('Cash Flow %s Yr1'!D56="","",'Cash Flow %s Yr1'!D56*'Expenses Summary'!$D9))</f>
        <v>0</v>
      </c>
      <c r="E61" s="60">
        <f>IF('Expenses Summary'!$D9="","",IF('Cash Flow %s Yr1'!E56="","",'Cash Flow %s Yr1'!E56*'Expenses Summary'!$D9))</f>
        <v>0</v>
      </c>
      <c r="F61" s="60">
        <f>IF('Expenses Summary'!$D9="","",IF('Cash Flow %s Yr1'!F56="","",'Cash Flow %s Yr1'!F56*'Expenses Summary'!$D9))</f>
        <v>0</v>
      </c>
      <c r="G61" s="60">
        <f>IF('Expenses Summary'!$D9="","",IF('Cash Flow %s Yr1'!G56="","",'Cash Flow %s Yr1'!G56*'Expenses Summary'!$D9))</f>
        <v>0</v>
      </c>
      <c r="H61" s="60">
        <f>IF('Expenses Summary'!$D9="","",IF('Cash Flow %s Yr1'!H56="","",'Cash Flow %s Yr1'!H56*'Expenses Summary'!$D9))</f>
        <v>0</v>
      </c>
      <c r="I61" s="60">
        <f>IF('Expenses Summary'!$D9="","",IF('Cash Flow %s Yr1'!I56="","",'Cash Flow %s Yr1'!I56*'Expenses Summary'!$D9))</f>
        <v>0</v>
      </c>
      <c r="J61" s="60">
        <f>IF('Expenses Summary'!$D9="","",IF('Cash Flow %s Yr1'!J56="","",'Cash Flow %s Yr1'!J56*'Expenses Summary'!$D9))</f>
        <v>0</v>
      </c>
      <c r="K61" s="60">
        <f>IF('Expenses Summary'!$D9="","",IF('Cash Flow %s Yr1'!K56="","",'Cash Flow %s Yr1'!K56*'Expenses Summary'!$D9))</f>
        <v>0</v>
      </c>
      <c r="L61" s="60">
        <f>IF('Expenses Summary'!$D9="","",IF('Cash Flow %s Yr1'!L56="","",'Cash Flow %s Yr1'!L56*'Expenses Summary'!$D9))</f>
        <v>0</v>
      </c>
      <c r="M61" s="60">
        <f>IF('Expenses Summary'!$D9="","",IF('Cash Flow %s Yr1'!M56="","",'Cash Flow %s Yr1'!M56*'Expenses Summary'!$D9))</f>
        <v>0</v>
      </c>
      <c r="N61" s="60">
        <f>IF('Expenses Summary'!$D9="","",IF('Cash Flow %s Yr1'!N56="","",'Cash Flow %s Yr1'!N56*'Expenses Summary'!$D9))</f>
        <v>0</v>
      </c>
      <c r="O61" s="60">
        <f>IF('Expenses Summary'!$D9="","",IF('Cash Flow %s Yr1'!O56="","",'Cash Flow %s Yr1'!O56*'Expenses Summary'!$D9))</f>
        <v>0</v>
      </c>
      <c r="P61" s="123"/>
      <c r="Q61" s="123"/>
      <c r="R61" s="123"/>
    </row>
    <row r="62" spans="1:18" x14ac:dyDescent="0.3">
      <c r="A62" s="35"/>
      <c r="B62" s="63" t="str">
        <f>'Expenses Summary'!B10</f>
        <v>1120</v>
      </c>
      <c r="C62" s="63" t="str">
        <f>'Expenses Summary'!C10</f>
        <v>Substitute Expense</v>
      </c>
      <c r="D62" s="60">
        <f>IF('Expenses Summary'!$D10="","",IF('Cash Flow %s Yr1'!D57="","",'Cash Flow %s Yr1'!D57*'Expenses Summary'!$D10))</f>
        <v>0</v>
      </c>
      <c r="E62" s="60">
        <f>IF('Expenses Summary'!$D10="","",IF('Cash Flow %s Yr1'!E57="","",'Cash Flow %s Yr1'!E57*'Expenses Summary'!$D10))</f>
        <v>0</v>
      </c>
      <c r="F62" s="60">
        <f>IF('Expenses Summary'!$D10="","",IF('Cash Flow %s Yr1'!F57="","",'Cash Flow %s Yr1'!F57*'Expenses Summary'!$D10))</f>
        <v>0</v>
      </c>
      <c r="G62" s="60">
        <f>IF('Expenses Summary'!$D10="","",IF('Cash Flow %s Yr1'!G57="","",'Cash Flow %s Yr1'!G57*'Expenses Summary'!$D10))</f>
        <v>0</v>
      </c>
      <c r="H62" s="60">
        <f>IF('Expenses Summary'!$D10="","",IF('Cash Flow %s Yr1'!H57="","",'Cash Flow %s Yr1'!H57*'Expenses Summary'!$D10))</f>
        <v>0</v>
      </c>
      <c r="I62" s="60">
        <f>IF('Expenses Summary'!$D10="","",IF('Cash Flow %s Yr1'!I57="","",'Cash Flow %s Yr1'!I57*'Expenses Summary'!$D10))</f>
        <v>0</v>
      </c>
      <c r="J62" s="60">
        <f>IF('Expenses Summary'!$D10="","",IF('Cash Flow %s Yr1'!J57="","",'Cash Flow %s Yr1'!J57*'Expenses Summary'!$D10))</f>
        <v>0</v>
      </c>
      <c r="K62" s="60">
        <f>IF('Expenses Summary'!$D10="","",IF('Cash Flow %s Yr1'!K57="","",'Cash Flow %s Yr1'!K57*'Expenses Summary'!$D10))</f>
        <v>0</v>
      </c>
      <c r="L62" s="60">
        <f>IF('Expenses Summary'!$D10="","",IF('Cash Flow %s Yr1'!L57="","",'Cash Flow %s Yr1'!L57*'Expenses Summary'!$D10))</f>
        <v>0</v>
      </c>
      <c r="M62" s="60">
        <f>IF('Expenses Summary'!$D10="","",IF('Cash Flow %s Yr1'!M57="","",'Cash Flow %s Yr1'!M57*'Expenses Summary'!$D10))</f>
        <v>0</v>
      </c>
      <c r="N62" s="60">
        <f>IF('Expenses Summary'!$D10="","",IF('Cash Flow %s Yr1'!N57="","",'Cash Flow %s Yr1'!N57*'Expenses Summary'!$D10))</f>
        <v>0</v>
      </c>
      <c r="O62" s="60">
        <f>IF('Expenses Summary'!$D10="","",IF('Cash Flow %s Yr1'!O57="","",'Cash Flow %s Yr1'!O57*'Expenses Summary'!$D10))</f>
        <v>0</v>
      </c>
      <c r="P62" s="123"/>
      <c r="Q62" s="123"/>
      <c r="R62" s="123"/>
    </row>
    <row r="63" spans="1:18" x14ac:dyDescent="0.3">
      <c r="A63" s="35"/>
      <c r="B63" s="63" t="str">
        <f>'Expenses Summary'!B11</f>
        <v>1200</v>
      </c>
      <c r="C63" s="63" t="str">
        <f>'Expenses Summary'!C11</f>
        <v>Certificated Pupil Support Salaries</v>
      </c>
      <c r="D63" s="60">
        <f>IF('Expenses Summary'!$D11="","",IF('Cash Flow %s Yr1'!D58="","",'Cash Flow %s Yr1'!D58*'Expenses Summary'!$D11))+'Expenses Summary'!D12*'Cash Flow %s Yr1'!D58</f>
        <v>0</v>
      </c>
      <c r="E63" s="60">
        <f>IF('Expenses Summary'!$D11="","",IF('Cash Flow %s Yr1'!E58="","",'Cash Flow %s Yr1'!E58*'Expenses Summary'!$D11))+'Expenses Summary'!R12*'Cash Flow %s Yr1'!E58</f>
        <v>0</v>
      </c>
      <c r="F63" s="60">
        <f>IF('Expenses Summary'!$D11="","",IF('Cash Flow %s Yr1'!F58="","",'Cash Flow %s Yr1'!F58*'Expenses Summary'!$D11))+'Expenses Summary'!$T$12*'Cash Flow %s Yr1'!F58</f>
        <v>0</v>
      </c>
      <c r="G63" s="60">
        <f>IF('Expenses Summary'!$D11="","",IF('Cash Flow %s Yr1'!G58="","",'Cash Flow %s Yr1'!G58*'Expenses Summary'!$D11))+'Expenses Summary'!$T$12*'Cash Flow %s Yr1'!G58</f>
        <v>0</v>
      </c>
      <c r="H63" s="60">
        <f>IF('Expenses Summary'!$D11="","",IF('Cash Flow %s Yr1'!H58="","",'Cash Flow %s Yr1'!H58*'Expenses Summary'!$D11))+'Expenses Summary'!$T$12*'Cash Flow %s Yr1'!H58</f>
        <v>0</v>
      </c>
      <c r="I63" s="60">
        <f>IF('Expenses Summary'!$D11="","",IF('Cash Flow %s Yr1'!I58="","",'Cash Flow %s Yr1'!I58*'Expenses Summary'!$D11))+'Expenses Summary'!$T$12*'Cash Flow %s Yr1'!I58</f>
        <v>0</v>
      </c>
      <c r="J63" s="60">
        <f>IF('Expenses Summary'!$D11="","",IF('Cash Flow %s Yr1'!J58="","",'Cash Flow %s Yr1'!J58*'Expenses Summary'!$D11))+'Expenses Summary'!$T$12*'Cash Flow %s Yr1'!J58</f>
        <v>0</v>
      </c>
      <c r="K63" s="60">
        <f>IF('Expenses Summary'!$D11="","",IF('Cash Flow %s Yr1'!K58="","",'Cash Flow %s Yr1'!K58*'Expenses Summary'!$D11))+'Expenses Summary'!$T$12*'Cash Flow %s Yr1'!K58</f>
        <v>0</v>
      </c>
      <c r="L63" s="60">
        <f>IF('Expenses Summary'!$D11="","",IF('Cash Flow %s Yr1'!L58="","",'Cash Flow %s Yr1'!L58*'Expenses Summary'!$D11))+'Expenses Summary'!$T$12*'Cash Flow %s Yr1'!L58</f>
        <v>0</v>
      </c>
      <c r="M63" s="60">
        <f>IF('Expenses Summary'!$D11="","",IF('Cash Flow %s Yr1'!M58="","",'Cash Flow %s Yr1'!M58*'Expenses Summary'!$D11))+'Expenses Summary'!$T$12*'Cash Flow %s Yr1'!M58</f>
        <v>0</v>
      </c>
      <c r="N63" s="60">
        <f>IF('Expenses Summary'!$D11="","",IF('Cash Flow %s Yr1'!N58="","",'Cash Flow %s Yr1'!N58*'Expenses Summary'!$D11))+'Expenses Summary'!$T$12*'Cash Flow %s Yr1'!N58</f>
        <v>0</v>
      </c>
      <c r="O63" s="60">
        <f>IF('Expenses Summary'!$D11="","",IF('Cash Flow %s Yr1'!O58="","",'Cash Flow %s Yr1'!O58*'Expenses Summary'!$D11))+'Expenses Summary'!$T$12*'Cash Flow %s Yr1'!O58</f>
        <v>0</v>
      </c>
      <c r="P63" s="123"/>
      <c r="Q63" s="123"/>
      <c r="R63" s="123"/>
    </row>
    <row r="64" spans="1:18" x14ac:dyDescent="0.3">
      <c r="A64" s="35"/>
      <c r="B64" s="63" t="str">
        <f>'Expenses Summary'!B13</f>
        <v>1300</v>
      </c>
      <c r="C64" s="63" t="str">
        <f>'Expenses Summary'!C13</f>
        <v>Certificated Supervisor and Administrator Salaries</v>
      </c>
      <c r="D64" s="60">
        <f>IF('Expenses Summary'!$D13="","",IF('Cash Flow %s Yr1'!D59="","",'Cash Flow %s Yr1'!D59*'Expenses Summary'!$D13))</f>
        <v>6333.4810000000007</v>
      </c>
      <c r="E64" s="60">
        <f>IF('Expenses Summary'!$D13="","",IF('Cash Flow %s Yr1'!E59="","",'Cash Flow %s Yr1'!E59*'Expenses Summary'!$D13))</f>
        <v>6333.4810000000007</v>
      </c>
      <c r="F64" s="60">
        <f>IF('Expenses Summary'!$D13="","",IF('Cash Flow %s Yr1'!F59="","",'Cash Flow %s Yr1'!F59*'Expenses Summary'!$D13))</f>
        <v>6333.4810000000007</v>
      </c>
      <c r="G64" s="60">
        <f>IF('Expenses Summary'!$D13="","",IF('Cash Flow %s Yr1'!G59="","",'Cash Flow %s Yr1'!G59*'Expenses Summary'!$D13))</f>
        <v>6333.4810000000007</v>
      </c>
      <c r="H64" s="60">
        <f>IF('Expenses Summary'!$D13="","",IF('Cash Flow %s Yr1'!H59="","",'Cash Flow %s Yr1'!H59*'Expenses Summary'!$D13))</f>
        <v>6333.4810000000007</v>
      </c>
      <c r="I64" s="60">
        <f>IF('Expenses Summary'!$D13="","",IF('Cash Flow %s Yr1'!I59="","",'Cash Flow %s Yr1'!I59*'Expenses Summary'!$D13))</f>
        <v>6333.4810000000007</v>
      </c>
      <c r="J64" s="60">
        <f>IF('Expenses Summary'!$D13="","",IF('Cash Flow %s Yr1'!J59="","",'Cash Flow %s Yr1'!J59*'Expenses Summary'!$D13))</f>
        <v>6333.4810000000007</v>
      </c>
      <c r="K64" s="60">
        <f>IF('Expenses Summary'!$D13="","",IF('Cash Flow %s Yr1'!K59="","",'Cash Flow %s Yr1'!K59*'Expenses Summary'!$D13))</f>
        <v>6333.4810000000007</v>
      </c>
      <c r="L64" s="60">
        <f>IF('Expenses Summary'!$D13="","",IF('Cash Flow %s Yr1'!L59="","",'Cash Flow %s Yr1'!L59*'Expenses Summary'!$D13))</f>
        <v>6409.7880000000005</v>
      </c>
      <c r="M64" s="60">
        <f>IF('Expenses Summary'!$D13="","",IF('Cash Flow %s Yr1'!M59="","",'Cash Flow %s Yr1'!M59*'Expenses Summary'!$D13))</f>
        <v>6409.7880000000005</v>
      </c>
      <c r="N64" s="60">
        <f>IF('Expenses Summary'!$D13="","",IF('Cash Flow %s Yr1'!N59="","",'Cash Flow %s Yr1'!N59*'Expenses Summary'!$D13))</f>
        <v>6409.7880000000005</v>
      </c>
      <c r="O64" s="60">
        <f>IF('Expenses Summary'!$D13="","",IF('Cash Flow %s Yr1'!O59="","",'Cash Flow %s Yr1'!O59*'Expenses Summary'!$D13))</f>
        <v>6409.7880000000005</v>
      </c>
      <c r="P64" s="123"/>
      <c r="Q64" s="123"/>
      <c r="R64" s="123"/>
    </row>
    <row r="65" spans="1:18" x14ac:dyDescent="0.3">
      <c r="A65" s="35"/>
      <c r="B65" s="63" t="str">
        <f>'Expenses Summary'!B14</f>
        <v>1305</v>
      </c>
      <c r="C65" s="63" t="str">
        <f>'Expenses Summary'!C14</f>
        <v>Certificated Supervisor and Administrator Bonuses</v>
      </c>
      <c r="D65" s="60">
        <f>IF('Expenses Summary'!$D14="","",IF('Cash Flow %s Yr1'!D60="","",'Cash Flow %s Yr1'!D60*'Expenses Summary'!$D14))</f>
        <v>0</v>
      </c>
      <c r="E65" s="60">
        <f>IF('Expenses Summary'!$D14="","",IF('Cash Flow %s Yr1'!E60="","",'Cash Flow %s Yr1'!E60*'Expenses Summary'!$D14))</f>
        <v>0</v>
      </c>
      <c r="F65" s="60">
        <f>IF('Expenses Summary'!$D14="","",IF('Cash Flow %s Yr1'!F60="","",'Cash Flow %s Yr1'!F60*'Expenses Summary'!$D14))</f>
        <v>0</v>
      </c>
      <c r="G65" s="60">
        <f>IF('Expenses Summary'!$D14="","",IF('Cash Flow %s Yr1'!G60="","",'Cash Flow %s Yr1'!G60*'Expenses Summary'!$D14))</f>
        <v>0</v>
      </c>
      <c r="H65" s="60">
        <f>IF('Expenses Summary'!$D14="","",IF('Cash Flow %s Yr1'!H60="","",'Cash Flow %s Yr1'!H60*'Expenses Summary'!$D14))</f>
        <v>0</v>
      </c>
      <c r="I65" s="60">
        <f>IF('Expenses Summary'!$D14="","",IF('Cash Flow %s Yr1'!I60="","",'Cash Flow %s Yr1'!I60*'Expenses Summary'!$D14))</f>
        <v>0</v>
      </c>
      <c r="J65" s="60">
        <f>IF('Expenses Summary'!$D14="","",IF('Cash Flow %s Yr1'!J60="","",'Cash Flow %s Yr1'!J60*'Expenses Summary'!$D14))</f>
        <v>0</v>
      </c>
      <c r="K65" s="60">
        <f>IF('Expenses Summary'!$D14="","",IF('Cash Flow %s Yr1'!K60="","",'Cash Flow %s Yr1'!K60*'Expenses Summary'!$D14))</f>
        <v>0</v>
      </c>
      <c r="L65" s="60">
        <f>IF('Expenses Summary'!$D14="","",IF('Cash Flow %s Yr1'!L60="","",'Cash Flow %s Yr1'!L60*'Expenses Summary'!$D14))</f>
        <v>0</v>
      </c>
      <c r="M65" s="60">
        <f>IF('Expenses Summary'!$D14="","",IF('Cash Flow %s Yr1'!M60="","",'Cash Flow %s Yr1'!M60*'Expenses Summary'!$D14))</f>
        <v>0</v>
      </c>
      <c r="N65" s="60">
        <f>IF('Expenses Summary'!$D14="","",IF('Cash Flow %s Yr1'!N60="","",'Cash Flow %s Yr1'!N60*'Expenses Summary'!$D14))</f>
        <v>0</v>
      </c>
      <c r="O65" s="60">
        <f>IF('Expenses Summary'!$D14="","",IF('Cash Flow %s Yr1'!O60="","",'Cash Flow %s Yr1'!O60*'Expenses Summary'!$D14))</f>
        <v>0</v>
      </c>
      <c r="P65" s="123"/>
      <c r="Q65" s="123"/>
      <c r="R65" s="123"/>
    </row>
    <row r="66" spans="1:18" x14ac:dyDescent="0.3">
      <c r="A66" s="35"/>
      <c r="B66" s="63" t="str">
        <f>'Expenses Summary'!B15</f>
        <v>1900</v>
      </c>
      <c r="C66" s="63" t="str">
        <f>'Expenses Summary'!C15</f>
        <v>Other Certificated Salaries</v>
      </c>
      <c r="D66" s="60">
        <f>IF('Expenses Summary'!$D15="","",IF('Cash Flow %s Yr1'!D61="","",'Cash Flow %s Yr1'!D61*'Expenses Summary'!$D15))</f>
        <v>0</v>
      </c>
      <c r="E66" s="60">
        <f>IF('Expenses Summary'!$D15="","",IF('Cash Flow %s Yr1'!E61="","",'Cash Flow %s Yr1'!E61*'Expenses Summary'!$D15))</f>
        <v>0</v>
      </c>
      <c r="F66" s="60">
        <f>IF('Expenses Summary'!$D15="","",IF('Cash Flow %s Yr1'!F61="","",'Cash Flow %s Yr1'!F61*'Expenses Summary'!$D15))</f>
        <v>0</v>
      </c>
      <c r="G66" s="60">
        <f>IF('Expenses Summary'!$D15="","",IF('Cash Flow %s Yr1'!G61="","",'Cash Flow %s Yr1'!G61*'Expenses Summary'!$D15))</f>
        <v>0</v>
      </c>
      <c r="H66" s="60">
        <f>IF('Expenses Summary'!$D15="","",IF('Cash Flow %s Yr1'!H61="","",'Cash Flow %s Yr1'!H61*'Expenses Summary'!$D15))</f>
        <v>0</v>
      </c>
      <c r="I66" s="60">
        <f>IF('Expenses Summary'!$D15="","",IF('Cash Flow %s Yr1'!I61="","",'Cash Flow %s Yr1'!I61*'Expenses Summary'!$D15))</f>
        <v>0</v>
      </c>
      <c r="J66" s="60">
        <f>IF('Expenses Summary'!$D15="","",IF('Cash Flow %s Yr1'!J61="","",'Cash Flow %s Yr1'!J61*'Expenses Summary'!$D15))</f>
        <v>0</v>
      </c>
      <c r="K66" s="60">
        <f>IF('Expenses Summary'!$D15="","",IF('Cash Flow %s Yr1'!K61="","",'Cash Flow %s Yr1'!K61*'Expenses Summary'!$D15))</f>
        <v>0</v>
      </c>
      <c r="L66" s="60">
        <f>IF('Expenses Summary'!$D15="","",IF('Cash Flow %s Yr1'!L61="","",'Cash Flow %s Yr1'!L61*'Expenses Summary'!$D15))</f>
        <v>0</v>
      </c>
      <c r="M66" s="60">
        <f>IF('Expenses Summary'!$D15="","",IF('Cash Flow %s Yr1'!M61="","",'Cash Flow %s Yr1'!M61*'Expenses Summary'!$D15))</f>
        <v>0</v>
      </c>
      <c r="N66" s="60">
        <f>IF('Expenses Summary'!$D15="","",IF('Cash Flow %s Yr1'!N61="","",'Cash Flow %s Yr1'!N61*'Expenses Summary'!$D15))</f>
        <v>0</v>
      </c>
      <c r="O66" s="60">
        <f>IF('Expenses Summary'!$D15="","",IF('Cash Flow %s Yr1'!O61="","",'Cash Flow %s Yr1'!O61*'Expenses Summary'!$D15))</f>
        <v>0</v>
      </c>
      <c r="P66" s="123"/>
      <c r="Q66" s="123"/>
      <c r="R66" s="123"/>
    </row>
    <row r="67" spans="1:18" x14ac:dyDescent="0.3">
      <c r="A67" s="35"/>
      <c r="B67" s="63" t="str">
        <f>'Expenses Summary'!B16</f>
        <v>1910</v>
      </c>
      <c r="C67" s="63" t="str">
        <f>'Expenses Summary'!C16</f>
        <v>Other Certificated Overtime</v>
      </c>
      <c r="D67" s="60">
        <f>IF('Expenses Summary'!$D16="","",IF('Cash Flow %s Yr1'!D62="","",'Cash Flow %s Yr1'!D62*'Expenses Summary'!$D16))</f>
        <v>0</v>
      </c>
      <c r="E67" s="60">
        <f>IF('Expenses Summary'!$D16="","",IF('Cash Flow %s Yr1'!E62="","",'Cash Flow %s Yr1'!E62*'Expenses Summary'!$D16))</f>
        <v>0</v>
      </c>
      <c r="F67" s="60">
        <f>IF('Expenses Summary'!$D16="","",IF('Cash Flow %s Yr1'!F62="","",'Cash Flow %s Yr1'!F62*'Expenses Summary'!$D16))</f>
        <v>0</v>
      </c>
      <c r="G67" s="60">
        <f>IF('Expenses Summary'!$D16="","",IF('Cash Flow %s Yr1'!G62="","",'Cash Flow %s Yr1'!G62*'Expenses Summary'!$D16))</f>
        <v>0</v>
      </c>
      <c r="H67" s="60">
        <f>IF('Expenses Summary'!$D16="","",IF('Cash Flow %s Yr1'!H62="","",'Cash Flow %s Yr1'!H62*'Expenses Summary'!$D16))</f>
        <v>0</v>
      </c>
      <c r="I67" s="60">
        <f>IF('Expenses Summary'!$D16="","",IF('Cash Flow %s Yr1'!I62="","",'Cash Flow %s Yr1'!I62*'Expenses Summary'!$D16))</f>
        <v>0</v>
      </c>
      <c r="J67" s="60">
        <f>IF('Expenses Summary'!$D16="","",IF('Cash Flow %s Yr1'!J62="","",'Cash Flow %s Yr1'!J62*'Expenses Summary'!$D16))</f>
        <v>0</v>
      </c>
      <c r="K67" s="60">
        <f>IF('Expenses Summary'!$D16="","",IF('Cash Flow %s Yr1'!K62="","",'Cash Flow %s Yr1'!K62*'Expenses Summary'!$D16))</f>
        <v>0</v>
      </c>
      <c r="L67" s="60">
        <f>IF('Expenses Summary'!$D16="","",IF('Cash Flow %s Yr1'!L62="","",'Cash Flow %s Yr1'!L62*'Expenses Summary'!$D16))</f>
        <v>0</v>
      </c>
      <c r="M67" s="60">
        <f>IF('Expenses Summary'!$D16="","",IF('Cash Flow %s Yr1'!M62="","",'Cash Flow %s Yr1'!M62*'Expenses Summary'!$D16))</f>
        <v>0</v>
      </c>
      <c r="N67" s="60">
        <f>IF('Expenses Summary'!$D16="","",IF('Cash Flow %s Yr1'!N62="","",'Cash Flow %s Yr1'!N62*'Expenses Summary'!$D16))</f>
        <v>0</v>
      </c>
      <c r="O67" s="60">
        <f>IF('Expenses Summary'!$D16="","",IF('Cash Flow %s Yr1'!O62="","",'Cash Flow %s Yr1'!O62*'Expenses Summary'!$D16))</f>
        <v>0</v>
      </c>
      <c r="P67" s="123"/>
      <c r="Q67" s="123"/>
      <c r="R67" s="123"/>
    </row>
    <row r="68" spans="1:18" x14ac:dyDescent="0.3">
      <c r="A68" s="35"/>
      <c r="B68" s="35" t="s">
        <v>555</v>
      </c>
      <c r="C68" s="33" t="s">
        <v>720</v>
      </c>
      <c r="D68" s="165">
        <f t="shared" ref="D68:I68" si="7">IF(SUM(D59:D67)&gt;0,SUM(D59:D67),"")</f>
        <v>9737.7410000000018</v>
      </c>
      <c r="E68" s="165">
        <f t="shared" si="7"/>
        <v>14844.131000000001</v>
      </c>
      <c r="F68" s="165">
        <f t="shared" si="7"/>
        <v>23354.780999999999</v>
      </c>
      <c r="G68" s="165">
        <f t="shared" si="7"/>
        <v>23354.780999999999</v>
      </c>
      <c r="H68" s="165">
        <f t="shared" si="7"/>
        <v>23354.780999999999</v>
      </c>
      <c r="I68" s="165">
        <f t="shared" si="7"/>
        <v>23354.780999999999</v>
      </c>
      <c r="J68" s="165">
        <f t="shared" ref="J68:P68" si="8">IF(SUM(J59:J67)&gt;0,SUM(J59:J67),"")</f>
        <v>23354.780999999999</v>
      </c>
      <c r="K68" s="165">
        <f t="shared" si="8"/>
        <v>23354.780999999999</v>
      </c>
      <c r="L68" s="165">
        <f t="shared" si="8"/>
        <v>23431.088</v>
      </c>
      <c r="M68" s="165">
        <f t="shared" si="8"/>
        <v>23431.088</v>
      </c>
      <c r="N68" s="165">
        <f t="shared" si="8"/>
        <v>23431.088</v>
      </c>
      <c r="O68" s="165">
        <f t="shared" si="8"/>
        <v>11516.178</v>
      </c>
      <c r="P68" s="165" t="str">
        <f t="shared" si="8"/>
        <v/>
      </c>
      <c r="Q68" s="121"/>
      <c r="R68" s="121"/>
    </row>
    <row r="69" spans="1:18" s="30" customFormat="1" x14ac:dyDescent="0.3">
      <c r="A69" s="35"/>
      <c r="B69" s="39"/>
      <c r="C69" s="3"/>
      <c r="D69" s="124"/>
      <c r="E69" s="124"/>
      <c r="F69" s="124"/>
      <c r="G69" s="124"/>
      <c r="H69" s="124"/>
      <c r="I69" s="124"/>
      <c r="J69" s="124"/>
      <c r="K69" s="124"/>
      <c r="L69" s="124"/>
      <c r="M69" s="124"/>
      <c r="N69" s="124"/>
      <c r="O69" s="124"/>
      <c r="P69" s="124"/>
      <c r="Q69" s="124"/>
      <c r="R69" s="124"/>
    </row>
    <row r="70" spans="1:18" s="30" customFormat="1" x14ac:dyDescent="0.3">
      <c r="B70" s="5" t="s">
        <v>733</v>
      </c>
      <c r="C70" s="3"/>
      <c r="D70" s="124"/>
      <c r="E70" s="124"/>
      <c r="F70" s="124"/>
      <c r="G70" s="124"/>
      <c r="H70" s="124"/>
      <c r="I70" s="124"/>
      <c r="J70" s="124"/>
      <c r="K70" s="124"/>
      <c r="L70" s="124"/>
      <c r="M70" s="124"/>
      <c r="N70" s="124"/>
      <c r="O70" s="124"/>
      <c r="P70" s="124"/>
      <c r="Q70" s="124"/>
      <c r="R70" s="124"/>
    </row>
    <row r="71" spans="1:18" s="30" customFormat="1" x14ac:dyDescent="0.3">
      <c r="A71" s="35"/>
      <c r="B71" s="63" t="str">
        <f>'Expenses Summary'!B20</f>
        <v>2100</v>
      </c>
      <c r="C71" s="63" t="str">
        <f>'Expenses Summary'!C20</f>
        <v>Instructional Aide Salaries</v>
      </c>
      <c r="D71" s="60">
        <f>IF('Expenses Summary'!$D20="","",IF('Cash Flow %s Yr1'!D66="","",'Cash Flow %s Yr1'!D66*'Expenses Summary'!$D20))</f>
        <v>0</v>
      </c>
      <c r="E71" s="60">
        <f>IF('Expenses Summary'!$D20="","",IF('Cash Flow %s Yr1'!E66="","",'Cash Flow %s Yr1'!E66*'Expenses Summary'!$D20))</f>
        <v>5566.05</v>
      </c>
      <c r="F71" s="60">
        <f>IF('Expenses Summary'!$D20="","",IF('Cash Flow %s Yr1'!F66="","",'Cash Flow %s Yr1'!F66*'Expenses Summary'!$D20))</f>
        <v>11132.1</v>
      </c>
      <c r="G71" s="60">
        <f>IF('Expenses Summary'!$D20="","",IF('Cash Flow %s Yr1'!G66="","",'Cash Flow %s Yr1'!G66*'Expenses Summary'!$D20))</f>
        <v>11132.1</v>
      </c>
      <c r="H71" s="60">
        <f>IF('Expenses Summary'!$D20="","",IF('Cash Flow %s Yr1'!H66="","",'Cash Flow %s Yr1'!H66*'Expenses Summary'!$D20))</f>
        <v>11132.1</v>
      </c>
      <c r="I71" s="60">
        <f>IF('Expenses Summary'!$D20="","",IF('Cash Flow %s Yr1'!I66="","",'Cash Flow %s Yr1'!I66*'Expenses Summary'!$D20))</f>
        <v>11132.1</v>
      </c>
      <c r="J71" s="60">
        <f>IF('Expenses Summary'!$D20="","",IF('Cash Flow %s Yr1'!J66="","",'Cash Flow %s Yr1'!J66*'Expenses Summary'!$D20))</f>
        <v>11132.1</v>
      </c>
      <c r="K71" s="60">
        <f>IF('Expenses Summary'!$D20="","",IF('Cash Flow %s Yr1'!K66="","",'Cash Flow %s Yr1'!K66*'Expenses Summary'!$D20))</f>
        <v>11132.1</v>
      </c>
      <c r="L71" s="60">
        <f>IF('Expenses Summary'!$D20="","",IF('Cash Flow %s Yr1'!L66="","",'Cash Flow %s Yr1'!L66*'Expenses Summary'!$D20))</f>
        <v>11132.1</v>
      </c>
      <c r="M71" s="60">
        <f>IF('Expenses Summary'!$D20="","",IF('Cash Flow %s Yr1'!M66="","",'Cash Flow %s Yr1'!M66*'Expenses Summary'!$D20))</f>
        <v>11132.1</v>
      </c>
      <c r="N71" s="60">
        <f>IF('Expenses Summary'!$D20="","",IF('Cash Flow %s Yr1'!N66="","",'Cash Flow %s Yr1'!N66*'Expenses Summary'!$D20))</f>
        <v>11132.1</v>
      </c>
      <c r="O71" s="60">
        <f>IF('Expenses Summary'!$D20="","",IF('Cash Flow %s Yr1'!O66="","",'Cash Flow %s Yr1'!O66*'Expenses Summary'!$D20))</f>
        <v>5566.05</v>
      </c>
      <c r="P71" s="123"/>
      <c r="Q71" s="123"/>
      <c r="R71" s="123"/>
    </row>
    <row r="72" spans="1:18" s="30" customFormat="1" x14ac:dyDescent="0.3">
      <c r="A72" s="35"/>
      <c r="B72" s="63" t="str">
        <f>'Expenses Summary'!B21</f>
        <v>2110</v>
      </c>
      <c r="C72" s="63" t="str">
        <f>'Expenses Summary'!C21</f>
        <v>Instructional Aide Overtime</v>
      </c>
      <c r="D72" s="60">
        <f>IF('Expenses Summary'!$D21="","",IF('Cash Flow %s Yr1'!D67="","",'Cash Flow %s Yr1'!D67*'Expenses Summary'!$D21))</f>
        <v>0</v>
      </c>
      <c r="E72" s="60">
        <f>IF('Expenses Summary'!$D21="","",IF('Cash Flow %s Yr1'!E67="","",'Cash Flow %s Yr1'!E67*'Expenses Summary'!$D21))</f>
        <v>0</v>
      </c>
      <c r="F72" s="60">
        <f>IF('Expenses Summary'!$D21="","",IF('Cash Flow %s Yr1'!F67="","",'Cash Flow %s Yr1'!F67*'Expenses Summary'!$D21))</f>
        <v>288.10000000000002</v>
      </c>
      <c r="G72" s="60">
        <f>IF('Expenses Summary'!$D21="","",IF('Cash Flow %s Yr1'!G67="","",'Cash Flow %s Yr1'!G67*'Expenses Summary'!$D21))</f>
        <v>288.10000000000002</v>
      </c>
      <c r="H72" s="60">
        <f>IF('Expenses Summary'!$D21="","",IF('Cash Flow %s Yr1'!H67="","",'Cash Flow %s Yr1'!H67*'Expenses Summary'!$D21))</f>
        <v>288.10000000000002</v>
      </c>
      <c r="I72" s="60">
        <f>IF('Expenses Summary'!$D21="","",IF('Cash Flow %s Yr1'!I67="","",'Cash Flow %s Yr1'!I67*'Expenses Summary'!$D21))</f>
        <v>288.10000000000002</v>
      </c>
      <c r="J72" s="60">
        <f>IF('Expenses Summary'!$D21="","",IF('Cash Flow %s Yr1'!J67="","",'Cash Flow %s Yr1'!J67*'Expenses Summary'!$D21))</f>
        <v>288.10000000000002</v>
      </c>
      <c r="K72" s="60">
        <f>IF('Expenses Summary'!$D21="","",IF('Cash Flow %s Yr1'!K67="","",'Cash Flow %s Yr1'!K67*'Expenses Summary'!$D21))</f>
        <v>288.10000000000002</v>
      </c>
      <c r="L72" s="60">
        <f>IF('Expenses Summary'!$D21="","",IF('Cash Flow %s Yr1'!L67="","",'Cash Flow %s Yr1'!L67*'Expenses Summary'!$D21))</f>
        <v>288.10000000000002</v>
      </c>
      <c r="M72" s="60">
        <f>IF('Expenses Summary'!$D21="","",IF('Cash Flow %s Yr1'!M67="","",'Cash Flow %s Yr1'!M67*'Expenses Summary'!$D21))</f>
        <v>288.10000000000002</v>
      </c>
      <c r="N72" s="60">
        <f>IF('Expenses Summary'!$D21="","",IF('Cash Flow %s Yr1'!N67="","",'Cash Flow %s Yr1'!N67*'Expenses Summary'!$D21))</f>
        <v>288.10000000000002</v>
      </c>
      <c r="O72" s="60">
        <f>IF('Expenses Summary'!$D21="","",IF('Cash Flow %s Yr1'!O67="","",'Cash Flow %s Yr1'!O67*'Expenses Summary'!$D21))</f>
        <v>288.10000000000002</v>
      </c>
      <c r="P72" s="123"/>
      <c r="Q72" s="123"/>
      <c r="R72" s="123"/>
    </row>
    <row r="73" spans="1:18" s="30" customFormat="1" x14ac:dyDescent="0.3">
      <c r="A73" s="35"/>
      <c r="B73" s="63" t="str">
        <f>'Expenses Summary'!B22</f>
        <v>2200</v>
      </c>
      <c r="C73" s="63" t="str">
        <f>'Expenses Summary'!C22</f>
        <v>Classified Support Salaries</v>
      </c>
      <c r="D73" s="60">
        <f>IF('Expenses Summary'!$D22="","",IF('Cash Flow %s Yr1'!D68="","",'Cash Flow %s Yr1'!D68*'Expenses Summary'!$D22))</f>
        <v>0</v>
      </c>
      <c r="E73" s="60">
        <f>IF('Expenses Summary'!$D22="","",IF('Cash Flow %s Yr1'!E68="","",'Cash Flow %s Yr1'!E68*'Expenses Summary'!$D22))</f>
        <v>1306.25</v>
      </c>
      <c r="F73" s="60">
        <f>IF('Expenses Summary'!$D22="","",IF('Cash Flow %s Yr1'!F68="","",'Cash Flow %s Yr1'!F68*'Expenses Summary'!$D22))</f>
        <v>2612.5</v>
      </c>
      <c r="G73" s="60">
        <f>IF('Expenses Summary'!$D22="","",IF('Cash Flow %s Yr1'!G68="","",'Cash Flow %s Yr1'!G68*'Expenses Summary'!$D22))</f>
        <v>2612.5</v>
      </c>
      <c r="H73" s="60">
        <f>IF('Expenses Summary'!$D22="","",IF('Cash Flow %s Yr1'!H68="","",'Cash Flow %s Yr1'!H68*'Expenses Summary'!$D22))</f>
        <v>2612.5</v>
      </c>
      <c r="I73" s="60">
        <f>IF('Expenses Summary'!$D22="","",IF('Cash Flow %s Yr1'!I68="","",'Cash Flow %s Yr1'!I68*'Expenses Summary'!$D22))</f>
        <v>2612.5</v>
      </c>
      <c r="J73" s="60">
        <f>IF('Expenses Summary'!$D22="","",IF('Cash Flow %s Yr1'!J68="","",'Cash Flow %s Yr1'!J68*'Expenses Summary'!$D22))</f>
        <v>2612.5</v>
      </c>
      <c r="K73" s="60">
        <f>IF('Expenses Summary'!$D22="","",IF('Cash Flow %s Yr1'!K68="","",'Cash Flow %s Yr1'!K68*'Expenses Summary'!$D22))</f>
        <v>2612.5</v>
      </c>
      <c r="L73" s="60">
        <f>IF('Expenses Summary'!$D22="","",IF('Cash Flow %s Yr1'!L68="","",'Cash Flow %s Yr1'!L68*'Expenses Summary'!$D22))</f>
        <v>2612.5</v>
      </c>
      <c r="M73" s="60">
        <f>IF('Expenses Summary'!$D22="","",IF('Cash Flow %s Yr1'!M68="","",'Cash Flow %s Yr1'!M68*'Expenses Summary'!$D22))</f>
        <v>2612.5</v>
      </c>
      <c r="N73" s="60">
        <f>IF('Expenses Summary'!$D22="","",IF('Cash Flow %s Yr1'!N68="","",'Cash Flow %s Yr1'!N68*'Expenses Summary'!$D22))</f>
        <v>2612.5</v>
      </c>
      <c r="O73" s="60">
        <f>IF('Expenses Summary'!$D22="","",IF('Cash Flow %s Yr1'!O68="","",'Cash Flow %s Yr1'!O68*'Expenses Summary'!$D22))</f>
        <v>1306.25</v>
      </c>
      <c r="P73" s="123"/>
      <c r="Q73" s="123"/>
      <c r="R73" s="123"/>
    </row>
    <row r="74" spans="1:18" s="30" customFormat="1" x14ac:dyDescent="0.3">
      <c r="A74" s="35"/>
      <c r="B74" s="63" t="str">
        <f>'Expenses Summary'!B23</f>
        <v>2210</v>
      </c>
      <c r="C74" s="63" t="str">
        <f>'Expenses Summary'!C23</f>
        <v>Classified Support Overtime</v>
      </c>
      <c r="D74" s="60">
        <f>IF('Expenses Summary'!$D23="","",IF('Cash Flow %s Yr1'!D69="","",'Cash Flow %s Yr1'!D69*'Expenses Summary'!$D23))</f>
        <v>0</v>
      </c>
      <c r="E74" s="60">
        <f>IF('Expenses Summary'!$D23="","",IF('Cash Flow %s Yr1'!E69="","",'Cash Flow %s Yr1'!E69*'Expenses Summary'!$D23))</f>
        <v>0</v>
      </c>
      <c r="F74" s="60">
        <f>IF('Expenses Summary'!$D23="","",IF('Cash Flow %s Yr1'!F69="","",'Cash Flow %s Yr1'!F69*'Expenses Summary'!$D23))</f>
        <v>0</v>
      </c>
      <c r="G74" s="60">
        <f>IF('Expenses Summary'!$D23="","",IF('Cash Flow %s Yr1'!G69="","",'Cash Flow %s Yr1'!G69*'Expenses Summary'!$D23))</f>
        <v>0</v>
      </c>
      <c r="H74" s="60">
        <f>IF('Expenses Summary'!$D23="","",IF('Cash Flow %s Yr1'!H69="","",'Cash Flow %s Yr1'!H69*'Expenses Summary'!$D23))</f>
        <v>0</v>
      </c>
      <c r="I74" s="60">
        <f>IF('Expenses Summary'!$D23="","",IF('Cash Flow %s Yr1'!I69="","",'Cash Flow %s Yr1'!I69*'Expenses Summary'!$D23))</f>
        <v>0</v>
      </c>
      <c r="J74" s="60">
        <f>IF('Expenses Summary'!$D23="","",IF('Cash Flow %s Yr1'!J69="","",'Cash Flow %s Yr1'!J69*'Expenses Summary'!$D23))</f>
        <v>0</v>
      </c>
      <c r="K74" s="60">
        <f>IF('Expenses Summary'!$D23="","",IF('Cash Flow %s Yr1'!K69="","",'Cash Flow %s Yr1'!K69*'Expenses Summary'!$D23))</f>
        <v>0</v>
      </c>
      <c r="L74" s="60">
        <f>IF('Expenses Summary'!$D23="","",IF('Cash Flow %s Yr1'!L69="","",'Cash Flow %s Yr1'!L69*'Expenses Summary'!$D23))</f>
        <v>0</v>
      </c>
      <c r="M74" s="60">
        <f>IF('Expenses Summary'!$D23="","",IF('Cash Flow %s Yr1'!M69="","",'Cash Flow %s Yr1'!M69*'Expenses Summary'!$D23))</f>
        <v>0</v>
      </c>
      <c r="N74" s="60">
        <f>IF('Expenses Summary'!$D23="","",IF('Cash Flow %s Yr1'!N69="","",'Cash Flow %s Yr1'!N69*'Expenses Summary'!$D23))</f>
        <v>0</v>
      </c>
      <c r="O74" s="60">
        <f>IF('Expenses Summary'!$D23="","",IF('Cash Flow %s Yr1'!O69="","",'Cash Flow %s Yr1'!O69*'Expenses Summary'!$D23))</f>
        <v>0</v>
      </c>
      <c r="P74" s="123"/>
      <c r="Q74" s="123"/>
      <c r="R74" s="123"/>
    </row>
    <row r="75" spans="1:18" s="30" customFormat="1" x14ac:dyDescent="0.3">
      <c r="A75" s="35"/>
      <c r="B75" s="63" t="str">
        <f>'Expenses Summary'!B24</f>
        <v>2300</v>
      </c>
      <c r="C75" s="63" t="str">
        <f>'Expenses Summary'!C24</f>
        <v>Classified Supervisor and Administrator Salaries</v>
      </c>
      <c r="D75" s="60">
        <f>IF('Expenses Summary'!$D24="","",IF('Cash Flow %s Yr1'!D70="","",'Cash Flow %s Yr1'!D70*'Expenses Summary'!$D24))</f>
        <v>0</v>
      </c>
      <c r="E75" s="60">
        <f>IF('Expenses Summary'!$D24="","",IF('Cash Flow %s Yr1'!E70="","",'Cash Flow %s Yr1'!E70*'Expenses Summary'!$D24))</f>
        <v>0</v>
      </c>
      <c r="F75" s="60">
        <f>IF('Expenses Summary'!$D24="","",IF('Cash Flow %s Yr1'!F70="","",'Cash Flow %s Yr1'!F70*'Expenses Summary'!$D24))</f>
        <v>0</v>
      </c>
      <c r="G75" s="60">
        <f>IF('Expenses Summary'!$D24="","",IF('Cash Flow %s Yr1'!G70="","",'Cash Flow %s Yr1'!G70*'Expenses Summary'!$D24))</f>
        <v>0</v>
      </c>
      <c r="H75" s="60">
        <f>IF('Expenses Summary'!$D24="","",IF('Cash Flow %s Yr1'!H70="","",'Cash Flow %s Yr1'!H70*'Expenses Summary'!$D24))</f>
        <v>0</v>
      </c>
      <c r="I75" s="60">
        <f>IF('Expenses Summary'!$D24="","",IF('Cash Flow %s Yr1'!I70="","",'Cash Flow %s Yr1'!I70*'Expenses Summary'!$D24))</f>
        <v>0</v>
      </c>
      <c r="J75" s="60">
        <f>IF('Expenses Summary'!$D24="","",IF('Cash Flow %s Yr1'!J70="","",'Cash Flow %s Yr1'!J70*'Expenses Summary'!$D24))</f>
        <v>0</v>
      </c>
      <c r="K75" s="60">
        <f>IF('Expenses Summary'!$D24="","",IF('Cash Flow %s Yr1'!K70="","",'Cash Flow %s Yr1'!K70*'Expenses Summary'!$D24))</f>
        <v>0</v>
      </c>
      <c r="L75" s="60">
        <f>IF('Expenses Summary'!$D24="","",IF('Cash Flow %s Yr1'!L70="","",'Cash Flow %s Yr1'!L70*'Expenses Summary'!$D24))</f>
        <v>0</v>
      </c>
      <c r="M75" s="60">
        <f>IF('Expenses Summary'!$D24="","",IF('Cash Flow %s Yr1'!M70="","",'Cash Flow %s Yr1'!M70*'Expenses Summary'!$D24))</f>
        <v>0</v>
      </c>
      <c r="N75" s="60">
        <f>IF('Expenses Summary'!$D24="","",IF('Cash Flow %s Yr1'!N70="","",'Cash Flow %s Yr1'!N70*'Expenses Summary'!$D24))</f>
        <v>0</v>
      </c>
      <c r="O75" s="60">
        <f>IF('Expenses Summary'!$D24="","",IF('Cash Flow %s Yr1'!O70="","",'Cash Flow %s Yr1'!O70*'Expenses Summary'!$D24))</f>
        <v>0</v>
      </c>
      <c r="P75" s="123"/>
      <c r="Q75" s="123"/>
      <c r="R75" s="123"/>
    </row>
    <row r="76" spans="1:18" s="30" customFormat="1" x14ac:dyDescent="0.3">
      <c r="A76" s="35"/>
      <c r="B76" s="63" t="str">
        <f>'Expenses Summary'!B25</f>
        <v>2400</v>
      </c>
      <c r="C76" s="63" t="str">
        <f>'Expenses Summary'!C25</f>
        <v>Clerical, Technical, and Office Staff Salaries</v>
      </c>
      <c r="D76" s="60">
        <f>IF('Expenses Summary'!$D25="","",IF('Cash Flow %s Yr1'!D71="","",'Cash Flow %s Yr1'!D71*'Expenses Summary'!$D25))</f>
        <v>2157.3360000000002</v>
      </c>
      <c r="E76" s="60">
        <f>IF('Expenses Summary'!$D25="","",IF('Cash Flow %s Yr1'!E71="","",'Cash Flow %s Yr1'!E71*'Expenses Summary'!$D25))</f>
        <v>2157.3360000000002</v>
      </c>
      <c r="F76" s="60">
        <f>IF('Expenses Summary'!$D25="","",IF('Cash Flow %s Yr1'!F71="","",'Cash Flow %s Yr1'!F71*'Expenses Summary'!$D25))</f>
        <v>2157.3360000000002</v>
      </c>
      <c r="G76" s="60">
        <f>IF('Expenses Summary'!$D25="","",IF('Cash Flow %s Yr1'!G71="","",'Cash Flow %s Yr1'!G71*'Expenses Summary'!$D25))</f>
        <v>2157.3360000000002</v>
      </c>
      <c r="H76" s="60">
        <f>IF('Expenses Summary'!$D25="","",IF('Cash Flow %s Yr1'!H71="","",'Cash Flow %s Yr1'!H71*'Expenses Summary'!$D25))</f>
        <v>2157.3360000000002</v>
      </c>
      <c r="I76" s="60">
        <f>IF('Expenses Summary'!$D25="","",IF('Cash Flow %s Yr1'!I71="","",'Cash Flow %s Yr1'!I71*'Expenses Summary'!$D25))</f>
        <v>2157.3360000000002</v>
      </c>
      <c r="J76" s="60">
        <f>IF('Expenses Summary'!$D25="","",IF('Cash Flow %s Yr1'!J71="","",'Cash Flow %s Yr1'!J71*'Expenses Summary'!$D25))</f>
        <v>2157.3360000000002</v>
      </c>
      <c r="K76" s="60">
        <f>IF('Expenses Summary'!$D25="","",IF('Cash Flow %s Yr1'!K71="","",'Cash Flow %s Yr1'!K71*'Expenses Summary'!$D25))</f>
        <v>2157.3360000000002</v>
      </c>
      <c r="L76" s="60">
        <f>IF('Expenses Summary'!$D25="","",IF('Cash Flow %s Yr1'!L71="","",'Cash Flow %s Yr1'!L71*'Expenses Summary'!$D25))</f>
        <v>2183.328</v>
      </c>
      <c r="M76" s="60">
        <f>IF('Expenses Summary'!$D25="","",IF('Cash Flow %s Yr1'!M71="","",'Cash Flow %s Yr1'!M71*'Expenses Summary'!$D25))</f>
        <v>2183.328</v>
      </c>
      <c r="N76" s="60">
        <f>IF('Expenses Summary'!$D25="","",IF('Cash Flow %s Yr1'!N71="","",'Cash Flow %s Yr1'!N71*'Expenses Summary'!$D25))</f>
        <v>2183.328</v>
      </c>
      <c r="O76" s="60">
        <f>IF('Expenses Summary'!$D25="","",IF('Cash Flow %s Yr1'!O71="","",'Cash Flow %s Yr1'!O71*'Expenses Summary'!$D25))</f>
        <v>2183.328</v>
      </c>
      <c r="P76" s="123"/>
      <c r="Q76" s="123"/>
      <c r="R76" s="123"/>
    </row>
    <row r="77" spans="1:18" s="30" customFormat="1" x14ac:dyDescent="0.3">
      <c r="A77" s="35"/>
      <c r="B77" s="63" t="str">
        <f>'Expenses Summary'!B26</f>
        <v>2410</v>
      </c>
      <c r="C77" s="63" t="str">
        <f>'Expenses Summary'!C26</f>
        <v>Clerical, Technical, and Office Staff Overtime</v>
      </c>
      <c r="D77" s="60">
        <f>IF('Expenses Summary'!$D26="","",IF('Cash Flow %s Yr1'!D72="","",'Cash Flow %s Yr1'!D72*'Expenses Summary'!$D26))</f>
        <v>0</v>
      </c>
      <c r="E77" s="60">
        <f>IF('Expenses Summary'!$D26="","",IF('Cash Flow %s Yr1'!E72="","",'Cash Flow %s Yr1'!E72*'Expenses Summary'!$D26))</f>
        <v>0</v>
      </c>
      <c r="F77" s="60">
        <f>IF('Expenses Summary'!$D26="","",IF('Cash Flow %s Yr1'!F72="","",'Cash Flow %s Yr1'!F72*'Expenses Summary'!$D26))</f>
        <v>0</v>
      </c>
      <c r="G77" s="60">
        <f>IF('Expenses Summary'!$D26="","",IF('Cash Flow %s Yr1'!G72="","",'Cash Flow %s Yr1'!G72*'Expenses Summary'!$D26))</f>
        <v>0</v>
      </c>
      <c r="H77" s="60">
        <f>IF('Expenses Summary'!$D26="","",IF('Cash Flow %s Yr1'!H72="","",'Cash Flow %s Yr1'!H72*'Expenses Summary'!$D26))</f>
        <v>0</v>
      </c>
      <c r="I77" s="60">
        <f>IF('Expenses Summary'!$D26="","",IF('Cash Flow %s Yr1'!I72="","",'Cash Flow %s Yr1'!I72*'Expenses Summary'!$D26))</f>
        <v>0</v>
      </c>
      <c r="J77" s="60">
        <f>IF('Expenses Summary'!$D26="","",IF('Cash Flow %s Yr1'!J72="","",'Cash Flow %s Yr1'!J72*'Expenses Summary'!$D26))</f>
        <v>0</v>
      </c>
      <c r="K77" s="60">
        <f>IF('Expenses Summary'!$D26="","",IF('Cash Flow %s Yr1'!K72="","",'Cash Flow %s Yr1'!K72*'Expenses Summary'!$D26))</f>
        <v>0</v>
      </c>
      <c r="L77" s="60">
        <f>IF('Expenses Summary'!$D26="","",IF('Cash Flow %s Yr1'!L72="","",'Cash Flow %s Yr1'!L72*'Expenses Summary'!$D26))</f>
        <v>0</v>
      </c>
      <c r="M77" s="60">
        <f>IF('Expenses Summary'!$D26="","",IF('Cash Flow %s Yr1'!M72="","",'Cash Flow %s Yr1'!M72*'Expenses Summary'!$D26))</f>
        <v>0</v>
      </c>
      <c r="N77" s="60">
        <f>IF('Expenses Summary'!$D26="","",IF('Cash Flow %s Yr1'!N72="","",'Cash Flow %s Yr1'!N72*'Expenses Summary'!$D26))</f>
        <v>0</v>
      </c>
      <c r="O77" s="60">
        <f>IF('Expenses Summary'!$D26="","",IF('Cash Flow %s Yr1'!O72="","",'Cash Flow %s Yr1'!O72*'Expenses Summary'!$D26))</f>
        <v>0</v>
      </c>
      <c r="P77" s="123"/>
      <c r="Q77" s="123"/>
      <c r="R77" s="123"/>
    </row>
    <row r="78" spans="1:18" s="30" customFormat="1" x14ac:dyDescent="0.3">
      <c r="A78" s="35"/>
      <c r="B78" s="63" t="str">
        <f>'Expenses Summary'!B27</f>
        <v>2900</v>
      </c>
      <c r="C78" s="63" t="str">
        <f>'Expenses Summary'!C27</f>
        <v>Other Classified Salaries</v>
      </c>
      <c r="D78" s="60">
        <f>IF('Expenses Summary'!$D27="","",IF('Cash Flow %s Yr1'!D73="","",'Cash Flow %s Yr1'!D73*'Expenses Summary'!$D27))</f>
        <v>0</v>
      </c>
      <c r="E78" s="60">
        <f>IF('Expenses Summary'!$D27="","",IF('Cash Flow %s Yr1'!E73="","",'Cash Flow %s Yr1'!E73*'Expenses Summary'!$D27))</f>
        <v>0</v>
      </c>
      <c r="F78" s="60">
        <f>IF('Expenses Summary'!$D27="","",IF('Cash Flow %s Yr1'!F73="","",'Cash Flow %s Yr1'!F73*'Expenses Summary'!$D27))</f>
        <v>0</v>
      </c>
      <c r="G78" s="60">
        <f>IF('Expenses Summary'!$D27="","",IF('Cash Flow %s Yr1'!G73="","",'Cash Flow %s Yr1'!G73*'Expenses Summary'!$D27))</f>
        <v>0</v>
      </c>
      <c r="H78" s="60">
        <f>IF('Expenses Summary'!$D27="","",IF('Cash Flow %s Yr1'!H73="","",'Cash Flow %s Yr1'!H73*'Expenses Summary'!$D27))</f>
        <v>0</v>
      </c>
      <c r="I78" s="60">
        <f>IF('Expenses Summary'!$D27="","",IF('Cash Flow %s Yr1'!I73="","",'Cash Flow %s Yr1'!I73*'Expenses Summary'!$D27))</f>
        <v>0</v>
      </c>
      <c r="J78" s="60">
        <f>IF('Expenses Summary'!$D27="","",IF('Cash Flow %s Yr1'!J73="","",'Cash Flow %s Yr1'!J73*'Expenses Summary'!$D27))</f>
        <v>0</v>
      </c>
      <c r="K78" s="60">
        <f>IF('Expenses Summary'!$D27="","",IF('Cash Flow %s Yr1'!K73="","",'Cash Flow %s Yr1'!K73*'Expenses Summary'!$D27))</f>
        <v>0</v>
      </c>
      <c r="L78" s="60">
        <f>IF('Expenses Summary'!$D27="","",IF('Cash Flow %s Yr1'!L73="","",'Cash Flow %s Yr1'!L73*'Expenses Summary'!$D27))</f>
        <v>0</v>
      </c>
      <c r="M78" s="60">
        <f>IF('Expenses Summary'!$D27="","",IF('Cash Flow %s Yr1'!M73="","",'Cash Flow %s Yr1'!M73*'Expenses Summary'!$D27))</f>
        <v>0</v>
      </c>
      <c r="N78" s="60">
        <f>IF('Expenses Summary'!$D27="","",IF('Cash Flow %s Yr1'!N73="","",'Cash Flow %s Yr1'!N73*'Expenses Summary'!$D27))</f>
        <v>0</v>
      </c>
      <c r="O78" s="60">
        <f>IF('Expenses Summary'!$D27="","",IF('Cash Flow %s Yr1'!O73="","",'Cash Flow %s Yr1'!O73*'Expenses Summary'!$D27))</f>
        <v>0</v>
      </c>
      <c r="P78" s="123"/>
      <c r="Q78" s="123"/>
      <c r="R78" s="123"/>
    </row>
    <row r="79" spans="1:18" s="30" customFormat="1" x14ac:dyDescent="0.3">
      <c r="A79" s="35"/>
      <c r="B79" s="63" t="str">
        <f>'Expenses Summary'!B28</f>
        <v>2905</v>
      </c>
      <c r="C79" s="63" t="str">
        <f>'Expenses Summary'!C28</f>
        <v>Other Stipends</v>
      </c>
      <c r="D79" s="60">
        <f>IF('Expenses Summary'!$D28="","",IF('Cash Flow %s Yr1'!D74="","",'Cash Flow %s Yr1'!D74*'Expenses Summary'!$D28))</f>
        <v>0</v>
      </c>
      <c r="E79" s="60">
        <f>IF('Expenses Summary'!$D28="","",IF('Cash Flow %s Yr1'!E74="","",'Cash Flow %s Yr1'!E74*'Expenses Summary'!$D28))</f>
        <v>0</v>
      </c>
      <c r="F79" s="60">
        <f>IF('Expenses Summary'!$D28="","",IF('Cash Flow %s Yr1'!F74="","",'Cash Flow %s Yr1'!F74*'Expenses Summary'!$D28))</f>
        <v>0</v>
      </c>
      <c r="G79" s="60">
        <f>IF('Expenses Summary'!$D28="","",IF('Cash Flow %s Yr1'!G74="","",'Cash Flow %s Yr1'!G74*'Expenses Summary'!$D28))</f>
        <v>0</v>
      </c>
      <c r="H79" s="60">
        <f>IF('Expenses Summary'!$D28="","",IF('Cash Flow %s Yr1'!H74="","",'Cash Flow %s Yr1'!H74*'Expenses Summary'!$D28))</f>
        <v>0</v>
      </c>
      <c r="I79" s="60">
        <f>IF('Expenses Summary'!$D28="","",IF('Cash Flow %s Yr1'!I74="","",'Cash Flow %s Yr1'!I74*'Expenses Summary'!$D28))</f>
        <v>0</v>
      </c>
      <c r="J79" s="60">
        <f>IF('Expenses Summary'!$D28="","",IF('Cash Flow %s Yr1'!J74="","",'Cash Flow %s Yr1'!J74*'Expenses Summary'!$D28))</f>
        <v>0</v>
      </c>
      <c r="K79" s="60">
        <f>IF('Expenses Summary'!$D28="","",IF('Cash Flow %s Yr1'!K74="","",'Cash Flow %s Yr1'!K74*'Expenses Summary'!$D28))</f>
        <v>0</v>
      </c>
      <c r="L79" s="60">
        <f>IF('Expenses Summary'!$D28="","",IF('Cash Flow %s Yr1'!L74="","",'Cash Flow %s Yr1'!L74*'Expenses Summary'!$D28))</f>
        <v>0</v>
      </c>
      <c r="M79" s="60">
        <f>IF('Expenses Summary'!$D28="","",IF('Cash Flow %s Yr1'!M74="","",'Cash Flow %s Yr1'!M74*'Expenses Summary'!$D28))</f>
        <v>0</v>
      </c>
      <c r="N79" s="60">
        <f>IF('Expenses Summary'!$D28="","",IF('Cash Flow %s Yr1'!N74="","",'Cash Flow %s Yr1'!N74*'Expenses Summary'!$D28))</f>
        <v>0</v>
      </c>
      <c r="O79" s="60">
        <f>IF('Expenses Summary'!$D28="","",IF('Cash Flow %s Yr1'!O74="","",'Cash Flow %s Yr1'!O74*'Expenses Summary'!$D28))</f>
        <v>0</v>
      </c>
      <c r="P79" s="123"/>
      <c r="Q79" s="123"/>
      <c r="R79" s="123"/>
    </row>
    <row r="80" spans="1:18" s="30" customFormat="1" x14ac:dyDescent="0.3">
      <c r="A80" s="35"/>
      <c r="B80" s="63" t="str">
        <f>'Expenses Summary'!B29</f>
        <v>2910</v>
      </c>
      <c r="C80" s="63" t="str">
        <f>'Expenses Summary'!C29</f>
        <v>Other Classified Overtime</v>
      </c>
      <c r="D80" s="60">
        <f>IF('Expenses Summary'!$D29="","",IF('Cash Flow %s Yr1'!D75="","",'Cash Flow %s Yr1'!D75*'Expenses Summary'!$D29))</f>
        <v>0</v>
      </c>
      <c r="E80" s="60">
        <f>IF('Expenses Summary'!$D29="","",IF('Cash Flow %s Yr1'!E75="","",'Cash Flow %s Yr1'!E75*'Expenses Summary'!$D29))</f>
        <v>0</v>
      </c>
      <c r="F80" s="60">
        <f>IF('Expenses Summary'!$D29="","",IF('Cash Flow %s Yr1'!F75="","",'Cash Flow %s Yr1'!F75*'Expenses Summary'!$D29))</f>
        <v>0</v>
      </c>
      <c r="G80" s="60">
        <f>IF('Expenses Summary'!$D29="","",IF('Cash Flow %s Yr1'!G75="","",'Cash Flow %s Yr1'!G75*'Expenses Summary'!$D29))</f>
        <v>0</v>
      </c>
      <c r="H80" s="60">
        <f>IF('Expenses Summary'!$D29="","",IF('Cash Flow %s Yr1'!H75="","",'Cash Flow %s Yr1'!H75*'Expenses Summary'!$D29))</f>
        <v>0</v>
      </c>
      <c r="I80" s="60">
        <f>IF('Expenses Summary'!$D29="","",IF('Cash Flow %s Yr1'!I75="","",'Cash Flow %s Yr1'!I75*'Expenses Summary'!$D29))</f>
        <v>0</v>
      </c>
      <c r="J80" s="60">
        <f>IF('Expenses Summary'!$D29="","",IF('Cash Flow %s Yr1'!J75="","",'Cash Flow %s Yr1'!J75*'Expenses Summary'!$D29))</f>
        <v>0</v>
      </c>
      <c r="K80" s="60">
        <f>IF('Expenses Summary'!$D29="","",IF('Cash Flow %s Yr1'!K75="","",'Cash Flow %s Yr1'!K75*'Expenses Summary'!$D29))</f>
        <v>0</v>
      </c>
      <c r="L80" s="60">
        <f>IF('Expenses Summary'!$D29="","",IF('Cash Flow %s Yr1'!L75="","",'Cash Flow %s Yr1'!L75*'Expenses Summary'!$D29))</f>
        <v>0</v>
      </c>
      <c r="M80" s="60">
        <f>IF('Expenses Summary'!$D29="","",IF('Cash Flow %s Yr1'!M75="","",'Cash Flow %s Yr1'!M75*'Expenses Summary'!$D29))</f>
        <v>0</v>
      </c>
      <c r="N80" s="60">
        <f>IF('Expenses Summary'!$D29="","",IF('Cash Flow %s Yr1'!N75="","",'Cash Flow %s Yr1'!N75*'Expenses Summary'!$D29))</f>
        <v>0</v>
      </c>
      <c r="O80" s="60">
        <f>IF('Expenses Summary'!$D29="","",IF('Cash Flow %s Yr1'!O75="","",'Cash Flow %s Yr1'!O75*'Expenses Summary'!$D29))</f>
        <v>0</v>
      </c>
      <c r="P80" s="123"/>
      <c r="Q80" s="123"/>
      <c r="R80" s="123"/>
    </row>
    <row r="81" spans="1:18" s="30" customFormat="1" x14ac:dyDescent="0.3">
      <c r="A81" s="35"/>
      <c r="B81" s="42" t="s">
        <v>737</v>
      </c>
      <c r="C81" s="33" t="s">
        <v>720</v>
      </c>
      <c r="D81" s="165">
        <f t="shared" ref="D81:I81" si="9">IF(SUM(D70:D80)&gt;0,SUM(D70:D80),"")</f>
        <v>2157.3360000000002</v>
      </c>
      <c r="E81" s="165">
        <f t="shared" si="9"/>
        <v>9029.6360000000004</v>
      </c>
      <c r="F81" s="165">
        <f t="shared" si="9"/>
        <v>16190.036</v>
      </c>
      <c r="G81" s="165">
        <f t="shared" si="9"/>
        <v>16190.036</v>
      </c>
      <c r="H81" s="165">
        <f t="shared" si="9"/>
        <v>16190.036</v>
      </c>
      <c r="I81" s="165">
        <f t="shared" si="9"/>
        <v>16190.036</v>
      </c>
      <c r="J81" s="165">
        <f t="shared" ref="J81:O81" si="10">IF(SUM(J70:J80)&gt;0,SUM(J70:J80),"")</f>
        <v>16190.036</v>
      </c>
      <c r="K81" s="165">
        <f t="shared" si="10"/>
        <v>16190.036</v>
      </c>
      <c r="L81" s="165">
        <f t="shared" si="10"/>
        <v>16216.028</v>
      </c>
      <c r="M81" s="165">
        <f t="shared" si="10"/>
        <v>16216.028</v>
      </c>
      <c r="N81" s="165">
        <f t="shared" si="10"/>
        <v>16216.028</v>
      </c>
      <c r="O81" s="165">
        <f t="shared" si="10"/>
        <v>9343.728000000001</v>
      </c>
      <c r="P81" s="94"/>
      <c r="Q81" s="94"/>
      <c r="R81" s="94"/>
    </row>
    <row r="82" spans="1:18" s="30" customFormat="1" x14ac:dyDescent="0.3">
      <c r="A82" s="35"/>
      <c r="B82" s="39"/>
      <c r="C82" s="3"/>
      <c r="D82" s="96"/>
      <c r="E82" s="96"/>
      <c r="F82" s="96"/>
      <c r="G82" s="96"/>
      <c r="H82" s="96"/>
      <c r="I82" s="96"/>
      <c r="J82" s="96"/>
      <c r="K82" s="96"/>
      <c r="L82" s="96"/>
      <c r="M82" s="96"/>
      <c r="N82" s="96"/>
      <c r="O82" s="96"/>
      <c r="P82" s="96"/>
      <c r="Q82" s="96"/>
      <c r="R82" s="96"/>
    </row>
    <row r="83" spans="1:18" s="30" customFormat="1" x14ac:dyDescent="0.3">
      <c r="B83" s="33" t="s">
        <v>734</v>
      </c>
      <c r="C83" s="3"/>
      <c r="D83" s="96"/>
      <c r="E83" s="96"/>
      <c r="F83" s="96"/>
      <c r="G83" s="96"/>
      <c r="H83" s="96"/>
      <c r="I83" s="96"/>
      <c r="J83" s="96"/>
      <c r="K83" s="96"/>
      <c r="L83" s="96"/>
      <c r="M83" s="96"/>
      <c r="N83" s="96"/>
      <c r="O83" s="96"/>
      <c r="P83" s="96"/>
      <c r="Q83" s="96"/>
      <c r="R83" s="96"/>
    </row>
    <row r="84" spans="1:18" s="30" customFormat="1" x14ac:dyDescent="0.3">
      <c r="A84" s="35"/>
      <c r="B84" s="63" t="str">
        <f>'Expenses Summary'!B33</f>
        <v>3101</v>
      </c>
      <c r="C84" s="63" t="str">
        <f>'Expenses Summary'!C33</f>
        <v>State Teachers' Retirement System, certificated positions</v>
      </c>
      <c r="D84" s="60">
        <f>IF('Expenses Summary'!$D33="","",IF('Cash Flow %s Yr1'!D79="","",'Cash Flow %s Yr1'!D79*'Expenses Summary'!$D33))</f>
        <v>728.68000000000006</v>
      </c>
      <c r="E84" s="60">
        <f>IF('Expenses Summary'!$D33="","",IF('Cash Flow %s Yr1'!E79="","",'Cash Flow %s Yr1'!E79*'Expenses Summary'!$D33))</f>
        <v>1821.7</v>
      </c>
      <c r="F84" s="60">
        <f>IF('Expenses Summary'!$D33="","",IF('Cash Flow %s Yr1'!F79="","",'Cash Flow %s Yr1'!F79*'Expenses Summary'!$D33))</f>
        <v>3643.4</v>
      </c>
      <c r="G84" s="60">
        <f>IF('Expenses Summary'!$D33="","",IF('Cash Flow %s Yr1'!G79="","",'Cash Flow %s Yr1'!G79*'Expenses Summary'!$D33))</f>
        <v>3643.4</v>
      </c>
      <c r="H84" s="60">
        <f>IF('Expenses Summary'!$D33="","",IF('Cash Flow %s Yr1'!H79="","",'Cash Flow %s Yr1'!H79*'Expenses Summary'!$D33))</f>
        <v>3643.4</v>
      </c>
      <c r="I84" s="60">
        <f>IF('Expenses Summary'!$D33="","",IF('Cash Flow %s Yr1'!I79="","",'Cash Flow %s Yr1'!I79*'Expenses Summary'!$D33))</f>
        <v>3643.4</v>
      </c>
      <c r="J84" s="60">
        <f>IF('Expenses Summary'!$D33="","",IF('Cash Flow %s Yr1'!J79="","",'Cash Flow %s Yr1'!J79*'Expenses Summary'!$D33))</f>
        <v>3643.4</v>
      </c>
      <c r="K84" s="60">
        <f>IF('Expenses Summary'!$D33="","",IF('Cash Flow %s Yr1'!K79="","",'Cash Flow %s Yr1'!K79*'Expenses Summary'!$D33))</f>
        <v>3643.4</v>
      </c>
      <c r="L84" s="60">
        <f>IF('Expenses Summary'!$D33="","",IF('Cash Flow %s Yr1'!L79="","",'Cash Flow %s Yr1'!L79*'Expenses Summary'!$D33))</f>
        <v>3643.4</v>
      </c>
      <c r="M84" s="60">
        <f>IF('Expenses Summary'!$D33="","",IF('Cash Flow %s Yr1'!M79="","",'Cash Flow %s Yr1'!M79*'Expenses Summary'!$D33))</f>
        <v>3643.4</v>
      </c>
      <c r="N84" s="60">
        <f>IF('Expenses Summary'!$D33="","",IF('Cash Flow %s Yr1'!N79="","",'Cash Flow %s Yr1'!N79*'Expenses Summary'!$D33))</f>
        <v>3643.4</v>
      </c>
      <c r="O84" s="60">
        <f>IF('Expenses Summary'!$D33="","",IF('Cash Flow %s Yr1'!O79="","",'Cash Flow %s Yr1'!O79*'Expenses Summary'!$D33))</f>
        <v>1093.02</v>
      </c>
      <c r="P84" s="123"/>
      <c r="Q84" s="123"/>
      <c r="R84" s="123"/>
    </row>
    <row r="85" spans="1:18" s="30" customFormat="1" x14ac:dyDescent="0.3">
      <c r="A85" s="35"/>
      <c r="B85" s="63" t="str">
        <f>'Expenses Summary'!B34</f>
        <v>3202</v>
      </c>
      <c r="C85" s="63" t="str">
        <f>'Expenses Summary'!C34</f>
        <v>Public Employees' Retirement System, classified positions</v>
      </c>
      <c r="D85" s="60">
        <f>IF('Expenses Summary'!$D34="","",IF('Cash Flow %s Yr1'!D80="","",'Cash Flow %s Yr1'!D80*'Expenses Summary'!$D34))</f>
        <v>0</v>
      </c>
      <c r="E85" s="60">
        <f>IF('Expenses Summary'!$D34="","",IF('Cash Flow %s Yr1'!E80="","",'Cash Flow %s Yr1'!E80*'Expenses Summary'!$D34))</f>
        <v>0</v>
      </c>
      <c r="F85" s="60">
        <f>IF('Expenses Summary'!$D34="","",IF('Cash Flow %s Yr1'!F80="","",'Cash Flow %s Yr1'!F80*'Expenses Summary'!$D34))</f>
        <v>0</v>
      </c>
      <c r="G85" s="60">
        <f>IF('Expenses Summary'!$D34="","",IF('Cash Flow %s Yr1'!G80="","",'Cash Flow %s Yr1'!G80*'Expenses Summary'!$D34))</f>
        <v>0</v>
      </c>
      <c r="H85" s="60">
        <f>IF('Expenses Summary'!$D34="","",IF('Cash Flow %s Yr1'!H80="","",'Cash Flow %s Yr1'!H80*'Expenses Summary'!$D34))</f>
        <v>0</v>
      </c>
      <c r="I85" s="60">
        <f>IF('Expenses Summary'!$D34="","",IF('Cash Flow %s Yr1'!I80="","",'Cash Flow %s Yr1'!I80*'Expenses Summary'!$D34))</f>
        <v>0</v>
      </c>
      <c r="J85" s="60">
        <f>IF('Expenses Summary'!$D34="","",IF('Cash Flow %s Yr1'!J80="","",'Cash Flow %s Yr1'!J80*'Expenses Summary'!$D34))</f>
        <v>0</v>
      </c>
      <c r="K85" s="60">
        <f>IF('Expenses Summary'!$D34="","",IF('Cash Flow %s Yr1'!K80="","",'Cash Flow %s Yr1'!K80*'Expenses Summary'!$D34))</f>
        <v>0</v>
      </c>
      <c r="L85" s="60">
        <f>IF('Expenses Summary'!$D34="","",IF('Cash Flow %s Yr1'!L80="","",'Cash Flow %s Yr1'!L80*'Expenses Summary'!$D34))</f>
        <v>0</v>
      </c>
      <c r="M85" s="60">
        <f>IF('Expenses Summary'!$D34="","",IF('Cash Flow %s Yr1'!M80="","",'Cash Flow %s Yr1'!M80*'Expenses Summary'!$D34))</f>
        <v>0</v>
      </c>
      <c r="N85" s="60">
        <f>IF('Expenses Summary'!$D34="","",IF('Cash Flow %s Yr1'!N80="","",'Cash Flow %s Yr1'!N80*'Expenses Summary'!$D34))</f>
        <v>0</v>
      </c>
      <c r="O85" s="60">
        <f>IF('Expenses Summary'!$D34="","",IF('Cash Flow %s Yr1'!O80="","",'Cash Flow %s Yr1'!O80*'Expenses Summary'!$D34))</f>
        <v>0</v>
      </c>
      <c r="P85" s="123"/>
      <c r="Q85" s="123"/>
      <c r="R85" s="123"/>
    </row>
    <row r="86" spans="1:18" s="30" customFormat="1" x14ac:dyDescent="0.3">
      <c r="A86" s="35"/>
      <c r="B86" s="63" t="str">
        <f>'Expenses Summary'!B35</f>
        <v>3313</v>
      </c>
      <c r="C86" s="63" t="str">
        <f>'Expenses Summary'!C35</f>
        <v>OASDI</v>
      </c>
      <c r="D86" s="60">
        <f>IF('Expenses Summary'!$D35="","",IF('Cash Flow %s Yr1'!D81="","",'Cash Flow %s Yr1'!D81*'Expenses Summary'!$D35))</f>
        <v>813.81500000000005</v>
      </c>
      <c r="E86" s="60">
        <f>IF('Expenses Summary'!$D35="","",IF('Cash Flow %s Yr1'!E81="","",'Cash Flow %s Yr1'!E81*'Expenses Summary'!$D35))</f>
        <v>813.81500000000005</v>
      </c>
      <c r="F86" s="60">
        <f>IF('Expenses Summary'!$D35="","",IF('Cash Flow %s Yr1'!F81="","",'Cash Flow %s Yr1'!F81*'Expenses Summary'!$D35))</f>
        <v>813.81500000000005</v>
      </c>
      <c r="G86" s="60">
        <f>IF('Expenses Summary'!$D35="","",IF('Cash Flow %s Yr1'!G81="","",'Cash Flow %s Yr1'!G81*'Expenses Summary'!$D35))</f>
        <v>813.81500000000005</v>
      </c>
      <c r="H86" s="60">
        <f>IF('Expenses Summary'!$D35="","",IF('Cash Flow %s Yr1'!H81="","",'Cash Flow %s Yr1'!H81*'Expenses Summary'!$D35))</f>
        <v>813.81500000000005</v>
      </c>
      <c r="I86" s="60">
        <f>IF('Expenses Summary'!$D35="","",IF('Cash Flow %s Yr1'!I81="","",'Cash Flow %s Yr1'!I81*'Expenses Summary'!$D35))</f>
        <v>813.81500000000005</v>
      </c>
      <c r="J86" s="60">
        <f>IF('Expenses Summary'!$D35="","",IF('Cash Flow %s Yr1'!J81="","",'Cash Flow %s Yr1'!J81*'Expenses Summary'!$D35))</f>
        <v>813.81500000000005</v>
      </c>
      <c r="K86" s="60">
        <f>IF('Expenses Summary'!$D35="","",IF('Cash Flow %s Yr1'!K81="","",'Cash Flow %s Yr1'!K81*'Expenses Summary'!$D35))</f>
        <v>813.81500000000005</v>
      </c>
      <c r="L86" s="60">
        <f>IF('Expenses Summary'!$D35="","",IF('Cash Flow %s Yr1'!L81="","",'Cash Flow %s Yr1'!L81*'Expenses Summary'!$D35))</f>
        <v>823.62</v>
      </c>
      <c r="M86" s="60">
        <f>IF('Expenses Summary'!$D35="","",IF('Cash Flow %s Yr1'!M81="","",'Cash Flow %s Yr1'!M81*'Expenses Summary'!$D35))</f>
        <v>823.62</v>
      </c>
      <c r="N86" s="60">
        <f>IF('Expenses Summary'!$D35="","",IF('Cash Flow %s Yr1'!N81="","",'Cash Flow %s Yr1'!N81*'Expenses Summary'!$D35))</f>
        <v>823.62</v>
      </c>
      <c r="O86" s="60">
        <f>IF('Expenses Summary'!$D35="","",IF('Cash Flow %s Yr1'!O81="","",'Cash Flow %s Yr1'!O81*'Expenses Summary'!$D35))</f>
        <v>823.62</v>
      </c>
      <c r="P86" s="123"/>
      <c r="Q86" s="123"/>
      <c r="R86" s="123"/>
    </row>
    <row r="87" spans="1:18" s="30" customFormat="1" x14ac:dyDescent="0.3">
      <c r="A87" s="35"/>
      <c r="B87" s="63" t="str">
        <f>'Expenses Summary'!B36</f>
        <v>3323</v>
      </c>
      <c r="C87" s="63" t="str">
        <f>'Expenses Summary'!C36</f>
        <v>Medicare</v>
      </c>
      <c r="D87" s="60">
        <f>IF('Expenses Summary'!$D36="","",IF('Cash Flow %s Yr1'!D82="","",'Cash Flow %s Yr1'!D82*'Expenses Summary'!$D36))</f>
        <v>529.54749780499992</v>
      </c>
      <c r="E87" s="60">
        <f>IF('Expenses Summary'!$D36="","",IF('Cash Flow %s Yr1'!E82="","",'Cash Flow %s Yr1'!E82*'Expenses Summary'!$D36))</f>
        <v>529.54749780499992</v>
      </c>
      <c r="F87" s="60">
        <f>IF('Expenses Summary'!$D36="","",IF('Cash Flow %s Yr1'!F82="","",'Cash Flow %s Yr1'!F82*'Expenses Summary'!$D36))</f>
        <v>529.54749780499992</v>
      </c>
      <c r="G87" s="60">
        <f>IF('Expenses Summary'!$D36="","",IF('Cash Flow %s Yr1'!G82="","",'Cash Flow %s Yr1'!G82*'Expenses Summary'!$D36))</f>
        <v>529.54749780499992</v>
      </c>
      <c r="H87" s="60">
        <f>IF('Expenses Summary'!$D36="","",IF('Cash Flow %s Yr1'!H82="","",'Cash Flow %s Yr1'!H82*'Expenses Summary'!$D36))</f>
        <v>529.54749780499992</v>
      </c>
      <c r="I87" s="60">
        <f>IF('Expenses Summary'!$D36="","",IF('Cash Flow %s Yr1'!I82="","",'Cash Flow %s Yr1'!I82*'Expenses Summary'!$D36))</f>
        <v>529.54749780499992</v>
      </c>
      <c r="J87" s="60">
        <f>IF('Expenses Summary'!$D36="","",IF('Cash Flow %s Yr1'!J82="","",'Cash Flow %s Yr1'!J82*'Expenses Summary'!$D36))</f>
        <v>529.54749780499992</v>
      </c>
      <c r="K87" s="60">
        <f>IF('Expenses Summary'!$D36="","",IF('Cash Flow %s Yr1'!K82="","",'Cash Flow %s Yr1'!K82*'Expenses Summary'!$D36))</f>
        <v>529.54749780499992</v>
      </c>
      <c r="L87" s="60">
        <f>IF('Expenses Summary'!$D36="","",IF('Cash Flow %s Yr1'!L82="","",'Cash Flow %s Yr1'!L82*'Expenses Summary'!$D36))</f>
        <v>535.9275881399999</v>
      </c>
      <c r="M87" s="60">
        <f>IF('Expenses Summary'!$D36="","",IF('Cash Flow %s Yr1'!M82="","",'Cash Flow %s Yr1'!M82*'Expenses Summary'!$D36))</f>
        <v>535.9275881399999</v>
      </c>
      <c r="N87" s="60">
        <f>IF('Expenses Summary'!$D36="","",IF('Cash Flow %s Yr1'!N82="","",'Cash Flow %s Yr1'!N82*'Expenses Summary'!$D36))</f>
        <v>535.9275881399999</v>
      </c>
      <c r="O87" s="60">
        <f>IF('Expenses Summary'!$D36="","",IF('Cash Flow %s Yr1'!O82="","",'Cash Flow %s Yr1'!O82*'Expenses Summary'!$D36))</f>
        <v>535.9275881399999</v>
      </c>
      <c r="P87" s="123"/>
      <c r="Q87" s="123"/>
      <c r="R87" s="123"/>
    </row>
    <row r="88" spans="1:18" s="30" customFormat="1" x14ac:dyDescent="0.3">
      <c r="A88" s="35"/>
      <c r="B88" s="63" t="str">
        <f>'Expenses Summary'!B37</f>
        <v>3403</v>
      </c>
      <c r="C88" s="63" t="str">
        <f>'Expenses Summary'!C37</f>
        <v>Health &amp; Welfare Benefits</v>
      </c>
      <c r="D88" s="60">
        <f>IF('Expenses Summary'!$D37="","",IF('Cash Flow %s Yr1'!D83="","",'Cash Flow %s Yr1'!D83*'Expenses Summary'!$D37))</f>
        <v>5077.1100000000006</v>
      </c>
      <c r="E88" s="60">
        <f>IF('Expenses Summary'!$D37="","",IF('Cash Flow %s Yr1'!E83="","",'Cash Flow %s Yr1'!E83*'Expenses Summary'!$D37))</f>
        <v>5077.1100000000006</v>
      </c>
      <c r="F88" s="60">
        <f>IF('Expenses Summary'!$D37="","",IF('Cash Flow %s Yr1'!F83="","",'Cash Flow %s Yr1'!F83*'Expenses Summary'!$D37))</f>
        <v>5077.1100000000006</v>
      </c>
      <c r="G88" s="60">
        <f>IF('Expenses Summary'!$D37="","",IF('Cash Flow %s Yr1'!G83="","",'Cash Flow %s Yr1'!G83*'Expenses Summary'!$D37))</f>
        <v>5077.1100000000006</v>
      </c>
      <c r="H88" s="60">
        <f>IF('Expenses Summary'!$D37="","",IF('Cash Flow %s Yr1'!H83="","",'Cash Flow %s Yr1'!H83*'Expenses Summary'!$D37))</f>
        <v>5077.1100000000006</v>
      </c>
      <c r="I88" s="60">
        <f>IF('Expenses Summary'!$D37="","",IF('Cash Flow %s Yr1'!I83="","",'Cash Flow %s Yr1'!I83*'Expenses Summary'!$D37))</f>
        <v>5077.1100000000006</v>
      </c>
      <c r="J88" s="60">
        <f>IF('Expenses Summary'!$D37="","",IF('Cash Flow %s Yr1'!J83="","",'Cash Flow %s Yr1'!J83*'Expenses Summary'!$D37))</f>
        <v>5077.1100000000006</v>
      </c>
      <c r="K88" s="60">
        <f>IF('Expenses Summary'!$D37="","",IF('Cash Flow %s Yr1'!K83="","",'Cash Flow %s Yr1'!K83*'Expenses Summary'!$D37))</f>
        <v>5077.1100000000006</v>
      </c>
      <c r="L88" s="60">
        <f>IF('Expenses Summary'!$D37="","",IF('Cash Flow %s Yr1'!L83="","",'Cash Flow %s Yr1'!L83*'Expenses Summary'!$D37))</f>
        <v>5138.2800000000007</v>
      </c>
      <c r="M88" s="60">
        <f>IF('Expenses Summary'!$D37="","",IF('Cash Flow %s Yr1'!M83="","",'Cash Flow %s Yr1'!M83*'Expenses Summary'!$D37))</f>
        <v>5138.2800000000007</v>
      </c>
      <c r="N88" s="60">
        <f>IF('Expenses Summary'!$D37="","",IF('Cash Flow %s Yr1'!N83="","",'Cash Flow %s Yr1'!N83*'Expenses Summary'!$D37))</f>
        <v>5138.2800000000007</v>
      </c>
      <c r="O88" s="60">
        <f>IF('Expenses Summary'!$D37="","",IF('Cash Flow %s Yr1'!O83="","",'Cash Flow %s Yr1'!O83*'Expenses Summary'!$D37))</f>
        <v>5138.2800000000007</v>
      </c>
      <c r="P88" s="123"/>
      <c r="Q88" s="123"/>
      <c r="R88" s="123"/>
    </row>
    <row r="89" spans="1:18" s="30" customFormat="1" x14ac:dyDescent="0.3">
      <c r="A89" s="35"/>
      <c r="B89" s="63" t="str">
        <f>'Expenses Summary'!B38</f>
        <v>3503</v>
      </c>
      <c r="C89" s="63" t="str">
        <f>'Expenses Summary'!C38</f>
        <v>State Unemployment Insurance</v>
      </c>
      <c r="D89" s="60">
        <f>IF('Expenses Summary'!$D38="","",IF('Cash Flow %s Yr1'!D84="","",'Cash Flow %s Yr1'!D84*'Expenses Summary'!$D38))</f>
        <v>233.39600000000002</v>
      </c>
      <c r="E89" s="60">
        <f>IF('Expenses Summary'!$D38="","",IF('Cash Flow %s Yr1'!E84="","",'Cash Flow %s Yr1'!E84*'Expenses Summary'!$D38))</f>
        <v>233.39600000000002</v>
      </c>
      <c r="F89" s="60">
        <f>IF('Expenses Summary'!$D38="","",IF('Cash Flow %s Yr1'!F84="","",'Cash Flow %s Yr1'!F84*'Expenses Summary'!$D38))</f>
        <v>233.39600000000002</v>
      </c>
      <c r="G89" s="60">
        <f>IF('Expenses Summary'!$D38="","",IF('Cash Flow %s Yr1'!G84="","",'Cash Flow %s Yr1'!G84*'Expenses Summary'!$D38))</f>
        <v>233.39600000000002</v>
      </c>
      <c r="H89" s="60">
        <f>IF('Expenses Summary'!$D38="","",IF('Cash Flow %s Yr1'!H84="","",'Cash Flow %s Yr1'!H84*'Expenses Summary'!$D38))</f>
        <v>233.39600000000002</v>
      </c>
      <c r="I89" s="60">
        <f>IF('Expenses Summary'!$D38="","",IF('Cash Flow %s Yr1'!I84="","",'Cash Flow %s Yr1'!I84*'Expenses Summary'!$D38))</f>
        <v>233.39600000000002</v>
      </c>
      <c r="J89" s="60">
        <f>IF('Expenses Summary'!$D38="","",IF('Cash Flow %s Yr1'!J84="","",'Cash Flow %s Yr1'!J84*'Expenses Summary'!$D38))</f>
        <v>233.39600000000002</v>
      </c>
      <c r="K89" s="60">
        <f>IF('Expenses Summary'!$D38="","",IF('Cash Flow %s Yr1'!K84="","",'Cash Flow %s Yr1'!K84*'Expenses Summary'!$D38))</f>
        <v>233.39600000000002</v>
      </c>
      <c r="L89" s="60">
        <f>IF('Expenses Summary'!$D38="","",IF('Cash Flow %s Yr1'!L84="","",'Cash Flow %s Yr1'!L84*'Expenses Summary'!$D38))</f>
        <v>236.20800000000003</v>
      </c>
      <c r="M89" s="60">
        <f>IF('Expenses Summary'!$D38="","",IF('Cash Flow %s Yr1'!M84="","",'Cash Flow %s Yr1'!M84*'Expenses Summary'!$D38))</f>
        <v>236.20800000000003</v>
      </c>
      <c r="N89" s="60">
        <f>IF('Expenses Summary'!$D38="","",IF('Cash Flow %s Yr1'!N84="","",'Cash Flow %s Yr1'!N84*'Expenses Summary'!$D38))</f>
        <v>236.20800000000003</v>
      </c>
      <c r="O89" s="60">
        <f>IF('Expenses Summary'!$D38="","",IF('Cash Flow %s Yr1'!O84="","",'Cash Flow %s Yr1'!O84*'Expenses Summary'!$D38))</f>
        <v>236.20800000000003</v>
      </c>
      <c r="P89" s="123"/>
      <c r="Q89" s="123"/>
      <c r="R89" s="123"/>
    </row>
    <row r="90" spans="1:18" s="30" customFormat="1" x14ac:dyDescent="0.3">
      <c r="A90" s="35"/>
      <c r="B90" s="63" t="str">
        <f>'Expenses Summary'!B39</f>
        <v>3603</v>
      </c>
      <c r="C90" s="63" t="str">
        <f>'Expenses Summary'!C39</f>
        <v>Worker Compensation Insurance</v>
      </c>
      <c r="D90" s="60">
        <f>IF('Expenses Summary'!$D39="","",IF('Cash Flow %s Yr1'!D85="","",'Cash Flow %s Yr1'!D85*'Expenses Summary'!$D39))</f>
        <v>895.98500000000001</v>
      </c>
      <c r="E90" s="60">
        <f>IF('Expenses Summary'!$D39="","",IF('Cash Flow %s Yr1'!E85="","",'Cash Flow %s Yr1'!E85*'Expenses Summary'!$D39))</f>
        <v>895.98500000000001</v>
      </c>
      <c r="F90" s="60">
        <f>IF('Expenses Summary'!$D39="","",IF('Cash Flow %s Yr1'!F85="","",'Cash Flow %s Yr1'!F85*'Expenses Summary'!$D39))</f>
        <v>895.98500000000001</v>
      </c>
      <c r="G90" s="60">
        <f>IF('Expenses Summary'!$D39="","",IF('Cash Flow %s Yr1'!G85="","",'Cash Flow %s Yr1'!G85*'Expenses Summary'!$D39))</f>
        <v>895.98500000000001</v>
      </c>
      <c r="H90" s="60">
        <f>IF('Expenses Summary'!$D39="","",IF('Cash Flow %s Yr1'!H85="","",'Cash Flow %s Yr1'!H85*'Expenses Summary'!$D39))</f>
        <v>895.98500000000001</v>
      </c>
      <c r="I90" s="60">
        <f>IF('Expenses Summary'!$D39="","",IF('Cash Flow %s Yr1'!I85="","",'Cash Flow %s Yr1'!I85*'Expenses Summary'!$D39))</f>
        <v>895.98500000000001</v>
      </c>
      <c r="J90" s="60">
        <f>IF('Expenses Summary'!$D39="","",IF('Cash Flow %s Yr1'!J85="","",'Cash Flow %s Yr1'!J85*'Expenses Summary'!$D39))</f>
        <v>895.98500000000001</v>
      </c>
      <c r="K90" s="60">
        <f>IF('Expenses Summary'!$D39="","",IF('Cash Flow %s Yr1'!K85="","",'Cash Flow %s Yr1'!K85*'Expenses Summary'!$D39))</f>
        <v>895.98500000000001</v>
      </c>
      <c r="L90" s="60">
        <f>IF('Expenses Summary'!$D39="","",IF('Cash Flow %s Yr1'!L85="","",'Cash Flow %s Yr1'!L85*'Expenses Summary'!$D39))</f>
        <v>906.78000000000009</v>
      </c>
      <c r="M90" s="60">
        <f>IF('Expenses Summary'!$D39="","",IF('Cash Flow %s Yr1'!M85="","",'Cash Flow %s Yr1'!M85*'Expenses Summary'!$D39))</f>
        <v>906.78000000000009</v>
      </c>
      <c r="N90" s="60">
        <f>IF('Expenses Summary'!$D39="","",IF('Cash Flow %s Yr1'!N85="","",'Cash Flow %s Yr1'!N85*'Expenses Summary'!$D39))</f>
        <v>906.78000000000009</v>
      </c>
      <c r="O90" s="60">
        <f>IF('Expenses Summary'!$D39="","",IF('Cash Flow %s Yr1'!O85="","",'Cash Flow %s Yr1'!O85*'Expenses Summary'!$D39))</f>
        <v>906.78000000000009</v>
      </c>
      <c r="P90" s="123"/>
      <c r="Q90" s="123"/>
      <c r="R90" s="123"/>
    </row>
    <row r="91" spans="1:18" s="30" customFormat="1" x14ac:dyDescent="0.3">
      <c r="A91" s="35"/>
      <c r="B91" s="63" t="str">
        <f>'Expenses Summary'!B40</f>
        <v>3703</v>
      </c>
      <c r="C91" s="63" t="str">
        <f>'Expenses Summary'!C40</f>
        <v>Other Post Employement Benefits</v>
      </c>
      <c r="D91" s="60">
        <f>IF('Expenses Summary'!$D40="","",IF('Cash Flow %s Yr1'!D86="","",'Cash Flow %s Yr1'!D86*'Expenses Summary'!$D40))</f>
        <v>0</v>
      </c>
      <c r="E91" s="60">
        <f>IF('Expenses Summary'!$D40="","",IF('Cash Flow %s Yr1'!E86="","",'Cash Flow %s Yr1'!E86*'Expenses Summary'!$D40))</f>
        <v>0</v>
      </c>
      <c r="F91" s="60">
        <f>IF('Expenses Summary'!$D40="","",IF('Cash Flow %s Yr1'!F86="","",'Cash Flow %s Yr1'!F86*'Expenses Summary'!$D40))</f>
        <v>0</v>
      </c>
      <c r="G91" s="60">
        <f>IF('Expenses Summary'!$D40="","",IF('Cash Flow %s Yr1'!G86="","",'Cash Flow %s Yr1'!G86*'Expenses Summary'!$D40))</f>
        <v>0</v>
      </c>
      <c r="H91" s="60">
        <f>IF('Expenses Summary'!$D40="","",IF('Cash Flow %s Yr1'!H86="","",'Cash Flow %s Yr1'!H86*'Expenses Summary'!$D40))</f>
        <v>0</v>
      </c>
      <c r="I91" s="60">
        <f>IF('Expenses Summary'!$D40="","",IF('Cash Flow %s Yr1'!I86="","",'Cash Flow %s Yr1'!I86*'Expenses Summary'!$D40))</f>
        <v>0</v>
      </c>
      <c r="J91" s="60">
        <f>IF('Expenses Summary'!$D40="","",IF('Cash Flow %s Yr1'!J86="","",'Cash Flow %s Yr1'!J86*'Expenses Summary'!$D40))</f>
        <v>0</v>
      </c>
      <c r="K91" s="60">
        <f>IF('Expenses Summary'!$D40="","",IF('Cash Flow %s Yr1'!K86="","",'Cash Flow %s Yr1'!K86*'Expenses Summary'!$D40))</f>
        <v>0</v>
      </c>
      <c r="L91" s="60">
        <f>IF('Expenses Summary'!$D40="","",IF('Cash Flow %s Yr1'!L86="","",'Cash Flow %s Yr1'!L86*'Expenses Summary'!$D40))</f>
        <v>0</v>
      </c>
      <c r="M91" s="60">
        <f>IF('Expenses Summary'!$D40="","",IF('Cash Flow %s Yr1'!M86="","",'Cash Flow %s Yr1'!M86*'Expenses Summary'!$D40))</f>
        <v>0</v>
      </c>
      <c r="N91" s="60">
        <f>IF('Expenses Summary'!$D40="","",IF('Cash Flow %s Yr1'!N86="","",'Cash Flow %s Yr1'!N86*'Expenses Summary'!$D40))</f>
        <v>0</v>
      </c>
      <c r="O91" s="60">
        <f>IF('Expenses Summary'!$D40="","",IF('Cash Flow %s Yr1'!O86="","",'Cash Flow %s Yr1'!O86*'Expenses Summary'!$D40))</f>
        <v>0</v>
      </c>
      <c r="P91" s="123"/>
      <c r="Q91" s="123"/>
      <c r="R91" s="123"/>
    </row>
    <row r="92" spans="1:18" s="30" customFormat="1" x14ac:dyDescent="0.3">
      <c r="A92" s="35"/>
      <c r="B92" s="63" t="str">
        <f>'Expenses Summary'!B41</f>
        <v>3903</v>
      </c>
      <c r="C92" s="63" t="str">
        <f>'Expenses Summary'!C41</f>
        <v>Other Benefits</v>
      </c>
      <c r="D92" s="60">
        <f>IF('Expenses Summary'!$D41="","",IF('Cash Flow %s Yr1'!D87="","",'Cash Flow %s Yr1'!D87*'Expenses Summary'!$D41))</f>
        <v>0</v>
      </c>
      <c r="E92" s="60">
        <f>IF('Expenses Summary'!$D41="","",IF('Cash Flow %s Yr1'!E87="","",'Cash Flow %s Yr1'!E87*'Expenses Summary'!$D41))</f>
        <v>0</v>
      </c>
      <c r="F92" s="60">
        <f>IF('Expenses Summary'!$D41="","",IF('Cash Flow %s Yr1'!F87="","",'Cash Flow %s Yr1'!F87*'Expenses Summary'!$D41))</f>
        <v>0</v>
      </c>
      <c r="G92" s="60">
        <f>IF('Expenses Summary'!$D41="","",IF('Cash Flow %s Yr1'!G87="","",'Cash Flow %s Yr1'!G87*'Expenses Summary'!$D41))</f>
        <v>0</v>
      </c>
      <c r="H92" s="60">
        <f>IF('Expenses Summary'!$D41="","",IF('Cash Flow %s Yr1'!H87="","",'Cash Flow %s Yr1'!H87*'Expenses Summary'!$D41))</f>
        <v>0</v>
      </c>
      <c r="I92" s="60">
        <f>IF('Expenses Summary'!$D41="","",IF('Cash Flow %s Yr1'!I87="","",'Cash Flow %s Yr1'!I87*'Expenses Summary'!$D41))</f>
        <v>0</v>
      </c>
      <c r="J92" s="60">
        <f>IF('Expenses Summary'!$D41="","",IF('Cash Flow %s Yr1'!J87="","",'Cash Flow %s Yr1'!J87*'Expenses Summary'!$D41))</f>
        <v>0</v>
      </c>
      <c r="K92" s="60">
        <f>IF('Expenses Summary'!$D41="","",IF('Cash Flow %s Yr1'!K87="","",'Cash Flow %s Yr1'!K87*'Expenses Summary'!$D41))</f>
        <v>0</v>
      </c>
      <c r="L92" s="60">
        <f>IF('Expenses Summary'!$D41="","",IF('Cash Flow %s Yr1'!L87="","",'Cash Flow %s Yr1'!L87*'Expenses Summary'!$D41))</f>
        <v>0</v>
      </c>
      <c r="M92" s="60">
        <f>IF('Expenses Summary'!$D41="","",IF('Cash Flow %s Yr1'!M87="","",'Cash Flow %s Yr1'!M87*'Expenses Summary'!$D41))</f>
        <v>0</v>
      </c>
      <c r="N92" s="60">
        <f>IF('Expenses Summary'!$D41="","",IF('Cash Flow %s Yr1'!N87="","",'Cash Flow %s Yr1'!N87*'Expenses Summary'!$D41))</f>
        <v>0</v>
      </c>
      <c r="O92" s="60">
        <f>IF('Expenses Summary'!$D41="","",IF('Cash Flow %s Yr1'!O87="","",'Cash Flow %s Yr1'!O87*'Expenses Summary'!$D41))</f>
        <v>0</v>
      </c>
      <c r="P92" s="123"/>
      <c r="Q92" s="123"/>
      <c r="R92" s="123"/>
    </row>
    <row r="93" spans="1:18" s="30" customFormat="1" x14ac:dyDescent="0.3">
      <c r="A93" s="35"/>
      <c r="B93" s="42" t="s">
        <v>738</v>
      </c>
      <c r="C93" s="33" t="s">
        <v>720</v>
      </c>
      <c r="D93" s="165">
        <f t="shared" ref="D93:O93" si="11">IF(SUM(D83:D92)&gt;0,SUM(D83:D92),"")</f>
        <v>8278.5334978049996</v>
      </c>
      <c r="E93" s="165">
        <f t="shared" si="11"/>
        <v>9371.5534978050018</v>
      </c>
      <c r="F93" s="165">
        <f t="shared" si="11"/>
        <v>11193.253497805003</v>
      </c>
      <c r="G93" s="165">
        <f t="shared" si="11"/>
        <v>11193.253497805003</v>
      </c>
      <c r="H93" s="165">
        <f t="shared" si="11"/>
        <v>11193.253497805003</v>
      </c>
      <c r="I93" s="165">
        <f t="shared" si="11"/>
        <v>11193.253497805003</v>
      </c>
      <c r="J93" s="165">
        <f t="shared" si="11"/>
        <v>11193.253497805003</v>
      </c>
      <c r="K93" s="165">
        <f t="shared" si="11"/>
        <v>11193.253497805003</v>
      </c>
      <c r="L93" s="165">
        <f t="shared" si="11"/>
        <v>11284.215588140003</v>
      </c>
      <c r="M93" s="165">
        <f t="shared" si="11"/>
        <v>11284.215588140003</v>
      </c>
      <c r="N93" s="165">
        <f t="shared" si="11"/>
        <v>11284.215588140003</v>
      </c>
      <c r="O93" s="165">
        <f t="shared" si="11"/>
        <v>8733.8355881400003</v>
      </c>
      <c r="P93" s="94"/>
      <c r="Q93" s="94"/>
      <c r="R93" s="94"/>
    </row>
    <row r="94" spans="1:18" s="30" customFormat="1" x14ac:dyDescent="0.3">
      <c r="A94" s="35"/>
      <c r="B94" s="39"/>
      <c r="C94" s="1"/>
      <c r="D94" s="89"/>
      <c r="E94" s="89"/>
      <c r="F94" s="89"/>
      <c r="G94" s="89"/>
      <c r="H94" s="89"/>
      <c r="I94" s="89"/>
      <c r="J94" s="89"/>
      <c r="K94" s="89"/>
      <c r="L94" s="89"/>
      <c r="M94" s="89"/>
      <c r="N94" s="89"/>
      <c r="O94" s="89"/>
      <c r="P94" s="89"/>
      <c r="Q94" s="89"/>
      <c r="R94" s="89"/>
    </row>
    <row r="95" spans="1:18" s="30" customFormat="1" x14ac:dyDescent="0.3">
      <c r="B95" s="33" t="s">
        <v>677</v>
      </c>
      <c r="C95" s="3"/>
      <c r="D95" s="89"/>
      <c r="E95" s="89"/>
      <c r="F95" s="89"/>
      <c r="G95" s="89"/>
      <c r="H95" s="89"/>
      <c r="I95" s="89"/>
      <c r="J95" s="89"/>
      <c r="K95" s="89"/>
      <c r="L95" s="89"/>
      <c r="M95" s="89"/>
      <c r="N95" s="89"/>
      <c r="O95" s="89"/>
      <c r="P95" s="89"/>
      <c r="Q95" s="89"/>
      <c r="R95" s="89"/>
    </row>
    <row r="96" spans="1:18" s="30" customFormat="1" x14ac:dyDescent="0.3">
      <c r="A96" s="35"/>
      <c r="B96" s="133" t="str">
        <f>'Expenses Summary'!B47</f>
        <v>4100</v>
      </c>
      <c r="C96" s="133" t="str">
        <f>'Expenses Summary'!C47</f>
        <v>Approved Textbooks and Core Curricula Materials</v>
      </c>
      <c r="D96" s="60">
        <f>IF('Expenses Summary'!$D47="","",IF('Cash Flow %s Yr1'!D91="","",'Cash Flow %s Yr1'!D91*'Expenses Summary'!$D47))</f>
        <v>1972.2</v>
      </c>
      <c r="E96" s="60">
        <f>IF('Expenses Summary'!$D47="","",IF('Cash Flow %s Yr1'!E91="","",'Cash Flow %s Yr1'!E91*'Expenses Summary'!$D47))</f>
        <v>1972.2</v>
      </c>
      <c r="F96" s="60">
        <f>IF('Expenses Summary'!$D47="","",IF('Cash Flow %s Yr1'!F91="","",'Cash Flow %s Yr1'!F91*'Expenses Summary'!$D47))</f>
        <v>1972.2</v>
      </c>
      <c r="G96" s="60">
        <f>IF('Expenses Summary'!$D47="","",IF('Cash Flow %s Yr1'!G91="","",'Cash Flow %s Yr1'!G91*'Expenses Summary'!$D47))</f>
        <v>1972.2</v>
      </c>
      <c r="H96" s="60">
        <f>IF('Expenses Summary'!$D47="","",IF('Cash Flow %s Yr1'!H91="","",'Cash Flow %s Yr1'!H91*'Expenses Summary'!$D47))</f>
        <v>1972.2</v>
      </c>
      <c r="I96" s="60">
        <f>IF('Expenses Summary'!$D47="","",IF('Cash Flow %s Yr1'!I91="","",'Cash Flow %s Yr1'!I91*'Expenses Summary'!$D47))</f>
        <v>1972.2</v>
      </c>
      <c r="J96" s="60">
        <f>IF('Expenses Summary'!$D47="","",IF('Cash Flow %s Yr1'!J91="","",'Cash Flow %s Yr1'!J91*'Expenses Summary'!$D47))</f>
        <v>1972.2</v>
      </c>
      <c r="K96" s="60">
        <f>IF('Expenses Summary'!$D47="","",IF('Cash Flow %s Yr1'!K91="","",'Cash Flow %s Yr1'!K91*'Expenses Summary'!$D47))</f>
        <v>1972.2</v>
      </c>
      <c r="L96" s="60">
        <f>IF('Expenses Summary'!$D47="","",IF('Cash Flow %s Yr1'!L91="","",'Cash Flow %s Yr1'!L91*'Expenses Summary'!$D47))</f>
        <v>1972.2</v>
      </c>
      <c r="M96" s="60">
        <f>IF('Expenses Summary'!$D47="","",IF('Cash Flow %s Yr1'!M91="","",'Cash Flow %s Yr1'!M91*'Expenses Summary'!$D47))</f>
        <v>1972.2</v>
      </c>
      <c r="N96" s="60">
        <f>IF('Expenses Summary'!$D47="","",IF('Cash Flow %s Yr1'!N91="","",'Cash Flow %s Yr1'!N91*'Expenses Summary'!$D47))</f>
        <v>0</v>
      </c>
      <c r="O96" s="60">
        <f>IF('Expenses Summary'!$D47="","",IF('Cash Flow %s Yr1'!O91="","",'Cash Flow %s Yr1'!O91*'Expenses Summary'!$D47))</f>
        <v>0</v>
      </c>
      <c r="P96" s="123"/>
      <c r="Q96" s="123"/>
      <c r="R96" s="123"/>
    </row>
    <row r="97" spans="1:18" x14ac:dyDescent="0.3">
      <c r="A97" s="35"/>
      <c r="B97" s="133" t="str">
        <f>'Expenses Summary'!B48</f>
        <v>4200</v>
      </c>
      <c r="C97" s="133" t="str">
        <f>'Expenses Summary'!C48</f>
        <v>Books and Other Reference Materials</v>
      </c>
      <c r="D97" s="60">
        <f>IF('Expenses Summary'!$D48="","",IF('Cash Flow %s Yr1'!D92="","",'Cash Flow %s Yr1'!D92*'Expenses Summary'!$D48))</f>
        <v>98.95</v>
      </c>
      <c r="E97" s="60">
        <f>IF('Expenses Summary'!$D48="","",IF('Cash Flow %s Yr1'!E92="","",'Cash Flow %s Yr1'!E92*'Expenses Summary'!$D48))</f>
        <v>197.9</v>
      </c>
      <c r="F97" s="60">
        <f>IF('Expenses Summary'!$D48="","",IF('Cash Flow %s Yr1'!F92="","",'Cash Flow %s Yr1'!F92*'Expenses Summary'!$D48))</f>
        <v>197.9</v>
      </c>
      <c r="G97" s="60">
        <f>IF('Expenses Summary'!$D48="","",IF('Cash Flow %s Yr1'!G92="","",'Cash Flow %s Yr1'!G92*'Expenses Summary'!$D48))</f>
        <v>197.9</v>
      </c>
      <c r="H97" s="60">
        <f>IF('Expenses Summary'!$D48="","",IF('Cash Flow %s Yr1'!H92="","",'Cash Flow %s Yr1'!H92*'Expenses Summary'!$D48))</f>
        <v>197.9</v>
      </c>
      <c r="I97" s="60">
        <f>IF('Expenses Summary'!$D48="","",IF('Cash Flow %s Yr1'!I92="","",'Cash Flow %s Yr1'!I92*'Expenses Summary'!$D48))</f>
        <v>197.9</v>
      </c>
      <c r="J97" s="60">
        <f>IF('Expenses Summary'!$D48="","",IF('Cash Flow %s Yr1'!J92="","",'Cash Flow %s Yr1'!J92*'Expenses Summary'!$D48))</f>
        <v>197.9</v>
      </c>
      <c r="K97" s="60">
        <f>IF('Expenses Summary'!$D48="","",IF('Cash Flow %s Yr1'!K92="","",'Cash Flow %s Yr1'!K92*'Expenses Summary'!$D48))</f>
        <v>197.9</v>
      </c>
      <c r="L97" s="60">
        <f>IF('Expenses Summary'!$D48="","",IF('Cash Flow %s Yr1'!L92="","",'Cash Flow %s Yr1'!L92*'Expenses Summary'!$D48))</f>
        <v>197.9</v>
      </c>
      <c r="M97" s="60">
        <f>IF('Expenses Summary'!$D48="","",IF('Cash Flow %s Yr1'!M92="","",'Cash Flow %s Yr1'!M92*'Expenses Summary'!$D48))</f>
        <v>197.9</v>
      </c>
      <c r="N97" s="60">
        <f>IF('Expenses Summary'!$D48="","",IF('Cash Flow %s Yr1'!N92="","",'Cash Flow %s Yr1'!N92*'Expenses Summary'!$D48))</f>
        <v>98.95</v>
      </c>
      <c r="O97" s="60">
        <f>IF('Expenses Summary'!$D48="","",IF('Cash Flow %s Yr1'!O92="","",'Cash Flow %s Yr1'!O92*'Expenses Summary'!$D48))</f>
        <v>0</v>
      </c>
      <c r="P97" s="123"/>
      <c r="Q97" s="123"/>
      <c r="R97" s="123"/>
    </row>
    <row r="98" spans="1:18" x14ac:dyDescent="0.3">
      <c r="A98" s="35"/>
      <c r="B98" s="133" t="str">
        <f>'Expenses Summary'!B49</f>
        <v>4300</v>
      </c>
      <c r="C98" s="133" t="str">
        <f>'Expenses Summary'!C49</f>
        <v>Materials and Supplies</v>
      </c>
      <c r="D98" s="60">
        <f>IF('Expenses Summary'!$D49="","",IF('Cash Flow %s Yr1'!D93="","",'Cash Flow %s Yr1'!D93*'Expenses Summary'!$D49))</f>
        <v>1723.2460000000001</v>
      </c>
      <c r="E98" s="60">
        <f>IF('Expenses Summary'!$D49="","",IF('Cash Flow %s Yr1'!E93="","",'Cash Flow %s Yr1'!E93*'Expenses Summary'!$D49))</f>
        <v>1723.2460000000001</v>
      </c>
      <c r="F98" s="60">
        <f>IF('Expenses Summary'!$D49="","",IF('Cash Flow %s Yr1'!F93="","",'Cash Flow %s Yr1'!F93*'Expenses Summary'!$D49))</f>
        <v>1723.2460000000001</v>
      </c>
      <c r="G98" s="60">
        <f>IF('Expenses Summary'!$D49="","",IF('Cash Flow %s Yr1'!G93="","",'Cash Flow %s Yr1'!G93*'Expenses Summary'!$D49))</f>
        <v>1723.2460000000001</v>
      </c>
      <c r="H98" s="60">
        <f>IF('Expenses Summary'!$D49="","",IF('Cash Flow %s Yr1'!H93="","",'Cash Flow %s Yr1'!H93*'Expenses Summary'!$D49))</f>
        <v>1723.2460000000001</v>
      </c>
      <c r="I98" s="60">
        <f>IF('Expenses Summary'!$D49="","",IF('Cash Flow %s Yr1'!I93="","",'Cash Flow %s Yr1'!I93*'Expenses Summary'!$D49))</f>
        <v>1723.2460000000001</v>
      </c>
      <c r="J98" s="60">
        <f>IF('Expenses Summary'!$D49="","",IF('Cash Flow %s Yr1'!J93="","",'Cash Flow %s Yr1'!J93*'Expenses Summary'!$D49))</f>
        <v>1723.2460000000001</v>
      </c>
      <c r="K98" s="60">
        <f>IF('Expenses Summary'!$D49="","",IF('Cash Flow %s Yr1'!K93="","",'Cash Flow %s Yr1'!K93*'Expenses Summary'!$D49))</f>
        <v>1723.2460000000001</v>
      </c>
      <c r="L98" s="60">
        <f>IF('Expenses Summary'!$D49="","",IF('Cash Flow %s Yr1'!L93="","",'Cash Flow %s Yr1'!L93*'Expenses Summary'!$D49))</f>
        <v>1744.008</v>
      </c>
      <c r="M98" s="60">
        <f>IF('Expenses Summary'!$D49="","",IF('Cash Flow %s Yr1'!M93="","",'Cash Flow %s Yr1'!M93*'Expenses Summary'!$D49))</f>
        <v>1744.008</v>
      </c>
      <c r="N98" s="60">
        <f>IF('Expenses Summary'!$D49="","",IF('Cash Flow %s Yr1'!N93="","",'Cash Flow %s Yr1'!N93*'Expenses Summary'!$D49))</f>
        <v>1744.008</v>
      </c>
      <c r="O98" s="60">
        <f>IF('Expenses Summary'!$D49="","",IF('Cash Flow %s Yr1'!O93="","",'Cash Flow %s Yr1'!O93*'Expenses Summary'!$D49))</f>
        <v>1744.008</v>
      </c>
      <c r="P98" s="123"/>
      <c r="Q98" s="123"/>
      <c r="R98" s="123"/>
    </row>
    <row r="99" spans="1:18" x14ac:dyDescent="0.3">
      <c r="A99" s="35"/>
      <c r="B99" s="133" t="str">
        <f>'Expenses Summary'!B50</f>
        <v>4315</v>
      </c>
      <c r="C99" s="133" t="str">
        <f>'Expenses Summary'!C50</f>
        <v>Classroom Materials and Supplies</v>
      </c>
      <c r="D99" s="60">
        <f>IF('Expenses Summary'!$D50="","",IF('Cash Flow %s Yr1'!D94="","",'Cash Flow %s Yr1'!D94*'Expenses Summary'!$D50))</f>
        <v>479.07600000000002</v>
      </c>
      <c r="E99" s="60">
        <f>IF('Expenses Summary'!$D50="","",IF('Cash Flow %s Yr1'!E94="","",'Cash Flow %s Yr1'!E94*'Expenses Summary'!$D50))</f>
        <v>479.07600000000002</v>
      </c>
      <c r="F99" s="60">
        <f>IF('Expenses Summary'!$D50="","",IF('Cash Flow %s Yr1'!F94="","",'Cash Flow %s Yr1'!F94*'Expenses Summary'!$D50))</f>
        <v>479.07600000000002</v>
      </c>
      <c r="G99" s="60">
        <f>IF('Expenses Summary'!$D50="","",IF('Cash Flow %s Yr1'!G94="","",'Cash Flow %s Yr1'!G94*'Expenses Summary'!$D50))</f>
        <v>479.07600000000002</v>
      </c>
      <c r="H99" s="60">
        <f>IF('Expenses Summary'!$D50="","",IF('Cash Flow %s Yr1'!H94="","",'Cash Flow %s Yr1'!H94*'Expenses Summary'!$D50))</f>
        <v>479.07600000000002</v>
      </c>
      <c r="I99" s="60">
        <f>IF('Expenses Summary'!$D50="","",IF('Cash Flow %s Yr1'!I94="","",'Cash Flow %s Yr1'!I94*'Expenses Summary'!$D50))</f>
        <v>479.07600000000002</v>
      </c>
      <c r="J99" s="60">
        <f>IF('Expenses Summary'!$D50="","",IF('Cash Flow %s Yr1'!J94="","",'Cash Flow %s Yr1'!J94*'Expenses Summary'!$D50))</f>
        <v>479.07600000000002</v>
      </c>
      <c r="K99" s="60">
        <f>IF('Expenses Summary'!$D50="","",IF('Cash Flow %s Yr1'!K94="","",'Cash Flow %s Yr1'!K94*'Expenses Summary'!$D50))</f>
        <v>479.07600000000002</v>
      </c>
      <c r="L99" s="60">
        <f>IF('Expenses Summary'!$D50="","",IF('Cash Flow %s Yr1'!L94="","",'Cash Flow %s Yr1'!L94*'Expenses Summary'!$D50))</f>
        <v>479.07600000000002</v>
      </c>
      <c r="M99" s="60">
        <f>IF('Expenses Summary'!$D50="","",IF('Cash Flow %s Yr1'!M94="","",'Cash Flow %s Yr1'!M94*'Expenses Summary'!$D50))</f>
        <v>479.07600000000002</v>
      </c>
      <c r="N99" s="60">
        <f>IF('Expenses Summary'!$D50="","",IF('Cash Flow %s Yr1'!N94="","",'Cash Flow %s Yr1'!N94*'Expenses Summary'!$D50))</f>
        <v>479.07600000000002</v>
      </c>
      <c r="O99" s="60">
        <f>IF('Expenses Summary'!$D50="","",IF('Cash Flow %s Yr1'!O94="","",'Cash Flow %s Yr1'!O94*'Expenses Summary'!$D50))</f>
        <v>479.07600000000002</v>
      </c>
      <c r="P99" s="123"/>
      <c r="Q99" s="123"/>
      <c r="R99" s="123"/>
    </row>
    <row r="100" spans="1:18" x14ac:dyDescent="0.3">
      <c r="A100" s="35"/>
      <c r="B100" s="133" t="str">
        <f>'Expenses Summary'!B51</f>
        <v>4342</v>
      </c>
      <c r="C100" s="133" t="str">
        <f>'Expenses Summary'!C51</f>
        <v>Materials for Athletics</v>
      </c>
      <c r="D100" s="60">
        <f>IF('Expenses Summary'!$D51="","",IF('Cash Flow %s Yr1'!D95="","",'Cash Flow %s Yr1'!D95*'Expenses Summary'!$D51))</f>
        <v>0</v>
      </c>
      <c r="E100" s="60">
        <f>IF('Expenses Summary'!$D51="","",IF('Cash Flow %s Yr1'!E95="","",'Cash Flow %s Yr1'!E95*'Expenses Summary'!$D51))</f>
        <v>0</v>
      </c>
      <c r="F100" s="60">
        <f>IF('Expenses Summary'!$D51="","",IF('Cash Flow %s Yr1'!F95="","",'Cash Flow %s Yr1'!F95*'Expenses Summary'!$D51))</f>
        <v>0</v>
      </c>
      <c r="G100" s="60">
        <f>IF('Expenses Summary'!$D51="","",IF('Cash Flow %s Yr1'!G95="","",'Cash Flow %s Yr1'!G95*'Expenses Summary'!$D51))</f>
        <v>0</v>
      </c>
      <c r="H100" s="60">
        <f>IF('Expenses Summary'!$D51="","",IF('Cash Flow %s Yr1'!H95="","",'Cash Flow %s Yr1'!H95*'Expenses Summary'!$D51))</f>
        <v>0</v>
      </c>
      <c r="I100" s="60">
        <f>IF('Expenses Summary'!$D51="","",IF('Cash Flow %s Yr1'!I95="","",'Cash Flow %s Yr1'!I95*'Expenses Summary'!$D51))</f>
        <v>0</v>
      </c>
      <c r="J100" s="60">
        <f>IF('Expenses Summary'!$D51="","",IF('Cash Flow %s Yr1'!J95="","",'Cash Flow %s Yr1'!J95*'Expenses Summary'!$D51))</f>
        <v>0</v>
      </c>
      <c r="K100" s="60">
        <f>IF('Expenses Summary'!$D51="","",IF('Cash Flow %s Yr1'!K95="","",'Cash Flow %s Yr1'!K95*'Expenses Summary'!$D51))</f>
        <v>0</v>
      </c>
      <c r="L100" s="60">
        <f>IF('Expenses Summary'!$D51="","",IF('Cash Flow %s Yr1'!L95="","",'Cash Flow %s Yr1'!L95*'Expenses Summary'!$D51))</f>
        <v>0</v>
      </c>
      <c r="M100" s="60">
        <f>IF('Expenses Summary'!$D51="","",IF('Cash Flow %s Yr1'!M95="","",'Cash Flow %s Yr1'!M95*'Expenses Summary'!$D51))</f>
        <v>0</v>
      </c>
      <c r="N100" s="60">
        <f>IF('Expenses Summary'!$D51="","",IF('Cash Flow %s Yr1'!N95="","",'Cash Flow %s Yr1'!N95*'Expenses Summary'!$D51))</f>
        <v>0</v>
      </c>
      <c r="O100" s="60">
        <f>IF('Expenses Summary'!$D51="","",IF('Cash Flow %s Yr1'!O95="","",'Cash Flow %s Yr1'!O95*'Expenses Summary'!$D51))</f>
        <v>0</v>
      </c>
      <c r="P100" s="123"/>
      <c r="Q100" s="123"/>
      <c r="R100" s="123"/>
    </row>
    <row r="101" spans="1:18" x14ac:dyDescent="0.3">
      <c r="A101" s="35"/>
      <c r="B101" s="133" t="str">
        <f>'Expenses Summary'!B52</f>
        <v>4381</v>
      </c>
      <c r="C101" s="133" t="str">
        <f>'Expenses Summary'!C52</f>
        <v>Materials for Plant Maintenance</v>
      </c>
      <c r="D101" s="60">
        <f>IF('Expenses Summary'!$D52="","",IF('Cash Flow %s Yr1'!D96="","",'Cash Flow %s Yr1'!D96*'Expenses Summary'!$D52))</f>
        <v>261.11799999999999</v>
      </c>
      <c r="E101" s="60">
        <f>IF('Expenses Summary'!$D52="","",IF('Cash Flow %s Yr1'!E96="","",'Cash Flow %s Yr1'!E96*'Expenses Summary'!$D52))</f>
        <v>261.11799999999999</v>
      </c>
      <c r="F101" s="60">
        <f>IF('Expenses Summary'!$D52="","",IF('Cash Flow %s Yr1'!F96="","",'Cash Flow %s Yr1'!F96*'Expenses Summary'!$D52))</f>
        <v>261.11799999999999</v>
      </c>
      <c r="G101" s="60">
        <f>IF('Expenses Summary'!$D52="","",IF('Cash Flow %s Yr1'!G96="","",'Cash Flow %s Yr1'!G96*'Expenses Summary'!$D52))</f>
        <v>261.11799999999999</v>
      </c>
      <c r="H101" s="60">
        <f>IF('Expenses Summary'!$D52="","",IF('Cash Flow %s Yr1'!H96="","",'Cash Flow %s Yr1'!H96*'Expenses Summary'!$D52))</f>
        <v>261.11799999999999</v>
      </c>
      <c r="I101" s="60">
        <f>IF('Expenses Summary'!$D52="","",IF('Cash Flow %s Yr1'!I96="","",'Cash Flow %s Yr1'!I96*'Expenses Summary'!$D52))</f>
        <v>261.11799999999999</v>
      </c>
      <c r="J101" s="60">
        <f>IF('Expenses Summary'!$D52="","",IF('Cash Flow %s Yr1'!J96="","",'Cash Flow %s Yr1'!J96*'Expenses Summary'!$D52))</f>
        <v>261.11799999999999</v>
      </c>
      <c r="K101" s="60">
        <f>IF('Expenses Summary'!$D52="","",IF('Cash Flow %s Yr1'!K96="","",'Cash Flow %s Yr1'!K96*'Expenses Summary'!$D52))</f>
        <v>261.11799999999999</v>
      </c>
      <c r="L101" s="60">
        <f>IF('Expenses Summary'!$D52="","",IF('Cash Flow %s Yr1'!L96="","",'Cash Flow %s Yr1'!L96*'Expenses Summary'!$D52))</f>
        <v>261.11799999999999</v>
      </c>
      <c r="M101" s="60">
        <f>IF('Expenses Summary'!$D52="","",IF('Cash Flow %s Yr1'!M96="","",'Cash Flow %s Yr1'!M96*'Expenses Summary'!$D52))</f>
        <v>261.11799999999999</v>
      </c>
      <c r="N101" s="60">
        <f>IF('Expenses Summary'!$D52="","",IF('Cash Flow %s Yr1'!N96="","",'Cash Flow %s Yr1'!N96*'Expenses Summary'!$D52))</f>
        <v>261.11799999999999</v>
      </c>
      <c r="O101" s="60">
        <f>IF('Expenses Summary'!$D52="","",IF('Cash Flow %s Yr1'!O96="","",'Cash Flow %s Yr1'!O96*'Expenses Summary'!$D52))</f>
        <v>261.11799999999999</v>
      </c>
      <c r="P101" s="123"/>
      <c r="Q101" s="123"/>
      <c r="R101" s="123"/>
    </row>
    <row r="102" spans="1:18" outlineLevel="1" x14ac:dyDescent="0.3">
      <c r="A102" s="35"/>
      <c r="B102" s="133" t="str">
        <f>'Expenses Summary'!B53</f>
        <v>4400</v>
      </c>
      <c r="C102" s="133" t="str">
        <f>'Expenses Summary'!C53</f>
        <v>Noncapitalized Equipment</v>
      </c>
      <c r="D102" s="60" t="str">
        <f>IF('Expenses Summary'!$D53="","",IF('Cash Flow %s Yr1'!D97="","",'Cash Flow %s Yr1'!D97*'Expenses Summary'!$D53))</f>
        <v/>
      </c>
      <c r="E102" s="60" t="str">
        <f>IF('Expenses Summary'!$D53="","",IF('Cash Flow %s Yr1'!E97="","",'Cash Flow %s Yr1'!E97*'Expenses Summary'!$D53))</f>
        <v/>
      </c>
      <c r="F102" s="60">
        <f>IF('Expenses Summary'!$D53="","",IF('Cash Flow %s Yr1'!F97="","",'Cash Flow %s Yr1'!F97*'Expenses Summary'!$D53))</f>
        <v>1016.5</v>
      </c>
      <c r="G102" s="60">
        <f>IF('Expenses Summary'!$D53="","",IF('Cash Flow %s Yr1'!G97="","",'Cash Flow %s Yr1'!G97*'Expenses Summary'!$D53))</f>
        <v>1016.5</v>
      </c>
      <c r="H102" s="60">
        <f>IF('Expenses Summary'!$D53="","",IF('Cash Flow %s Yr1'!H97="","",'Cash Flow %s Yr1'!H97*'Expenses Summary'!$D53))</f>
        <v>1016.5</v>
      </c>
      <c r="I102" s="60">
        <f>IF('Expenses Summary'!$D53="","",IF('Cash Flow %s Yr1'!I97="","",'Cash Flow %s Yr1'!I97*'Expenses Summary'!$D53))</f>
        <v>1016.5</v>
      </c>
      <c r="J102" s="60">
        <f>IF('Expenses Summary'!$D53="","",IF('Cash Flow %s Yr1'!J97="","",'Cash Flow %s Yr1'!J97*'Expenses Summary'!$D53))</f>
        <v>1016.5</v>
      </c>
      <c r="K102" s="60">
        <f>IF('Expenses Summary'!$D53="","",IF('Cash Flow %s Yr1'!K97="","",'Cash Flow %s Yr1'!K97*'Expenses Summary'!$D53))</f>
        <v>1016.5</v>
      </c>
      <c r="L102" s="60">
        <f>IF('Expenses Summary'!$D53="","",IF('Cash Flow %s Yr1'!L97="","",'Cash Flow %s Yr1'!L97*'Expenses Summary'!$D53))</f>
        <v>1016.5</v>
      </c>
      <c r="M102" s="60">
        <f>IF('Expenses Summary'!$D53="","",IF('Cash Flow %s Yr1'!M97="","",'Cash Flow %s Yr1'!M97*'Expenses Summary'!$D53))</f>
        <v>1016.5</v>
      </c>
      <c r="N102" s="60">
        <f>IF('Expenses Summary'!$D53="","",IF('Cash Flow %s Yr1'!N97="","",'Cash Flow %s Yr1'!N97*'Expenses Summary'!$D53))</f>
        <v>1016.5</v>
      </c>
      <c r="O102" s="60">
        <f>IF('Expenses Summary'!$D53="","",IF('Cash Flow %s Yr1'!O97="","",'Cash Flow %s Yr1'!O97*'Expenses Summary'!$D53))</f>
        <v>1016.5</v>
      </c>
      <c r="P102" s="123"/>
      <c r="Q102" s="123"/>
      <c r="R102" s="123"/>
    </row>
    <row r="103" spans="1:18" outlineLevel="1" x14ac:dyDescent="0.3">
      <c r="A103" s="35"/>
      <c r="B103" s="309">
        <f>'Expenses Summary'!B54</f>
        <v>4410</v>
      </c>
      <c r="C103" s="133" t="str">
        <f>'Expenses Summary'!C54</f>
        <v>Software &amp; Software Licensing</v>
      </c>
      <c r="D103" s="60" t="str">
        <f>IF('Expenses Summary'!$D54="","",IF('Cash Flow %s Yr1'!D98="","",'Cash Flow %s Yr1'!D98*'Expenses Summary'!$D54))</f>
        <v/>
      </c>
      <c r="E103" s="60" t="str">
        <f>IF('Expenses Summary'!$D54="","",IF('Cash Flow %s Yr1'!E98="","",'Cash Flow %s Yr1'!E98*'Expenses Summary'!$D54))</f>
        <v/>
      </c>
      <c r="F103" s="60">
        <f>IF('Expenses Summary'!$D54="","",IF('Cash Flow %s Yr1'!F98="","",'Cash Flow %s Yr1'!F98*'Expenses Summary'!$D54))</f>
        <v>1016.5</v>
      </c>
      <c r="G103" s="60">
        <f>IF('Expenses Summary'!$D54="","",IF('Cash Flow %s Yr1'!G98="","",'Cash Flow %s Yr1'!G98*'Expenses Summary'!$D54))</f>
        <v>1016.5</v>
      </c>
      <c r="H103" s="60">
        <f>IF('Expenses Summary'!$D54="","",IF('Cash Flow %s Yr1'!H98="","",'Cash Flow %s Yr1'!H98*'Expenses Summary'!$D54))</f>
        <v>1016.5</v>
      </c>
      <c r="I103" s="60">
        <f>IF('Expenses Summary'!$D54="","",IF('Cash Flow %s Yr1'!I98="","",'Cash Flow %s Yr1'!I98*'Expenses Summary'!$D54))</f>
        <v>1016.5</v>
      </c>
      <c r="J103" s="60">
        <f>IF('Expenses Summary'!$D54="","",IF('Cash Flow %s Yr1'!J98="","",'Cash Flow %s Yr1'!J98*'Expenses Summary'!$D54))</f>
        <v>1016.5</v>
      </c>
      <c r="K103" s="60">
        <f>IF('Expenses Summary'!$D54="","",IF('Cash Flow %s Yr1'!K98="","",'Cash Flow %s Yr1'!K98*'Expenses Summary'!$D54))</f>
        <v>1016.5</v>
      </c>
      <c r="L103" s="60">
        <f>IF('Expenses Summary'!$D54="","",IF('Cash Flow %s Yr1'!L98="","",'Cash Flow %s Yr1'!L98*'Expenses Summary'!$D54))</f>
        <v>1016.5</v>
      </c>
      <c r="M103" s="60">
        <f>IF('Expenses Summary'!$D54="","",IF('Cash Flow %s Yr1'!M98="","",'Cash Flow %s Yr1'!M98*'Expenses Summary'!$D54))</f>
        <v>1016.5</v>
      </c>
      <c r="N103" s="60">
        <f>IF('Expenses Summary'!$D54="","",IF('Cash Flow %s Yr1'!N98="","",'Cash Flow %s Yr1'!N98*'Expenses Summary'!$D54))</f>
        <v>1016.5</v>
      </c>
      <c r="O103" s="60">
        <f>IF('Expenses Summary'!$D54="","",IF('Cash Flow %s Yr1'!O98="","",'Cash Flow %s Yr1'!O98*'Expenses Summary'!$D54))</f>
        <v>1016.5</v>
      </c>
      <c r="P103" s="123"/>
      <c r="Q103" s="123"/>
      <c r="R103" s="123"/>
    </row>
    <row r="104" spans="1:18" outlineLevel="1" x14ac:dyDescent="0.3">
      <c r="A104" s="35"/>
      <c r="B104" s="133" t="str">
        <f>'Expenses Summary'!B55</f>
        <v>4430</v>
      </c>
      <c r="C104" s="133" t="str">
        <f>'Expenses Summary'!C55</f>
        <v>General Student Equipment</v>
      </c>
      <c r="D104" s="60" t="str">
        <f>IF('Expenses Summary'!$D55="","",IF('Cash Flow %s Yr1'!D99="","",'Cash Flow %s Yr1'!D99*'Expenses Summary'!$D55))</f>
        <v/>
      </c>
      <c r="E104" s="60" t="str">
        <f>IF('Expenses Summary'!$D55="","",IF('Cash Flow %s Yr1'!E99="","",'Cash Flow %s Yr1'!E99*'Expenses Summary'!$D55))</f>
        <v/>
      </c>
      <c r="F104" s="60">
        <f>IF('Expenses Summary'!$D55="","",IF('Cash Flow %s Yr1'!F99="","",'Cash Flow %s Yr1'!F99*'Expenses Summary'!$D55))</f>
        <v>656.80000000000007</v>
      </c>
      <c r="G104" s="60">
        <f>IF('Expenses Summary'!$D55="","",IF('Cash Flow %s Yr1'!G99="","",'Cash Flow %s Yr1'!G99*'Expenses Summary'!$D55))</f>
        <v>656.80000000000007</v>
      </c>
      <c r="H104" s="60">
        <f>IF('Expenses Summary'!$D55="","",IF('Cash Flow %s Yr1'!H99="","",'Cash Flow %s Yr1'!H99*'Expenses Summary'!$D55))</f>
        <v>656.80000000000007</v>
      </c>
      <c r="I104" s="60">
        <f>IF('Expenses Summary'!$D55="","",IF('Cash Flow %s Yr1'!I99="","",'Cash Flow %s Yr1'!I99*'Expenses Summary'!$D55))</f>
        <v>656.80000000000007</v>
      </c>
      <c r="J104" s="60">
        <f>IF('Expenses Summary'!$D55="","",IF('Cash Flow %s Yr1'!J99="","",'Cash Flow %s Yr1'!J99*'Expenses Summary'!$D55))</f>
        <v>656.80000000000007</v>
      </c>
      <c r="K104" s="60">
        <f>IF('Expenses Summary'!$D55="","",IF('Cash Flow %s Yr1'!K99="","",'Cash Flow %s Yr1'!K99*'Expenses Summary'!$D55))</f>
        <v>656.80000000000007</v>
      </c>
      <c r="L104" s="60">
        <f>IF('Expenses Summary'!$D55="","",IF('Cash Flow %s Yr1'!L99="","",'Cash Flow %s Yr1'!L99*'Expenses Summary'!$D55))</f>
        <v>656.80000000000007</v>
      </c>
      <c r="M104" s="60">
        <f>IF('Expenses Summary'!$D55="","",IF('Cash Flow %s Yr1'!M99="","",'Cash Flow %s Yr1'!M99*'Expenses Summary'!$D55))</f>
        <v>656.80000000000007</v>
      </c>
      <c r="N104" s="60">
        <f>IF('Expenses Summary'!$D55="","",IF('Cash Flow %s Yr1'!N99="","",'Cash Flow %s Yr1'!N99*'Expenses Summary'!$D55))</f>
        <v>656.80000000000007</v>
      </c>
      <c r="O104" s="60">
        <f>IF('Expenses Summary'!$D55="","",IF('Cash Flow %s Yr1'!O99="","",'Cash Flow %s Yr1'!O99*'Expenses Summary'!$D55))</f>
        <v>656.80000000000007</v>
      </c>
      <c r="P104" s="123"/>
      <c r="Q104" s="123"/>
      <c r="R104" s="123"/>
    </row>
    <row r="105" spans="1:18" hidden="1" outlineLevel="1" x14ac:dyDescent="0.3">
      <c r="A105" s="35"/>
      <c r="B105" s="133">
        <f>'Expenses Summary'!B56</f>
        <v>0</v>
      </c>
      <c r="C105" s="133">
        <f>'Expenses Summary'!C56</f>
        <v>0</v>
      </c>
      <c r="D105" s="60" t="str">
        <f>IF('Expenses Summary'!$D56="","",IF('Cash Flow %s Yr1'!D100="","",'Cash Flow %s Yr1'!D100*'Expenses Summary'!$D56))</f>
        <v/>
      </c>
      <c r="E105" s="60" t="str">
        <f>IF('Expenses Summary'!$D56="","",IF('Cash Flow %s Yr1'!E100="","",'Cash Flow %s Yr1'!E100*'Expenses Summary'!$D56))</f>
        <v/>
      </c>
      <c r="F105" s="60" t="str">
        <f>IF('Expenses Summary'!$D56="","",IF('Cash Flow %s Yr1'!F100="","",'Cash Flow %s Yr1'!F100*'Expenses Summary'!$D56))</f>
        <v/>
      </c>
      <c r="G105" s="60" t="str">
        <f>IF('Expenses Summary'!$D56="","",IF('Cash Flow %s Yr1'!G100="","",'Cash Flow %s Yr1'!G100*'Expenses Summary'!$D56))</f>
        <v/>
      </c>
      <c r="H105" s="60" t="str">
        <f>IF('Expenses Summary'!$D56="","",IF('Cash Flow %s Yr1'!H100="","",'Cash Flow %s Yr1'!H100*'Expenses Summary'!$D56))</f>
        <v/>
      </c>
      <c r="I105" s="60" t="str">
        <f>IF('Expenses Summary'!$D56="","",IF('Cash Flow %s Yr1'!I100="","",'Cash Flow %s Yr1'!I100*'Expenses Summary'!$D56))</f>
        <v/>
      </c>
      <c r="J105" s="60" t="str">
        <f>IF('Expenses Summary'!$D56="","",IF('Cash Flow %s Yr1'!J100="","",'Cash Flow %s Yr1'!J100*'Expenses Summary'!$D56))</f>
        <v/>
      </c>
      <c r="K105" s="60" t="str">
        <f>IF('Expenses Summary'!$D56="","",IF('Cash Flow %s Yr1'!K100="","",'Cash Flow %s Yr1'!K100*'Expenses Summary'!$D56))</f>
        <v/>
      </c>
      <c r="L105" s="60" t="str">
        <f>IF('Expenses Summary'!$D56="","",IF('Cash Flow %s Yr1'!L100="","",'Cash Flow %s Yr1'!L100*'Expenses Summary'!$D56))</f>
        <v/>
      </c>
      <c r="M105" s="60" t="str">
        <f>IF('Expenses Summary'!$D56="","",IF('Cash Flow %s Yr1'!M100="","",'Cash Flow %s Yr1'!M100*'Expenses Summary'!$D56))</f>
        <v/>
      </c>
      <c r="N105" s="60" t="str">
        <f>IF('Expenses Summary'!$D56="","",IF('Cash Flow %s Yr1'!N100="","",'Cash Flow %s Yr1'!N100*'Expenses Summary'!$D56))</f>
        <v/>
      </c>
      <c r="O105" s="60" t="str">
        <f>IF('Expenses Summary'!$D56="","",IF('Cash Flow %s Yr1'!O100="","",'Cash Flow %s Yr1'!O100*'Expenses Summary'!$D56))</f>
        <v/>
      </c>
      <c r="P105" s="123"/>
      <c r="Q105" s="123"/>
      <c r="R105" s="123"/>
    </row>
    <row r="106" spans="1:18" hidden="1" outlineLevel="1" x14ac:dyDescent="0.3">
      <c r="A106" s="35"/>
      <c r="B106" s="133">
        <f>'Expenses Summary'!B57</f>
        <v>0</v>
      </c>
      <c r="C106" s="133">
        <f>'Expenses Summary'!C57</f>
        <v>0</v>
      </c>
      <c r="D106" s="60" t="str">
        <f>IF('Expenses Summary'!$D57="","",IF('Cash Flow %s Yr1'!D101="","",'Cash Flow %s Yr1'!D101*'Expenses Summary'!$D57))</f>
        <v/>
      </c>
      <c r="E106" s="60" t="str">
        <f>IF('Expenses Summary'!$D57="","",IF('Cash Flow %s Yr1'!E101="","",'Cash Flow %s Yr1'!E101*'Expenses Summary'!$D57))</f>
        <v/>
      </c>
      <c r="F106" s="60" t="str">
        <f>IF('Expenses Summary'!$D57="","",IF('Cash Flow %s Yr1'!F101="","",'Cash Flow %s Yr1'!F101*'Expenses Summary'!$D57))</f>
        <v/>
      </c>
      <c r="G106" s="60" t="str">
        <f>IF('Expenses Summary'!$D57="","",IF('Cash Flow %s Yr1'!G101="","",'Cash Flow %s Yr1'!G101*'Expenses Summary'!$D57))</f>
        <v/>
      </c>
      <c r="H106" s="60" t="str">
        <f>IF('Expenses Summary'!$D57="","",IF('Cash Flow %s Yr1'!H101="","",'Cash Flow %s Yr1'!H101*'Expenses Summary'!$D57))</f>
        <v/>
      </c>
      <c r="I106" s="60" t="str">
        <f>IF('Expenses Summary'!$D57="","",IF('Cash Flow %s Yr1'!I101="","",'Cash Flow %s Yr1'!I101*'Expenses Summary'!$D57))</f>
        <v/>
      </c>
      <c r="J106" s="60" t="str">
        <f>IF('Expenses Summary'!$D57="","",IF('Cash Flow %s Yr1'!J101="","",'Cash Flow %s Yr1'!J101*'Expenses Summary'!$D57))</f>
        <v/>
      </c>
      <c r="K106" s="60" t="str">
        <f>IF('Expenses Summary'!$D57="","",IF('Cash Flow %s Yr1'!K101="","",'Cash Flow %s Yr1'!K101*'Expenses Summary'!$D57))</f>
        <v/>
      </c>
      <c r="L106" s="60" t="str">
        <f>IF('Expenses Summary'!$D57="","",IF('Cash Flow %s Yr1'!L101="","",'Cash Flow %s Yr1'!L101*'Expenses Summary'!$D57))</f>
        <v/>
      </c>
      <c r="M106" s="60" t="str">
        <f>IF('Expenses Summary'!$D57="","",IF('Cash Flow %s Yr1'!M101="","",'Cash Flow %s Yr1'!M101*'Expenses Summary'!$D57))</f>
        <v/>
      </c>
      <c r="N106" s="60" t="str">
        <f>IF('Expenses Summary'!$D57="","",IF('Cash Flow %s Yr1'!N101="","",'Cash Flow %s Yr1'!N101*'Expenses Summary'!$D57))</f>
        <v/>
      </c>
      <c r="O106" s="60" t="str">
        <f>IF('Expenses Summary'!$D57="","",IF('Cash Flow %s Yr1'!O101="","",'Cash Flow %s Yr1'!O101*'Expenses Summary'!$D57))</f>
        <v/>
      </c>
      <c r="P106" s="123"/>
      <c r="Q106" s="123"/>
      <c r="R106" s="123"/>
    </row>
    <row r="107" spans="1:18" hidden="1" outlineLevel="1" x14ac:dyDescent="0.3">
      <c r="A107" s="35"/>
      <c r="B107" s="133">
        <f>'Expenses Summary'!B58</f>
        <v>0</v>
      </c>
      <c r="C107" s="133">
        <f>'Expenses Summary'!C58</f>
        <v>0</v>
      </c>
      <c r="D107" s="60" t="str">
        <f>IF('Expenses Summary'!$D58="","",IF('Cash Flow %s Yr1'!D102="","",'Cash Flow %s Yr1'!D102*'Expenses Summary'!$D58))</f>
        <v/>
      </c>
      <c r="E107" s="60" t="str">
        <f>IF('Expenses Summary'!$D58="","",IF('Cash Flow %s Yr1'!E102="","",'Cash Flow %s Yr1'!E102*'Expenses Summary'!$D58))</f>
        <v/>
      </c>
      <c r="F107" s="60" t="str">
        <f>IF('Expenses Summary'!$D58="","",IF('Cash Flow %s Yr1'!F102="","",'Cash Flow %s Yr1'!F102*'Expenses Summary'!$D58))</f>
        <v/>
      </c>
      <c r="G107" s="60" t="str">
        <f>IF('Expenses Summary'!$D58="","",IF('Cash Flow %s Yr1'!G102="","",'Cash Flow %s Yr1'!G102*'Expenses Summary'!$D58))</f>
        <v/>
      </c>
      <c r="H107" s="60" t="str">
        <f>IF('Expenses Summary'!$D58="","",IF('Cash Flow %s Yr1'!H102="","",'Cash Flow %s Yr1'!H102*'Expenses Summary'!$D58))</f>
        <v/>
      </c>
      <c r="I107" s="60" t="str">
        <f>IF('Expenses Summary'!$D58="","",IF('Cash Flow %s Yr1'!I102="","",'Cash Flow %s Yr1'!I102*'Expenses Summary'!$D58))</f>
        <v/>
      </c>
      <c r="J107" s="60" t="str">
        <f>IF('Expenses Summary'!$D58="","",IF('Cash Flow %s Yr1'!J102="","",'Cash Flow %s Yr1'!J102*'Expenses Summary'!$D58))</f>
        <v/>
      </c>
      <c r="K107" s="60" t="str">
        <f>IF('Expenses Summary'!$D58="","",IF('Cash Flow %s Yr1'!K102="","",'Cash Flow %s Yr1'!K102*'Expenses Summary'!$D58))</f>
        <v/>
      </c>
      <c r="L107" s="60" t="str">
        <f>IF('Expenses Summary'!$D58="","",IF('Cash Flow %s Yr1'!L102="","",'Cash Flow %s Yr1'!L102*'Expenses Summary'!$D58))</f>
        <v/>
      </c>
      <c r="M107" s="60" t="str">
        <f>IF('Expenses Summary'!$D58="","",IF('Cash Flow %s Yr1'!M102="","",'Cash Flow %s Yr1'!M102*'Expenses Summary'!$D58))</f>
        <v/>
      </c>
      <c r="N107" s="60" t="str">
        <f>IF('Expenses Summary'!$D58="","",IF('Cash Flow %s Yr1'!N102="","",'Cash Flow %s Yr1'!N102*'Expenses Summary'!$D58))</f>
        <v/>
      </c>
      <c r="O107" s="60" t="str">
        <f>IF('Expenses Summary'!$D58="","",IF('Cash Flow %s Yr1'!O102="","",'Cash Flow %s Yr1'!O102*'Expenses Summary'!$D58))</f>
        <v/>
      </c>
      <c r="P107" s="123"/>
      <c r="Q107" s="123"/>
      <c r="R107" s="123"/>
    </row>
    <row r="108" spans="1:18" hidden="1" outlineLevel="1" x14ac:dyDescent="0.3">
      <c r="A108" s="35"/>
      <c r="B108" s="133">
        <f>'Expenses Summary'!B59</f>
        <v>0</v>
      </c>
      <c r="C108" s="133">
        <f>'Expenses Summary'!C59</f>
        <v>0</v>
      </c>
      <c r="D108" s="60" t="str">
        <f>IF('Expenses Summary'!$D59="","",IF('Cash Flow %s Yr1'!D103="","",'Cash Flow %s Yr1'!D103*'Expenses Summary'!$D59))</f>
        <v/>
      </c>
      <c r="E108" s="60" t="str">
        <f>IF('Expenses Summary'!$D59="","",IF('Cash Flow %s Yr1'!E103="","",'Cash Flow %s Yr1'!E103*'Expenses Summary'!$D59))</f>
        <v/>
      </c>
      <c r="F108" s="60" t="str">
        <f>IF('Expenses Summary'!$D59="","",IF('Cash Flow %s Yr1'!F103="","",'Cash Flow %s Yr1'!F103*'Expenses Summary'!$D59))</f>
        <v/>
      </c>
      <c r="G108" s="60" t="str">
        <f>IF('Expenses Summary'!$D59="","",IF('Cash Flow %s Yr1'!G103="","",'Cash Flow %s Yr1'!G103*'Expenses Summary'!$D59))</f>
        <v/>
      </c>
      <c r="H108" s="60" t="str">
        <f>IF('Expenses Summary'!$D59="","",IF('Cash Flow %s Yr1'!H103="","",'Cash Flow %s Yr1'!H103*'Expenses Summary'!$D59))</f>
        <v/>
      </c>
      <c r="I108" s="60" t="str">
        <f>IF('Expenses Summary'!$D59="","",IF('Cash Flow %s Yr1'!I103="","",'Cash Flow %s Yr1'!I103*'Expenses Summary'!$D59))</f>
        <v/>
      </c>
      <c r="J108" s="60" t="str">
        <f>IF('Expenses Summary'!$D59="","",IF('Cash Flow %s Yr1'!J103="","",'Cash Flow %s Yr1'!J103*'Expenses Summary'!$D59))</f>
        <v/>
      </c>
      <c r="K108" s="60" t="str">
        <f>IF('Expenses Summary'!$D59="","",IF('Cash Flow %s Yr1'!K103="","",'Cash Flow %s Yr1'!K103*'Expenses Summary'!$D59))</f>
        <v/>
      </c>
      <c r="L108" s="60" t="str">
        <f>IF('Expenses Summary'!$D59="","",IF('Cash Flow %s Yr1'!L103="","",'Cash Flow %s Yr1'!L103*'Expenses Summary'!$D59))</f>
        <v/>
      </c>
      <c r="M108" s="60" t="str">
        <f>IF('Expenses Summary'!$D59="","",IF('Cash Flow %s Yr1'!M103="","",'Cash Flow %s Yr1'!M103*'Expenses Summary'!$D59))</f>
        <v/>
      </c>
      <c r="N108" s="60" t="str">
        <f>IF('Expenses Summary'!$D59="","",IF('Cash Flow %s Yr1'!N103="","",'Cash Flow %s Yr1'!N103*'Expenses Summary'!$D59))</f>
        <v/>
      </c>
      <c r="O108" s="60" t="str">
        <f>IF('Expenses Summary'!$D59="","",IF('Cash Flow %s Yr1'!O103="","",'Cash Flow %s Yr1'!O103*'Expenses Summary'!$D59))</f>
        <v/>
      </c>
      <c r="P108" s="123"/>
      <c r="Q108" s="123"/>
      <c r="R108" s="123"/>
    </row>
    <row r="109" spans="1:18" hidden="1" outlineLevel="1" x14ac:dyDescent="0.3">
      <c r="A109" s="35"/>
      <c r="B109" s="133">
        <f>'Expenses Summary'!B60</f>
        <v>0</v>
      </c>
      <c r="C109" s="133">
        <f>'Expenses Summary'!C60</f>
        <v>0</v>
      </c>
      <c r="D109" s="60" t="str">
        <f>IF('Expenses Summary'!$D60="","",IF('Cash Flow %s Yr1'!D104="","",'Cash Flow %s Yr1'!D104*'Expenses Summary'!$D60))</f>
        <v/>
      </c>
      <c r="E109" s="60" t="str">
        <f>IF('Expenses Summary'!$D60="","",IF('Cash Flow %s Yr1'!E104="","",'Cash Flow %s Yr1'!E104*'Expenses Summary'!$D60))</f>
        <v/>
      </c>
      <c r="F109" s="60" t="str">
        <f>IF('Expenses Summary'!$D60="","",IF('Cash Flow %s Yr1'!F104="","",'Cash Flow %s Yr1'!F104*'Expenses Summary'!$D60))</f>
        <v/>
      </c>
      <c r="G109" s="60" t="str">
        <f>IF('Expenses Summary'!$D60="","",IF('Cash Flow %s Yr1'!G104="","",'Cash Flow %s Yr1'!G104*'Expenses Summary'!$D60))</f>
        <v/>
      </c>
      <c r="H109" s="60" t="str">
        <f>IF('Expenses Summary'!$D60="","",IF('Cash Flow %s Yr1'!H104="","",'Cash Flow %s Yr1'!H104*'Expenses Summary'!$D60))</f>
        <v/>
      </c>
      <c r="I109" s="60" t="str">
        <f>IF('Expenses Summary'!$D60="","",IF('Cash Flow %s Yr1'!I104="","",'Cash Flow %s Yr1'!I104*'Expenses Summary'!$D60))</f>
        <v/>
      </c>
      <c r="J109" s="60" t="str">
        <f>IF('Expenses Summary'!$D60="","",IF('Cash Flow %s Yr1'!J104="","",'Cash Flow %s Yr1'!J104*'Expenses Summary'!$D60))</f>
        <v/>
      </c>
      <c r="K109" s="60" t="str">
        <f>IF('Expenses Summary'!$D60="","",IF('Cash Flow %s Yr1'!K104="","",'Cash Flow %s Yr1'!K104*'Expenses Summary'!$D60))</f>
        <v/>
      </c>
      <c r="L109" s="60" t="str">
        <f>IF('Expenses Summary'!$D60="","",IF('Cash Flow %s Yr1'!L104="","",'Cash Flow %s Yr1'!L104*'Expenses Summary'!$D60))</f>
        <v/>
      </c>
      <c r="M109" s="60" t="str">
        <f>IF('Expenses Summary'!$D60="","",IF('Cash Flow %s Yr1'!M104="","",'Cash Flow %s Yr1'!M104*'Expenses Summary'!$D60))</f>
        <v/>
      </c>
      <c r="N109" s="60" t="str">
        <f>IF('Expenses Summary'!$D60="","",IF('Cash Flow %s Yr1'!N104="","",'Cash Flow %s Yr1'!N104*'Expenses Summary'!$D60))</f>
        <v/>
      </c>
      <c r="O109" s="60" t="str">
        <f>IF('Expenses Summary'!$D60="","",IF('Cash Flow %s Yr1'!O104="","",'Cash Flow %s Yr1'!O104*'Expenses Summary'!$D60))</f>
        <v/>
      </c>
      <c r="P109" s="123"/>
      <c r="Q109" s="123"/>
      <c r="R109" s="123"/>
    </row>
    <row r="110" spans="1:18" hidden="1" outlineLevel="1" x14ac:dyDescent="0.3">
      <c r="A110" s="35"/>
      <c r="B110" s="133">
        <f>'Expenses Summary'!B61</f>
        <v>0</v>
      </c>
      <c r="C110" s="133">
        <f>'Expenses Summary'!C61</f>
        <v>0</v>
      </c>
      <c r="D110" s="60" t="str">
        <f>IF('Expenses Summary'!$D61="","",IF('Cash Flow %s Yr1'!D105="","",'Cash Flow %s Yr1'!D105*'Expenses Summary'!$D61))</f>
        <v/>
      </c>
      <c r="E110" s="60" t="str">
        <f>IF('Expenses Summary'!$D61="","",IF('Cash Flow %s Yr1'!E105="","",'Cash Flow %s Yr1'!E105*'Expenses Summary'!$D61))</f>
        <v/>
      </c>
      <c r="F110" s="60" t="str">
        <f>IF('Expenses Summary'!$D61="","",IF('Cash Flow %s Yr1'!F105="","",'Cash Flow %s Yr1'!F105*'Expenses Summary'!$D61))</f>
        <v/>
      </c>
      <c r="G110" s="60" t="str">
        <f>IF('Expenses Summary'!$D61="","",IF('Cash Flow %s Yr1'!G105="","",'Cash Flow %s Yr1'!G105*'Expenses Summary'!$D61))</f>
        <v/>
      </c>
      <c r="H110" s="60" t="str">
        <f>IF('Expenses Summary'!$D61="","",IF('Cash Flow %s Yr1'!H105="","",'Cash Flow %s Yr1'!H105*'Expenses Summary'!$D61))</f>
        <v/>
      </c>
      <c r="I110" s="60" t="str">
        <f>IF('Expenses Summary'!$D61="","",IF('Cash Flow %s Yr1'!I105="","",'Cash Flow %s Yr1'!I105*'Expenses Summary'!$D61))</f>
        <v/>
      </c>
      <c r="J110" s="60" t="str">
        <f>IF('Expenses Summary'!$D61="","",IF('Cash Flow %s Yr1'!J105="","",'Cash Flow %s Yr1'!J105*'Expenses Summary'!$D61))</f>
        <v/>
      </c>
      <c r="K110" s="60" t="str">
        <f>IF('Expenses Summary'!$D61="","",IF('Cash Flow %s Yr1'!K105="","",'Cash Flow %s Yr1'!K105*'Expenses Summary'!$D61))</f>
        <v/>
      </c>
      <c r="L110" s="60" t="str">
        <f>IF('Expenses Summary'!$D61="","",IF('Cash Flow %s Yr1'!L105="","",'Cash Flow %s Yr1'!L105*'Expenses Summary'!$D61))</f>
        <v/>
      </c>
      <c r="M110" s="60" t="str">
        <f>IF('Expenses Summary'!$D61="","",IF('Cash Flow %s Yr1'!M105="","",'Cash Flow %s Yr1'!M105*'Expenses Summary'!$D61))</f>
        <v/>
      </c>
      <c r="N110" s="60" t="str">
        <f>IF('Expenses Summary'!$D61="","",IF('Cash Flow %s Yr1'!N105="","",'Cash Flow %s Yr1'!N105*'Expenses Summary'!$D61))</f>
        <v/>
      </c>
      <c r="O110" s="60" t="str">
        <f>IF('Expenses Summary'!$D61="","",IF('Cash Flow %s Yr1'!O105="","",'Cash Flow %s Yr1'!O105*'Expenses Summary'!$D61))</f>
        <v/>
      </c>
      <c r="P110" s="123"/>
      <c r="Q110" s="123"/>
      <c r="R110" s="123"/>
    </row>
    <row r="111" spans="1:18" hidden="1" outlineLevel="1" x14ac:dyDescent="0.3">
      <c r="A111" s="35"/>
      <c r="B111" s="133">
        <f>'Expenses Summary'!B62</f>
        <v>0</v>
      </c>
      <c r="C111" s="133">
        <f>'Expenses Summary'!C62</f>
        <v>0</v>
      </c>
      <c r="D111" s="60" t="str">
        <f>IF('Expenses Summary'!$D62="","",IF('Cash Flow %s Yr1'!D106="","",'Cash Flow %s Yr1'!D106*'Expenses Summary'!$D62))</f>
        <v/>
      </c>
      <c r="E111" s="60" t="str">
        <f>IF('Expenses Summary'!$D62="","",IF('Cash Flow %s Yr1'!E106="","",'Cash Flow %s Yr1'!E106*'Expenses Summary'!$D62))</f>
        <v/>
      </c>
      <c r="F111" s="60" t="str">
        <f>IF('Expenses Summary'!$D62="","",IF('Cash Flow %s Yr1'!F106="","",'Cash Flow %s Yr1'!F106*'Expenses Summary'!$D62))</f>
        <v/>
      </c>
      <c r="G111" s="60" t="str">
        <f>IF('Expenses Summary'!$D62="","",IF('Cash Flow %s Yr1'!G106="","",'Cash Flow %s Yr1'!G106*'Expenses Summary'!$D62))</f>
        <v/>
      </c>
      <c r="H111" s="60" t="str">
        <f>IF('Expenses Summary'!$D62="","",IF('Cash Flow %s Yr1'!H106="","",'Cash Flow %s Yr1'!H106*'Expenses Summary'!$D62))</f>
        <v/>
      </c>
      <c r="I111" s="60" t="str">
        <f>IF('Expenses Summary'!$D62="","",IF('Cash Flow %s Yr1'!I106="","",'Cash Flow %s Yr1'!I106*'Expenses Summary'!$D62))</f>
        <v/>
      </c>
      <c r="J111" s="60" t="str">
        <f>IF('Expenses Summary'!$D62="","",IF('Cash Flow %s Yr1'!J106="","",'Cash Flow %s Yr1'!J106*'Expenses Summary'!$D62))</f>
        <v/>
      </c>
      <c r="K111" s="60" t="str">
        <f>IF('Expenses Summary'!$D62="","",IF('Cash Flow %s Yr1'!K106="","",'Cash Flow %s Yr1'!K106*'Expenses Summary'!$D62))</f>
        <v/>
      </c>
      <c r="L111" s="60" t="str">
        <f>IF('Expenses Summary'!$D62="","",IF('Cash Flow %s Yr1'!L106="","",'Cash Flow %s Yr1'!L106*'Expenses Summary'!$D62))</f>
        <v/>
      </c>
      <c r="M111" s="60" t="str">
        <f>IF('Expenses Summary'!$D62="","",IF('Cash Flow %s Yr1'!M106="","",'Cash Flow %s Yr1'!M106*'Expenses Summary'!$D62))</f>
        <v/>
      </c>
      <c r="N111" s="60" t="str">
        <f>IF('Expenses Summary'!$D62="","",IF('Cash Flow %s Yr1'!N106="","",'Cash Flow %s Yr1'!N106*'Expenses Summary'!$D62))</f>
        <v/>
      </c>
      <c r="O111" s="60" t="str">
        <f>IF('Expenses Summary'!$D62="","",IF('Cash Flow %s Yr1'!O106="","",'Cash Flow %s Yr1'!O106*'Expenses Summary'!$D62))</f>
        <v/>
      </c>
      <c r="P111" s="123"/>
      <c r="Q111" s="123"/>
      <c r="R111" s="123"/>
    </row>
    <row r="112" spans="1:18" hidden="1" outlineLevel="1" x14ac:dyDescent="0.3">
      <c r="A112" s="35"/>
      <c r="B112" s="133">
        <f>'Expenses Summary'!B63</f>
        <v>0</v>
      </c>
      <c r="C112" s="133">
        <f>'Expenses Summary'!C63</f>
        <v>0</v>
      </c>
      <c r="D112" s="60" t="str">
        <f>IF('Expenses Summary'!$D63="","",IF('Cash Flow %s Yr1'!D107="","",'Cash Flow %s Yr1'!D107*'Expenses Summary'!$D63))</f>
        <v/>
      </c>
      <c r="E112" s="60" t="str">
        <f>IF('Expenses Summary'!$D63="","",IF('Cash Flow %s Yr1'!E107="","",'Cash Flow %s Yr1'!E107*'Expenses Summary'!$D63))</f>
        <v/>
      </c>
      <c r="F112" s="60" t="str">
        <f>IF('Expenses Summary'!$D63="","",IF('Cash Flow %s Yr1'!F107="","",'Cash Flow %s Yr1'!F107*'Expenses Summary'!$D63))</f>
        <v/>
      </c>
      <c r="G112" s="60" t="str">
        <f>IF('Expenses Summary'!$D63="","",IF('Cash Flow %s Yr1'!G107="","",'Cash Flow %s Yr1'!G107*'Expenses Summary'!$D63))</f>
        <v/>
      </c>
      <c r="H112" s="60" t="str">
        <f>IF('Expenses Summary'!$D63="","",IF('Cash Flow %s Yr1'!H107="","",'Cash Flow %s Yr1'!H107*'Expenses Summary'!$D63))</f>
        <v/>
      </c>
      <c r="I112" s="60" t="str">
        <f>IF('Expenses Summary'!$D63="","",IF('Cash Flow %s Yr1'!I107="","",'Cash Flow %s Yr1'!I107*'Expenses Summary'!$D63))</f>
        <v/>
      </c>
      <c r="J112" s="60" t="str">
        <f>IF('Expenses Summary'!$D63="","",IF('Cash Flow %s Yr1'!J107="","",'Cash Flow %s Yr1'!J107*'Expenses Summary'!$D63))</f>
        <v/>
      </c>
      <c r="K112" s="60" t="str">
        <f>IF('Expenses Summary'!$D63="","",IF('Cash Flow %s Yr1'!K107="","",'Cash Flow %s Yr1'!K107*'Expenses Summary'!$D63))</f>
        <v/>
      </c>
      <c r="L112" s="60" t="str">
        <f>IF('Expenses Summary'!$D63="","",IF('Cash Flow %s Yr1'!L107="","",'Cash Flow %s Yr1'!L107*'Expenses Summary'!$D63))</f>
        <v/>
      </c>
      <c r="M112" s="60" t="str">
        <f>IF('Expenses Summary'!$D63="","",IF('Cash Flow %s Yr1'!M107="","",'Cash Flow %s Yr1'!M107*'Expenses Summary'!$D63))</f>
        <v/>
      </c>
      <c r="N112" s="60" t="str">
        <f>IF('Expenses Summary'!$D63="","",IF('Cash Flow %s Yr1'!N107="","",'Cash Flow %s Yr1'!N107*'Expenses Summary'!$D63))</f>
        <v/>
      </c>
      <c r="O112" s="60" t="str">
        <f>IF('Expenses Summary'!$D63="","",IF('Cash Flow %s Yr1'!O107="","",'Cash Flow %s Yr1'!O107*'Expenses Summary'!$D63))</f>
        <v/>
      </c>
      <c r="P112" s="123"/>
      <c r="Q112" s="123"/>
      <c r="R112" s="123"/>
    </row>
    <row r="113" spans="1:18" s="30" customFormat="1" x14ac:dyDescent="0.3">
      <c r="A113" s="35"/>
      <c r="B113" s="133" t="str">
        <f>'Expenses Summary'!B64</f>
        <v>4700</v>
      </c>
      <c r="C113" s="133" t="str">
        <f>'Expenses Summary'!C64</f>
        <v>Food and Food Supplies</v>
      </c>
      <c r="D113" s="60">
        <f>IF('Expenses Summary'!$D64="","",IF('Cash Flow %s Yr1'!D108="","",'Cash Flow %s Yr1'!D108*'Expenses Summary'!$D64))</f>
        <v>0</v>
      </c>
      <c r="E113" s="60">
        <f>IF('Expenses Summary'!$D64="","",IF('Cash Flow %s Yr1'!E108="","",'Cash Flow %s Yr1'!E108*'Expenses Summary'!$D64))</f>
        <v>0</v>
      </c>
      <c r="F113" s="60">
        <f>IF('Expenses Summary'!$D64="","",IF('Cash Flow %s Yr1'!F108="","",'Cash Flow %s Yr1'!F108*'Expenses Summary'!$D64))</f>
        <v>135.80000000000001</v>
      </c>
      <c r="G113" s="60">
        <f>IF('Expenses Summary'!$D64="","",IF('Cash Flow %s Yr1'!G108="","",'Cash Flow %s Yr1'!G108*'Expenses Summary'!$D64))</f>
        <v>135.80000000000001</v>
      </c>
      <c r="H113" s="60">
        <f>IF('Expenses Summary'!$D64="","",IF('Cash Flow %s Yr1'!H108="","",'Cash Flow %s Yr1'!H108*'Expenses Summary'!$D64))</f>
        <v>135.80000000000001</v>
      </c>
      <c r="I113" s="60">
        <f>IF('Expenses Summary'!$D64="","",IF('Cash Flow %s Yr1'!I108="","",'Cash Flow %s Yr1'!I108*'Expenses Summary'!$D64))</f>
        <v>135.80000000000001</v>
      </c>
      <c r="J113" s="60">
        <f>IF('Expenses Summary'!$D64="","",IF('Cash Flow %s Yr1'!J108="","",'Cash Flow %s Yr1'!J108*'Expenses Summary'!$D64))</f>
        <v>135.80000000000001</v>
      </c>
      <c r="K113" s="60">
        <f>IF('Expenses Summary'!$D64="","",IF('Cash Flow %s Yr1'!K108="","",'Cash Flow %s Yr1'!K108*'Expenses Summary'!$D64))</f>
        <v>135.80000000000001</v>
      </c>
      <c r="L113" s="60">
        <f>IF('Expenses Summary'!$D64="","",IF('Cash Flow %s Yr1'!L108="","",'Cash Flow %s Yr1'!L108*'Expenses Summary'!$D64))</f>
        <v>135.80000000000001</v>
      </c>
      <c r="M113" s="60">
        <f>IF('Expenses Summary'!$D64="","",IF('Cash Flow %s Yr1'!M108="","",'Cash Flow %s Yr1'!M108*'Expenses Summary'!$D64))</f>
        <v>135.80000000000001</v>
      </c>
      <c r="N113" s="60">
        <f>IF('Expenses Summary'!$D64="","",IF('Cash Flow %s Yr1'!N108="","",'Cash Flow %s Yr1'!N108*'Expenses Summary'!$D64))</f>
        <v>135.80000000000001</v>
      </c>
      <c r="O113" s="60">
        <f>IF('Expenses Summary'!$D64="","",IF('Cash Flow %s Yr1'!O108="","",'Cash Flow %s Yr1'!O108*'Expenses Summary'!$D64))</f>
        <v>135.80000000000001</v>
      </c>
      <c r="P113" s="60">
        <f>IF('Expenses Summary'!$D64="","",IF('Cash Flow %s Yr1'!P108="","",'Cash Flow %s Yr1'!P108*'Expenses Summary'!$D64))</f>
        <v>0</v>
      </c>
      <c r="Q113" s="60">
        <f>IF('Expenses Summary'!$D64="","",IF('Cash Flow %s Yr1'!Q108="","",'Cash Flow %s Yr1'!Q108*'Expenses Summary'!$D64))</f>
        <v>0</v>
      </c>
      <c r="R113" s="60">
        <f>IF('Expenses Summary'!$D64="","",IF('Cash Flow %s Yr1'!R108="","",'Cash Flow %s Yr1'!R108*'Expenses Summary'!$D64))</f>
        <v>0</v>
      </c>
    </row>
    <row r="114" spans="1:18" s="30" customFormat="1" x14ac:dyDescent="0.3">
      <c r="A114" s="35"/>
      <c r="B114" s="32" t="s">
        <v>558</v>
      </c>
      <c r="C114" s="33" t="s">
        <v>720</v>
      </c>
      <c r="D114" s="165">
        <f t="shared" ref="D114:P114" si="12">IF(SUM(D95:D113)&gt;0,SUM(D95:D113),"")</f>
        <v>4534.59</v>
      </c>
      <c r="E114" s="165">
        <f t="shared" si="12"/>
        <v>4633.5400000000009</v>
      </c>
      <c r="F114" s="165">
        <f t="shared" si="12"/>
        <v>7459.1400000000012</v>
      </c>
      <c r="G114" s="165">
        <f t="shared" si="12"/>
        <v>7459.1400000000012</v>
      </c>
      <c r="H114" s="165">
        <f t="shared" si="12"/>
        <v>7459.1400000000012</v>
      </c>
      <c r="I114" s="165">
        <f t="shared" si="12"/>
        <v>7459.1400000000012</v>
      </c>
      <c r="J114" s="165">
        <f t="shared" si="12"/>
        <v>7459.1400000000012</v>
      </c>
      <c r="K114" s="165">
        <f t="shared" si="12"/>
        <v>7459.1400000000012</v>
      </c>
      <c r="L114" s="165">
        <f t="shared" si="12"/>
        <v>7479.902000000001</v>
      </c>
      <c r="M114" s="165">
        <f t="shared" si="12"/>
        <v>7479.902000000001</v>
      </c>
      <c r="N114" s="165">
        <f t="shared" si="12"/>
        <v>5408.7520000000004</v>
      </c>
      <c r="O114" s="165">
        <f t="shared" si="12"/>
        <v>5309.8019999999997</v>
      </c>
      <c r="P114" s="165" t="str">
        <f t="shared" si="12"/>
        <v/>
      </c>
      <c r="Q114" s="165" t="str">
        <f>IF(SUM(Q95:Q113)&gt;0,SUM(Q95:Q113),"")</f>
        <v/>
      </c>
      <c r="R114" s="165" t="str">
        <f>IF(SUM(R95:R113)&gt;0,SUM(R95:R113),"")</f>
        <v/>
      </c>
    </row>
    <row r="115" spans="1:18" s="30" customFormat="1" x14ac:dyDescent="0.3">
      <c r="A115" s="35"/>
      <c r="B115" s="4"/>
      <c r="C115" s="3"/>
      <c r="D115" s="89"/>
      <c r="E115" s="89"/>
      <c r="F115" s="89"/>
      <c r="G115" s="89"/>
      <c r="H115" s="89"/>
      <c r="I115" s="89"/>
      <c r="J115" s="89"/>
      <c r="K115" s="89"/>
      <c r="L115" s="89"/>
      <c r="M115" s="89"/>
      <c r="N115" s="89"/>
      <c r="O115" s="89"/>
      <c r="P115" s="89"/>
      <c r="Q115" s="89"/>
      <c r="R115" s="89"/>
    </row>
    <row r="116" spans="1:18" s="30" customFormat="1" x14ac:dyDescent="0.3">
      <c r="B116" s="5" t="s">
        <v>721</v>
      </c>
      <c r="C116" s="3"/>
      <c r="D116" s="89"/>
      <c r="E116" s="89"/>
      <c r="F116" s="89"/>
      <c r="G116" s="89"/>
      <c r="H116" s="89"/>
      <c r="I116" s="89"/>
      <c r="J116" s="89"/>
      <c r="K116" s="89"/>
      <c r="L116" s="89"/>
      <c r="M116" s="89"/>
      <c r="N116" s="89"/>
      <c r="O116" s="89"/>
      <c r="P116" s="89"/>
      <c r="Q116" s="89"/>
      <c r="R116" s="89"/>
    </row>
    <row r="117" spans="1:18" s="30" customFormat="1" x14ac:dyDescent="0.3">
      <c r="A117" s="35"/>
      <c r="B117" s="133" t="str">
        <f>'Expenses Summary'!B68</f>
        <v>5200</v>
      </c>
      <c r="C117" s="133" t="str">
        <f>'Expenses Summary'!C68</f>
        <v>Travel and Conferences</v>
      </c>
      <c r="D117" s="60">
        <f>IF('Expenses Summary'!$D68="","",IF('Cash Flow %s Yr1'!D112="","",'Cash Flow %s Yr1'!D112*'Expenses Summary'!$D68))</f>
        <v>0</v>
      </c>
      <c r="E117" s="60">
        <f>IF('Expenses Summary'!$D68="","",IF('Cash Flow %s Yr1'!E112="","",'Cash Flow %s Yr1'!E112*'Expenses Summary'!$D68))</f>
        <v>0</v>
      </c>
      <c r="F117" s="60">
        <f>IF('Expenses Summary'!$D68="","",IF('Cash Flow %s Yr1'!F112="","",'Cash Flow %s Yr1'!F112*'Expenses Summary'!$D68))</f>
        <v>38.699999999999996</v>
      </c>
      <c r="G117" s="60">
        <f>IF('Expenses Summary'!$D68="","",IF('Cash Flow %s Yr1'!G112="","",'Cash Flow %s Yr1'!G112*'Expenses Summary'!$D68))</f>
        <v>12.9</v>
      </c>
      <c r="H117" s="60">
        <f>IF('Expenses Summary'!$D68="","",IF('Cash Flow %s Yr1'!H112="","",'Cash Flow %s Yr1'!H112*'Expenses Summary'!$D68))</f>
        <v>12.9</v>
      </c>
      <c r="I117" s="60">
        <f>IF('Expenses Summary'!$D68="","",IF('Cash Flow %s Yr1'!I112="","",'Cash Flow %s Yr1'!I112*'Expenses Summary'!$D68))</f>
        <v>12.9</v>
      </c>
      <c r="J117" s="60">
        <f>IF('Expenses Summary'!$D68="","",IF('Cash Flow %s Yr1'!J112="","",'Cash Flow %s Yr1'!J112*'Expenses Summary'!$D68))</f>
        <v>12.9</v>
      </c>
      <c r="K117" s="60">
        <f>IF('Expenses Summary'!$D68="","",IF('Cash Flow %s Yr1'!K112="","",'Cash Flow %s Yr1'!K112*'Expenses Summary'!$D68))</f>
        <v>12.9</v>
      </c>
      <c r="L117" s="60">
        <f>IF('Expenses Summary'!$D68="","",IF('Cash Flow %s Yr1'!L112="","",'Cash Flow %s Yr1'!L112*'Expenses Summary'!$D68))</f>
        <v>12.9</v>
      </c>
      <c r="M117" s="60">
        <f>IF('Expenses Summary'!$D68="","",IF('Cash Flow %s Yr1'!M112="","",'Cash Flow %s Yr1'!M112*'Expenses Summary'!$D68))</f>
        <v>12.9</v>
      </c>
      <c r="N117" s="60">
        <f>IF('Expenses Summary'!$D68="","",IF('Cash Flow %s Yr1'!N112="","",'Cash Flow %s Yr1'!N112*'Expenses Summary'!$D68))</f>
        <v>0</v>
      </c>
      <c r="O117" s="60">
        <f>IF('Expenses Summary'!$D68="","",IF('Cash Flow %s Yr1'!O112="","",'Cash Flow %s Yr1'!O112*'Expenses Summary'!$D68))</f>
        <v>0</v>
      </c>
      <c r="P117" s="123"/>
      <c r="Q117" s="123"/>
      <c r="R117" s="123"/>
    </row>
    <row r="118" spans="1:18" s="30" customFormat="1" x14ac:dyDescent="0.3">
      <c r="A118" s="35"/>
      <c r="B118" s="133" t="str">
        <f>'Expenses Summary'!B69</f>
        <v>5210</v>
      </c>
      <c r="C118" s="133" t="str">
        <f>'Expenses Summary'!C69</f>
        <v>Training and Development Expense</v>
      </c>
      <c r="D118" s="60">
        <f>IF('Expenses Summary'!$D69="","",IF('Cash Flow %s Yr1'!D113="","",'Cash Flow %s Yr1'!D113*'Expenses Summary'!$D69))</f>
        <v>0</v>
      </c>
      <c r="E118" s="60">
        <f>IF('Expenses Summary'!$D69="","",IF('Cash Flow %s Yr1'!E113="","",'Cash Flow %s Yr1'!E113*'Expenses Summary'!$D69))</f>
        <v>0</v>
      </c>
      <c r="F118" s="60">
        <f>IF('Expenses Summary'!$D69="","",IF('Cash Flow %s Yr1'!F113="","",'Cash Flow %s Yr1'!F113*'Expenses Summary'!$D69))</f>
        <v>1500</v>
      </c>
      <c r="G118" s="60">
        <f>IF('Expenses Summary'!$D69="","",IF('Cash Flow %s Yr1'!G113="","",'Cash Flow %s Yr1'!G113*'Expenses Summary'!$D69))</f>
        <v>500</v>
      </c>
      <c r="H118" s="60">
        <f>IF('Expenses Summary'!$D69="","",IF('Cash Flow %s Yr1'!H113="","",'Cash Flow %s Yr1'!H113*'Expenses Summary'!$D69))</f>
        <v>500</v>
      </c>
      <c r="I118" s="60">
        <f>IF('Expenses Summary'!$D69="","",IF('Cash Flow %s Yr1'!I113="","",'Cash Flow %s Yr1'!I113*'Expenses Summary'!$D69))</f>
        <v>500</v>
      </c>
      <c r="J118" s="60">
        <f>IF('Expenses Summary'!$D69="","",IF('Cash Flow %s Yr1'!J113="","",'Cash Flow %s Yr1'!J113*'Expenses Summary'!$D69))</f>
        <v>500</v>
      </c>
      <c r="K118" s="60">
        <f>IF('Expenses Summary'!$D69="","",IF('Cash Flow %s Yr1'!K113="","",'Cash Flow %s Yr1'!K113*'Expenses Summary'!$D69))</f>
        <v>500</v>
      </c>
      <c r="L118" s="60">
        <f>IF('Expenses Summary'!$D69="","",IF('Cash Flow %s Yr1'!L113="","",'Cash Flow %s Yr1'!L113*'Expenses Summary'!$D69))</f>
        <v>500</v>
      </c>
      <c r="M118" s="60">
        <f>IF('Expenses Summary'!$D69="","",IF('Cash Flow %s Yr1'!M113="","",'Cash Flow %s Yr1'!M113*'Expenses Summary'!$D69))</f>
        <v>500</v>
      </c>
      <c r="N118" s="60">
        <f>IF('Expenses Summary'!$D69="","",IF('Cash Flow %s Yr1'!N113="","",'Cash Flow %s Yr1'!N113*'Expenses Summary'!$D69))</f>
        <v>0</v>
      </c>
      <c r="O118" s="60">
        <f>IF('Expenses Summary'!$D69="","",IF('Cash Flow %s Yr1'!O113="","",'Cash Flow %s Yr1'!O113*'Expenses Summary'!$D69))</f>
        <v>0</v>
      </c>
      <c r="P118" s="123"/>
      <c r="Q118" s="123"/>
      <c r="R118" s="123"/>
    </row>
    <row r="119" spans="1:18" s="30" customFormat="1" x14ac:dyDescent="0.3">
      <c r="A119" s="35"/>
      <c r="B119" s="133" t="str">
        <f>'Expenses Summary'!B70</f>
        <v>5300</v>
      </c>
      <c r="C119" s="133" t="str">
        <f>'Expenses Summary'!C70</f>
        <v>Dues and Memberships</v>
      </c>
      <c r="D119" s="60">
        <f>IF('Expenses Summary'!$D70="","",IF('Cash Flow %s Yr1'!D114="","",'Cash Flow %s Yr1'!D114*'Expenses Summary'!$D70))</f>
        <v>0</v>
      </c>
      <c r="E119" s="60">
        <f>IF('Expenses Summary'!$D70="","",IF('Cash Flow %s Yr1'!E114="","",'Cash Flow %s Yr1'!E114*'Expenses Summary'!$D70))</f>
        <v>0</v>
      </c>
      <c r="F119" s="60">
        <f>IF('Expenses Summary'!$D70="","",IF('Cash Flow %s Yr1'!F114="","",'Cash Flow %s Yr1'!F114*'Expenses Summary'!$D70))</f>
        <v>2351.4</v>
      </c>
      <c r="G119" s="60">
        <f>IF('Expenses Summary'!$D70="","",IF('Cash Flow %s Yr1'!G114="","",'Cash Flow %s Yr1'!G114*'Expenses Summary'!$D70))</f>
        <v>783.80000000000007</v>
      </c>
      <c r="H119" s="60">
        <f>IF('Expenses Summary'!$D70="","",IF('Cash Flow %s Yr1'!H114="","",'Cash Flow %s Yr1'!H114*'Expenses Summary'!$D70))</f>
        <v>783.80000000000007</v>
      </c>
      <c r="I119" s="60">
        <f>IF('Expenses Summary'!$D70="","",IF('Cash Flow %s Yr1'!I114="","",'Cash Flow %s Yr1'!I114*'Expenses Summary'!$D70))</f>
        <v>783.80000000000007</v>
      </c>
      <c r="J119" s="60">
        <f>IF('Expenses Summary'!$D70="","",IF('Cash Flow %s Yr1'!J114="","",'Cash Flow %s Yr1'!J114*'Expenses Summary'!$D70))</f>
        <v>783.80000000000007</v>
      </c>
      <c r="K119" s="60">
        <f>IF('Expenses Summary'!$D70="","",IF('Cash Flow %s Yr1'!K114="","",'Cash Flow %s Yr1'!K114*'Expenses Summary'!$D70))</f>
        <v>783.80000000000007</v>
      </c>
      <c r="L119" s="60">
        <f>IF('Expenses Summary'!$D70="","",IF('Cash Flow %s Yr1'!L114="","",'Cash Flow %s Yr1'!L114*'Expenses Summary'!$D70))</f>
        <v>783.80000000000007</v>
      </c>
      <c r="M119" s="60">
        <f>IF('Expenses Summary'!$D70="","",IF('Cash Flow %s Yr1'!M114="","",'Cash Flow %s Yr1'!M114*'Expenses Summary'!$D70))</f>
        <v>783.80000000000007</v>
      </c>
      <c r="N119" s="60">
        <f>IF('Expenses Summary'!$D70="","",IF('Cash Flow %s Yr1'!N114="","",'Cash Flow %s Yr1'!N114*'Expenses Summary'!$D70))</f>
        <v>0</v>
      </c>
      <c r="O119" s="60">
        <f>IF('Expenses Summary'!$D70="","",IF('Cash Flow %s Yr1'!O114="","",'Cash Flow %s Yr1'!O114*'Expenses Summary'!$D70))</f>
        <v>0</v>
      </c>
      <c r="P119" s="123"/>
      <c r="Q119" s="123"/>
      <c r="R119" s="123"/>
    </row>
    <row r="120" spans="1:18" s="30" customFormat="1" x14ac:dyDescent="0.3">
      <c r="A120" s="35"/>
      <c r="B120" s="133" t="str">
        <f>'Expenses Summary'!B71</f>
        <v>5400</v>
      </c>
      <c r="C120" s="133" t="str">
        <f>'Expenses Summary'!C71</f>
        <v>Insurance</v>
      </c>
      <c r="D120" s="60">
        <f>IF('Expenses Summary'!$D71="","",IF('Cash Flow %s Yr1'!D115="","",'Cash Flow %s Yr1'!D115*'Expenses Summary'!$D71))</f>
        <v>0</v>
      </c>
      <c r="E120" s="60">
        <f>IF('Expenses Summary'!$D71="","",IF('Cash Flow %s Yr1'!E115="","",'Cash Flow %s Yr1'!E115*'Expenses Summary'!$D71))</f>
        <v>0</v>
      </c>
      <c r="F120" s="60">
        <f>IF('Expenses Summary'!$D71="","",IF('Cash Flow %s Yr1'!F115="","",'Cash Flow %s Yr1'!F115*'Expenses Summary'!$D71))</f>
        <v>6472.8</v>
      </c>
      <c r="G120" s="60">
        <f>IF('Expenses Summary'!$D71="","",IF('Cash Flow %s Yr1'!G115="","",'Cash Flow %s Yr1'!G115*'Expenses Summary'!$D71))</f>
        <v>2157.6</v>
      </c>
      <c r="H120" s="60">
        <f>IF('Expenses Summary'!$D71="","",IF('Cash Flow %s Yr1'!H115="","",'Cash Flow %s Yr1'!H115*'Expenses Summary'!$D71))</f>
        <v>2157.6</v>
      </c>
      <c r="I120" s="60">
        <f>IF('Expenses Summary'!$D71="","",IF('Cash Flow %s Yr1'!I115="","",'Cash Flow %s Yr1'!I115*'Expenses Summary'!$D71))</f>
        <v>2157.6</v>
      </c>
      <c r="J120" s="60">
        <f>IF('Expenses Summary'!$D71="","",IF('Cash Flow %s Yr1'!J115="","",'Cash Flow %s Yr1'!J115*'Expenses Summary'!$D71))</f>
        <v>2157.6</v>
      </c>
      <c r="K120" s="60">
        <f>IF('Expenses Summary'!$D71="","",IF('Cash Flow %s Yr1'!K115="","",'Cash Flow %s Yr1'!K115*'Expenses Summary'!$D71))</f>
        <v>2157.6</v>
      </c>
      <c r="L120" s="60">
        <f>IF('Expenses Summary'!$D71="","",IF('Cash Flow %s Yr1'!L115="","",'Cash Flow %s Yr1'!L115*'Expenses Summary'!$D71))</f>
        <v>2157.6</v>
      </c>
      <c r="M120" s="60">
        <f>IF('Expenses Summary'!$D71="","",IF('Cash Flow %s Yr1'!M115="","",'Cash Flow %s Yr1'!M115*'Expenses Summary'!$D71))</f>
        <v>2157.6</v>
      </c>
      <c r="N120" s="60">
        <f>IF('Expenses Summary'!$D71="","",IF('Cash Flow %s Yr1'!N115="","",'Cash Flow %s Yr1'!N115*'Expenses Summary'!$D71))</f>
        <v>0</v>
      </c>
      <c r="O120" s="60">
        <f>IF('Expenses Summary'!$D71="","",IF('Cash Flow %s Yr1'!O115="","",'Cash Flow %s Yr1'!O115*'Expenses Summary'!$D71))</f>
        <v>0</v>
      </c>
      <c r="P120" s="123"/>
      <c r="Q120" s="123"/>
      <c r="R120" s="123"/>
    </row>
    <row r="121" spans="1:18" s="30" customFormat="1" x14ac:dyDescent="0.3">
      <c r="A121" s="35"/>
      <c r="B121" s="133" t="str">
        <f>'Expenses Summary'!B72</f>
        <v>5450</v>
      </c>
      <c r="C121" s="133" t="str">
        <f>'Expenses Summary'!C72</f>
        <v>Property Tax</v>
      </c>
      <c r="D121" s="60">
        <f>IF('Expenses Summary'!$D72="","",IF('Cash Flow %s Yr1'!D116="","",'Cash Flow %s Yr1'!D116*'Expenses Summary'!$D72))</f>
        <v>0</v>
      </c>
      <c r="E121" s="60">
        <f>IF('Expenses Summary'!$D72="","",IF('Cash Flow %s Yr1'!E116="","",'Cash Flow %s Yr1'!E116*'Expenses Summary'!$D72))</f>
        <v>0</v>
      </c>
      <c r="F121" s="60">
        <f>IF('Expenses Summary'!$D72="","",IF('Cash Flow %s Yr1'!F116="","",'Cash Flow %s Yr1'!F116*'Expenses Summary'!$D72))</f>
        <v>0</v>
      </c>
      <c r="G121" s="60">
        <f>IF('Expenses Summary'!$D72="","",IF('Cash Flow %s Yr1'!G116="","",'Cash Flow %s Yr1'!G116*'Expenses Summary'!$D72))</f>
        <v>0</v>
      </c>
      <c r="H121" s="60">
        <f>IF('Expenses Summary'!$D72="","",IF('Cash Flow %s Yr1'!H116="","",'Cash Flow %s Yr1'!H116*'Expenses Summary'!$D72))</f>
        <v>0</v>
      </c>
      <c r="I121" s="60">
        <f>IF('Expenses Summary'!$D72="","",IF('Cash Flow %s Yr1'!I116="","",'Cash Flow %s Yr1'!I116*'Expenses Summary'!$D72))</f>
        <v>0</v>
      </c>
      <c r="J121" s="60">
        <f>IF('Expenses Summary'!$D72="","",IF('Cash Flow %s Yr1'!J116="","",'Cash Flow %s Yr1'!J116*'Expenses Summary'!$D72))</f>
        <v>0</v>
      </c>
      <c r="K121" s="60">
        <f>IF('Expenses Summary'!$D72="","",IF('Cash Flow %s Yr1'!K116="","",'Cash Flow %s Yr1'!K116*'Expenses Summary'!$D72))</f>
        <v>0</v>
      </c>
      <c r="L121" s="60">
        <f>IF('Expenses Summary'!$D72="","",IF('Cash Flow %s Yr1'!L116="","",'Cash Flow %s Yr1'!L116*'Expenses Summary'!$D72))</f>
        <v>0</v>
      </c>
      <c r="M121" s="60">
        <f>IF('Expenses Summary'!$D72="","",IF('Cash Flow %s Yr1'!M116="","",'Cash Flow %s Yr1'!M116*'Expenses Summary'!$D72))</f>
        <v>0</v>
      </c>
      <c r="N121" s="60">
        <f>IF('Expenses Summary'!$D72="","",IF('Cash Flow %s Yr1'!N116="","",'Cash Flow %s Yr1'!N116*'Expenses Summary'!$D72))</f>
        <v>0</v>
      </c>
      <c r="O121" s="60">
        <f>IF('Expenses Summary'!$D72="","",IF('Cash Flow %s Yr1'!O116="","",'Cash Flow %s Yr1'!O116*'Expenses Summary'!$D72))</f>
        <v>0</v>
      </c>
      <c r="P121" s="123"/>
      <c r="Q121" s="123"/>
      <c r="R121" s="123"/>
    </row>
    <row r="122" spans="1:18" s="30" customFormat="1" x14ac:dyDescent="0.3">
      <c r="A122" s="35"/>
      <c r="B122" s="133" t="str">
        <f>'Expenses Summary'!B73</f>
        <v>5500</v>
      </c>
      <c r="C122" s="133" t="str">
        <f>'Expenses Summary'!C73</f>
        <v>Operation and Housekeeping Services/Supplies</v>
      </c>
      <c r="D122" s="60">
        <f>IF('Expenses Summary'!$D73="","",IF('Cash Flow %s Yr1'!D117="","",'Cash Flow %s Yr1'!D117*'Expenses Summary'!$D73))</f>
        <v>1525.623</v>
      </c>
      <c r="E122" s="60">
        <f>IF('Expenses Summary'!$D73="","",IF('Cash Flow %s Yr1'!E117="","",'Cash Flow %s Yr1'!E117*'Expenses Summary'!$D73))</f>
        <v>1525.623</v>
      </c>
      <c r="F122" s="60">
        <f>IF('Expenses Summary'!$D73="","",IF('Cash Flow %s Yr1'!F117="","",'Cash Flow %s Yr1'!F117*'Expenses Summary'!$D73))</f>
        <v>1525.623</v>
      </c>
      <c r="G122" s="60">
        <f>IF('Expenses Summary'!$D73="","",IF('Cash Flow %s Yr1'!G117="","",'Cash Flow %s Yr1'!G117*'Expenses Summary'!$D73))</f>
        <v>1525.623</v>
      </c>
      <c r="H122" s="60">
        <f>IF('Expenses Summary'!$D73="","",IF('Cash Flow %s Yr1'!H117="","",'Cash Flow %s Yr1'!H117*'Expenses Summary'!$D73))</f>
        <v>1525.623</v>
      </c>
      <c r="I122" s="60">
        <f>IF('Expenses Summary'!$D73="","",IF('Cash Flow %s Yr1'!I117="","",'Cash Flow %s Yr1'!I117*'Expenses Summary'!$D73))</f>
        <v>1525.623</v>
      </c>
      <c r="J122" s="60">
        <f>IF('Expenses Summary'!$D73="","",IF('Cash Flow %s Yr1'!J117="","",'Cash Flow %s Yr1'!J117*'Expenses Summary'!$D73))</f>
        <v>1525.623</v>
      </c>
      <c r="K122" s="60">
        <f>IF('Expenses Summary'!$D73="","",IF('Cash Flow %s Yr1'!K117="","",'Cash Flow %s Yr1'!K117*'Expenses Summary'!$D73))</f>
        <v>1525.623</v>
      </c>
      <c r="L122" s="60">
        <f>IF('Expenses Summary'!$D73="","",IF('Cash Flow %s Yr1'!L117="","",'Cash Flow %s Yr1'!L117*'Expenses Summary'!$D73))</f>
        <v>1544.0040000000001</v>
      </c>
      <c r="M122" s="60">
        <f>IF('Expenses Summary'!$D73="","",IF('Cash Flow %s Yr1'!M117="","",'Cash Flow %s Yr1'!M117*'Expenses Summary'!$D73))</f>
        <v>1544.0040000000001</v>
      </c>
      <c r="N122" s="60">
        <f>IF('Expenses Summary'!$D73="","",IF('Cash Flow %s Yr1'!N117="","",'Cash Flow %s Yr1'!N117*'Expenses Summary'!$D73))</f>
        <v>1544.0040000000001</v>
      </c>
      <c r="O122" s="60">
        <f>IF('Expenses Summary'!$D73="","",IF('Cash Flow %s Yr1'!O117="","",'Cash Flow %s Yr1'!O117*'Expenses Summary'!$D73))</f>
        <v>1544.0040000000001</v>
      </c>
      <c r="P122" s="123"/>
      <c r="Q122" s="123"/>
      <c r="R122" s="123"/>
    </row>
    <row r="123" spans="1:18" s="30" customFormat="1" x14ac:dyDescent="0.3">
      <c r="A123" s="35"/>
      <c r="B123" s="133" t="str">
        <f>'Expenses Summary'!B74</f>
        <v>5501</v>
      </c>
      <c r="C123" s="133" t="str">
        <f>'Expenses Summary'!C74</f>
        <v>Utilities</v>
      </c>
      <c r="D123" s="60">
        <f>IF('Expenses Summary'!$D74="","",IF('Cash Flow %s Yr1'!D118="","",'Cash Flow %s Yr1'!D118*'Expenses Summary'!$D74))</f>
        <v>20.916</v>
      </c>
      <c r="E123" s="60">
        <f>IF('Expenses Summary'!$D74="","",IF('Cash Flow %s Yr1'!E118="","",'Cash Flow %s Yr1'!E118*'Expenses Summary'!$D74))</f>
        <v>20.916</v>
      </c>
      <c r="F123" s="60">
        <f>IF('Expenses Summary'!$D74="","",IF('Cash Flow %s Yr1'!F118="","",'Cash Flow %s Yr1'!F118*'Expenses Summary'!$D74))</f>
        <v>20.916</v>
      </c>
      <c r="G123" s="60">
        <f>IF('Expenses Summary'!$D74="","",IF('Cash Flow %s Yr1'!G118="","",'Cash Flow %s Yr1'!G118*'Expenses Summary'!$D74))</f>
        <v>20.916</v>
      </c>
      <c r="H123" s="60">
        <f>IF('Expenses Summary'!$D74="","",IF('Cash Flow %s Yr1'!H118="","",'Cash Flow %s Yr1'!H118*'Expenses Summary'!$D74))</f>
        <v>20.916</v>
      </c>
      <c r="I123" s="60">
        <f>IF('Expenses Summary'!$D74="","",IF('Cash Flow %s Yr1'!I118="","",'Cash Flow %s Yr1'!I118*'Expenses Summary'!$D74))</f>
        <v>20.916</v>
      </c>
      <c r="J123" s="60">
        <f>IF('Expenses Summary'!$D74="","",IF('Cash Flow %s Yr1'!J118="","",'Cash Flow %s Yr1'!J118*'Expenses Summary'!$D74))</f>
        <v>20.916</v>
      </c>
      <c r="K123" s="60">
        <f>IF('Expenses Summary'!$D74="","",IF('Cash Flow %s Yr1'!K118="","",'Cash Flow %s Yr1'!K118*'Expenses Summary'!$D74))</f>
        <v>20.916</v>
      </c>
      <c r="L123" s="60">
        <f>IF('Expenses Summary'!$D74="","",IF('Cash Flow %s Yr1'!L118="","",'Cash Flow %s Yr1'!L118*'Expenses Summary'!$D74))</f>
        <v>21.168000000000003</v>
      </c>
      <c r="M123" s="60">
        <f>IF('Expenses Summary'!$D74="","",IF('Cash Flow %s Yr1'!M118="","",'Cash Flow %s Yr1'!M118*'Expenses Summary'!$D74))</f>
        <v>21.168000000000003</v>
      </c>
      <c r="N123" s="60">
        <f>IF('Expenses Summary'!$D74="","",IF('Cash Flow %s Yr1'!N118="","",'Cash Flow %s Yr1'!N118*'Expenses Summary'!$D74))</f>
        <v>21.168000000000003</v>
      </c>
      <c r="O123" s="60">
        <f>IF('Expenses Summary'!$D74="","",IF('Cash Flow %s Yr1'!O118="","",'Cash Flow %s Yr1'!O118*'Expenses Summary'!$D74))</f>
        <v>21.168000000000003</v>
      </c>
      <c r="P123" s="123"/>
      <c r="Q123" s="123"/>
      <c r="R123" s="123"/>
    </row>
    <row r="124" spans="1:18" s="30" customFormat="1" x14ac:dyDescent="0.3">
      <c r="A124" s="35"/>
      <c r="B124" s="133" t="str">
        <f>'Expenses Summary'!B75</f>
        <v>5505</v>
      </c>
      <c r="C124" s="133" t="str">
        <f>'Expenses Summary'!C75</f>
        <v>Student Transportation / Field Trips</v>
      </c>
      <c r="D124" s="60">
        <f>IF('Expenses Summary'!$D75="","",IF('Cash Flow %s Yr1'!D119="","",'Cash Flow %s Yr1'!D119*'Expenses Summary'!$D75))</f>
        <v>0</v>
      </c>
      <c r="E124" s="60">
        <f>IF('Expenses Summary'!$D75="","",IF('Cash Flow %s Yr1'!E119="","",'Cash Flow %s Yr1'!E119*'Expenses Summary'!$D75))</f>
        <v>0</v>
      </c>
      <c r="F124" s="60">
        <f>IF('Expenses Summary'!$D75="","",IF('Cash Flow %s Yr1'!F119="","",'Cash Flow %s Yr1'!F119*'Expenses Summary'!$D75))</f>
        <v>0</v>
      </c>
      <c r="G124" s="60">
        <f>IF('Expenses Summary'!$D75="","",IF('Cash Flow %s Yr1'!G119="","",'Cash Flow %s Yr1'!G119*'Expenses Summary'!$D75))</f>
        <v>0</v>
      </c>
      <c r="H124" s="60">
        <f>IF('Expenses Summary'!$D75="","",IF('Cash Flow %s Yr1'!H119="","",'Cash Flow %s Yr1'!H119*'Expenses Summary'!$D75))</f>
        <v>0</v>
      </c>
      <c r="I124" s="60">
        <f>IF('Expenses Summary'!$D75="","",IF('Cash Flow %s Yr1'!I119="","",'Cash Flow %s Yr1'!I119*'Expenses Summary'!$D75))</f>
        <v>0</v>
      </c>
      <c r="J124" s="60">
        <f>IF('Expenses Summary'!$D75="","",IF('Cash Flow %s Yr1'!J119="","",'Cash Flow %s Yr1'!J119*'Expenses Summary'!$D75))</f>
        <v>0</v>
      </c>
      <c r="K124" s="60">
        <f>IF('Expenses Summary'!$D75="","",IF('Cash Flow %s Yr1'!K119="","",'Cash Flow %s Yr1'!K119*'Expenses Summary'!$D75))</f>
        <v>0</v>
      </c>
      <c r="L124" s="60">
        <f>IF('Expenses Summary'!$D75="","",IF('Cash Flow %s Yr1'!L119="","",'Cash Flow %s Yr1'!L119*'Expenses Summary'!$D75))</f>
        <v>0</v>
      </c>
      <c r="M124" s="60">
        <f>IF('Expenses Summary'!$D75="","",IF('Cash Flow %s Yr1'!M119="","",'Cash Flow %s Yr1'!M119*'Expenses Summary'!$D75))</f>
        <v>0</v>
      </c>
      <c r="N124" s="60">
        <f>IF('Expenses Summary'!$D75="","",IF('Cash Flow %s Yr1'!N119="","",'Cash Flow %s Yr1'!N119*'Expenses Summary'!$D75))</f>
        <v>0</v>
      </c>
      <c r="O124" s="60">
        <f>IF('Expenses Summary'!$D75="","",IF('Cash Flow %s Yr1'!O119="","",'Cash Flow %s Yr1'!O119*'Expenses Summary'!$D75))</f>
        <v>0</v>
      </c>
      <c r="P124" s="123"/>
      <c r="Q124" s="123"/>
      <c r="R124" s="123"/>
    </row>
    <row r="125" spans="1:18" s="30" customFormat="1" x14ac:dyDescent="0.3">
      <c r="A125" s="35"/>
      <c r="B125" s="133" t="str">
        <f>'Expenses Summary'!B76</f>
        <v>5600</v>
      </c>
      <c r="C125" s="133" t="str">
        <f>'Expenses Summary'!C76</f>
        <v>Space Rental/Leases Expense</v>
      </c>
      <c r="D125" s="60">
        <f>IF('Expenses Summary'!$D76="","",IF('Cash Flow %s Yr1'!D120="","",'Cash Flow %s Yr1'!D120*'Expenses Summary'!$D76))</f>
        <v>4302.1390000000001</v>
      </c>
      <c r="E125" s="60">
        <f>IF('Expenses Summary'!$D76="","",IF('Cash Flow %s Yr1'!E120="","",'Cash Flow %s Yr1'!E120*'Expenses Summary'!$D76))</f>
        <v>4302.1390000000001</v>
      </c>
      <c r="F125" s="60">
        <f>IF('Expenses Summary'!$D76="","",IF('Cash Flow %s Yr1'!F120="","",'Cash Flow %s Yr1'!F120*'Expenses Summary'!$D76))</f>
        <v>4302.1390000000001</v>
      </c>
      <c r="G125" s="60">
        <f>IF('Expenses Summary'!$D76="","",IF('Cash Flow %s Yr1'!G120="","",'Cash Flow %s Yr1'!G120*'Expenses Summary'!$D76))</f>
        <v>4302.1390000000001</v>
      </c>
      <c r="H125" s="60">
        <f>IF('Expenses Summary'!$D76="","",IF('Cash Flow %s Yr1'!H120="","",'Cash Flow %s Yr1'!H120*'Expenses Summary'!$D76))</f>
        <v>4302.1390000000001</v>
      </c>
      <c r="I125" s="60">
        <f>IF('Expenses Summary'!$D76="","",IF('Cash Flow %s Yr1'!I120="","",'Cash Flow %s Yr1'!I120*'Expenses Summary'!$D76))</f>
        <v>4302.1390000000001</v>
      </c>
      <c r="J125" s="60">
        <f>IF('Expenses Summary'!$D76="","",IF('Cash Flow %s Yr1'!J120="","",'Cash Flow %s Yr1'!J120*'Expenses Summary'!$D76))</f>
        <v>4302.1390000000001</v>
      </c>
      <c r="K125" s="60">
        <f>IF('Expenses Summary'!$D76="","",IF('Cash Flow %s Yr1'!K120="","",'Cash Flow %s Yr1'!K120*'Expenses Summary'!$D76))</f>
        <v>4302.1390000000001</v>
      </c>
      <c r="L125" s="60">
        <f>IF('Expenses Summary'!$D76="","",IF('Cash Flow %s Yr1'!L120="","",'Cash Flow %s Yr1'!L120*'Expenses Summary'!$D76))</f>
        <v>4353.9720000000007</v>
      </c>
      <c r="M125" s="60">
        <f>IF('Expenses Summary'!$D76="","",IF('Cash Flow %s Yr1'!M120="","",'Cash Flow %s Yr1'!M120*'Expenses Summary'!$D76))</f>
        <v>4353.9720000000007</v>
      </c>
      <c r="N125" s="60">
        <f>IF('Expenses Summary'!$D76="","",IF('Cash Flow %s Yr1'!N120="","",'Cash Flow %s Yr1'!N120*'Expenses Summary'!$D76))</f>
        <v>4353.9720000000007</v>
      </c>
      <c r="O125" s="60">
        <f>IF('Expenses Summary'!$D76="","",IF('Cash Flow %s Yr1'!O120="","",'Cash Flow %s Yr1'!O120*'Expenses Summary'!$D76))</f>
        <v>4353.9720000000007</v>
      </c>
      <c r="P125" s="123"/>
      <c r="Q125" s="123"/>
      <c r="R125" s="123"/>
    </row>
    <row r="126" spans="1:18" s="30" customFormat="1" x14ac:dyDescent="0.3">
      <c r="A126" s="35"/>
      <c r="B126" s="133" t="str">
        <f>'Expenses Summary'!B77</f>
        <v>5601</v>
      </c>
      <c r="C126" s="133" t="str">
        <f>'Expenses Summary'!C77</f>
        <v>Building Maintenance</v>
      </c>
      <c r="D126" s="60">
        <f>IF('Expenses Summary'!$D77="","",IF('Cash Flow %s Yr1'!D121="","",'Cash Flow %s Yr1'!D121*'Expenses Summary'!$D77))</f>
        <v>0</v>
      </c>
      <c r="E126" s="60">
        <f>IF('Expenses Summary'!$D77="","",IF('Cash Flow %s Yr1'!E121="","",'Cash Flow %s Yr1'!E121*'Expenses Summary'!$D77))</f>
        <v>0</v>
      </c>
      <c r="F126" s="60">
        <f>IF('Expenses Summary'!$D77="","",IF('Cash Flow %s Yr1'!F121="","",'Cash Flow %s Yr1'!F121*'Expenses Summary'!$D77))</f>
        <v>0</v>
      </c>
      <c r="G126" s="60">
        <f>IF('Expenses Summary'!$D77="","",IF('Cash Flow %s Yr1'!G121="","",'Cash Flow %s Yr1'!G121*'Expenses Summary'!$D77))</f>
        <v>0</v>
      </c>
      <c r="H126" s="60">
        <f>IF('Expenses Summary'!$D77="","",IF('Cash Flow %s Yr1'!H121="","",'Cash Flow %s Yr1'!H121*'Expenses Summary'!$D77))</f>
        <v>0</v>
      </c>
      <c r="I126" s="60">
        <f>IF('Expenses Summary'!$D77="","",IF('Cash Flow %s Yr1'!I121="","",'Cash Flow %s Yr1'!I121*'Expenses Summary'!$D77))</f>
        <v>0</v>
      </c>
      <c r="J126" s="60">
        <f>IF('Expenses Summary'!$D77="","",IF('Cash Flow %s Yr1'!J121="","",'Cash Flow %s Yr1'!J121*'Expenses Summary'!$D77))</f>
        <v>0</v>
      </c>
      <c r="K126" s="60">
        <f>IF('Expenses Summary'!$D77="","",IF('Cash Flow %s Yr1'!K121="","",'Cash Flow %s Yr1'!K121*'Expenses Summary'!$D77))</f>
        <v>0</v>
      </c>
      <c r="L126" s="60">
        <f>IF('Expenses Summary'!$D77="","",IF('Cash Flow %s Yr1'!L121="","",'Cash Flow %s Yr1'!L121*'Expenses Summary'!$D77))</f>
        <v>0</v>
      </c>
      <c r="M126" s="60">
        <f>IF('Expenses Summary'!$D77="","",IF('Cash Flow %s Yr1'!M121="","",'Cash Flow %s Yr1'!M121*'Expenses Summary'!$D77))</f>
        <v>0</v>
      </c>
      <c r="N126" s="60">
        <f>IF('Expenses Summary'!$D77="","",IF('Cash Flow %s Yr1'!N121="","",'Cash Flow %s Yr1'!N121*'Expenses Summary'!$D77))</f>
        <v>0</v>
      </c>
      <c r="O126" s="60">
        <f>IF('Expenses Summary'!$D77="","",IF('Cash Flow %s Yr1'!O121="","",'Cash Flow %s Yr1'!O121*'Expenses Summary'!$D77))</f>
        <v>0</v>
      </c>
      <c r="P126" s="123"/>
      <c r="Q126" s="123"/>
      <c r="R126" s="123"/>
    </row>
    <row r="127" spans="1:18" s="30" customFormat="1" x14ac:dyDescent="0.3">
      <c r="A127" s="35"/>
      <c r="B127" s="133" t="str">
        <f>'Expenses Summary'!B78</f>
        <v>5602</v>
      </c>
      <c r="C127" s="133" t="str">
        <f>'Expenses Summary'!C78</f>
        <v>Other Space Rental</v>
      </c>
      <c r="D127" s="60">
        <f>IF('Expenses Summary'!$D78="","",IF('Cash Flow %s Yr1'!D122="","",'Cash Flow %s Yr1'!D122*'Expenses Summary'!$D78))</f>
        <v>296.642</v>
      </c>
      <c r="E127" s="60">
        <f>IF('Expenses Summary'!$D78="","",IF('Cash Flow %s Yr1'!E122="","",'Cash Flow %s Yr1'!E122*'Expenses Summary'!$D78))</f>
        <v>296.642</v>
      </c>
      <c r="F127" s="60">
        <f>IF('Expenses Summary'!$D78="","",IF('Cash Flow %s Yr1'!F122="","",'Cash Flow %s Yr1'!F122*'Expenses Summary'!$D78))</f>
        <v>296.642</v>
      </c>
      <c r="G127" s="60">
        <f>IF('Expenses Summary'!$D78="","",IF('Cash Flow %s Yr1'!G122="","",'Cash Flow %s Yr1'!G122*'Expenses Summary'!$D78))</f>
        <v>296.642</v>
      </c>
      <c r="H127" s="60">
        <f>IF('Expenses Summary'!$D78="","",IF('Cash Flow %s Yr1'!H122="","",'Cash Flow %s Yr1'!H122*'Expenses Summary'!$D78))</f>
        <v>296.642</v>
      </c>
      <c r="I127" s="60">
        <f>IF('Expenses Summary'!$D78="","",IF('Cash Flow %s Yr1'!I122="","",'Cash Flow %s Yr1'!I122*'Expenses Summary'!$D78))</f>
        <v>296.642</v>
      </c>
      <c r="J127" s="60">
        <f>IF('Expenses Summary'!$D78="","",IF('Cash Flow %s Yr1'!J122="","",'Cash Flow %s Yr1'!J122*'Expenses Summary'!$D78))</f>
        <v>296.642</v>
      </c>
      <c r="K127" s="60">
        <f>IF('Expenses Summary'!$D78="","",IF('Cash Flow %s Yr1'!K122="","",'Cash Flow %s Yr1'!K122*'Expenses Summary'!$D78))</f>
        <v>296.642</v>
      </c>
      <c r="L127" s="60">
        <f>IF('Expenses Summary'!$D78="","",IF('Cash Flow %s Yr1'!L122="","",'Cash Flow %s Yr1'!L122*'Expenses Summary'!$D78))</f>
        <v>300.21600000000001</v>
      </c>
      <c r="M127" s="60">
        <f>IF('Expenses Summary'!$D78="","",IF('Cash Flow %s Yr1'!M122="","",'Cash Flow %s Yr1'!M122*'Expenses Summary'!$D78))</f>
        <v>300.21600000000001</v>
      </c>
      <c r="N127" s="60">
        <f>IF('Expenses Summary'!$D78="","",IF('Cash Flow %s Yr1'!N122="","",'Cash Flow %s Yr1'!N122*'Expenses Summary'!$D78))</f>
        <v>300.21600000000001</v>
      </c>
      <c r="O127" s="60">
        <f>IF('Expenses Summary'!$D78="","",IF('Cash Flow %s Yr1'!O122="","",'Cash Flow %s Yr1'!O122*'Expenses Summary'!$D78))</f>
        <v>300.21600000000001</v>
      </c>
      <c r="P127" s="123"/>
      <c r="Q127" s="123"/>
      <c r="R127" s="123"/>
    </row>
    <row r="128" spans="1:18" s="30" customFormat="1" x14ac:dyDescent="0.3">
      <c r="A128" s="35"/>
      <c r="B128" s="133" t="str">
        <f>'Expenses Summary'!B79</f>
        <v>5605</v>
      </c>
      <c r="C128" s="133" t="str">
        <f>'Expenses Summary'!C79</f>
        <v>Equipment Rental/Lease Expense</v>
      </c>
      <c r="D128" s="60">
        <f>IF('Expenses Summary'!$D79="","",IF('Cash Flow %s Yr1'!D123="","",'Cash Flow %s Yr1'!D123*'Expenses Summary'!$D79))</f>
        <v>8.3000000000000004E-2</v>
      </c>
      <c r="E128" s="60">
        <f>IF('Expenses Summary'!$D79="","",IF('Cash Flow %s Yr1'!E123="","",'Cash Flow %s Yr1'!E123*'Expenses Summary'!$D79))</f>
        <v>8.3000000000000004E-2</v>
      </c>
      <c r="F128" s="60">
        <f>IF('Expenses Summary'!$D79="","",IF('Cash Flow %s Yr1'!F123="","",'Cash Flow %s Yr1'!F123*'Expenses Summary'!$D79))</f>
        <v>8.3000000000000004E-2</v>
      </c>
      <c r="G128" s="60">
        <f>IF('Expenses Summary'!$D79="","",IF('Cash Flow %s Yr1'!G123="","",'Cash Flow %s Yr1'!G123*'Expenses Summary'!$D79))</f>
        <v>8.3000000000000004E-2</v>
      </c>
      <c r="H128" s="60">
        <f>IF('Expenses Summary'!$D79="","",IF('Cash Flow %s Yr1'!H123="","",'Cash Flow %s Yr1'!H123*'Expenses Summary'!$D79))</f>
        <v>8.3000000000000004E-2</v>
      </c>
      <c r="I128" s="60">
        <f>IF('Expenses Summary'!$D79="","",IF('Cash Flow %s Yr1'!I123="","",'Cash Flow %s Yr1'!I123*'Expenses Summary'!$D79))</f>
        <v>8.3000000000000004E-2</v>
      </c>
      <c r="J128" s="60">
        <f>IF('Expenses Summary'!$D79="","",IF('Cash Flow %s Yr1'!J123="","",'Cash Flow %s Yr1'!J123*'Expenses Summary'!$D79))</f>
        <v>8.3000000000000004E-2</v>
      </c>
      <c r="K128" s="60">
        <f>IF('Expenses Summary'!$D79="","",IF('Cash Flow %s Yr1'!K123="","",'Cash Flow %s Yr1'!K123*'Expenses Summary'!$D79))</f>
        <v>8.3000000000000004E-2</v>
      </c>
      <c r="L128" s="60">
        <f>IF('Expenses Summary'!$D79="","",IF('Cash Flow %s Yr1'!L123="","",'Cash Flow %s Yr1'!L123*'Expenses Summary'!$D79))</f>
        <v>8.4000000000000005E-2</v>
      </c>
      <c r="M128" s="60">
        <f>IF('Expenses Summary'!$D79="","",IF('Cash Flow %s Yr1'!M123="","",'Cash Flow %s Yr1'!M123*'Expenses Summary'!$D79))</f>
        <v>8.4000000000000005E-2</v>
      </c>
      <c r="N128" s="60">
        <f>IF('Expenses Summary'!$D79="","",IF('Cash Flow %s Yr1'!N123="","",'Cash Flow %s Yr1'!N123*'Expenses Summary'!$D79))</f>
        <v>8.4000000000000005E-2</v>
      </c>
      <c r="O128" s="60">
        <f>IF('Expenses Summary'!$D79="","",IF('Cash Flow %s Yr1'!O123="","",'Cash Flow %s Yr1'!O123*'Expenses Summary'!$D79))</f>
        <v>8.4000000000000005E-2</v>
      </c>
      <c r="P128" s="123"/>
      <c r="Q128" s="123"/>
      <c r="R128" s="123"/>
    </row>
    <row r="129" spans="1:18" s="30" customFormat="1" x14ac:dyDescent="0.3">
      <c r="A129" s="35"/>
      <c r="B129" s="133" t="str">
        <f>'Expenses Summary'!B80</f>
        <v>5610</v>
      </c>
      <c r="C129" s="133" t="str">
        <f>'Expenses Summary'!C80</f>
        <v>Equipment Repair</v>
      </c>
      <c r="D129" s="60">
        <f>IF('Expenses Summary'!$D80="","",IF('Cash Flow %s Yr1'!D124="","",'Cash Flow %s Yr1'!D124*'Expenses Summary'!$D80))</f>
        <v>50.215000000000003</v>
      </c>
      <c r="E129" s="60">
        <f>IF('Expenses Summary'!$D80="","",IF('Cash Flow %s Yr1'!E124="","",'Cash Flow %s Yr1'!E124*'Expenses Summary'!$D80))</f>
        <v>50.215000000000003</v>
      </c>
      <c r="F129" s="60">
        <f>IF('Expenses Summary'!$D80="","",IF('Cash Flow %s Yr1'!F124="","",'Cash Flow %s Yr1'!F124*'Expenses Summary'!$D80))</f>
        <v>50.215000000000003</v>
      </c>
      <c r="G129" s="60">
        <f>IF('Expenses Summary'!$D80="","",IF('Cash Flow %s Yr1'!G124="","",'Cash Flow %s Yr1'!G124*'Expenses Summary'!$D80))</f>
        <v>50.215000000000003</v>
      </c>
      <c r="H129" s="60">
        <f>IF('Expenses Summary'!$D80="","",IF('Cash Flow %s Yr1'!H124="","",'Cash Flow %s Yr1'!H124*'Expenses Summary'!$D80))</f>
        <v>50.215000000000003</v>
      </c>
      <c r="I129" s="60">
        <f>IF('Expenses Summary'!$D80="","",IF('Cash Flow %s Yr1'!I124="","",'Cash Flow %s Yr1'!I124*'Expenses Summary'!$D80))</f>
        <v>50.215000000000003</v>
      </c>
      <c r="J129" s="60">
        <f>IF('Expenses Summary'!$D80="","",IF('Cash Flow %s Yr1'!J124="","",'Cash Flow %s Yr1'!J124*'Expenses Summary'!$D80))</f>
        <v>50.215000000000003</v>
      </c>
      <c r="K129" s="60">
        <f>IF('Expenses Summary'!$D80="","",IF('Cash Flow %s Yr1'!K124="","",'Cash Flow %s Yr1'!K124*'Expenses Summary'!$D80))</f>
        <v>50.215000000000003</v>
      </c>
      <c r="L129" s="60">
        <f>IF('Expenses Summary'!$D80="","",IF('Cash Flow %s Yr1'!L124="","",'Cash Flow %s Yr1'!L124*'Expenses Summary'!$D80))</f>
        <v>50.82</v>
      </c>
      <c r="M129" s="60">
        <f>IF('Expenses Summary'!$D80="","",IF('Cash Flow %s Yr1'!M124="","",'Cash Flow %s Yr1'!M124*'Expenses Summary'!$D80))</f>
        <v>50.82</v>
      </c>
      <c r="N129" s="60">
        <f>IF('Expenses Summary'!$D80="","",IF('Cash Flow %s Yr1'!N124="","",'Cash Flow %s Yr1'!N124*'Expenses Summary'!$D80))</f>
        <v>50.82</v>
      </c>
      <c r="O129" s="60">
        <f>IF('Expenses Summary'!$D80="","",IF('Cash Flow %s Yr1'!O124="","",'Cash Flow %s Yr1'!O124*'Expenses Summary'!$D80))</f>
        <v>50.82</v>
      </c>
      <c r="P129" s="123"/>
      <c r="Q129" s="123"/>
      <c r="R129" s="123"/>
    </row>
    <row r="130" spans="1:18" s="30" customFormat="1" x14ac:dyDescent="0.3">
      <c r="A130" s="35"/>
      <c r="B130" s="133" t="str">
        <f>'Expenses Summary'!B81</f>
        <v>5800</v>
      </c>
      <c r="C130" s="133" t="str">
        <f>'Expenses Summary'!C81</f>
        <v>Professional/Consulting Services and Operating Expenditures</v>
      </c>
      <c r="D130" s="60">
        <f>IF('Expenses Summary'!$D81="","",IF('Cash Flow %s Yr1'!D125="","",'Cash Flow %s Yr1'!D125*'Expenses Summary'!$D81))</f>
        <v>171.56100000000001</v>
      </c>
      <c r="E130" s="60">
        <f>IF('Expenses Summary'!$D81="","",IF('Cash Flow %s Yr1'!E125="","",'Cash Flow %s Yr1'!E125*'Expenses Summary'!$D81))</f>
        <v>171.56100000000001</v>
      </c>
      <c r="F130" s="60">
        <f>IF('Expenses Summary'!$D81="","",IF('Cash Flow %s Yr1'!F125="","",'Cash Flow %s Yr1'!F125*'Expenses Summary'!$D81))</f>
        <v>171.56100000000001</v>
      </c>
      <c r="G130" s="60">
        <f>IF('Expenses Summary'!$D81="","",IF('Cash Flow %s Yr1'!G125="","",'Cash Flow %s Yr1'!G125*'Expenses Summary'!$D81))</f>
        <v>171.56100000000001</v>
      </c>
      <c r="H130" s="60">
        <f>IF('Expenses Summary'!$D81="","",IF('Cash Flow %s Yr1'!H125="","",'Cash Flow %s Yr1'!H125*'Expenses Summary'!$D81))</f>
        <v>171.56100000000001</v>
      </c>
      <c r="I130" s="60">
        <f>IF('Expenses Summary'!$D81="","",IF('Cash Flow %s Yr1'!I125="","",'Cash Flow %s Yr1'!I125*'Expenses Summary'!$D81))</f>
        <v>171.56100000000001</v>
      </c>
      <c r="J130" s="60">
        <f>IF('Expenses Summary'!$D81="","",IF('Cash Flow %s Yr1'!J125="","",'Cash Flow %s Yr1'!J125*'Expenses Summary'!$D81))</f>
        <v>171.56100000000001</v>
      </c>
      <c r="K130" s="60">
        <f>IF('Expenses Summary'!$D81="","",IF('Cash Flow %s Yr1'!K125="","",'Cash Flow %s Yr1'!K125*'Expenses Summary'!$D81))</f>
        <v>171.56100000000001</v>
      </c>
      <c r="L130" s="60">
        <f>IF('Expenses Summary'!$D81="","",IF('Cash Flow %s Yr1'!L125="","",'Cash Flow %s Yr1'!L125*'Expenses Summary'!$D81))</f>
        <v>173.62800000000001</v>
      </c>
      <c r="M130" s="60">
        <f>IF('Expenses Summary'!$D81="","",IF('Cash Flow %s Yr1'!M125="","",'Cash Flow %s Yr1'!M125*'Expenses Summary'!$D81))</f>
        <v>173.62800000000001</v>
      </c>
      <c r="N130" s="60">
        <f>IF('Expenses Summary'!$D81="","",IF('Cash Flow %s Yr1'!N125="","",'Cash Flow %s Yr1'!N125*'Expenses Summary'!$D81))</f>
        <v>173.62800000000001</v>
      </c>
      <c r="O130" s="60">
        <f>IF('Expenses Summary'!$D81="","",IF('Cash Flow %s Yr1'!O125="","",'Cash Flow %s Yr1'!O125*'Expenses Summary'!$D81))</f>
        <v>173.62800000000001</v>
      </c>
      <c r="P130" s="123"/>
      <c r="Q130" s="123"/>
      <c r="R130" s="123"/>
    </row>
    <row r="131" spans="1:18" s="30" customFormat="1" x14ac:dyDescent="0.3">
      <c r="A131" s="35"/>
      <c r="B131" s="133" t="str">
        <f>'Expenses Summary'!B82</f>
        <v>5803</v>
      </c>
      <c r="C131" s="133" t="str">
        <f>'Expenses Summary'!C82</f>
        <v>Banking and Payroll Service Fees</v>
      </c>
      <c r="D131" s="60">
        <f>IF('Expenses Summary'!$D82="","",IF('Cash Flow %s Yr1'!D126="","",'Cash Flow %s Yr1'!D126*'Expenses Summary'!$D82))</f>
        <v>491.36</v>
      </c>
      <c r="E131" s="60">
        <f>IF('Expenses Summary'!$D82="","",IF('Cash Flow %s Yr1'!E126="","",'Cash Flow %s Yr1'!E126*'Expenses Summary'!$D82))</f>
        <v>491.36</v>
      </c>
      <c r="F131" s="60">
        <f>IF('Expenses Summary'!$D82="","",IF('Cash Flow %s Yr1'!F126="","",'Cash Flow %s Yr1'!F126*'Expenses Summary'!$D82))</f>
        <v>491.36</v>
      </c>
      <c r="G131" s="60">
        <f>IF('Expenses Summary'!$D82="","",IF('Cash Flow %s Yr1'!G126="","",'Cash Flow %s Yr1'!G126*'Expenses Summary'!$D82))</f>
        <v>491.36</v>
      </c>
      <c r="H131" s="60">
        <f>IF('Expenses Summary'!$D82="","",IF('Cash Flow %s Yr1'!H126="","",'Cash Flow %s Yr1'!H126*'Expenses Summary'!$D82))</f>
        <v>491.36</v>
      </c>
      <c r="I131" s="60">
        <f>IF('Expenses Summary'!$D82="","",IF('Cash Flow %s Yr1'!I126="","",'Cash Flow %s Yr1'!I126*'Expenses Summary'!$D82))</f>
        <v>491.36</v>
      </c>
      <c r="J131" s="60">
        <f>IF('Expenses Summary'!$D82="","",IF('Cash Flow %s Yr1'!J126="","",'Cash Flow %s Yr1'!J126*'Expenses Summary'!$D82))</f>
        <v>491.36</v>
      </c>
      <c r="K131" s="60">
        <f>IF('Expenses Summary'!$D82="","",IF('Cash Flow %s Yr1'!K126="","",'Cash Flow %s Yr1'!K126*'Expenses Summary'!$D82))</f>
        <v>491.36</v>
      </c>
      <c r="L131" s="60">
        <f>IF('Expenses Summary'!$D82="","",IF('Cash Flow %s Yr1'!L126="","",'Cash Flow %s Yr1'!L126*'Expenses Summary'!$D82))</f>
        <v>497.28000000000003</v>
      </c>
      <c r="M131" s="60">
        <f>IF('Expenses Summary'!$D82="","",IF('Cash Flow %s Yr1'!M126="","",'Cash Flow %s Yr1'!M126*'Expenses Summary'!$D82))</f>
        <v>497.28000000000003</v>
      </c>
      <c r="N131" s="60">
        <f>IF('Expenses Summary'!$D82="","",IF('Cash Flow %s Yr1'!N126="","",'Cash Flow %s Yr1'!N126*'Expenses Summary'!$D82))</f>
        <v>497.28000000000003</v>
      </c>
      <c r="O131" s="60">
        <f>IF('Expenses Summary'!$D82="","",IF('Cash Flow %s Yr1'!O126="","",'Cash Flow %s Yr1'!O126*'Expenses Summary'!$D82))</f>
        <v>497.28000000000003</v>
      </c>
      <c r="P131" s="123"/>
      <c r="Q131" s="123"/>
      <c r="R131" s="123"/>
    </row>
    <row r="132" spans="1:18" s="30" customFormat="1" x14ac:dyDescent="0.3">
      <c r="A132" s="35"/>
      <c r="B132" s="133" t="str">
        <f>'Expenses Summary'!B83</f>
        <v>5805</v>
      </c>
      <c r="C132" s="133" t="str">
        <f>'Expenses Summary'!C83</f>
        <v xml:space="preserve">Legal Services </v>
      </c>
      <c r="D132" s="60">
        <f>IF('Expenses Summary'!$D83="","",IF('Cash Flow %s Yr1'!D127="","",'Cash Flow %s Yr1'!D127*'Expenses Summary'!$D83))</f>
        <v>60.092000000000006</v>
      </c>
      <c r="E132" s="60">
        <f>IF('Expenses Summary'!$D83="","",IF('Cash Flow %s Yr1'!E127="","",'Cash Flow %s Yr1'!E127*'Expenses Summary'!$D83))</f>
        <v>60.092000000000006</v>
      </c>
      <c r="F132" s="60">
        <f>IF('Expenses Summary'!$D83="","",IF('Cash Flow %s Yr1'!F127="","",'Cash Flow %s Yr1'!F127*'Expenses Summary'!$D83))</f>
        <v>60.092000000000006</v>
      </c>
      <c r="G132" s="60">
        <f>IF('Expenses Summary'!$D83="","",IF('Cash Flow %s Yr1'!G127="","",'Cash Flow %s Yr1'!G127*'Expenses Summary'!$D83))</f>
        <v>60.092000000000006</v>
      </c>
      <c r="H132" s="60">
        <f>IF('Expenses Summary'!$D83="","",IF('Cash Flow %s Yr1'!H127="","",'Cash Flow %s Yr1'!H127*'Expenses Summary'!$D83))</f>
        <v>60.092000000000006</v>
      </c>
      <c r="I132" s="60">
        <f>IF('Expenses Summary'!$D83="","",IF('Cash Flow %s Yr1'!I127="","",'Cash Flow %s Yr1'!I127*'Expenses Summary'!$D83))</f>
        <v>60.092000000000006</v>
      </c>
      <c r="J132" s="60">
        <f>IF('Expenses Summary'!$D83="","",IF('Cash Flow %s Yr1'!J127="","",'Cash Flow %s Yr1'!J127*'Expenses Summary'!$D83))</f>
        <v>60.092000000000006</v>
      </c>
      <c r="K132" s="60">
        <f>IF('Expenses Summary'!$D83="","",IF('Cash Flow %s Yr1'!K127="","",'Cash Flow %s Yr1'!K127*'Expenses Summary'!$D83))</f>
        <v>60.092000000000006</v>
      </c>
      <c r="L132" s="60">
        <f>IF('Expenses Summary'!$D83="","",IF('Cash Flow %s Yr1'!L127="","",'Cash Flow %s Yr1'!L127*'Expenses Summary'!$D83))</f>
        <v>60.816000000000003</v>
      </c>
      <c r="M132" s="60">
        <f>IF('Expenses Summary'!$D83="","",IF('Cash Flow %s Yr1'!M127="","",'Cash Flow %s Yr1'!M127*'Expenses Summary'!$D83))</f>
        <v>60.816000000000003</v>
      </c>
      <c r="N132" s="60">
        <f>IF('Expenses Summary'!$D83="","",IF('Cash Flow %s Yr1'!N127="","",'Cash Flow %s Yr1'!N127*'Expenses Summary'!$D83))</f>
        <v>60.816000000000003</v>
      </c>
      <c r="O132" s="60">
        <f>IF('Expenses Summary'!$D83="","",IF('Cash Flow %s Yr1'!O127="","",'Cash Flow %s Yr1'!O127*'Expenses Summary'!$D83))</f>
        <v>60.816000000000003</v>
      </c>
      <c r="P132" s="123"/>
      <c r="Q132" s="123"/>
      <c r="R132" s="123"/>
    </row>
    <row r="133" spans="1:18" s="30" customFormat="1" x14ac:dyDescent="0.3">
      <c r="A133" s="35"/>
      <c r="B133" s="133" t="str">
        <f>'Expenses Summary'!B84</f>
        <v>5806</v>
      </c>
      <c r="C133" s="133" t="str">
        <f>'Expenses Summary'!C84</f>
        <v>Audit Services</v>
      </c>
      <c r="D133" s="60">
        <f>IF('Expenses Summary'!$D84="","",IF('Cash Flow %s Yr1'!D128="","",'Cash Flow %s Yr1'!D128*'Expenses Summary'!$D84))</f>
        <v>0</v>
      </c>
      <c r="E133" s="60">
        <f>IF('Expenses Summary'!$D84="","",IF('Cash Flow %s Yr1'!E128="","",'Cash Flow %s Yr1'!E128*'Expenses Summary'!$D84))</f>
        <v>0</v>
      </c>
      <c r="F133" s="60">
        <f>IF('Expenses Summary'!$D84="","",IF('Cash Flow %s Yr1'!F128="","",'Cash Flow %s Yr1'!F128*'Expenses Summary'!$D84))</f>
        <v>0</v>
      </c>
      <c r="G133" s="60">
        <f>IF('Expenses Summary'!$D84="","",IF('Cash Flow %s Yr1'!G128="","",'Cash Flow %s Yr1'!G128*'Expenses Summary'!$D84))</f>
        <v>0</v>
      </c>
      <c r="H133" s="60">
        <f>IF('Expenses Summary'!$D84="","",IF('Cash Flow %s Yr1'!H128="","",'Cash Flow %s Yr1'!H128*'Expenses Summary'!$D84))</f>
        <v>3000</v>
      </c>
      <c r="I133" s="60">
        <f>IF('Expenses Summary'!$D84="","",IF('Cash Flow %s Yr1'!I128="","",'Cash Flow %s Yr1'!I128*'Expenses Summary'!$D84))</f>
        <v>0</v>
      </c>
      <c r="J133" s="60">
        <f>IF('Expenses Summary'!$D84="","",IF('Cash Flow %s Yr1'!J128="","",'Cash Flow %s Yr1'!J128*'Expenses Summary'!$D84))</f>
        <v>0</v>
      </c>
      <c r="K133" s="60">
        <f>IF('Expenses Summary'!$D84="","",IF('Cash Flow %s Yr1'!K128="","",'Cash Flow %s Yr1'!K128*'Expenses Summary'!$D84))</f>
        <v>0</v>
      </c>
      <c r="L133" s="60">
        <f>IF('Expenses Summary'!$D84="","",IF('Cash Flow %s Yr1'!L128="","",'Cash Flow %s Yr1'!L128*'Expenses Summary'!$D84))</f>
        <v>0</v>
      </c>
      <c r="M133" s="60">
        <f>IF('Expenses Summary'!$D84="","",IF('Cash Flow %s Yr1'!M128="","",'Cash Flow %s Yr1'!M128*'Expenses Summary'!$D84))</f>
        <v>0</v>
      </c>
      <c r="N133" s="60">
        <f>IF('Expenses Summary'!$D84="","",IF('Cash Flow %s Yr1'!N128="","",'Cash Flow %s Yr1'!N128*'Expenses Summary'!$D84))</f>
        <v>3000</v>
      </c>
      <c r="O133" s="60">
        <f>IF('Expenses Summary'!$D84="","",IF('Cash Flow %s Yr1'!O128="","",'Cash Flow %s Yr1'!O128*'Expenses Summary'!$D84))</f>
        <v>0</v>
      </c>
      <c r="P133" s="123"/>
      <c r="Q133" s="123"/>
      <c r="R133" s="123"/>
    </row>
    <row r="134" spans="1:18" s="30" customFormat="1" x14ac:dyDescent="0.3">
      <c r="A134" s="35"/>
      <c r="B134" s="133" t="str">
        <f>'Expenses Summary'!B85</f>
        <v>5810</v>
      </c>
      <c r="C134" s="133" t="str">
        <f>'Expenses Summary'!C85</f>
        <v>Educational Consultants</v>
      </c>
      <c r="D134" s="60">
        <f>IF('Expenses Summary'!$D85="","",IF('Cash Flow %s Yr1'!D129="","",'Cash Flow %s Yr1'!D129*'Expenses Summary'!$D85))</f>
        <v>103.75</v>
      </c>
      <c r="E134" s="60">
        <f>IF('Expenses Summary'!$D85="","",IF('Cash Flow %s Yr1'!E129="","",'Cash Flow %s Yr1'!E129*'Expenses Summary'!$D85))</f>
        <v>103.75</v>
      </c>
      <c r="F134" s="60">
        <f>IF('Expenses Summary'!$D85="","",IF('Cash Flow %s Yr1'!F129="","",'Cash Flow %s Yr1'!F129*'Expenses Summary'!$D85))</f>
        <v>103.75</v>
      </c>
      <c r="G134" s="60">
        <f>IF('Expenses Summary'!$D85="","",IF('Cash Flow %s Yr1'!G129="","",'Cash Flow %s Yr1'!G129*'Expenses Summary'!$D85))</f>
        <v>103.75</v>
      </c>
      <c r="H134" s="60">
        <f>IF('Expenses Summary'!$D85="","",IF('Cash Flow %s Yr1'!H129="","",'Cash Flow %s Yr1'!H129*'Expenses Summary'!$D85))</f>
        <v>103.75</v>
      </c>
      <c r="I134" s="60">
        <f>IF('Expenses Summary'!$D85="","",IF('Cash Flow %s Yr1'!I129="","",'Cash Flow %s Yr1'!I129*'Expenses Summary'!$D85))</f>
        <v>103.75</v>
      </c>
      <c r="J134" s="60">
        <f>IF('Expenses Summary'!$D85="","",IF('Cash Flow %s Yr1'!J129="","",'Cash Flow %s Yr1'!J129*'Expenses Summary'!$D85))</f>
        <v>103.75</v>
      </c>
      <c r="K134" s="60">
        <f>IF('Expenses Summary'!$D85="","",IF('Cash Flow %s Yr1'!K129="","",'Cash Flow %s Yr1'!K129*'Expenses Summary'!$D85))</f>
        <v>103.75</v>
      </c>
      <c r="L134" s="60">
        <f>IF('Expenses Summary'!$D85="","",IF('Cash Flow %s Yr1'!L129="","",'Cash Flow %s Yr1'!L129*'Expenses Summary'!$D85))</f>
        <v>105</v>
      </c>
      <c r="M134" s="60">
        <f>IF('Expenses Summary'!$D85="","",IF('Cash Flow %s Yr1'!M129="","",'Cash Flow %s Yr1'!M129*'Expenses Summary'!$D85))</f>
        <v>105</v>
      </c>
      <c r="N134" s="60">
        <f>IF('Expenses Summary'!$D85="","",IF('Cash Flow %s Yr1'!N129="","",'Cash Flow %s Yr1'!N129*'Expenses Summary'!$D85))</f>
        <v>105</v>
      </c>
      <c r="O134" s="60">
        <f>IF('Expenses Summary'!$D85="","",IF('Cash Flow %s Yr1'!O129="","",'Cash Flow %s Yr1'!O129*'Expenses Summary'!$D85))</f>
        <v>105</v>
      </c>
      <c r="P134" s="123"/>
      <c r="Q134" s="123"/>
      <c r="R134" s="123"/>
    </row>
    <row r="135" spans="1:18" s="30" customFormat="1" x14ac:dyDescent="0.3">
      <c r="A135" s="35"/>
      <c r="B135" s="133" t="str">
        <f>'Expenses Summary'!B86</f>
        <v>5811</v>
      </c>
      <c r="C135" s="133" t="str">
        <f>'Expenses Summary'!C86</f>
        <v>Student Transportation / Events</v>
      </c>
      <c r="D135" s="60">
        <f>IF('Expenses Summary'!$D86="","",IF('Cash Flow %s Yr1'!D130="","",'Cash Flow %s Yr1'!D130*'Expenses Summary'!$D86))</f>
        <v>0</v>
      </c>
      <c r="E135" s="60">
        <f>IF('Expenses Summary'!$D86="","",IF('Cash Flow %s Yr1'!E130="","",'Cash Flow %s Yr1'!E130*'Expenses Summary'!$D86))</f>
        <v>0</v>
      </c>
      <c r="F135" s="60">
        <f>IF('Expenses Summary'!$D86="","",IF('Cash Flow %s Yr1'!F130="","",'Cash Flow %s Yr1'!F130*'Expenses Summary'!$D86))</f>
        <v>2.5</v>
      </c>
      <c r="G135" s="60">
        <f>IF('Expenses Summary'!$D86="","",IF('Cash Flow %s Yr1'!G130="","",'Cash Flow %s Yr1'!G130*'Expenses Summary'!$D86))</f>
        <v>2.5</v>
      </c>
      <c r="H135" s="60">
        <f>IF('Expenses Summary'!$D86="","",IF('Cash Flow %s Yr1'!H130="","",'Cash Flow %s Yr1'!H130*'Expenses Summary'!$D86))</f>
        <v>2.5</v>
      </c>
      <c r="I135" s="60">
        <f>IF('Expenses Summary'!$D86="","",IF('Cash Flow %s Yr1'!I130="","",'Cash Flow %s Yr1'!I130*'Expenses Summary'!$D86))</f>
        <v>2.5</v>
      </c>
      <c r="J135" s="60">
        <f>IF('Expenses Summary'!$D86="","",IF('Cash Flow %s Yr1'!J130="","",'Cash Flow %s Yr1'!J130*'Expenses Summary'!$D86))</f>
        <v>2.5</v>
      </c>
      <c r="K135" s="60">
        <f>IF('Expenses Summary'!$D86="","",IF('Cash Flow %s Yr1'!K130="","",'Cash Flow %s Yr1'!K130*'Expenses Summary'!$D86))</f>
        <v>2.5</v>
      </c>
      <c r="L135" s="60">
        <f>IF('Expenses Summary'!$D86="","",IF('Cash Flow %s Yr1'!L130="","",'Cash Flow %s Yr1'!L130*'Expenses Summary'!$D86))</f>
        <v>2.5</v>
      </c>
      <c r="M135" s="60">
        <f>IF('Expenses Summary'!$D86="","",IF('Cash Flow %s Yr1'!M130="","",'Cash Flow %s Yr1'!M130*'Expenses Summary'!$D86))</f>
        <v>2.5</v>
      </c>
      <c r="N135" s="60">
        <f>IF('Expenses Summary'!$D86="","",IF('Cash Flow %s Yr1'!N130="","",'Cash Flow %s Yr1'!N130*'Expenses Summary'!$D86))</f>
        <v>2.5</v>
      </c>
      <c r="O135" s="60">
        <f>IF('Expenses Summary'!$D86="","",IF('Cash Flow %s Yr1'!O130="","",'Cash Flow %s Yr1'!O130*'Expenses Summary'!$D86))</f>
        <v>2.5</v>
      </c>
      <c r="P135" s="123"/>
      <c r="Q135" s="123"/>
      <c r="R135" s="123"/>
    </row>
    <row r="136" spans="1:18" s="30" customFormat="1" x14ac:dyDescent="0.3">
      <c r="A136" s="35"/>
      <c r="B136" s="133" t="str">
        <f>'Expenses Summary'!B88</f>
        <v>5815</v>
      </c>
      <c r="C136" s="133" t="str">
        <f>'Expenses Summary'!C88</f>
        <v>Advertising / Recruiting</v>
      </c>
      <c r="D136" s="60">
        <f>IF('Expenses Summary'!$D88="","",IF('Cash Flow %s Yr1'!D131="","",'Cash Flow %s Yr1'!D131*'Expenses Summary'!$D88))</f>
        <v>23.248651500000001</v>
      </c>
      <c r="E136" s="60">
        <f>IF('Expenses Summary'!$D88="","",IF('Cash Flow %s Yr1'!E131="","",'Cash Flow %s Yr1'!E131*'Expenses Summary'!$D88))</f>
        <v>23.248651500000001</v>
      </c>
      <c r="F136" s="60">
        <f>IF('Expenses Summary'!$D88="","",IF('Cash Flow %s Yr1'!F131="","",'Cash Flow %s Yr1'!F131*'Expenses Summary'!$D88))</f>
        <v>23.248651500000001</v>
      </c>
      <c r="G136" s="60">
        <f>IF('Expenses Summary'!$D88="","",IF('Cash Flow %s Yr1'!G131="","",'Cash Flow %s Yr1'!G131*'Expenses Summary'!$D88))</f>
        <v>23.248651500000001</v>
      </c>
      <c r="H136" s="60">
        <f>IF('Expenses Summary'!$D88="","",IF('Cash Flow %s Yr1'!H131="","",'Cash Flow %s Yr1'!H131*'Expenses Summary'!$D88))</f>
        <v>23.248651500000001</v>
      </c>
      <c r="I136" s="60">
        <f>IF('Expenses Summary'!$D88="","",IF('Cash Flow %s Yr1'!I131="","",'Cash Flow %s Yr1'!I131*'Expenses Summary'!$D88))</f>
        <v>23.248651500000001</v>
      </c>
      <c r="J136" s="60">
        <f>IF('Expenses Summary'!$D88="","",IF('Cash Flow %s Yr1'!J131="","",'Cash Flow %s Yr1'!J131*'Expenses Summary'!$D88))</f>
        <v>23.248651500000001</v>
      </c>
      <c r="K136" s="60">
        <f>IF('Expenses Summary'!$D88="","",IF('Cash Flow %s Yr1'!K131="","",'Cash Flow %s Yr1'!K131*'Expenses Summary'!$D88))</f>
        <v>23.248651500000001</v>
      </c>
      <c r="L136" s="60">
        <f>IF('Expenses Summary'!$D88="","",IF('Cash Flow %s Yr1'!L131="","",'Cash Flow %s Yr1'!L131*'Expenses Summary'!$D88))</f>
        <v>23.248651500000001</v>
      </c>
      <c r="M136" s="60">
        <f>IF('Expenses Summary'!$D88="","",IF('Cash Flow %s Yr1'!M131="","",'Cash Flow %s Yr1'!M131*'Expenses Summary'!$D88))</f>
        <v>23.248651500000001</v>
      </c>
      <c r="N136" s="60">
        <f>IF('Expenses Summary'!$D88="","",IF('Cash Flow %s Yr1'!N131="","",'Cash Flow %s Yr1'!N131*'Expenses Summary'!$D88))</f>
        <v>23.248651500000001</v>
      </c>
      <c r="O136" s="60">
        <f>IF('Expenses Summary'!$D88="","",IF('Cash Flow %s Yr1'!O131="","",'Cash Flow %s Yr1'!O131*'Expenses Summary'!$D88))</f>
        <v>23.264694000000002</v>
      </c>
      <c r="P136" s="123"/>
      <c r="Q136" s="123"/>
      <c r="R136" s="123"/>
    </row>
    <row r="137" spans="1:18" s="30" customFormat="1" x14ac:dyDescent="0.3">
      <c r="A137" s="35"/>
      <c r="B137" s="133" t="str">
        <f>'Expenses Summary'!B89</f>
        <v>5820</v>
      </c>
      <c r="C137" s="133" t="str">
        <f>'Expenses Summary'!C89</f>
        <v>Fundraising Expense</v>
      </c>
      <c r="D137" s="60">
        <f>IF('Expenses Summary'!$D89="","",IF('Cash Flow %s Yr1'!D132="","",'Cash Flow %s Yr1'!D132*'Expenses Summary'!$D89))</f>
        <v>0</v>
      </c>
      <c r="E137" s="60">
        <f>IF('Expenses Summary'!$D89="","",IF('Cash Flow %s Yr1'!E132="","",'Cash Flow %s Yr1'!E132*'Expenses Summary'!$D89))</f>
        <v>0</v>
      </c>
      <c r="F137" s="60">
        <f>IF('Expenses Summary'!$D89="","",IF('Cash Flow %s Yr1'!F132="","",'Cash Flow %s Yr1'!F132*'Expenses Summary'!$D89))</f>
        <v>0</v>
      </c>
      <c r="G137" s="60">
        <f>IF('Expenses Summary'!$D89="","",IF('Cash Flow %s Yr1'!G132="","",'Cash Flow %s Yr1'!G132*'Expenses Summary'!$D89))</f>
        <v>0</v>
      </c>
      <c r="H137" s="60">
        <f>IF('Expenses Summary'!$D89="","",IF('Cash Flow %s Yr1'!H132="","",'Cash Flow %s Yr1'!H132*'Expenses Summary'!$D89))</f>
        <v>0</v>
      </c>
      <c r="I137" s="60">
        <f>IF('Expenses Summary'!$D89="","",IF('Cash Flow %s Yr1'!I132="","",'Cash Flow %s Yr1'!I132*'Expenses Summary'!$D89))</f>
        <v>0</v>
      </c>
      <c r="J137" s="60">
        <f>IF('Expenses Summary'!$D89="","",IF('Cash Flow %s Yr1'!J132="","",'Cash Flow %s Yr1'!J132*'Expenses Summary'!$D89))</f>
        <v>0</v>
      </c>
      <c r="K137" s="60">
        <f>IF('Expenses Summary'!$D89="","",IF('Cash Flow %s Yr1'!K132="","",'Cash Flow %s Yr1'!K132*'Expenses Summary'!$D89))</f>
        <v>0</v>
      </c>
      <c r="L137" s="60">
        <f>IF('Expenses Summary'!$D89="","",IF('Cash Flow %s Yr1'!L132="","",'Cash Flow %s Yr1'!L132*'Expenses Summary'!$D89))</f>
        <v>0</v>
      </c>
      <c r="M137" s="60">
        <f>IF('Expenses Summary'!$D89="","",IF('Cash Flow %s Yr1'!M132="","",'Cash Flow %s Yr1'!M132*'Expenses Summary'!$D89))</f>
        <v>0</v>
      </c>
      <c r="N137" s="60">
        <f>IF('Expenses Summary'!$D89="","",IF('Cash Flow %s Yr1'!N132="","",'Cash Flow %s Yr1'!N132*'Expenses Summary'!$D89))</f>
        <v>0</v>
      </c>
      <c r="O137" s="60">
        <f>IF('Expenses Summary'!$D89="","",IF('Cash Flow %s Yr1'!O132="","",'Cash Flow %s Yr1'!O132*'Expenses Summary'!$D89))</f>
        <v>0</v>
      </c>
      <c r="P137" s="123"/>
      <c r="Q137" s="123"/>
      <c r="R137" s="123"/>
    </row>
    <row r="138" spans="1:18" s="30" customFormat="1" x14ac:dyDescent="0.3">
      <c r="A138" s="35"/>
      <c r="B138" s="133" t="str">
        <f>'Expenses Summary'!B91</f>
        <v>5836</v>
      </c>
      <c r="C138" s="133" t="str">
        <f>'Expenses Summary'!C91</f>
        <v>Transportation Services</v>
      </c>
      <c r="D138" s="60">
        <f>IF('Expenses Summary'!$D91="","",IF('Cash Flow %s Yr1'!D133="","",'Cash Flow %s Yr1'!D133*'Expenses Summary'!$D91))</f>
        <v>0</v>
      </c>
      <c r="E138" s="60">
        <f>IF('Expenses Summary'!$D91="","",IF('Cash Flow %s Yr1'!E133="","",'Cash Flow %s Yr1'!E133*'Expenses Summary'!$D91))</f>
        <v>0</v>
      </c>
      <c r="F138" s="60">
        <f>IF('Expenses Summary'!$D91="","",IF('Cash Flow %s Yr1'!F133="","",'Cash Flow %s Yr1'!F133*'Expenses Summary'!$D91))</f>
        <v>0</v>
      </c>
      <c r="G138" s="60">
        <f>IF('Expenses Summary'!$D91="","",IF('Cash Flow %s Yr1'!G133="","",'Cash Flow %s Yr1'!G133*'Expenses Summary'!$D91))</f>
        <v>0</v>
      </c>
      <c r="H138" s="60">
        <f>IF('Expenses Summary'!$D91="","",IF('Cash Flow %s Yr1'!H133="","",'Cash Flow %s Yr1'!H133*'Expenses Summary'!$D91))</f>
        <v>0</v>
      </c>
      <c r="I138" s="60">
        <f>IF('Expenses Summary'!$D91="","",IF('Cash Flow %s Yr1'!I133="","",'Cash Flow %s Yr1'!I133*'Expenses Summary'!$D91))</f>
        <v>0</v>
      </c>
      <c r="J138" s="60">
        <f>IF('Expenses Summary'!$D91="","",IF('Cash Flow %s Yr1'!J133="","",'Cash Flow %s Yr1'!J133*'Expenses Summary'!$D91))</f>
        <v>0</v>
      </c>
      <c r="K138" s="60">
        <f>IF('Expenses Summary'!$D91="","",IF('Cash Flow %s Yr1'!K133="","",'Cash Flow %s Yr1'!K133*'Expenses Summary'!$D91))</f>
        <v>0</v>
      </c>
      <c r="L138" s="60">
        <f>IF('Expenses Summary'!$D91="","",IF('Cash Flow %s Yr1'!L133="","",'Cash Flow %s Yr1'!L133*'Expenses Summary'!$D91))</f>
        <v>0</v>
      </c>
      <c r="M138" s="60">
        <f>IF('Expenses Summary'!$D91="","",IF('Cash Flow %s Yr1'!M133="","",'Cash Flow %s Yr1'!M133*'Expenses Summary'!$D91))</f>
        <v>0</v>
      </c>
      <c r="N138" s="60">
        <f>IF('Expenses Summary'!$D91="","",IF('Cash Flow %s Yr1'!N133="","",'Cash Flow %s Yr1'!N133*'Expenses Summary'!$D91))</f>
        <v>0</v>
      </c>
      <c r="O138" s="60">
        <f>IF('Expenses Summary'!$D91="","",IF('Cash Flow %s Yr1'!O133="","",'Cash Flow %s Yr1'!O133*'Expenses Summary'!$D91))</f>
        <v>0</v>
      </c>
      <c r="P138" s="123"/>
      <c r="Q138" s="123"/>
      <c r="R138" s="123"/>
    </row>
    <row r="139" spans="1:18" s="30" customFormat="1" outlineLevel="1" x14ac:dyDescent="0.3">
      <c r="A139" s="35"/>
      <c r="B139" s="133" t="str">
        <f>'Expenses Summary'!B92</f>
        <v>5842</v>
      </c>
      <c r="C139" s="133" t="str">
        <f>'Expenses Summary'!C92</f>
        <v>Services Student Athletics</v>
      </c>
      <c r="D139" s="60" t="str">
        <f>IF('Expenses Summary'!$D92="","",IF('Cash Flow %s Yr1'!D134="","",'Cash Flow %s Yr1'!D134*'Expenses Summary'!$D92))</f>
        <v/>
      </c>
      <c r="E139" s="60" t="str">
        <f>IF('Expenses Summary'!$D92="","",IF('Cash Flow %s Yr1'!E134="","",'Cash Flow %s Yr1'!E134*'Expenses Summary'!$D92))</f>
        <v/>
      </c>
      <c r="F139" s="60">
        <f>IF('Expenses Summary'!$D92="","",IF('Cash Flow %s Yr1'!F134="","",'Cash Flow %s Yr1'!F134*'Expenses Summary'!$D92))</f>
        <v>0</v>
      </c>
      <c r="G139" s="60">
        <f>IF('Expenses Summary'!$D92="","",IF('Cash Flow %s Yr1'!G134="","",'Cash Flow %s Yr1'!G134*'Expenses Summary'!$D92))</f>
        <v>0</v>
      </c>
      <c r="H139" s="60">
        <f>IF('Expenses Summary'!$D92="","",IF('Cash Flow %s Yr1'!H134="","",'Cash Flow %s Yr1'!H134*'Expenses Summary'!$D92))</f>
        <v>0</v>
      </c>
      <c r="I139" s="60">
        <f>IF('Expenses Summary'!$D92="","",IF('Cash Flow %s Yr1'!I134="","",'Cash Flow %s Yr1'!I134*'Expenses Summary'!$D92))</f>
        <v>0</v>
      </c>
      <c r="J139" s="60">
        <f>IF('Expenses Summary'!$D92="","",IF('Cash Flow %s Yr1'!J134="","",'Cash Flow %s Yr1'!J134*'Expenses Summary'!$D92))</f>
        <v>0</v>
      </c>
      <c r="K139" s="60">
        <f>IF('Expenses Summary'!$D92="","",IF('Cash Flow %s Yr1'!K134="","",'Cash Flow %s Yr1'!K134*'Expenses Summary'!$D92))</f>
        <v>0</v>
      </c>
      <c r="L139" s="60">
        <f>IF('Expenses Summary'!$D92="","",IF('Cash Flow %s Yr1'!L134="","",'Cash Flow %s Yr1'!L134*'Expenses Summary'!$D92))</f>
        <v>0</v>
      </c>
      <c r="M139" s="60">
        <f>IF('Expenses Summary'!$D92="","",IF('Cash Flow %s Yr1'!M134="","",'Cash Flow %s Yr1'!M134*'Expenses Summary'!$D92))</f>
        <v>0</v>
      </c>
      <c r="N139" s="60">
        <f>IF('Expenses Summary'!$D92="","",IF('Cash Flow %s Yr1'!N134="","",'Cash Flow %s Yr1'!N134*'Expenses Summary'!$D92))</f>
        <v>0</v>
      </c>
      <c r="O139" s="60">
        <f>IF('Expenses Summary'!$D92="","",IF('Cash Flow %s Yr1'!O134="","",'Cash Flow %s Yr1'!O134*'Expenses Summary'!$D92))</f>
        <v>0</v>
      </c>
      <c r="P139" s="123"/>
      <c r="Q139" s="123"/>
      <c r="R139" s="123"/>
    </row>
    <row r="140" spans="1:18" s="30" customFormat="1" outlineLevel="1" x14ac:dyDescent="0.3">
      <c r="A140" s="35"/>
      <c r="B140" s="133" t="str">
        <f>'Expenses Summary'!B93</f>
        <v>5850</v>
      </c>
      <c r="C140" s="133" t="str">
        <f>'Expenses Summary'!C93</f>
        <v>Scholarships</v>
      </c>
      <c r="D140" s="60" t="str">
        <f>IF('Expenses Summary'!$D93="","",IF('Cash Flow %s Yr1'!D135="","",'Cash Flow %s Yr1'!D135*'Expenses Summary'!$D93))</f>
        <v/>
      </c>
      <c r="E140" s="60" t="str">
        <f>IF('Expenses Summary'!$D93="","",IF('Cash Flow %s Yr1'!E135="","",'Cash Flow %s Yr1'!E135*'Expenses Summary'!$D93))</f>
        <v/>
      </c>
      <c r="F140" s="60">
        <f>IF('Expenses Summary'!$D93="","",IF('Cash Flow %s Yr1'!F135="","",'Cash Flow %s Yr1'!F135*'Expenses Summary'!$D93))</f>
        <v>0</v>
      </c>
      <c r="G140" s="60">
        <f>IF('Expenses Summary'!$D93="","",IF('Cash Flow %s Yr1'!G135="","",'Cash Flow %s Yr1'!G135*'Expenses Summary'!$D93))</f>
        <v>0</v>
      </c>
      <c r="H140" s="60">
        <f>IF('Expenses Summary'!$D93="","",IF('Cash Flow %s Yr1'!H135="","",'Cash Flow %s Yr1'!H135*'Expenses Summary'!$D93))</f>
        <v>0</v>
      </c>
      <c r="I140" s="60">
        <f>IF('Expenses Summary'!$D93="","",IF('Cash Flow %s Yr1'!I135="","",'Cash Flow %s Yr1'!I135*'Expenses Summary'!$D93))</f>
        <v>0</v>
      </c>
      <c r="J140" s="60">
        <f>IF('Expenses Summary'!$D93="","",IF('Cash Flow %s Yr1'!J135="","",'Cash Flow %s Yr1'!J135*'Expenses Summary'!$D93))</f>
        <v>0</v>
      </c>
      <c r="K140" s="60">
        <f>IF('Expenses Summary'!$D93="","",IF('Cash Flow %s Yr1'!K135="","",'Cash Flow %s Yr1'!K135*'Expenses Summary'!$D93))</f>
        <v>0</v>
      </c>
      <c r="L140" s="60">
        <f>IF('Expenses Summary'!$D93="","",IF('Cash Flow %s Yr1'!L135="","",'Cash Flow %s Yr1'!L135*'Expenses Summary'!$D93))</f>
        <v>0</v>
      </c>
      <c r="M140" s="60">
        <f>IF('Expenses Summary'!$D93="","",IF('Cash Flow %s Yr1'!M135="","",'Cash Flow %s Yr1'!M135*'Expenses Summary'!$D93))</f>
        <v>0</v>
      </c>
      <c r="N140" s="60">
        <f>IF('Expenses Summary'!$D93="","",IF('Cash Flow %s Yr1'!N135="","",'Cash Flow %s Yr1'!N135*'Expenses Summary'!$D93))</f>
        <v>0</v>
      </c>
      <c r="O140" s="60">
        <f>IF('Expenses Summary'!$D93="","",IF('Cash Flow %s Yr1'!O135="","",'Cash Flow %s Yr1'!O135*'Expenses Summary'!$D93))</f>
        <v>0</v>
      </c>
      <c r="P140" s="123"/>
      <c r="Q140" s="123"/>
      <c r="R140" s="123"/>
    </row>
    <row r="141" spans="1:18" s="30" customFormat="1" outlineLevel="1" x14ac:dyDescent="0.3">
      <c r="A141" s="35"/>
      <c r="B141" s="133" t="str">
        <f>'Expenses Summary'!B94</f>
        <v>5873</v>
      </c>
      <c r="C141" s="133" t="str">
        <f>'Expenses Summary'!C94</f>
        <v>Financial Services</v>
      </c>
      <c r="D141" s="60" t="str">
        <f>IF('Expenses Summary'!$D94="","",IF('Cash Flow %s Yr1'!D136="","",'Cash Flow %s Yr1'!D136*'Expenses Summary'!$D94))</f>
        <v/>
      </c>
      <c r="E141" s="60" t="str">
        <f>IF('Expenses Summary'!$D94="","",IF('Cash Flow %s Yr1'!E136="","",'Cash Flow %s Yr1'!E136*'Expenses Summary'!$D94))</f>
        <v/>
      </c>
      <c r="F141" s="60">
        <f>IF('Expenses Summary'!$D94="","",IF('Cash Flow %s Yr1'!F136="","",'Cash Flow %s Yr1'!F136*'Expenses Summary'!$D94))</f>
        <v>4800</v>
      </c>
      <c r="G141" s="60">
        <f>IF('Expenses Summary'!$D94="","",IF('Cash Flow %s Yr1'!G136="","",'Cash Flow %s Yr1'!G136*'Expenses Summary'!$D94))</f>
        <v>4800</v>
      </c>
      <c r="H141" s="60">
        <f>IF('Expenses Summary'!$D94="","",IF('Cash Flow %s Yr1'!H136="","",'Cash Flow %s Yr1'!H136*'Expenses Summary'!$D94))</f>
        <v>4800</v>
      </c>
      <c r="I141" s="60">
        <f>IF('Expenses Summary'!$D94="","",IF('Cash Flow %s Yr1'!I136="","",'Cash Flow %s Yr1'!I136*'Expenses Summary'!$D94))</f>
        <v>4800</v>
      </c>
      <c r="J141" s="60">
        <f>IF('Expenses Summary'!$D94="","",IF('Cash Flow %s Yr1'!J136="","",'Cash Flow %s Yr1'!J136*'Expenses Summary'!$D94))</f>
        <v>4800</v>
      </c>
      <c r="K141" s="60">
        <f>IF('Expenses Summary'!$D94="","",IF('Cash Flow %s Yr1'!K136="","",'Cash Flow %s Yr1'!K136*'Expenses Summary'!$D94))</f>
        <v>4800</v>
      </c>
      <c r="L141" s="60">
        <f>IF('Expenses Summary'!$D94="","",IF('Cash Flow %s Yr1'!L136="","",'Cash Flow %s Yr1'!L136*'Expenses Summary'!$D94))</f>
        <v>4800</v>
      </c>
      <c r="M141" s="60">
        <f>IF('Expenses Summary'!$D94="","",IF('Cash Flow %s Yr1'!M136="","",'Cash Flow %s Yr1'!M136*'Expenses Summary'!$D94))</f>
        <v>4800</v>
      </c>
      <c r="N141" s="60">
        <f>IF('Expenses Summary'!$D94="","",IF('Cash Flow %s Yr1'!N136="","",'Cash Flow %s Yr1'!N136*'Expenses Summary'!$D94))</f>
        <v>4800</v>
      </c>
      <c r="O141" s="60">
        <f>IF('Expenses Summary'!$D94="","",IF('Cash Flow %s Yr1'!O136="","",'Cash Flow %s Yr1'!O136*'Expenses Summary'!$D94))</f>
        <v>4800</v>
      </c>
      <c r="P141" s="123"/>
      <c r="Q141" s="123"/>
      <c r="R141" s="123"/>
    </row>
    <row r="142" spans="1:18" s="30" customFormat="1" outlineLevel="1" x14ac:dyDescent="0.3">
      <c r="A142" s="35"/>
      <c r="B142" s="133" t="str">
        <f>'Expenses Summary'!B96</f>
        <v>5875</v>
      </c>
      <c r="C142" s="133" t="str">
        <f>'Expenses Summary'!C96</f>
        <v>District Oversight Fee</v>
      </c>
      <c r="D142" s="60" t="str">
        <f>IF('Expenses Summary'!$D96="","",IF('Cash Flow %s Yr1'!D137="","",'Cash Flow %s Yr1'!D137*'Expenses Summary'!$D96))</f>
        <v/>
      </c>
      <c r="E142" s="60" t="str">
        <f>IF('Expenses Summary'!$D96="","",IF('Cash Flow %s Yr1'!E137="","",'Cash Flow %s Yr1'!E137*'Expenses Summary'!$D96))</f>
        <v/>
      </c>
      <c r="F142" s="60">
        <f>IF('Expenses Summary'!$D96="","",IF('Cash Flow %s Yr1'!F137="","",'Cash Flow %s Yr1'!F137*'Expenses Summary'!$D96))</f>
        <v>892.30000000000007</v>
      </c>
      <c r="G142" s="60">
        <f>IF('Expenses Summary'!$D96="","",IF('Cash Flow %s Yr1'!G137="","",'Cash Flow %s Yr1'!G137*'Expenses Summary'!$D96))</f>
        <v>892.30000000000007</v>
      </c>
      <c r="H142" s="60">
        <f>IF('Expenses Summary'!$D96="","",IF('Cash Flow %s Yr1'!H137="","",'Cash Flow %s Yr1'!H137*'Expenses Summary'!$D96))</f>
        <v>892.30000000000007</v>
      </c>
      <c r="I142" s="60">
        <f>IF('Expenses Summary'!$D96="","",IF('Cash Flow %s Yr1'!I137="","",'Cash Flow %s Yr1'!I137*'Expenses Summary'!$D96))</f>
        <v>892.30000000000007</v>
      </c>
      <c r="J142" s="60">
        <f>IF('Expenses Summary'!$D96="","",IF('Cash Flow %s Yr1'!J137="","",'Cash Flow %s Yr1'!J137*'Expenses Summary'!$D96))</f>
        <v>892.30000000000007</v>
      </c>
      <c r="K142" s="60">
        <f>IF('Expenses Summary'!$D96="","",IF('Cash Flow %s Yr1'!K137="","",'Cash Flow %s Yr1'!K137*'Expenses Summary'!$D96))</f>
        <v>892.30000000000007</v>
      </c>
      <c r="L142" s="60">
        <f>IF('Expenses Summary'!$D96="","",IF('Cash Flow %s Yr1'!L137="","",'Cash Flow %s Yr1'!L137*'Expenses Summary'!$D96))</f>
        <v>892.30000000000007</v>
      </c>
      <c r="M142" s="60">
        <f>IF('Expenses Summary'!$D96="","",IF('Cash Flow %s Yr1'!M137="","",'Cash Flow %s Yr1'!M137*'Expenses Summary'!$D96))</f>
        <v>892.30000000000007</v>
      </c>
      <c r="N142" s="60">
        <f>IF('Expenses Summary'!$D96="","",IF('Cash Flow %s Yr1'!N137="","",'Cash Flow %s Yr1'!N137*'Expenses Summary'!$D96))</f>
        <v>892.30000000000007</v>
      </c>
      <c r="O142" s="60">
        <f>IF('Expenses Summary'!$D96="","",IF('Cash Flow %s Yr1'!O137="","",'Cash Flow %s Yr1'!O137*'Expenses Summary'!$D96))</f>
        <v>892.30000000000007</v>
      </c>
      <c r="P142" s="123"/>
      <c r="Q142" s="123"/>
      <c r="R142" s="123"/>
    </row>
    <row r="143" spans="1:18" s="30" customFormat="1" outlineLevel="1" x14ac:dyDescent="0.3">
      <c r="A143" s="35"/>
      <c r="B143" s="133" t="str">
        <f>'Expenses Summary'!B97</f>
        <v>5877</v>
      </c>
      <c r="C143" s="133" t="str">
        <f>'Expenses Summary'!C97</f>
        <v>IT Services</v>
      </c>
      <c r="D143" s="60" t="str">
        <f>IF('Expenses Summary'!$D97="","",IF('Cash Flow %s Yr1'!D138="","",'Cash Flow %s Yr1'!D138*'Expenses Summary'!$D97))</f>
        <v/>
      </c>
      <c r="E143" s="60" t="str">
        <f>IF('Expenses Summary'!$D97="","",IF('Cash Flow %s Yr1'!E138="","",'Cash Flow %s Yr1'!E138*'Expenses Summary'!$D97))</f>
        <v/>
      </c>
      <c r="F143" s="60">
        <f>IF('Expenses Summary'!$D97="","",IF('Cash Flow %s Yr1'!F138="","",'Cash Flow %s Yr1'!F138*'Expenses Summary'!$D97))</f>
        <v>69</v>
      </c>
      <c r="G143" s="60">
        <f>IF('Expenses Summary'!$D97="","",IF('Cash Flow %s Yr1'!G138="","",'Cash Flow %s Yr1'!G138*'Expenses Summary'!$D97))</f>
        <v>69</v>
      </c>
      <c r="H143" s="60">
        <f>IF('Expenses Summary'!$D97="","",IF('Cash Flow %s Yr1'!H138="","",'Cash Flow %s Yr1'!H138*'Expenses Summary'!$D97))</f>
        <v>69</v>
      </c>
      <c r="I143" s="60">
        <f>IF('Expenses Summary'!$D97="","",IF('Cash Flow %s Yr1'!I138="","",'Cash Flow %s Yr1'!I138*'Expenses Summary'!$D97))</f>
        <v>69</v>
      </c>
      <c r="J143" s="60">
        <f>IF('Expenses Summary'!$D97="","",IF('Cash Flow %s Yr1'!J138="","",'Cash Flow %s Yr1'!J138*'Expenses Summary'!$D97))</f>
        <v>69</v>
      </c>
      <c r="K143" s="60">
        <f>IF('Expenses Summary'!$D97="","",IF('Cash Flow %s Yr1'!K138="","",'Cash Flow %s Yr1'!K138*'Expenses Summary'!$D97))</f>
        <v>69</v>
      </c>
      <c r="L143" s="60">
        <f>IF('Expenses Summary'!$D97="","",IF('Cash Flow %s Yr1'!L138="","",'Cash Flow %s Yr1'!L138*'Expenses Summary'!$D97))</f>
        <v>69</v>
      </c>
      <c r="M143" s="60">
        <f>IF('Expenses Summary'!$D97="","",IF('Cash Flow %s Yr1'!M138="","",'Cash Flow %s Yr1'!M138*'Expenses Summary'!$D97))</f>
        <v>69</v>
      </c>
      <c r="N143" s="60">
        <f>IF('Expenses Summary'!$D97="","",IF('Cash Flow %s Yr1'!N138="","",'Cash Flow %s Yr1'!N138*'Expenses Summary'!$D97))</f>
        <v>69</v>
      </c>
      <c r="O143" s="60">
        <f>IF('Expenses Summary'!$D97="","",IF('Cash Flow %s Yr1'!O138="","",'Cash Flow %s Yr1'!O138*'Expenses Summary'!$D97))</f>
        <v>69</v>
      </c>
      <c r="P143" s="123"/>
      <c r="Q143" s="123"/>
      <c r="R143" s="123"/>
    </row>
    <row r="144" spans="1:18" s="30" customFormat="1" outlineLevel="1" x14ac:dyDescent="0.3">
      <c r="A144" s="35"/>
      <c r="B144" s="133" t="str">
        <f>'Expenses Summary'!B98</f>
        <v>5885</v>
      </c>
      <c r="C144" s="133" t="str">
        <f>'Expenses Summary'!C98</f>
        <v>Summer School Program</v>
      </c>
      <c r="D144" s="60" t="str">
        <f>IF('Expenses Summary'!$D98="","",IF('Cash Flow %s Yr1'!D139="","",'Cash Flow %s Yr1'!D139*'Expenses Summary'!$D98))</f>
        <v/>
      </c>
      <c r="E144" s="60" t="str">
        <f>IF('Expenses Summary'!$D98="","",IF('Cash Flow %s Yr1'!E139="","",'Cash Flow %s Yr1'!E139*'Expenses Summary'!$D98))</f>
        <v/>
      </c>
      <c r="F144" s="60">
        <f>IF('Expenses Summary'!$D98="","",IF('Cash Flow %s Yr1'!F139="","",'Cash Flow %s Yr1'!F139*'Expenses Summary'!$D98))</f>
        <v>0</v>
      </c>
      <c r="G144" s="60">
        <f>IF('Expenses Summary'!$D98="","",IF('Cash Flow %s Yr1'!G139="","",'Cash Flow %s Yr1'!G139*'Expenses Summary'!$D98))</f>
        <v>0</v>
      </c>
      <c r="H144" s="60">
        <f>IF('Expenses Summary'!$D98="","",IF('Cash Flow %s Yr1'!H139="","",'Cash Flow %s Yr1'!H139*'Expenses Summary'!$D98))</f>
        <v>0</v>
      </c>
      <c r="I144" s="60">
        <f>IF('Expenses Summary'!$D98="","",IF('Cash Flow %s Yr1'!I139="","",'Cash Flow %s Yr1'!I139*'Expenses Summary'!$D98))</f>
        <v>0</v>
      </c>
      <c r="J144" s="60">
        <f>IF('Expenses Summary'!$D98="","",IF('Cash Flow %s Yr1'!J139="","",'Cash Flow %s Yr1'!J139*'Expenses Summary'!$D98))</f>
        <v>0</v>
      </c>
      <c r="K144" s="60">
        <f>IF('Expenses Summary'!$D98="","",IF('Cash Flow %s Yr1'!K139="","",'Cash Flow %s Yr1'!K139*'Expenses Summary'!$D98))</f>
        <v>0</v>
      </c>
      <c r="L144" s="60">
        <f>IF('Expenses Summary'!$D98="","",IF('Cash Flow %s Yr1'!L139="","",'Cash Flow %s Yr1'!L139*'Expenses Summary'!$D98))</f>
        <v>0</v>
      </c>
      <c r="M144" s="60">
        <f>IF('Expenses Summary'!$D98="","",IF('Cash Flow %s Yr1'!M139="","",'Cash Flow %s Yr1'!M139*'Expenses Summary'!$D98))</f>
        <v>0</v>
      </c>
      <c r="N144" s="60">
        <f>IF('Expenses Summary'!$D98="","",IF('Cash Flow %s Yr1'!N139="","",'Cash Flow %s Yr1'!N139*'Expenses Summary'!$D98))</f>
        <v>0</v>
      </c>
      <c r="O144" s="60">
        <f>IF('Expenses Summary'!$D98="","",IF('Cash Flow %s Yr1'!O139="","",'Cash Flow %s Yr1'!O139*'Expenses Summary'!$D98))</f>
        <v>0</v>
      </c>
      <c r="P144" s="123"/>
      <c r="Q144" s="123"/>
      <c r="R144" s="123"/>
    </row>
    <row r="145" spans="1:18" s="30" customFormat="1" outlineLevel="1" x14ac:dyDescent="0.3">
      <c r="A145" s="35"/>
      <c r="B145" s="133" t="str">
        <f>'Expenses Summary'!B99</f>
        <v>5890</v>
      </c>
      <c r="C145" s="133" t="str">
        <f>'Expenses Summary'!C99</f>
        <v>Interest Expense / Misc. Fees</v>
      </c>
      <c r="D145" s="60" t="str">
        <f>IF('Expenses Summary'!$D99="","",IF('Cash Flow %s Yr1'!D140="","",'Cash Flow %s Yr1'!D140*'Expenses Summary'!$D99))</f>
        <v/>
      </c>
      <c r="E145" s="60" t="str">
        <f>IF('Expenses Summary'!$D99="","",IF('Cash Flow %s Yr1'!E140="","",'Cash Flow %s Yr1'!E140*'Expenses Summary'!$D99))</f>
        <v/>
      </c>
      <c r="F145" s="60">
        <f>IF('Expenses Summary'!$D99="","",IF('Cash Flow %s Yr1'!F140="","",'Cash Flow %s Yr1'!F140*'Expenses Summary'!$D99))</f>
        <v>0</v>
      </c>
      <c r="G145" s="60">
        <f>IF('Expenses Summary'!$D99="","",IF('Cash Flow %s Yr1'!G140="","",'Cash Flow %s Yr1'!G140*'Expenses Summary'!$D99))</f>
        <v>0</v>
      </c>
      <c r="H145" s="60">
        <f>IF('Expenses Summary'!$D99="","",IF('Cash Flow %s Yr1'!H140="","",'Cash Flow %s Yr1'!H140*'Expenses Summary'!$D99))</f>
        <v>0</v>
      </c>
      <c r="I145" s="60">
        <f>IF('Expenses Summary'!$D99="","",IF('Cash Flow %s Yr1'!I140="","",'Cash Flow %s Yr1'!I140*'Expenses Summary'!$D99))</f>
        <v>0</v>
      </c>
      <c r="J145" s="60">
        <f>IF('Expenses Summary'!$D99="","",IF('Cash Flow %s Yr1'!J140="","",'Cash Flow %s Yr1'!J140*'Expenses Summary'!$D99))</f>
        <v>0</v>
      </c>
      <c r="K145" s="60">
        <f>IF('Expenses Summary'!$D99="","",IF('Cash Flow %s Yr1'!K140="","",'Cash Flow %s Yr1'!K140*'Expenses Summary'!$D99))</f>
        <v>0</v>
      </c>
      <c r="L145" s="60">
        <f>IF('Expenses Summary'!$D99="","",IF('Cash Flow %s Yr1'!L140="","",'Cash Flow %s Yr1'!L140*'Expenses Summary'!$D99))</f>
        <v>0</v>
      </c>
      <c r="M145" s="60">
        <f>IF('Expenses Summary'!$D99="","",IF('Cash Flow %s Yr1'!M140="","",'Cash Flow %s Yr1'!M140*'Expenses Summary'!$D99))</f>
        <v>0</v>
      </c>
      <c r="N145" s="60">
        <f>IF('Expenses Summary'!$D99="","",IF('Cash Flow %s Yr1'!N140="","",'Cash Flow %s Yr1'!N140*'Expenses Summary'!$D99))</f>
        <v>0</v>
      </c>
      <c r="O145" s="60">
        <f>IF('Expenses Summary'!$D99="","",IF('Cash Flow %s Yr1'!O140="","",'Cash Flow %s Yr1'!O140*'Expenses Summary'!$D99))</f>
        <v>0</v>
      </c>
      <c r="P145" s="123"/>
      <c r="Q145" s="123"/>
      <c r="R145" s="123"/>
    </row>
    <row r="146" spans="1:18" s="30" customFormat="1" outlineLevel="1" x14ac:dyDescent="0.3">
      <c r="A146" s="35"/>
      <c r="B146" s="133" t="str">
        <f>'Expenses Summary'!B100</f>
        <v>5900</v>
      </c>
      <c r="C146" s="133" t="str">
        <f>'Expenses Summary'!C100</f>
        <v>Communications</v>
      </c>
      <c r="D146" s="60" t="str">
        <f>IF('Expenses Summary'!$D100="","",IF('Cash Flow %s Yr1'!D141="","",'Cash Flow %s Yr1'!D141*'Expenses Summary'!$D100))</f>
        <v/>
      </c>
      <c r="E146" s="60" t="str">
        <f>IF('Expenses Summary'!$D100="","",IF('Cash Flow %s Yr1'!E141="","",'Cash Flow %s Yr1'!E141*'Expenses Summary'!$D100))</f>
        <v/>
      </c>
      <c r="F146" s="60">
        <f>IF('Expenses Summary'!$D100="","",IF('Cash Flow %s Yr1'!F141="","",'Cash Flow %s Yr1'!F141*'Expenses Summary'!$D100))</f>
        <v>502</v>
      </c>
      <c r="G146" s="60">
        <f>IF('Expenses Summary'!$D100="","",IF('Cash Flow %s Yr1'!G141="","",'Cash Flow %s Yr1'!G141*'Expenses Summary'!$D100))</f>
        <v>502</v>
      </c>
      <c r="H146" s="60">
        <f>IF('Expenses Summary'!$D100="","",IF('Cash Flow %s Yr1'!H141="","",'Cash Flow %s Yr1'!H141*'Expenses Summary'!$D100))</f>
        <v>502</v>
      </c>
      <c r="I146" s="60">
        <f>IF('Expenses Summary'!$D100="","",IF('Cash Flow %s Yr1'!I141="","",'Cash Flow %s Yr1'!I141*'Expenses Summary'!$D100))</f>
        <v>502</v>
      </c>
      <c r="J146" s="60">
        <f>IF('Expenses Summary'!$D100="","",IF('Cash Flow %s Yr1'!J141="","",'Cash Flow %s Yr1'!J141*'Expenses Summary'!$D100))</f>
        <v>502</v>
      </c>
      <c r="K146" s="60">
        <f>IF('Expenses Summary'!$D100="","",IF('Cash Flow %s Yr1'!K141="","",'Cash Flow %s Yr1'!K141*'Expenses Summary'!$D100))</f>
        <v>502</v>
      </c>
      <c r="L146" s="60">
        <f>IF('Expenses Summary'!$D100="","",IF('Cash Flow %s Yr1'!L141="","",'Cash Flow %s Yr1'!L141*'Expenses Summary'!$D100))</f>
        <v>502</v>
      </c>
      <c r="M146" s="60">
        <f>IF('Expenses Summary'!$D100="","",IF('Cash Flow %s Yr1'!M141="","",'Cash Flow %s Yr1'!M141*'Expenses Summary'!$D100))</f>
        <v>502</v>
      </c>
      <c r="N146" s="60">
        <f>IF('Expenses Summary'!$D100="","",IF('Cash Flow %s Yr1'!N141="","",'Cash Flow %s Yr1'!N141*'Expenses Summary'!$D100))</f>
        <v>502</v>
      </c>
      <c r="O146" s="60">
        <f>IF('Expenses Summary'!$D100="","",IF('Cash Flow %s Yr1'!O141="","",'Cash Flow %s Yr1'!O141*'Expenses Summary'!$D100))</f>
        <v>502</v>
      </c>
      <c r="P146" s="123"/>
      <c r="Q146" s="123"/>
      <c r="R146" s="123"/>
    </row>
    <row r="147" spans="1:18" s="30" customFormat="1" outlineLevel="1" x14ac:dyDescent="0.3">
      <c r="A147" s="35"/>
      <c r="B147" s="133" t="str">
        <f>'Expenses Summary'!B101</f>
        <v>7010</v>
      </c>
      <c r="C147" s="133" t="str">
        <f>'Expenses Summary'!C101</f>
        <v>Special Education Encroachment</v>
      </c>
      <c r="D147" s="60" t="str">
        <f>IF('Expenses Summary'!$D101="","",IF('Cash Flow %s Yr1'!D142="","",'Cash Flow %s Yr1'!D142*'Expenses Summary'!$D101))</f>
        <v/>
      </c>
      <c r="E147" s="60" t="str">
        <f>IF('Expenses Summary'!$D101="","",IF('Cash Flow %s Yr1'!E142="","",'Cash Flow %s Yr1'!E142*'Expenses Summary'!$D101))</f>
        <v/>
      </c>
      <c r="F147" s="60">
        <f>IF('Expenses Summary'!$D101="","",IF('Cash Flow %s Yr1'!F142="","",'Cash Flow %s Yr1'!F142*'Expenses Summary'!$D101))</f>
        <v>9607.2389999999996</v>
      </c>
      <c r="G147" s="60">
        <f>IF('Expenses Summary'!$D101="","",IF('Cash Flow %s Yr1'!G142="","",'Cash Flow %s Yr1'!G142*'Expenses Summary'!$D101))</f>
        <v>9607.2389999999996</v>
      </c>
      <c r="H147" s="60">
        <f>IF('Expenses Summary'!$D101="","",IF('Cash Flow %s Yr1'!H142="","",'Cash Flow %s Yr1'!H142*'Expenses Summary'!$D101))</f>
        <v>9607.2389999999996</v>
      </c>
      <c r="I147" s="60">
        <f>IF('Expenses Summary'!$D101="","",IF('Cash Flow %s Yr1'!I142="","",'Cash Flow %s Yr1'!I142*'Expenses Summary'!$D101))</f>
        <v>9607.2389999999996</v>
      </c>
      <c r="J147" s="60">
        <f>IF('Expenses Summary'!$D101="","",IF('Cash Flow %s Yr1'!J142="","",'Cash Flow %s Yr1'!J142*'Expenses Summary'!$D101))</f>
        <v>9607.2389999999996</v>
      </c>
      <c r="K147" s="60">
        <f>IF('Expenses Summary'!$D101="","",IF('Cash Flow %s Yr1'!K142="","",'Cash Flow %s Yr1'!K142*'Expenses Summary'!$D101))</f>
        <v>9607.2389999999996</v>
      </c>
      <c r="L147" s="60">
        <f>IF('Expenses Summary'!$D101="","",IF('Cash Flow %s Yr1'!L142="","",'Cash Flow %s Yr1'!L142*'Expenses Summary'!$D101))</f>
        <v>9607.2389999999996</v>
      </c>
      <c r="M147" s="60">
        <f>IF('Expenses Summary'!$D101="","",IF('Cash Flow %s Yr1'!M142="","",'Cash Flow %s Yr1'!M142*'Expenses Summary'!$D101))</f>
        <v>9607.2389999999996</v>
      </c>
      <c r="N147" s="60">
        <f>IF('Expenses Summary'!$D101="","",IF('Cash Flow %s Yr1'!N142="","",'Cash Flow %s Yr1'!N142*'Expenses Summary'!$D101))</f>
        <v>9607.2389999999996</v>
      </c>
      <c r="O147" s="60">
        <f>IF('Expenses Summary'!$D101="","",IF('Cash Flow %s Yr1'!O142="","",'Cash Flow %s Yr1'!O142*'Expenses Summary'!$D101))</f>
        <v>9607.2389999999996</v>
      </c>
      <c r="P147" s="123"/>
      <c r="Q147" s="123"/>
      <c r="R147" s="123"/>
    </row>
    <row r="148" spans="1:18" s="30" customFormat="1" hidden="1" outlineLevel="1" x14ac:dyDescent="0.3">
      <c r="A148" s="35"/>
      <c r="B148" s="133" t="e">
        <f>'Expenses Summary'!#REF!</f>
        <v>#REF!</v>
      </c>
      <c r="C148" s="63" t="e">
        <f>'Expenses Summary'!#REF!</f>
        <v>#REF!</v>
      </c>
      <c r="D148" s="60" t="e">
        <f>IF('Expenses Summary'!#REF!="","",IF('Cash Flow %s Yr1'!D143="","",'Cash Flow %s Yr1'!D143*'Expenses Summary'!#REF!))</f>
        <v>#REF!</v>
      </c>
      <c r="E148" s="60" t="e">
        <f>IF('Expenses Summary'!#REF!="","",IF('Cash Flow %s Yr1'!E143="","",'Cash Flow %s Yr1'!E143*'Expenses Summary'!#REF!))</f>
        <v>#REF!</v>
      </c>
      <c r="F148" s="60" t="e">
        <f>IF('Expenses Summary'!#REF!="","",IF('Cash Flow %s Yr1'!F143="","",'Cash Flow %s Yr1'!F143*'Expenses Summary'!#REF!))</f>
        <v>#REF!</v>
      </c>
      <c r="G148" s="60" t="e">
        <f>IF('Expenses Summary'!#REF!="","",IF('Cash Flow %s Yr1'!G143="","",'Cash Flow %s Yr1'!G143*'Expenses Summary'!#REF!))</f>
        <v>#REF!</v>
      </c>
      <c r="H148" s="60" t="e">
        <f>IF('Expenses Summary'!#REF!="","",IF('Cash Flow %s Yr1'!H143="","",'Cash Flow %s Yr1'!H143*'Expenses Summary'!#REF!))</f>
        <v>#REF!</v>
      </c>
      <c r="I148" s="60" t="e">
        <f>IF('Expenses Summary'!#REF!="","",IF('Cash Flow %s Yr1'!I143="","",'Cash Flow %s Yr1'!I143*'Expenses Summary'!#REF!))</f>
        <v>#REF!</v>
      </c>
      <c r="J148" s="60" t="e">
        <f>IF('Expenses Summary'!#REF!="","",IF('Cash Flow %s Yr1'!J143="","",'Cash Flow %s Yr1'!J143*'Expenses Summary'!#REF!))</f>
        <v>#REF!</v>
      </c>
      <c r="K148" s="60" t="e">
        <f>IF('Expenses Summary'!#REF!="","",IF('Cash Flow %s Yr1'!K143="","",'Cash Flow %s Yr1'!K143*'Expenses Summary'!#REF!))</f>
        <v>#REF!</v>
      </c>
      <c r="L148" s="60" t="e">
        <f>IF('Expenses Summary'!#REF!="","",IF('Cash Flow %s Yr1'!L143="","",'Cash Flow %s Yr1'!L143*'Expenses Summary'!#REF!))</f>
        <v>#REF!</v>
      </c>
      <c r="M148" s="60" t="e">
        <f>IF('Expenses Summary'!#REF!="","",IF('Cash Flow %s Yr1'!M143="","",'Cash Flow %s Yr1'!M143*'Expenses Summary'!#REF!))</f>
        <v>#REF!</v>
      </c>
      <c r="N148" s="60" t="e">
        <f>IF('Expenses Summary'!#REF!="","",IF('Cash Flow %s Yr1'!N143="","",'Cash Flow %s Yr1'!N143*'Expenses Summary'!#REF!))</f>
        <v>#REF!</v>
      </c>
      <c r="O148" s="60" t="e">
        <f>IF('Expenses Summary'!#REF!="","",IF('Cash Flow %s Yr1'!O143="","",'Cash Flow %s Yr1'!O143*'Expenses Summary'!#REF!))</f>
        <v>#REF!</v>
      </c>
      <c r="P148" s="123"/>
      <c r="Q148" s="123"/>
      <c r="R148" s="123"/>
    </row>
    <row r="149" spans="1:18" s="30" customFormat="1" x14ac:dyDescent="0.3">
      <c r="A149" s="35"/>
      <c r="B149" s="133" t="str">
        <f>'Expenses Summary'!B102</f>
        <v>5999</v>
      </c>
      <c r="C149" s="133" t="str">
        <f>'Expenses Summary'!C102</f>
        <v>Expense Suspense</v>
      </c>
      <c r="D149" s="60" t="str">
        <f>IF('Expenses Summary'!$D102="","",IF('Cash Flow %s Yr1'!D144="","",'Cash Flow %s Yr1'!D144*'Expenses Summary'!$D102))</f>
        <v/>
      </c>
      <c r="E149" s="60" t="str">
        <f>IF('Expenses Summary'!$D102="","",IF('Cash Flow %s Yr1'!E144="","",'Cash Flow %s Yr1'!E144*'Expenses Summary'!$D102))</f>
        <v/>
      </c>
      <c r="F149" s="60" t="str">
        <f>IF('Expenses Summary'!$D102="","",IF('Cash Flow %s Yr1'!F144="","",'Cash Flow %s Yr1'!F144*'Expenses Summary'!$D102))</f>
        <v/>
      </c>
      <c r="G149" s="60" t="str">
        <f>IF('Expenses Summary'!$D102="","",IF('Cash Flow %s Yr1'!G144="","",'Cash Flow %s Yr1'!G144*'Expenses Summary'!$D102))</f>
        <v/>
      </c>
      <c r="H149" s="60" t="str">
        <f>IF('Expenses Summary'!$D102="","",IF('Cash Flow %s Yr1'!H144="","",'Cash Flow %s Yr1'!H144*'Expenses Summary'!$D102))</f>
        <v/>
      </c>
      <c r="I149" s="60" t="str">
        <f>IF('Expenses Summary'!$D102="","",IF('Cash Flow %s Yr1'!I144="","",'Cash Flow %s Yr1'!I144*'Expenses Summary'!$D102))</f>
        <v/>
      </c>
      <c r="J149" s="60" t="str">
        <f>IF('Expenses Summary'!$D102="","",IF('Cash Flow %s Yr1'!J144="","",'Cash Flow %s Yr1'!J144*'Expenses Summary'!$D102))</f>
        <v/>
      </c>
      <c r="K149" s="60" t="str">
        <f>IF('Expenses Summary'!$D102="","",IF('Cash Flow %s Yr1'!K144="","",'Cash Flow %s Yr1'!K144*'Expenses Summary'!$D102))</f>
        <v/>
      </c>
      <c r="L149" s="60" t="str">
        <f>IF('Expenses Summary'!$D102="","",IF('Cash Flow %s Yr1'!L144="","",'Cash Flow %s Yr1'!L144*'Expenses Summary'!$D102))</f>
        <v/>
      </c>
      <c r="M149" s="60" t="str">
        <f>IF('Expenses Summary'!$D102="","",IF('Cash Flow %s Yr1'!M144="","",'Cash Flow %s Yr1'!M144*'Expenses Summary'!$D102))</f>
        <v/>
      </c>
      <c r="N149" s="60" t="str">
        <f>IF('Expenses Summary'!$D102="","",IF('Cash Flow %s Yr1'!N144="","",'Cash Flow %s Yr1'!N144*'Expenses Summary'!$D102))</f>
        <v/>
      </c>
      <c r="O149" s="60" t="str">
        <f>IF('Expenses Summary'!$D102="","",IF('Cash Flow %s Yr1'!O144="","",'Cash Flow %s Yr1'!O144*'Expenses Summary'!$D102))</f>
        <v/>
      </c>
      <c r="P149" s="123"/>
      <c r="Q149" s="123"/>
      <c r="R149" s="123"/>
    </row>
    <row r="150" spans="1:18" s="30" customFormat="1" x14ac:dyDescent="0.3">
      <c r="A150" s="35"/>
      <c r="B150" s="32" t="s">
        <v>559</v>
      </c>
      <c r="C150" s="33" t="s">
        <v>720</v>
      </c>
      <c r="D150" s="165" t="e">
        <f>IF(SUM(D116:D149)&gt;0,SUM(D116:D149),"")</f>
        <v>#REF!</v>
      </c>
      <c r="E150" s="165" t="e">
        <f t="shared" ref="E150:O150" si="13">IF(SUM(E116:E149)&gt;0,SUM(E116:E149),"")</f>
        <v>#REF!</v>
      </c>
      <c r="F150" s="165" t="e">
        <f t="shared" si="13"/>
        <v>#REF!</v>
      </c>
      <c r="G150" s="165" t="e">
        <f t="shared" si="13"/>
        <v>#REF!</v>
      </c>
      <c r="H150" s="165" t="e">
        <f t="shared" si="13"/>
        <v>#REF!</v>
      </c>
      <c r="I150" s="165" t="e">
        <f t="shared" si="13"/>
        <v>#REF!</v>
      </c>
      <c r="J150" s="165" t="e">
        <f t="shared" si="13"/>
        <v>#REF!</v>
      </c>
      <c r="K150" s="165" t="e">
        <f t="shared" si="13"/>
        <v>#REF!</v>
      </c>
      <c r="L150" s="165" t="e">
        <f t="shared" si="13"/>
        <v>#REF!</v>
      </c>
      <c r="M150" s="165" t="e">
        <f t="shared" si="13"/>
        <v>#REF!</v>
      </c>
      <c r="N150" s="165" t="e">
        <f t="shared" si="13"/>
        <v>#REF!</v>
      </c>
      <c r="O150" s="165" t="e">
        <f t="shared" si="13"/>
        <v>#REF!</v>
      </c>
      <c r="P150" s="102"/>
      <c r="Q150" s="102"/>
      <c r="R150" s="102"/>
    </row>
    <row r="151" spans="1:18" s="30" customFormat="1" x14ac:dyDescent="0.3">
      <c r="A151" s="35"/>
      <c r="B151" s="4"/>
      <c r="C151" s="3"/>
      <c r="D151" s="89"/>
      <c r="E151" s="89"/>
      <c r="F151" s="89"/>
      <c r="G151" s="89"/>
      <c r="H151" s="89"/>
      <c r="I151" s="89"/>
      <c r="J151" s="89"/>
      <c r="K151" s="89"/>
      <c r="L151" s="89"/>
      <c r="M151" s="89"/>
      <c r="N151" s="89"/>
      <c r="O151" s="89"/>
      <c r="P151" s="89"/>
      <c r="Q151" s="89"/>
      <c r="R151" s="89"/>
    </row>
    <row r="152" spans="1:18" s="30" customFormat="1" x14ac:dyDescent="0.3">
      <c r="B152" s="33" t="s">
        <v>722</v>
      </c>
      <c r="C152" s="3"/>
      <c r="D152" s="89"/>
      <c r="E152" s="89"/>
      <c r="F152" s="89"/>
      <c r="G152" s="89"/>
      <c r="H152" s="89"/>
      <c r="I152" s="89"/>
      <c r="J152" s="89"/>
      <c r="K152" s="89"/>
      <c r="L152" s="89"/>
      <c r="M152" s="89"/>
      <c r="N152" s="89"/>
      <c r="O152" s="89"/>
      <c r="P152" s="89"/>
      <c r="Q152" s="89"/>
      <c r="R152" s="89"/>
    </row>
    <row r="153" spans="1:18" s="30" customFormat="1" x14ac:dyDescent="0.3">
      <c r="A153" s="35"/>
      <c r="B153" s="133" t="str">
        <f>'Expenses Summary'!B106</f>
        <v>6900</v>
      </c>
      <c r="C153" s="133" t="str">
        <f>'Expenses Summary'!C106</f>
        <v xml:space="preserve">Depreciation Expense      </v>
      </c>
      <c r="D153" s="60">
        <f>IF('Expenses Summary'!$D106="","",IF('Cash Flow %s Yr1'!D148="","",'Cash Flow %s Yr1'!D148*'Expenses Summary'!$D106))</f>
        <v>0</v>
      </c>
      <c r="E153" s="60">
        <f>IF('Expenses Summary'!$D106="","",IF('Cash Flow %s Yr1'!E148="","",'Cash Flow %s Yr1'!E148*'Expenses Summary'!$D106))</f>
        <v>0</v>
      </c>
      <c r="F153" s="60">
        <f>IF('Expenses Summary'!$D106="","",IF('Cash Flow %s Yr1'!F148="","",'Cash Flow %s Yr1'!F148*'Expenses Summary'!$D106))</f>
        <v>0</v>
      </c>
      <c r="G153" s="60">
        <f>IF('Expenses Summary'!$D106="","",IF('Cash Flow %s Yr1'!G148="","",'Cash Flow %s Yr1'!G148*'Expenses Summary'!$D106))</f>
        <v>0</v>
      </c>
      <c r="H153" s="60">
        <f>IF('Expenses Summary'!$D106="","",IF('Cash Flow %s Yr1'!H148="","",'Cash Flow %s Yr1'!H148*'Expenses Summary'!$D106))</f>
        <v>0</v>
      </c>
      <c r="I153" s="60">
        <f>IF('Expenses Summary'!$D106="","",IF('Cash Flow %s Yr1'!I148="","",'Cash Flow %s Yr1'!I148*'Expenses Summary'!$D106))</f>
        <v>0</v>
      </c>
      <c r="J153" s="60">
        <f>IF('Expenses Summary'!$D106="","",IF('Cash Flow %s Yr1'!J148="","",'Cash Flow %s Yr1'!J148*'Expenses Summary'!$D106))</f>
        <v>0</v>
      </c>
      <c r="K153" s="60">
        <f>IF('Expenses Summary'!$D106="","",IF('Cash Flow %s Yr1'!K148="","",'Cash Flow %s Yr1'!K148*'Expenses Summary'!$D106))</f>
        <v>0</v>
      </c>
      <c r="L153" s="60">
        <f>IF('Expenses Summary'!$D106="","",IF('Cash Flow %s Yr1'!L148="","",'Cash Flow %s Yr1'!L148*'Expenses Summary'!$D106))</f>
        <v>0</v>
      </c>
      <c r="M153" s="60">
        <f>IF('Expenses Summary'!$D106="","",IF('Cash Flow %s Yr1'!M148="","",'Cash Flow %s Yr1'!M148*'Expenses Summary'!$D106))</f>
        <v>0</v>
      </c>
      <c r="N153" s="60">
        <f>IF('Expenses Summary'!$D106="","",IF('Cash Flow %s Yr1'!N148="","",'Cash Flow %s Yr1'!N148*'Expenses Summary'!$D106))</f>
        <v>0</v>
      </c>
      <c r="O153" s="60">
        <f>IF('Expenses Summary'!$D106="","",IF('Cash Flow %s Yr1'!O148="","",'Cash Flow %s Yr1'!O148*'Expenses Summary'!$D106))</f>
        <v>2908.72</v>
      </c>
      <c r="P153" s="123"/>
      <c r="Q153" s="123"/>
      <c r="R153" s="123"/>
    </row>
    <row r="154" spans="1:18" s="30" customFormat="1" x14ac:dyDescent="0.3">
      <c r="A154" s="35"/>
      <c r="B154" s="32" t="s">
        <v>560</v>
      </c>
      <c r="C154" s="33" t="s">
        <v>720</v>
      </c>
      <c r="D154" s="165" t="str">
        <f t="shared" ref="D154:O154" si="14">IF(SUM(D152:D153)&gt;0,SUM(D152:D153),"")</f>
        <v/>
      </c>
      <c r="E154" s="165" t="str">
        <f t="shared" si="14"/>
        <v/>
      </c>
      <c r="F154" s="165" t="str">
        <f t="shared" si="14"/>
        <v/>
      </c>
      <c r="G154" s="165" t="str">
        <f t="shared" si="14"/>
        <v/>
      </c>
      <c r="H154" s="165" t="str">
        <f t="shared" si="14"/>
        <v/>
      </c>
      <c r="I154" s="165" t="str">
        <f t="shared" si="14"/>
        <v/>
      </c>
      <c r="J154" s="165" t="str">
        <f t="shared" si="14"/>
        <v/>
      </c>
      <c r="K154" s="165" t="str">
        <f t="shared" si="14"/>
        <v/>
      </c>
      <c r="L154" s="165" t="str">
        <f t="shared" si="14"/>
        <v/>
      </c>
      <c r="M154" s="165" t="str">
        <f t="shared" si="14"/>
        <v/>
      </c>
      <c r="N154" s="165" t="str">
        <f t="shared" si="14"/>
        <v/>
      </c>
      <c r="O154" s="165">
        <f t="shared" si="14"/>
        <v>2908.72</v>
      </c>
      <c r="P154" s="102"/>
      <c r="Q154" s="102"/>
      <c r="R154" s="102"/>
    </row>
    <row r="155" spans="1:18" s="30" customFormat="1" x14ac:dyDescent="0.3">
      <c r="A155" s="35"/>
      <c r="B155" s="4"/>
      <c r="C155" s="3"/>
      <c r="D155" s="89"/>
      <c r="E155" s="98"/>
      <c r="F155" s="98"/>
      <c r="G155" s="89"/>
      <c r="H155" s="89"/>
      <c r="I155" s="89"/>
      <c r="J155" s="89"/>
      <c r="K155" s="89"/>
      <c r="L155" s="89"/>
      <c r="M155" s="89"/>
      <c r="N155" s="89"/>
      <c r="O155" s="89"/>
      <c r="P155" s="89"/>
      <c r="Q155" s="89"/>
      <c r="R155" s="89"/>
    </row>
    <row r="156" spans="1:18" s="30" customFormat="1" x14ac:dyDescent="0.3">
      <c r="B156" s="33" t="s">
        <v>723</v>
      </c>
      <c r="C156" s="3"/>
      <c r="D156" s="89"/>
      <c r="E156" s="98"/>
      <c r="F156" s="98"/>
      <c r="G156" s="89"/>
      <c r="H156" s="89"/>
      <c r="I156" s="89"/>
      <c r="J156" s="89"/>
      <c r="K156" s="89"/>
      <c r="L156" s="89"/>
      <c r="M156" s="89"/>
      <c r="N156" s="89"/>
      <c r="O156" s="89"/>
      <c r="P156" s="89"/>
      <c r="Q156" s="89"/>
      <c r="R156" s="89"/>
    </row>
    <row r="157" spans="1:18" s="30" customFormat="1" x14ac:dyDescent="0.3">
      <c r="A157" s="35"/>
      <c r="B157" s="133" t="str">
        <f>'Expenses Summary'!B110</f>
        <v>7000</v>
      </c>
      <c r="C157" s="133" t="str">
        <f>'Expenses Summary'!C110</f>
        <v>Miscellaneous Expense</v>
      </c>
      <c r="D157" s="60">
        <f>IF('Expenses Summary'!$D110="","",IF('Cash Flow %s Yr1'!D152="","",'Cash Flow %s Yr1'!D152*'Expenses Summary'!$D110))</f>
        <v>0</v>
      </c>
      <c r="E157" s="60">
        <f>IF('Expenses Summary'!$D110="","",IF('Cash Flow %s Yr1'!E152="","",'Cash Flow %s Yr1'!E152*'Expenses Summary'!$D110))</f>
        <v>0</v>
      </c>
      <c r="F157" s="60">
        <f>IF('Expenses Summary'!$D110="","",IF('Cash Flow %s Yr1'!F152="","",'Cash Flow %s Yr1'!F152*'Expenses Summary'!$D110))</f>
        <v>0</v>
      </c>
      <c r="G157" s="60">
        <f>IF('Expenses Summary'!$D110="","",IF('Cash Flow %s Yr1'!G152="","",'Cash Flow %s Yr1'!G152*'Expenses Summary'!$D110))</f>
        <v>0</v>
      </c>
      <c r="H157" s="60">
        <f>IF('Expenses Summary'!$D110="","",IF('Cash Flow %s Yr1'!H152="","",'Cash Flow %s Yr1'!H152*'Expenses Summary'!$D110))</f>
        <v>0</v>
      </c>
      <c r="I157" s="60">
        <f>IF('Expenses Summary'!$D110="","",IF('Cash Flow %s Yr1'!I152="","",'Cash Flow %s Yr1'!I152*'Expenses Summary'!$D110))</f>
        <v>0</v>
      </c>
      <c r="J157" s="60">
        <f>IF('Expenses Summary'!$D110="","",IF('Cash Flow %s Yr1'!J152="","",'Cash Flow %s Yr1'!J152*'Expenses Summary'!$D110))</f>
        <v>0</v>
      </c>
      <c r="K157" s="60">
        <f>IF('Expenses Summary'!$D110="","",IF('Cash Flow %s Yr1'!K152="","",'Cash Flow %s Yr1'!K152*'Expenses Summary'!$D110))</f>
        <v>0</v>
      </c>
      <c r="L157" s="60">
        <f>IF('Expenses Summary'!$D110="","",IF('Cash Flow %s Yr1'!L152="","",'Cash Flow %s Yr1'!L152*'Expenses Summary'!$D110))</f>
        <v>0</v>
      </c>
      <c r="M157" s="60">
        <f>IF('Expenses Summary'!$D110="","",IF('Cash Flow %s Yr1'!M152="","",'Cash Flow %s Yr1'!M152*'Expenses Summary'!$D110))</f>
        <v>0</v>
      </c>
      <c r="N157" s="60">
        <f>IF('Expenses Summary'!$D110="","",IF('Cash Flow %s Yr1'!N152="","",'Cash Flow %s Yr1'!N152*'Expenses Summary'!$D110))</f>
        <v>0</v>
      </c>
      <c r="O157" s="60">
        <f>IF('Expenses Summary'!$D110="","",IF('Cash Flow %s Yr1'!O152="","",'Cash Flow %s Yr1'!O152*'Expenses Summary'!$D110))</f>
        <v>0</v>
      </c>
      <c r="P157" s="123"/>
      <c r="Q157" s="123"/>
      <c r="R157" s="123"/>
    </row>
    <row r="158" spans="1:18" s="30" customFormat="1" x14ac:dyDescent="0.3">
      <c r="A158" s="35"/>
      <c r="B158" s="133" t="str">
        <f>'Expenses Summary'!B111</f>
        <v>7438</v>
      </c>
      <c r="C158" s="133" t="str">
        <f>'Expenses Summary'!C111</f>
        <v xml:space="preserve">Debt </v>
      </c>
      <c r="D158" s="60">
        <f>IF('Expenses Summary'!$D111="","",IF('Cash Flow %s Yr1'!D154="","",'Cash Flow %s Yr1'!D154*'Expenses Summary'!$D111))</f>
        <v>0</v>
      </c>
      <c r="E158" s="60">
        <f>IF('Expenses Summary'!$D111="","",IF('Cash Flow %s Yr1'!E154="","",'Cash Flow %s Yr1'!E154*'Expenses Summary'!$D111))</f>
        <v>0</v>
      </c>
      <c r="F158" s="60">
        <f>IF('Expenses Summary'!$D111="","",IF('Cash Flow %s Yr1'!F154="","",'Cash Flow %s Yr1'!F154*'Expenses Summary'!$D111))</f>
        <v>0</v>
      </c>
      <c r="G158" s="60">
        <f>IF('Expenses Summary'!$D111="","",IF('Cash Flow %s Yr1'!G154="","",'Cash Flow %s Yr1'!G154*'Expenses Summary'!$D111))</f>
        <v>0</v>
      </c>
      <c r="H158" s="60">
        <f>IF('Expenses Summary'!$D111="","",IF('Cash Flow %s Yr1'!H154="","",'Cash Flow %s Yr1'!H154*'Expenses Summary'!$D111))</f>
        <v>0</v>
      </c>
      <c r="I158" s="60">
        <f>IF('Expenses Summary'!$D111="","",IF('Cash Flow %s Yr1'!I154="","",'Cash Flow %s Yr1'!I154*'Expenses Summary'!$D111))</f>
        <v>0</v>
      </c>
      <c r="J158" s="60">
        <f>IF('Expenses Summary'!$D111="","",IF('Cash Flow %s Yr1'!J154="","",'Cash Flow %s Yr1'!J154*'Expenses Summary'!$D111))</f>
        <v>0</v>
      </c>
      <c r="K158" s="60">
        <f>IF('Expenses Summary'!$D111="","",IF('Cash Flow %s Yr1'!K154="","",'Cash Flow %s Yr1'!K154*'Expenses Summary'!$D111))</f>
        <v>0</v>
      </c>
      <c r="L158" s="60">
        <f>IF('Expenses Summary'!$D111="","",IF('Cash Flow %s Yr1'!L154="","",'Cash Flow %s Yr1'!L154*'Expenses Summary'!$D111))</f>
        <v>0</v>
      </c>
      <c r="M158" s="60">
        <f>IF('Expenses Summary'!$D111="","",IF('Cash Flow %s Yr1'!M154="","",'Cash Flow %s Yr1'!M154*'Expenses Summary'!$D111))</f>
        <v>0</v>
      </c>
      <c r="N158" s="60">
        <f>IF('Expenses Summary'!$D111="","",IF('Cash Flow %s Yr1'!N154="","",'Cash Flow %s Yr1'!N154*'Expenses Summary'!$D111))</f>
        <v>0</v>
      </c>
      <c r="O158" s="60">
        <f>IF('Expenses Summary'!$D111="","",IF('Cash Flow %s Yr1'!O154="","",'Cash Flow %s Yr1'!O154*'Expenses Summary'!$D111))</f>
        <v>0</v>
      </c>
      <c r="P158" s="123"/>
      <c r="Q158" s="123"/>
      <c r="R158" s="123"/>
    </row>
    <row r="159" spans="1:18" s="30" customFormat="1" x14ac:dyDescent="0.3">
      <c r="A159" s="35"/>
      <c r="B159" s="133" t="str">
        <f>'Expenses Summary'!B112</f>
        <v>8910</v>
      </c>
      <c r="C159" s="133" t="str">
        <f>'Expenses Summary'!C112</f>
        <v>Transfer in From LLC</v>
      </c>
      <c r="D159" s="60">
        <f>IF('Expenses Summary'!$D112="","",IF('Cash Flow %s Yr1'!D155="","",'Cash Flow %s Yr1'!D155*'Expenses Summary'!$D112))</f>
        <v>0</v>
      </c>
      <c r="E159" s="60">
        <f>IF('Expenses Summary'!$D112="","",IF('Cash Flow %s Yr1'!E155="","",'Cash Flow %s Yr1'!E155*'Expenses Summary'!$D112))</f>
        <v>0</v>
      </c>
      <c r="F159" s="60">
        <f>IF('Expenses Summary'!$D112="","",IF('Cash Flow %s Yr1'!F155="","",'Cash Flow %s Yr1'!F155*'Expenses Summary'!$D112))</f>
        <v>0</v>
      </c>
      <c r="G159" s="60">
        <f>IF('Expenses Summary'!$D112="","",IF('Cash Flow %s Yr1'!G155="","",'Cash Flow %s Yr1'!G155*'Expenses Summary'!$D112))</f>
        <v>0</v>
      </c>
      <c r="H159" s="60">
        <f>IF('Expenses Summary'!$D112="","",IF('Cash Flow %s Yr1'!H155="","",'Cash Flow %s Yr1'!H155*'Expenses Summary'!$D112))</f>
        <v>0</v>
      </c>
      <c r="I159" s="60">
        <f>IF('Expenses Summary'!$D112="","",IF('Cash Flow %s Yr1'!I155="","",'Cash Flow %s Yr1'!I155*'Expenses Summary'!$D112))</f>
        <v>0</v>
      </c>
      <c r="J159" s="60">
        <f>IF('Expenses Summary'!$D112="","",IF('Cash Flow %s Yr1'!J155="","",'Cash Flow %s Yr1'!J155*'Expenses Summary'!$D112))</f>
        <v>0</v>
      </c>
      <c r="K159" s="60">
        <f>IF('Expenses Summary'!$D112="","",IF('Cash Flow %s Yr1'!K155="","",'Cash Flow %s Yr1'!K155*'Expenses Summary'!$D112))</f>
        <v>0</v>
      </c>
      <c r="L159" s="60">
        <f>IF('Expenses Summary'!$D112="","",IF('Cash Flow %s Yr1'!L155="","",'Cash Flow %s Yr1'!L155*'Expenses Summary'!$D112))</f>
        <v>0</v>
      </c>
      <c r="M159" s="60">
        <f>IF('Expenses Summary'!$D112="","",IF('Cash Flow %s Yr1'!M155="","",'Cash Flow %s Yr1'!M155*'Expenses Summary'!$D112))</f>
        <v>0</v>
      </c>
      <c r="N159" s="60">
        <f>IF('Expenses Summary'!$D112="","",IF('Cash Flow %s Yr1'!N155="","",'Cash Flow %s Yr1'!N155*'Expenses Summary'!$D112))</f>
        <v>0</v>
      </c>
      <c r="O159" s="60">
        <f>IF('Expenses Summary'!$D112="","",IF('Cash Flow %s Yr1'!O155="","",'Cash Flow %s Yr1'!O155*'Expenses Summary'!$D112))</f>
        <v>0</v>
      </c>
      <c r="P159" s="123"/>
      <c r="Q159" s="123"/>
      <c r="R159" s="123"/>
    </row>
    <row r="160" spans="1:18" s="30" customFormat="1" x14ac:dyDescent="0.3">
      <c r="A160" s="35"/>
      <c r="B160" s="32" t="s">
        <v>684</v>
      </c>
      <c r="C160" s="33" t="s">
        <v>724</v>
      </c>
      <c r="D160" s="183" t="str">
        <f t="shared" ref="D160:O160" si="15">IF(SUM(D156:D159)&gt;0,SUM(D156:D159),"")</f>
        <v/>
      </c>
      <c r="E160" s="183" t="str">
        <f t="shared" si="15"/>
        <v/>
      </c>
      <c r="F160" s="183" t="str">
        <f t="shared" si="15"/>
        <v/>
      </c>
      <c r="G160" s="183" t="str">
        <f t="shared" si="15"/>
        <v/>
      </c>
      <c r="H160" s="183" t="str">
        <f t="shared" si="15"/>
        <v/>
      </c>
      <c r="I160" s="183" t="str">
        <f t="shared" si="15"/>
        <v/>
      </c>
      <c r="J160" s="183" t="str">
        <f t="shared" si="15"/>
        <v/>
      </c>
      <c r="K160" s="183" t="str">
        <f t="shared" si="15"/>
        <v/>
      </c>
      <c r="L160" s="183" t="str">
        <f t="shared" si="15"/>
        <v/>
      </c>
      <c r="M160" s="183" t="str">
        <f t="shared" si="15"/>
        <v/>
      </c>
      <c r="N160" s="183" t="str">
        <f t="shared" si="15"/>
        <v/>
      </c>
      <c r="O160" s="183" t="str">
        <f t="shared" si="15"/>
        <v/>
      </c>
      <c r="P160" s="126"/>
      <c r="Q160" s="126"/>
      <c r="R160" s="126"/>
    </row>
    <row r="161" spans="1:18" s="30" customFormat="1" x14ac:dyDescent="0.3">
      <c r="A161" s="33" t="s">
        <v>731</v>
      </c>
      <c r="B161" s="4"/>
      <c r="C161" s="3"/>
      <c r="D161" s="165" t="e">
        <f t="shared" ref="D161:O161" si="16">IF(SUM(D160,D154,D150,D114,D93,D81,D68)&gt;0,SUM(D160,D154,D150,D114,D93,D81,D68),"")</f>
        <v>#REF!</v>
      </c>
      <c r="E161" s="165" t="e">
        <f t="shared" si="16"/>
        <v>#REF!</v>
      </c>
      <c r="F161" s="165" t="e">
        <f t="shared" si="16"/>
        <v>#REF!</v>
      </c>
      <c r="G161" s="165" t="e">
        <f t="shared" si="16"/>
        <v>#REF!</v>
      </c>
      <c r="H161" s="165" t="e">
        <f t="shared" si="16"/>
        <v>#REF!</v>
      </c>
      <c r="I161" s="165" t="e">
        <f t="shared" si="16"/>
        <v>#REF!</v>
      </c>
      <c r="J161" s="165" t="e">
        <f t="shared" si="16"/>
        <v>#REF!</v>
      </c>
      <c r="K161" s="165" t="e">
        <f t="shared" si="16"/>
        <v>#REF!</v>
      </c>
      <c r="L161" s="165" t="e">
        <f t="shared" si="16"/>
        <v>#REF!</v>
      </c>
      <c r="M161" s="165" t="e">
        <f t="shared" si="16"/>
        <v>#REF!</v>
      </c>
      <c r="N161" s="165" t="e">
        <f t="shared" si="16"/>
        <v>#REF!</v>
      </c>
      <c r="O161" s="165" t="e">
        <f t="shared" si="16"/>
        <v>#REF!</v>
      </c>
      <c r="P161" s="89"/>
      <c r="Q161" s="89"/>
      <c r="R161" s="89"/>
    </row>
    <row r="162" spans="1:18" s="30" customFormat="1" x14ac:dyDescent="0.3">
      <c r="A162" s="33"/>
      <c r="B162" s="4"/>
      <c r="C162" s="3"/>
      <c r="D162" s="44"/>
      <c r="E162" s="44"/>
      <c r="F162" s="44"/>
      <c r="G162" s="44"/>
      <c r="H162" s="44"/>
      <c r="I162" s="44"/>
      <c r="J162" s="44"/>
      <c r="K162" s="44"/>
      <c r="L162" s="44"/>
      <c r="M162" s="44"/>
      <c r="N162" s="44"/>
      <c r="O162" s="44"/>
      <c r="P162" s="89"/>
      <c r="Q162" s="89"/>
      <c r="R162" s="89"/>
    </row>
    <row r="163" spans="1:18" s="30" customFormat="1" x14ac:dyDescent="0.3">
      <c r="A163" s="35"/>
      <c r="B163" s="33" t="s">
        <v>818</v>
      </c>
      <c r="C163" s="3"/>
      <c r="D163" s="89"/>
      <c r="E163" s="98"/>
      <c r="F163" s="98"/>
      <c r="G163" s="89"/>
      <c r="H163" s="89"/>
      <c r="I163" s="89"/>
      <c r="J163" s="89"/>
      <c r="K163" s="89"/>
      <c r="L163" s="89"/>
      <c r="M163" s="89"/>
      <c r="N163" s="89"/>
      <c r="O163" s="89"/>
      <c r="P163" s="89"/>
      <c r="Q163" s="89"/>
      <c r="R163" s="89"/>
    </row>
    <row r="164" spans="1:18" s="30" customFormat="1" x14ac:dyDescent="0.3">
      <c r="A164" s="35"/>
      <c r="B164" s="62"/>
      <c r="C164" s="62" t="str">
        <f>'Cash Flow %s Yr1'!C159</f>
        <v>Cash balance at previous year end</v>
      </c>
      <c r="D164" s="60">
        <f>SUM('Cash Flow %s Yr1'!T159)</f>
        <v>0</v>
      </c>
      <c r="E164" s="60">
        <f>'Cash Flow %s Yr1'!E159*'Cash Flow %s Yr1'!$T159</f>
        <v>0</v>
      </c>
      <c r="F164" s="60">
        <f>'Cash Flow %s Yr1'!F159*'Cash Flow %s Yr1'!$T159</f>
        <v>0</v>
      </c>
      <c r="G164" s="60">
        <f>'Cash Flow %s Yr1'!G159*'Cash Flow %s Yr1'!$T159</f>
        <v>0</v>
      </c>
      <c r="H164" s="60">
        <f>'Cash Flow %s Yr1'!H159*'Cash Flow %s Yr1'!$T159</f>
        <v>0</v>
      </c>
      <c r="I164" s="60">
        <f>'Cash Flow %s Yr1'!I159*'Cash Flow %s Yr1'!$T159</f>
        <v>0</v>
      </c>
      <c r="J164" s="60">
        <f>'Cash Flow %s Yr1'!J159*'Cash Flow %s Yr1'!$T159</f>
        <v>0</v>
      </c>
      <c r="K164" s="60">
        <f>'Cash Flow %s Yr1'!K159*'Cash Flow %s Yr1'!$T159</f>
        <v>0</v>
      </c>
      <c r="L164" s="60">
        <f>'Cash Flow %s Yr1'!L159*'Cash Flow %s Yr1'!$T159</f>
        <v>0</v>
      </c>
      <c r="M164" s="60">
        <f>'Cash Flow %s Yr1'!M159*'Cash Flow %s Yr1'!$T159</f>
        <v>0</v>
      </c>
      <c r="N164" s="60">
        <f>'Cash Flow %s Yr1'!N159*'Cash Flow %s Yr1'!$T159</f>
        <v>0</v>
      </c>
      <c r="O164" s="60">
        <f>'Cash Flow %s Yr1'!O159*'Cash Flow %s Yr1'!$T159</f>
        <v>0</v>
      </c>
      <c r="P164" s="97"/>
      <c r="Q164" s="97"/>
      <c r="R164" s="97"/>
    </row>
    <row r="165" spans="1:18" s="30" customFormat="1" x14ac:dyDescent="0.3">
      <c r="A165" s="35"/>
      <c r="B165" s="62"/>
      <c r="C165" s="62" t="str">
        <f>'Cash Flow %s Yr1'!C160</f>
        <v>Accounts Receivable</v>
      </c>
      <c r="D165" s="60">
        <f>SUM('Cash Flow %s Yr1'!T160)</f>
        <v>0</v>
      </c>
      <c r="E165" s="60">
        <f>'Cash Flow %s Yr1'!E160*'Cash Flow %s Yr1'!$T160</f>
        <v>0</v>
      </c>
      <c r="F165" s="60">
        <f>'Cash Flow %s Yr1'!F160*'Cash Flow %s Yr1'!$T160</f>
        <v>0</v>
      </c>
      <c r="G165" s="60">
        <f>'Cash Flow %s Yr1'!G160*'Cash Flow %s Yr1'!$T160</f>
        <v>0</v>
      </c>
      <c r="H165" s="60">
        <f>'Cash Flow %s Yr1'!H160*'Cash Flow %s Yr1'!$T160</f>
        <v>0</v>
      </c>
      <c r="I165" s="60">
        <f>'Cash Flow %s Yr1'!I160*'Cash Flow %s Yr1'!$T160</f>
        <v>0</v>
      </c>
      <c r="J165" s="60">
        <f>'Cash Flow %s Yr1'!J160*'Cash Flow %s Yr1'!$T160</f>
        <v>0</v>
      </c>
      <c r="K165" s="60">
        <f>'Cash Flow %s Yr1'!K160*'Cash Flow %s Yr1'!$T160</f>
        <v>0</v>
      </c>
      <c r="L165" s="60">
        <f>'Cash Flow %s Yr1'!L160*'Cash Flow %s Yr1'!$T160</f>
        <v>0</v>
      </c>
      <c r="M165" s="60">
        <f>'Cash Flow %s Yr1'!M160*'Cash Flow %s Yr1'!$T160</f>
        <v>0</v>
      </c>
      <c r="N165" s="60">
        <f>'Cash Flow %s Yr1'!N160*'Cash Flow %s Yr1'!$T160</f>
        <v>0</v>
      </c>
      <c r="O165" s="60">
        <f>'Cash Flow %s Yr1'!O160*'Cash Flow %s Yr1'!$T160</f>
        <v>0</v>
      </c>
      <c r="P165" s="182">
        <f>P56</f>
        <v>0</v>
      </c>
      <c r="Q165" s="182">
        <f>Q56</f>
        <v>0</v>
      </c>
      <c r="R165" s="182">
        <f>R56</f>
        <v>0</v>
      </c>
    </row>
    <row r="166" spans="1:18" s="30" customFormat="1" x14ac:dyDescent="0.3">
      <c r="A166" s="35"/>
      <c r="B166" s="62"/>
      <c r="C166" s="62" t="str">
        <f>'Cash Flow %s Yr1'!C161</f>
        <v>Accounts Payable</v>
      </c>
      <c r="D166" s="60">
        <f>SUM('Cash Flow %s Yr1'!T161)</f>
        <v>0</v>
      </c>
      <c r="E166" s="60">
        <f>'Cash Flow %s Yr1'!E161*'Cash Flow %s Yr1'!$T161</f>
        <v>0</v>
      </c>
      <c r="F166" s="60">
        <f>'Cash Flow %s Yr1'!F161*'Cash Flow %s Yr1'!$T161</f>
        <v>0</v>
      </c>
      <c r="G166" s="60">
        <f>'Cash Flow %s Yr1'!G161*'Cash Flow %s Yr1'!$T161</f>
        <v>0</v>
      </c>
      <c r="H166" s="60">
        <f>'Cash Flow %s Yr1'!H161*'Cash Flow %s Yr1'!$T161</f>
        <v>0</v>
      </c>
      <c r="I166" s="60">
        <f>'Cash Flow %s Yr1'!I161*'Cash Flow %s Yr1'!$T161</f>
        <v>0</v>
      </c>
      <c r="J166" s="60">
        <f>'Cash Flow %s Yr1'!J161*'Cash Flow %s Yr1'!$T161</f>
        <v>0</v>
      </c>
      <c r="K166" s="60">
        <f>'Cash Flow %s Yr1'!K161*'Cash Flow %s Yr1'!$T161</f>
        <v>0</v>
      </c>
      <c r="L166" s="60">
        <f>'Cash Flow %s Yr1'!L161*'Cash Flow %s Yr1'!$T161</f>
        <v>0</v>
      </c>
      <c r="M166" s="60">
        <f>'Cash Flow %s Yr1'!M161*'Cash Flow %s Yr1'!$T161</f>
        <v>0</v>
      </c>
      <c r="N166" s="60">
        <f>'Cash Flow %s Yr1'!N161*'Cash Flow %s Yr1'!$T161</f>
        <v>0</v>
      </c>
      <c r="O166" s="60">
        <f>'Cash Flow %s Yr1'!O161*'Cash Flow %s Yr1'!$T161</f>
        <v>0</v>
      </c>
      <c r="P166" s="97"/>
      <c r="Q166" s="97"/>
      <c r="R166" s="97"/>
    </row>
    <row r="167" spans="1:18" s="30" customFormat="1" x14ac:dyDescent="0.3">
      <c r="A167" s="35"/>
      <c r="B167" s="62"/>
      <c r="C167" s="62" t="str">
        <f>'Cash Flow %s Yr1'!C162</f>
        <v>Loan Principal Payable</v>
      </c>
      <c r="D167" s="60">
        <f>'Cash Flow %s Yr1'!D162*'Cash Flow %s Yr1'!$T162</f>
        <v>0</v>
      </c>
      <c r="E167" s="60">
        <f>'Cash Flow %s Yr1'!E162*'Cash Flow %s Yr1'!$T162</f>
        <v>0</v>
      </c>
      <c r="F167" s="60">
        <f>'Cash Flow %s Yr1'!F162*'Cash Flow %s Yr1'!$T162</f>
        <v>0</v>
      </c>
      <c r="G167" s="60">
        <f>'Cash Flow %s Yr1'!G162*'Cash Flow %s Yr1'!$T162</f>
        <v>0</v>
      </c>
      <c r="H167" s="60">
        <f>'Cash Flow %s Yr1'!H162*'Cash Flow %s Yr1'!$T162</f>
        <v>0</v>
      </c>
      <c r="I167" s="60">
        <f>'Cash Flow %s Yr1'!I162*'Cash Flow %s Yr1'!$T162</f>
        <v>0</v>
      </c>
      <c r="J167" s="60">
        <f>'Cash Flow %s Yr1'!J162*'Cash Flow %s Yr1'!$T162</f>
        <v>0</v>
      </c>
      <c r="K167" s="60">
        <f>'Cash Flow %s Yr1'!K162*'Cash Flow %s Yr1'!$T162</f>
        <v>0</v>
      </c>
      <c r="L167" s="60">
        <f>'Cash Flow %s Yr1'!L162*'Cash Flow %s Yr1'!$T162</f>
        <v>0</v>
      </c>
      <c r="M167" s="60">
        <f>'Cash Flow %s Yr1'!M162*'Cash Flow %s Yr1'!$T162</f>
        <v>0</v>
      </c>
      <c r="N167" s="60">
        <f>'Cash Flow %s Yr1'!N162*'Cash Flow %s Yr1'!$T162</f>
        <v>0</v>
      </c>
      <c r="O167" s="60">
        <f>'Cash Flow %s Yr1'!O162*'Cash Flow %s Yr1'!$T162</f>
        <v>0</v>
      </c>
      <c r="P167" s="97"/>
      <c r="Q167" s="97"/>
      <c r="R167" s="97"/>
    </row>
    <row r="168" spans="1:18" s="30" customFormat="1" x14ac:dyDescent="0.3">
      <c r="A168" s="35"/>
      <c r="B168" s="118"/>
      <c r="C168" s="33" t="s">
        <v>724</v>
      </c>
      <c r="D168" s="79">
        <f>D164+D165-D166-D167</f>
        <v>0</v>
      </c>
      <c r="E168" s="79">
        <f t="shared" ref="E168:O168" si="17">E164+E165-E166-E167</f>
        <v>0</v>
      </c>
      <c r="F168" s="79">
        <f t="shared" si="17"/>
        <v>0</v>
      </c>
      <c r="G168" s="79">
        <f t="shared" si="17"/>
        <v>0</v>
      </c>
      <c r="H168" s="79">
        <f t="shared" si="17"/>
        <v>0</v>
      </c>
      <c r="I168" s="79">
        <f t="shared" si="17"/>
        <v>0</v>
      </c>
      <c r="J168" s="79">
        <f t="shared" si="17"/>
        <v>0</v>
      </c>
      <c r="K168" s="79">
        <f t="shared" si="17"/>
        <v>0</v>
      </c>
      <c r="L168" s="79">
        <f t="shared" si="17"/>
        <v>0</v>
      </c>
      <c r="M168" s="79">
        <f t="shared" si="17"/>
        <v>0</v>
      </c>
      <c r="N168" s="79">
        <f t="shared" si="17"/>
        <v>0</v>
      </c>
      <c r="O168" s="79">
        <f t="shared" si="17"/>
        <v>0</v>
      </c>
      <c r="P168" s="102"/>
      <c r="Q168" s="102"/>
      <c r="R168" s="102"/>
    </row>
    <row r="169" spans="1:18" s="39" customFormat="1" ht="16.2" thickBot="1" x14ac:dyDescent="0.35">
      <c r="A169" s="35"/>
      <c r="C169" s="1"/>
      <c r="D169" s="89"/>
      <c r="E169" s="89"/>
      <c r="F169" s="89"/>
      <c r="G169" s="89"/>
      <c r="H169" s="89"/>
      <c r="I169" s="89"/>
      <c r="J169" s="89"/>
      <c r="K169" s="89"/>
      <c r="L169" s="89"/>
      <c r="M169" s="89"/>
      <c r="N169" s="89"/>
      <c r="O169" s="89"/>
      <c r="P169" s="89"/>
      <c r="Q169" s="89"/>
      <c r="R169" s="89"/>
    </row>
    <row r="170" spans="1:18" s="39" customFormat="1" ht="16.2" thickBot="1" x14ac:dyDescent="0.35">
      <c r="A170" s="70" t="s">
        <v>825</v>
      </c>
      <c r="B170" s="125"/>
      <c r="C170" s="71"/>
      <c r="D170" s="285" t="e">
        <f>D56-D161</f>
        <v>#REF!</v>
      </c>
      <c r="E170" s="145" t="e">
        <f t="shared" ref="E170:R170" si="18">E56-E161</f>
        <v>#REF!</v>
      </c>
      <c r="F170" s="145" t="e">
        <f t="shared" si="18"/>
        <v>#REF!</v>
      </c>
      <c r="G170" s="145" t="e">
        <f t="shared" si="18"/>
        <v>#REF!</v>
      </c>
      <c r="H170" s="145" t="e">
        <f t="shared" si="18"/>
        <v>#REF!</v>
      </c>
      <c r="I170" s="145" t="e">
        <f t="shared" si="18"/>
        <v>#REF!</v>
      </c>
      <c r="J170" s="145" t="e">
        <f t="shared" si="18"/>
        <v>#REF!</v>
      </c>
      <c r="K170" s="145" t="e">
        <f t="shared" si="18"/>
        <v>#REF!</v>
      </c>
      <c r="L170" s="145" t="e">
        <f t="shared" si="18"/>
        <v>#REF!</v>
      </c>
      <c r="M170" s="145" t="e">
        <f t="shared" si="18"/>
        <v>#REF!</v>
      </c>
      <c r="N170" s="145" t="e">
        <f t="shared" si="18"/>
        <v>#REF!</v>
      </c>
      <c r="O170" s="145" t="e">
        <f t="shared" si="18"/>
        <v>#REF!</v>
      </c>
      <c r="P170" s="145">
        <f t="shared" si="18"/>
        <v>0</v>
      </c>
      <c r="Q170" s="145">
        <f t="shared" si="18"/>
        <v>0</v>
      </c>
      <c r="R170" s="146">
        <f t="shared" si="18"/>
        <v>0</v>
      </c>
    </row>
    <row r="171" spans="1:18" s="39" customFormat="1" ht="16.2" thickBot="1" x14ac:dyDescent="0.35">
      <c r="A171" s="35"/>
      <c r="C171" s="1"/>
      <c r="D171" s="147"/>
      <c r="E171" s="147"/>
      <c r="F171" s="147"/>
      <c r="G171" s="147"/>
      <c r="H171" s="147"/>
      <c r="I171" s="147"/>
      <c r="J171" s="147"/>
      <c r="K171" s="147"/>
      <c r="L171" s="147"/>
      <c r="M171" s="147"/>
      <c r="N171" s="147"/>
      <c r="O171" s="147"/>
      <c r="P171" s="89"/>
      <c r="Q171" s="89"/>
      <c r="R171" s="89"/>
    </row>
    <row r="172" spans="1:18" s="39" customFormat="1" ht="16.2" thickBot="1" x14ac:dyDescent="0.35">
      <c r="A172" s="70" t="s">
        <v>816</v>
      </c>
      <c r="B172" s="125"/>
      <c r="C172" s="71"/>
      <c r="D172" s="145" t="e">
        <f>D168+D170</f>
        <v>#REF!</v>
      </c>
      <c r="E172" s="145" t="e">
        <f t="shared" ref="E172:O172" si="19">E168+E170</f>
        <v>#REF!</v>
      </c>
      <c r="F172" s="145" t="e">
        <f t="shared" si="19"/>
        <v>#REF!</v>
      </c>
      <c r="G172" s="145" t="e">
        <f t="shared" si="19"/>
        <v>#REF!</v>
      </c>
      <c r="H172" s="145" t="e">
        <f t="shared" si="19"/>
        <v>#REF!</v>
      </c>
      <c r="I172" s="145" t="e">
        <f t="shared" si="19"/>
        <v>#REF!</v>
      </c>
      <c r="J172" s="145" t="e">
        <f t="shared" si="19"/>
        <v>#REF!</v>
      </c>
      <c r="K172" s="145" t="e">
        <f t="shared" si="19"/>
        <v>#REF!</v>
      </c>
      <c r="L172" s="145" t="e">
        <f t="shared" si="19"/>
        <v>#REF!</v>
      </c>
      <c r="M172" s="145" t="e">
        <f t="shared" si="19"/>
        <v>#REF!</v>
      </c>
      <c r="N172" s="145" t="e">
        <f t="shared" si="19"/>
        <v>#REF!</v>
      </c>
      <c r="O172" s="146" t="e">
        <f t="shared" si="19"/>
        <v>#REF!</v>
      </c>
      <c r="P172" s="89"/>
      <c r="Q172" s="89"/>
      <c r="R172" s="89"/>
    </row>
    <row r="173" spans="1:18" s="39" customFormat="1" ht="16.2" thickBot="1" x14ac:dyDescent="0.35">
      <c r="A173" s="35"/>
      <c r="C173" s="1"/>
      <c r="D173" s="89"/>
      <c r="E173" s="89"/>
      <c r="F173" s="89"/>
      <c r="G173" s="89"/>
      <c r="H173" s="89"/>
      <c r="I173" s="89"/>
      <c r="J173" s="89"/>
      <c r="K173" s="89"/>
      <c r="L173" s="89"/>
      <c r="M173" s="89"/>
      <c r="N173" s="89"/>
      <c r="O173" s="89"/>
      <c r="P173" s="89"/>
      <c r="Q173" s="89"/>
      <c r="R173" s="89"/>
    </row>
    <row r="174" spans="1:18" s="39" customFormat="1" ht="16.2" thickBot="1" x14ac:dyDescent="0.35">
      <c r="A174" s="70" t="s">
        <v>826</v>
      </c>
      <c r="B174" s="125"/>
      <c r="C174" s="71"/>
      <c r="D174" s="145" t="e">
        <f>D172</f>
        <v>#REF!</v>
      </c>
      <c r="E174" s="145" t="e">
        <f>D174+E172</f>
        <v>#REF!</v>
      </c>
      <c r="F174" s="145" t="e">
        <f t="shared" ref="F174:O174" si="20">E174+F172</f>
        <v>#REF!</v>
      </c>
      <c r="G174" s="145" t="e">
        <f t="shared" si="20"/>
        <v>#REF!</v>
      </c>
      <c r="H174" s="145" t="e">
        <f t="shared" si="20"/>
        <v>#REF!</v>
      </c>
      <c r="I174" s="145" t="e">
        <f t="shared" si="20"/>
        <v>#REF!</v>
      </c>
      <c r="J174" s="145" t="e">
        <f t="shared" si="20"/>
        <v>#REF!</v>
      </c>
      <c r="K174" s="145" t="e">
        <f t="shared" si="20"/>
        <v>#REF!</v>
      </c>
      <c r="L174" s="145" t="e">
        <f t="shared" si="20"/>
        <v>#REF!</v>
      </c>
      <c r="M174" s="145" t="e">
        <f t="shared" si="20"/>
        <v>#REF!</v>
      </c>
      <c r="N174" s="145" t="e">
        <f t="shared" si="20"/>
        <v>#REF!</v>
      </c>
      <c r="O174" s="146" t="e">
        <f t="shared" si="20"/>
        <v>#REF!</v>
      </c>
      <c r="P174" s="89"/>
      <c r="Q174" s="89"/>
      <c r="R174" s="89"/>
    </row>
    <row r="175" spans="1:18" s="39" customFormat="1" x14ac:dyDescent="0.3">
      <c r="A175" s="35"/>
      <c r="C175" s="1"/>
      <c r="D175" s="89"/>
      <c r="E175" s="89"/>
      <c r="F175" s="89"/>
      <c r="G175" s="89"/>
      <c r="H175" s="89"/>
      <c r="I175" s="89"/>
      <c r="J175" s="89"/>
      <c r="K175" s="89"/>
      <c r="L175" s="89"/>
      <c r="M175" s="89"/>
      <c r="N175" s="89"/>
      <c r="O175" s="89"/>
      <c r="P175" s="89"/>
      <c r="Q175" s="89"/>
      <c r="R175" s="89"/>
    </row>
    <row r="176" spans="1:18" s="39" customFormat="1" x14ac:dyDescent="0.3">
      <c r="A176" s="35"/>
      <c r="C176" s="1"/>
      <c r="D176" s="89"/>
      <c r="E176" s="89"/>
      <c r="F176" s="89"/>
      <c r="G176" s="89"/>
      <c r="H176" s="89"/>
      <c r="I176" s="89"/>
      <c r="J176" s="89"/>
      <c r="K176" s="89"/>
      <c r="L176" s="89"/>
      <c r="M176" s="89"/>
      <c r="N176" s="89"/>
      <c r="O176" s="89"/>
      <c r="P176" s="89"/>
      <c r="Q176" s="89"/>
      <c r="R176" s="89"/>
    </row>
    <row r="177" spans="1:18" s="39" customFormat="1" x14ac:dyDescent="0.3">
      <c r="A177" s="35"/>
      <c r="C177" s="1"/>
      <c r="D177" s="89"/>
      <c r="E177" s="89"/>
      <c r="F177" s="89"/>
      <c r="G177" s="89"/>
      <c r="H177" s="89"/>
      <c r="I177" s="89"/>
      <c r="J177" s="89"/>
      <c r="K177" s="89"/>
      <c r="L177" s="89"/>
      <c r="M177" s="89"/>
      <c r="N177" s="89"/>
      <c r="O177" s="89"/>
      <c r="P177" s="89"/>
      <c r="Q177" s="89"/>
      <c r="R177" s="89"/>
    </row>
  </sheetData>
  <printOptions horizontalCentered="1" verticalCentered="1"/>
  <pageMargins left="0.25" right="0.25" top="0.5" bottom="0.5" header="0.25" footer="0.25"/>
  <pageSetup paperSize="5" scale="70" fitToWidth="2" fitToHeight="3" orientation="landscape" r:id="rId1"/>
  <headerFooter alignWithMargins="0">
    <oddHeader>&amp;A</oddHeader>
    <oddFooter>Page &amp;P</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883D4-1718-4555-9D88-5A66DD40AE45}">
  <sheetPr>
    <tabColor theme="9" tint="-0.249977111117893"/>
  </sheetPr>
  <dimension ref="A1:S176"/>
  <sheetViews>
    <sheetView workbookViewId="0">
      <pane xSplit="3" ySplit="6" topLeftCell="F7" activePane="bottomRight" state="frozen"/>
      <selection activeCell="L14" sqref="L14"/>
      <selection pane="topRight" activeCell="L14" sqref="L14"/>
      <selection pane="bottomLeft" activeCell="L14" sqref="L14"/>
      <selection pane="bottomRight" activeCell="D12" sqref="D12:O12"/>
    </sheetView>
  </sheetViews>
  <sheetFormatPr defaultRowHeight="15.6" outlineLevelRow="1" x14ac:dyDescent="0.3"/>
  <cols>
    <col min="1" max="1" width="5.6640625" style="34" customWidth="1"/>
    <col min="2" max="2" width="6.6640625" style="39" customWidth="1"/>
    <col min="3" max="3" width="42.5546875" style="1" customWidth="1"/>
    <col min="4" max="15" width="12.44140625" style="89" customWidth="1"/>
    <col min="16" max="17" width="14" style="89" bestFit="1" customWidth="1"/>
    <col min="18" max="18" width="12.44140625" style="89" hidden="1" customWidth="1"/>
    <col min="19" max="19" width="11.5546875" style="1" bestFit="1" customWidth="1"/>
    <col min="20" max="254" width="9.109375" style="1"/>
    <col min="255" max="255" width="22.88671875" style="1" customWidth="1"/>
    <col min="256" max="510" width="9.109375" style="1"/>
    <col min="511" max="511" width="22.88671875" style="1" customWidth="1"/>
    <col min="512" max="766" width="9.109375" style="1"/>
    <col min="767" max="767" width="22.88671875" style="1" customWidth="1"/>
    <col min="768" max="1022" width="9.109375" style="1"/>
    <col min="1023" max="1023" width="22.88671875" style="1" customWidth="1"/>
    <col min="1024" max="1278" width="9.109375" style="1"/>
    <col min="1279" max="1279" width="22.88671875" style="1" customWidth="1"/>
    <col min="1280" max="1534" width="9.109375" style="1"/>
    <col min="1535" max="1535" width="22.88671875" style="1" customWidth="1"/>
    <col min="1536" max="1790" width="9.109375" style="1"/>
    <col min="1791" max="1791" width="22.88671875" style="1" customWidth="1"/>
    <col min="1792" max="2046" width="9.109375" style="1"/>
    <col min="2047" max="2047" width="22.88671875" style="1" customWidth="1"/>
    <col min="2048" max="2302" width="9.109375" style="1"/>
    <col min="2303" max="2303" width="22.88671875" style="1" customWidth="1"/>
    <col min="2304" max="2558" width="9.109375" style="1"/>
    <col min="2559" max="2559" width="22.88671875" style="1" customWidth="1"/>
    <col min="2560" max="2814" width="9.109375" style="1"/>
    <col min="2815" max="2815" width="22.88671875" style="1" customWidth="1"/>
    <col min="2816" max="3070" width="9.109375" style="1"/>
    <col min="3071" max="3071" width="22.88671875" style="1" customWidth="1"/>
    <col min="3072" max="3326" width="9.109375" style="1"/>
    <col min="3327" max="3327" width="22.88671875" style="1" customWidth="1"/>
    <col min="3328" max="3582" width="9.109375" style="1"/>
    <col min="3583" max="3583" width="22.88671875" style="1" customWidth="1"/>
    <col min="3584" max="3838" width="9.109375" style="1"/>
    <col min="3839" max="3839" width="22.88671875" style="1" customWidth="1"/>
    <col min="3840" max="4094" width="9.109375" style="1"/>
    <col min="4095" max="4095" width="22.88671875" style="1" customWidth="1"/>
    <col min="4096" max="4350" width="9.109375" style="1"/>
    <col min="4351" max="4351" width="22.88671875" style="1" customWidth="1"/>
    <col min="4352" max="4606" width="9.109375" style="1"/>
    <col min="4607" max="4607" width="22.88671875" style="1" customWidth="1"/>
    <col min="4608" max="4862" width="9.109375" style="1"/>
    <col min="4863" max="4863" width="22.88671875" style="1" customWidth="1"/>
    <col min="4864" max="5118" width="9.109375" style="1"/>
    <col min="5119" max="5119" width="22.88671875" style="1" customWidth="1"/>
    <col min="5120" max="5374" width="9.109375" style="1"/>
    <col min="5375" max="5375" width="22.88671875" style="1" customWidth="1"/>
    <col min="5376" max="5630" width="9.109375" style="1"/>
    <col min="5631" max="5631" width="22.88671875" style="1" customWidth="1"/>
    <col min="5632" max="5886" width="9.109375" style="1"/>
    <col min="5887" max="5887" width="22.88671875" style="1" customWidth="1"/>
    <col min="5888" max="6142" width="9.109375" style="1"/>
    <col min="6143" max="6143" width="22.88671875" style="1" customWidth="1"/>
    <col min="6144" max="6398" width="9.109375" style="1"/>
    <col min="6399" max="6399" width="22.88671875" style="1" customWidth="1"/>
    <col min="6400" max="6654" width="9.109375" style="1"/>
    <col min="6655" max="6655" width="22.88671875" style="1" customWidth="1"/>
    <col min="6656" max="6910" width="9.109375" style="1"/>
    <col min="6911" max="6911" width="22.88671875" style="1" customWidth="1"/>
    <col min="6912" max="7166" width="9.109375" style="1"/>
    <col min="7167" max="7167" width="22.88671875" style="1" customWidth="1"/>
    <col min="7168" max="7422" width="9.109375" style="1"/>
    <col min="7423" max="7423" width="22.88671875" style="1" customWidth="1"/>
    <col min="7424" max="7678" width="9.109375" style="1"/>
    <col min="7679" max="7679" width="22.88671875" style="1" customWidth="1"/>
    <col min="7680" max="7934" width="9.109375" style="1"/>
    <col min="7935" max="7935" width="22.88671875" style="1" customWidth="1"/>
    <col min="7936" max="8190" width="9.109375" style="1"/>
    <col min="8191" max="8191" width="22.88671875" style="1" customWidth="1"/>
    <col min="8192" max="8446" width="9.109375" style="1"/>
    <col min="8447" max="8447" width="22.88671875" style="1" customWidth="1"/>
    <col min="8448" max="8702" width="9.109375" style="1"/>
    <col min="8703" max="8703" width="22.88671875" style="1" customWidth="1"/>
    <col min="8704" max="8958" width="9.109375" style="1"/>
    <col min="8959" max="8959" width="22.88671875" style="1" customWidth="1"/>
    <col min="8960" max="9214" width="9.109375" style="1"/>
    <col min="9215" max="9215" width="22.88671875" style="1" customWidth="1"/>
    <col min="9216" max="9470" width="9.109375" style="1"/>
    <col min="9471" max="9471" width="22.88671875" style="1" customWidth="1"/>
    <col min="9472" max="9726" width="9.109375" style="1"/>
    <col min="9727" max="9727" width="22.88671875" style="1" customWidth="1"/>
    <col min="9728" max="9982" width="9.109375" style="1"/>
    <col min="9983" max="9983" width="22.88671875" style="1" customWidth="1"/>
    <col min="9984" max="10238" width="9.109375" style="1"/>
    <col min="10239" max="10239" width="22.88671875" style="1" customWidth="1"/>
    <col min="10240" max="10494" width="9.109375" style="1"/>
    <col min="10495" max="10495" width="22.88671875" style="1" customWidth="1"/>
    <col min="10496" max="10750" width="9.109375" style="1"/>
    <col min="10751" max="10751" width="22.88671875" style="1" customWidth="1"/>
    <col min="10752" max="11006" width="9.109375" style="1"/>
    <col min="11007" max="11007" width="22.88671875" style="1" customWidth="1"/>
    <col min="11008" max="11262" width="9.109375" style="1"/>
    <col min="11263" max="11263" width="22.88671875" style="1" customWidth="1"/>
    <col min="11264" max="11518" width="9.109375" style="1"/>
    <col min="11519" max="11519" width="22.88671875" style="1" customWidth="1"/>
    <col min="11520" max="11774" width="9.109375" style="1"/>
    <col min="11775" max="11775" width="22.88671875" style="1" customWidth="1"/>
    <col min="11776" max="12030" width="9.109375" style="1"/>
    <col min="12031" max="12031" width="22.88671875" style="1" customWidth="1"/>
    <col min="12032" max="12286" width="9.109375" style="1"/>
    <col min="12287" max="12287" width="22.88671875" style="1" customWidth="1"/>
    <col min="12288" max="12542" width="9.109375" style="1"/>
    <col min="12543" max="12543" width="22.88671875" style="1" customWidth="1"/>
    <col min="12544" max="12798" width="9.109375" style="1"/>
    <col min="12799" max="12799" width="22.88671875" style="1" customWidth="1"/>
    <col min="12800" max="13054" width="9.109375" style="1"/>
    <col min="13055" max="13055" width="22.88671875" style="1" customWidth="1"/>
    <col min="13056" max="13310" width="9.109375" style="1"/>
    <col min="13311" max="13311" width="22.88671875" style="1" customWidth="1"/>
    <col min="13312" max="13566" width="9.109375" style="1"/>
    <col min="13567" max="13567" width="22.88671875" style="1" customWidth="1"/>
    <col min="13568" max="13822" width="9.109375" style="1"/>
    <col min="13823" max="13823" width="22.88671875" style="1" customWidth="1"/>
    <col min="13824" max="14078" width="9.109375" style="1"/>
    <col min="14079" max="14079" width="22.88671875" style="1" customWidth="1"/>
    <col min="14080" max="14334" width="9.109375" style="1"/>
    <col min="14335" max="14335" width="22.88671875" style="1" customWidth="1"/>
    <col min="14336" max="14590" width="9.109375" style="1"/>
    <col min="14591" max="14591" width="22.88671875" style="1" customWidth="1"/>
    <col min="14592" max="14846" width="9.109375" style="1"/>
    <col min="14847" max="14847" width="22.88671875" style="1" customWidth="1"/>
    <col min="14848" max="15102" width="9.109375" style="1"/>
    <col min="15103" max="15103" width="22.88671875" style="1" customWidth="1"/>
    <col min="15104" max="15358" width="9.109375" style="1"/>
    <col min="15359" max="15359" width="22.88671875" style="1" customWidth="1"/>
    <col min="15360" max="15614" width="9.109375" style="1"/>
    <col min="15615" max="15615" width="22.88671875" style="1" customWidth="1"/>
    <col min="15616" max="15870" width="9.109375" style="1"/>
    <col min="15871" max="15871" width="22.88671875" style="1" customWidth="1"/>
    <col min="15872" max="16126" width="9.109375" style="1"/>
    <col min="16127" max="16127" width="22.88671875" style="1" customWidth="1"/>
    <col min="16128" max="16384" width="9.109375" style="1"/>
  </cols>
  <sheetData>
    <row r="1" spans="1:19" ht="20.399999999999999" x14ac:dyDescent="0.35">
      <c r="A1" s="21" t="str">
        <f>'Student Info'!$A$1</f>
        <v>Three Rivers - 23-65565-0123737</v>
      </c>
    </row>
    <row r="2" spans="1:19" ht="17.399999999999999" x14ac:dyDescent="0.3">
      <c r="A2" s="20" t="s">
        <v>814</v>
      </c>
    </row>
    <row r="3" spans="1:19" ht="17.399999999999999" x14ac:dyDescent="0.3">
      <c r="A3" s="20" t="s">
        <v>1196</v>
      </c>
    </row>
    <row r="5" spans="1:19" ht="17.399999999999999" x14ac:dyDescent="0.3">
      <c r="A5" s="28"/>
      <c r="B5" s="40"/>
      <c r="C5" s="28"/>
      <c r="D5" s="90"/>
      <c r="E5" s="90"/>
      <c r="F5" s="90"/>
      <c r="G5" s="90"/>
      <c r="H5" s="90"/>
      <c r="I5" s="90"/>
      <c r="J5" s="90"/>
      <c r="K5" s="90"/>
      <c r="L5" s="90"/>
      <c r="M5" s="90"/>
      <c r="N5" s="90"/>
      <c r="O5" s="90"/>
      <c r="P5" s="90"/>
      <c r="Q5" s="90"/>
      <c r="R5" s="90"/>
    </row>
    <row r="6" spans="1:19"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row>
    <row r="7" spans="1:19" ht="17.399999999999999" x14ac:dyDescent="0.3">
      <c r="A7" s="45" t="s">
        <v>789</v>
      </c>
      <c r="B7" s="81"/>
      <c r="D7" s="30"/>
      <c r="F7" s="91"/>
      <c r="G7" s="91"/>
      <c r="H7" s="91"/>
      <c r="I7" s="30"/>
      <c r="J7" s="30"/>
      <c r="K7" s="91"/>
      <c r="L7" s="91"/>
      <c r="M7" s="91"/>
      <c r="N7" s="91"/>
      <c r="O7" s="91"/>
      <c r="P7" s="91"/>
      <c r="Q7" s="91"/>
      <c r="R7" s="91"/>
    </row>
    <row r="8" spans="1:19" ht="17.399999999999999" hidden="1" x14ac:dyDescent="0.3">
      <c r="A8" s="45"/>
      <c r="B8" s="81"/>
      <c r="C8" s="119" t="s">
        <v>815</v>
      </c>
      <c r="D8" s="104"/>
      <c r="F8" s="91"/>
      <c r="G8" s="91"/>
      <c r="H8" s="91"/>
      <c r="I8" s="30"/>
      <c r="J8" s="30"/>
      <c r="K8" s="91"/>
      <c r="L8" s="91"/>
      <c r="M8" s="91"/>
      <c r="N8" s="91"/>
      <c r="O8" s="91"/>
      <c r="P8" s="91"/>
      <c r="Q8" s="91"/>
      <c r="R8" s="91"/>
    </row>
    <row r="9" spans="1:19" ht="17.399999999999999" hidden="1" x14ac:dyDescent="0.3">
      <c r="A9" s="45"/>
      <c r="B9" s="81"/>
      <c r="C9" s="83"/>
      <c r="D9" s="93"/>
      <c r="E9" s="108"/>
      <c r="F9" s="108"/>
      <c r="G9" s="108"/>
      <c r="H9" s="108"/>
      <c r="I9" s="108"/>
      <c r="J9" s="108"/>
      <c r="K9" s="108"/>
      <c r="L9" s="109"/>
      <c r="M9" s="108"/>
      <c r="N9" s="108"/>
      <c r="O9" s="109"/>
      <c r="P9" s="108"/>
      <c r="Q9" s="106"/>
      <c r="R9" s="106"/>
    </row>
    <row r="10" spans="1:19" ht="17.399999999999999" hidden="1" x14ac:dyDescent="0.3">
      <c r="A10" s="45"/>
      <c r="B10" s="81"/>
      <c r="C10" s="83"/>
      <c r="D10" s="93"/>
      <c r="E10" s="110"/>
      <c r="F10" s="110"/>
      <c r="G10" s="108"/>
      <c r="H10" s="110"/>
      <c r="I10" s="110"/>
      <c r="J10" s="108"/>
      <c r="K10" s="110"/>
      <c r="L10" s="109"/>
      <c r="M10" s="111"/>
      <c r="N10" s="111"/>
      <c r="O10" s="111"/>
      <c r="P10" s="112"/>
      <c r="Q10" s="93"/>
      <c r="R10" s="106"/>
    </row>
    <row r="11" spans="1:19" s="30" customFormat="1" ht="17.399999999999999" x14ac:dyDescent="0.3">
      <c r="B11" s="66" t="s">
        <v>1256</v>
      </c>
      <c r="C11" s="47"/>
      <c r="D11" s="92"/>
      <c r="E11" s="92"/>
      <c r="F11" s="92"/>
      <c r="G11" s="92"/>
      <c r="H11" s="92"/>
      <c r="I11" s="92"/>
      <c r="J11" s="92"/>
      <c r="K11" s="92"/>
      <c r="L11" s="92"/>
      <c r="M11" s="92"/>
      <c r="N11" s="92"/>
      <c r="O11" s="92"/>
      <c r="P11" s="92"/>
      <c r="Q11" s="92"/>
      <c r="R11" s="92"/>
    </row>
    <row r="12" spans="1:19" s="30" customFormat="1" x14ac:dyDescent="0.3">
      <c r="A12" s="48"/>
      <c r="B12" s="61">
        <f>'Revenue Input'!B8</f>
        <v>8011</v>
      </c>
      <c r="C12" s="61" t="str">
        <f>'Revenue Input'!C8</f>
        <v>LCFF for all grades; state aid portion</v>
      </c>
      <c r="D12" s="60">
        <f>IF('Revenue Input'!$E8="","",IF('Cash Flow %s Yr1'!D12="","",'Cash Flow %s Yr1'!D12*'Revenue Input'!$E8))</f>
        <v>20178.800000000003</v>
      </c>
      <c r="E12" s="60">
        <f>IF('Revenue Input'!$E8="","",IF('Cash Flow %s Yr1'!E12="","",'Cash Flow %s Yr1'!E12*'Revenue Input'!$E8))</f>
        <v>20178.800000000003</v>
      </c>
      <c r="F12" s="60">
        <f>IF('Revenue Input'!$E8="","",IF('Cash Flow %s Yr1'!F12="","",'Cash Flow %s Yr1'!F12*'Revenue Input'!$E8))</f>
        <v>36321.839999999997</v>
      </c>
      <c r="G12" s="60">
        <f>IF('Revenue Input'!$E8="","",IF('Cash Flow %s Yr1'!G12="","",'Cash Flow %s Yr1'!G12*'Revenue Input'!$E8))</f>
        <v>36321.839999999997</v>
      </c>
      <c r="H12" s="60">
        <f>IF('Revenue Input'!$E8="","",IF('Cash Flow %s Yr1'!H12="","",'Cash Flow %s Yr1'!H12*'Revenue Input'!$E8))</f>
        <v>36321.839999999997</v>
      </c>
      <c r="I12" s="60">
        <f>IF('Revenue Input'!$E8="","",IF('Cash Flow %s Yr1'!I12="","",'Cash Flow %s Yr1'!I12*'Revenue Input'!$E8))</f>
        <v>36321.839999999997</v>
      </c>
      <c r="J12" s="60">
        <f>IF('Revenue Input'!$E8="","",IF('Cash Flow %s Yr1'!J12="","",'Cash Flow %s Yr1'!J12*'Revenue Input'!$E8))</f>
        <v>36321.839999999997</v>
      </c>
      <c r="K12" s="60">
        <f>IF('Revenue Input'!$E8="","",IF('Cash Flow %s Yr1'!K12="","",'Cash Flow %s Yr1'!K12*'Revenue Input'!$E8))</f>
        <v>36321.839999999997</v>
      </c>
      <c r="L12" s="60">
        <f>IF('Revenue Input'!$E8="","",IF('Cash Flow %s Yr1'!L12="","",'Cash Flow %s Yr1'!L12*'Revenue Input'!$E8))</f>
        <v>36321.839999999997</v>
      </c>
      <c r="M12" s="60">
        <f>IF('Revenue Input'!$E8="","",IF('Cash Flow %s Yr1'!M12="","",'Cash Flow %s Yr1'!M12*'Revenue Input'!$E8))</f>
        <v>36321.839999999997</v>
      </c>
      <c r="N12" s="60">
        <f>IF('Revenue Input'!$E8="","",IF('Cash Flow %s Yr1'!N12="","",'Cash Flow %s Yr1'!N12*'Revenue Input'!$E8))</f>
        <v>36321.839999999997</v>
      </c>
      <c r="O12" s="60">
        <f>IF('Revenue Input'!$E8="","",IF('Cash Flow %s Yr1'!O12="","",'Cash Flow %s Yr1'!O12*'Revenue Input'!$E8))</f>
        <v>36321.839999999997</v>
      </c>
      <c r="P12" s="60">
        <f>IF('Revenue Input'!$E8="","",IF('Cash Flow %s Yr1'!P12="","",'Cash Flow %s Yr1'!P12*'Revenue Input'!$E8))</f>
        <v>0</v>
      </c>
      <c r="Q12" s="60">
        <f>IF('Revenue Input'!$E8="","",IF('Cash Flow %s Yr1'!Q12="","",'Cash Flow %s Yr1'!Q12*'Revenue Input'!$E8))</f>
        <v>0</v>
      </c>
      <c r="R12" s="60">
        <f>IF('Revenue Input'!$E8="","",IF('Cash Flow %s Yr1'!R12="","",'Cash Flow %s Yr1'!R12*'Revenue Input'!$E8))</f>
        <v>0</v>
      </c>
      <c r="S12" s="178"/>
    </row>
    <row r="13" spans="1:19" s="30" customFormat="1" x14ac:dyDescent="0.3">
      <c r="A13" s="48"/>
      <c r="B13" s="61">
        <f>'Revenue Input'!B9</f>
        <v>8012</v>
      </c>
      <c r="C13" s="61" t="str">
        <f>'Revenue Input'!C9</f>
        <v>LCFF for all grades; EPA portion</v>
      </c>
      <c r="D13" s="60">
        <f>IF('Revenue Input'!$E9="","",IF('Cash Flow %s Yr1'!D13="","",'Cash Flow %s Yr1'!D13*'Revenue Input'!$E9))</f>
        <v>0</v>
      </c>
      <c r="E13" s="60">
        <f>IF('Revenue Input'!$E9="","",IF('Cash Flow %s Yr1'!E13="","",'Cash Flow %s Yr1'!E13*'Revenue Input'!$E9))</f>
        <v>0</v>
      </c>
      <c r="F13" s="60">
        <f>IF('Revenue Input'!$E9="","",IF('Cash Flow %s Yr1'!F13="","",'Cash Flow %s Yr1'!F13*'Revenue Input'!$E9))</f>
        <v>15488.5</v>
      </c>
      <c r="G13" s="60">
        <f>IF('Revenue Input'!$E9="","",IF('Cash Flow %s Yr1'!G13="","",'Cash Flow %s Yr1'!G13*'Revenue Input'!$E9))</f>
        <v>0</v>
      </c>
      <c r="H13" s="60">
        <f>IF('Revenue Input'!$E9="","",IF('Cash Flow %s Yr1'!H13="","",'Cash Flow %s Yr1'!H13*'Revenue Input'!$E9))</f>
        <v>0</v>
      </c>
      <c r="I13" s="60">
        <f>IF('Revenue Input'!$E9="","",IF('Cash Flow %s Yr1'!I13="","",'Cash Flow %s Yr1'!I13*'Revenue Input'!$E9))</f>
        <v>15488.5</v>
      </c>
      <c r="J13" s="60">
        <f>IF('Revenue Input'!$E9="","",IF('Cash Flow %s Yr1'!J13="","",'Cash Flow %s Yr1'!J13*'Revenue Input'!$E9))</f>
        <v>0</v>
      </c>
      <c r="K13" s="60">
        <f>IF('Revenue Input'!$E9="","",IF('Cash Flow %s Yr1'!K13="","",'Cash Flow %s Yr1'!K13*'Revenue Input'!$E9))</f>
        <v>0</v>
      </c>
      <c r="L13" s="60">
        <f>IF('Revenue Input'!$E9="","",IF('Cash Flow %s Yr1'!L13="","",'Cash Flow %s Yr1'!L13*'Revenue Input'!$E9))</f>
        <v>15488.5</v>
      </c>
      <c r="M13" s="60">
        <f>IF('Revenue Input'!$E9="","",IF('Cash Flow %s Yr1'!M13="","",'Cash Flow %s Yr1'!M13*'Revenue Input'!$E9))</f>
        <v>0</v>
      </c>
      <c r="N13" s="60">
        <f>IF('Revenue Input'!$E9="","",IF('Cash Flow %s Yr1'!N13="","",'Cash Flow %s Yr1'!N13*'Revenue Input'!$E9))</f>
        <v>0</v>
      </c>
      <c r="O13" s="60">
        <f>IF('Revenue Input'!$E9="","",IF('Cash Flow %s Yr1'!O13="","",'Cash Flow %s Yr1'!O13*'Revenue Input'!$E9))</f>
        <v>15488.5</v>
      </c>
      <c r="P13" s="60">
        <f>IF('Revenue Input'!$E9="","",IF('Cash Flow %s Yr1'!P13="","",'Cash Flow %s Yr1'!P13*'Revenue Input'!$E9))</f>
        <v>0</v>
      </c>
      <c r="Q13" s="60">
        <f>IF('Revenue Input'!$E9="","",IF('Cash Flow %s Yr1'!Q13="","",'Cash Flow %s Yr1'!Q13*'Revenue Input'!$E9))</f>
        <v>0</v>
      </c>
      <c r="R13" s="60">
        <f>IF('Revenue Input'!$E9="","",IF('Cash Flow %s Yr1'!R13="","",'Cash Flow %s Yr1'!R13*'Revenue Input'!$E9))</f>
        <v>0</v>
      </c>
    </row>
    <row r="14" spans="1:19" s="30" customFormat="1" x14ac:dyDescent="0.3">
      <c r="A14" s="48"/>
      <c r="B14" s="61">
        <f>'Revenue Input'!B10</f>
        <v>8096</v>
      </c>
      <c r="C14" s="61" t="str">
        <f>'Revenue Input'!C10</f>
        <v>In-Lieu of Property Taxes, all grades</v>
      </c>
      <c r="D14" s="60">
        <f>IF('Revenue Input'!$E10="","",IF('Cash Flow %s Yr1'!D14="","",'Cash Flow %s Yr1'!D14*'Revenue Input'!$E10))</f>
        <v>0</v>
      </c>
      <c r="E14" s="60">
        <f>IF('Revenue Input'!$E10="","",IF('Cash Flow %s Yr1'!E14="","",'Cash Flow %s Yr1'!E14*'Revenue Input'!$E10))</f>
        <v>21756.719999999998</v>
      </c>
      <c r="F14" s="60">
        <f>IF('Revenue Input'!$E10="","",IF('Cash Flow %s Yr1'!F14="","",'Cash Flow %s Yr1'!F14*'Revenue Input'!$E10))</f>
        <v>43513.439999999995</v>
      </c>
      <c r="G14" s="60">
        <f>IF('Revenue Input'!$E10="","",IF('Cash Flow %s Yr1'!G14="","",'Cash Flow %s Yr1'!G14*'Revenue Input'!$E10))</f>
        <v>29008.959999999999</v>
      </c>
      <c r="H14" s="60">
        <f>IF('Revenue Input'!$E10="","",IF('Cash Flow %s Yr1'!H14="","",'Cash Flow %s Yr1'!H14*'Revenue Input'!$E10))</f>
        <v>29008.959999999999</v>
      </c>
      <c r="I14" s="60">
        <f>IF('Revenue Input'!$E10="","",IF('Cash Flow %s Yr1'!I14="","",'Cash Flow %s Yr1'!I14*'Revenue Input'!$E10))</f>
        <v>29008.959999999999</v>
      </c>
      <c r="J14" s="60">
        <f>IF('Revenue Input'!$E10="","",IF('Cash Flow %s Yr1'!J14="","",'Cash Flow %s Yr1'!J14*'Revenue Input'!$E10))</f>
        <v>29008.959999999999</v>
      </c>
      <c r="K14" s="60">
        <f>IF('Revenue Input'!$E10="","",IF('Cash Flow %s Yr1'!K14="","",'Cash Flow %s Yr1'!K14*'Revenue Input'!$E10))</f>
        <v>29008.959999999999</v>
      </c>
      <c r="L14" s="60">
        <f>IF('Revenue Input'!$E10="","",IF('Cash Flow %s Yr1'!L14="","",'Cash Flow %s Yr1'!L14*'Revenue Input'!$E10))</f>
        <v>50765.680000000008</v>
      </c>
      <c r="M14" s="60">
        <f>IF('Revenue Input'!$E10="","",IF('Cash Flow %s Yr1'!M14="","",'Cash Flow %s Yr1'!M14*'Revenue Input'!$E10))</f>
        <v>25382.840000000004</v>
      </c>
      <c r="N14" s="60">
        <f>IF('Revenue Input'!$E10="","",IF('Cash Flow %s Yr1'!N14="","",'Cash Flow %s Yr1'!N14*'Revenue Input'!$E10))</f>
        <v>25382.840000000004</v>
      </c>
      <c r="O14" s="60">
        <f>IF('Revenue Input'!$E10="","",IF('Cash Flow %s Yr1'!O14="","",'Cash Flow %s Yr1'!O14*'Revenue Input'!$E10))</f>
        <v>50765.680000000008</v>
      </c>
      <c r="P14" s="60">
        <f>IF('Revenue Input'!$E10="","",IF('Cash Flow %s Yr1'!P14="","",'Cash Flow %s Yr1'!P14*'Revenue Input'!$E10))</f>
        <v>0</v>
      </c>
      <c r="Q14" s="60">
        <f>IF('Revenue Input'!$E10="","",IF('Cash Flow %s Yr1'!Q14="","",'Cash Flow %s Yr1'!Q14*'Revenue Input'!$E10))</f>
        <v>0</v>
      </c>
      <c r="R14" s="60">
        <f>IF('Revenue Input'!$E10="","",IF('Cash Flow %s Yr1'!R14="","",'Cash Flow %s Yr1'!R14*'Revenue Input'!$E10))</f>
        <v>0</v>
      </c>
    </row>
    <row r="15" spans="1:19" s="30" customFormat="1" x14ac:dyDescent="0.3">
      <c r="A15" s="48"/>
      <c r="B15" s="61">
        <f>'Revenue Input'!B11</f>
        <v>8019</v>
      </c>
      <c r="C15" s="61" t="str">
        <f>'Revenue Input'!C11</f>
        <v>Prior Year Income / Adjustments</v>
      </c>
      <c r="D15" s="60" t="str">
        <f>IF('Revenue Input'!$E11="","",IF('Cash Flow %s Yr1'!D15="","",'Cash Flow %s Yr1'!D15*'Revenue Input'!$E11))</f>
        <v/>
      </c>
      <c r="E15" s="60" t="str">
        <f>IF('Revenue Input'!$E11="","",IF('Cash Flow %s Yr1'!E15="","",'Cash Flow %s Yr1'!E15*'Revenue Input'!$E11))</f>
        <v/>
      </c>
      <c r="F15" s="60" t="str">
        <f>IF('Revenue Input'!$E11="","",IF('Cash Flow %s Yr1'!F15="","",'Cash Flow %s Yr1'!F15*'Revenue Input'!$E11))</f>
        <v/>
      </c>
      <c r="G15" s="60" t="str">
        <f>IF('Revenue Input'!$E11="","",IF('Cash Flow %s Yr1'!G15="","",'Cash Flow %s Yr1'!G15*'Revenue Input'!$E11))</f>
        <v/>
      </c>
      <c r="H15" s="60" t="str">
        <f>IF('Revenue Input'!$E11="","",IF('Cash Flow %s Yr1'!H15="","",'Cash Flow %s Yr1'!H15*'Revenue Input'!$E11))</f>
        <v/>
      </c>
      <c r="I15" s="60" t="str">
        <f>IF('Revenue Input'!$E11="","",IF('Cash Flow %s Yr1'!I15="","",'Cash Flow %s Yr1'!I15*'Revenue Input'!$E11))</f>
        <v/>
      </c>
      <c r="J15" s="60" t="str">
        <f>IF('Revenue Input'!$E11="","",IF('Cash Flow %s Yr1'!J15="","",'Cash Flow %s Yr1'!J15*'Revenue Input'!$E11))</f>
        <v/>
      </c>
      <c r="K15" s="60" t="str">
        <f>IF('Revenue Input'!$E11="","",IF('Cash Flow %s Yr1'!K15="","",'Cash Flow %s Yr1'!K15*'Revenue Input'!$E11))</f>
        <v/>
      </c>
      <c r="L15" s="60" t="str">
        <f>IF('Revenue Input'!$E11="","",IF('Cash Flow %s Yr1'!L15="","",'Cash Flow %s Yr1'!L15*'Revenue Input'!$E11))</f>
        <v/>
      </c>
      <c r="M15" s="60" t="str">
        <f>IF('Revenue Input'!$E11="","",IF('Cash Flow %s Yr1'!M15="","",'Cash Flow %s Yr1'!M15*'Revenue Input'!$E11))</f>
        <v/>
      </c>
      <c r="N15" s="60" t="str">
        <f>IF('Revenue Input'!$E11="","",IF('Cash Flow %s Yr1'!N15="","",'Cash Flow %s Yr1'!N15*'Revenue Input'!$E11))</f>
        <v/>
      </c>
      <c r="O15" s="60" t="str">
        <f>IF('Revenue Input'!$E11="","",IF('Cash Flow %s Yr1'!O15="","",'Cash Flow %s Yr1'!O15*'Revenue Input'!$E11))</f>
        <v/>
      </c>
      <c r="P15" s="60" t="str">
        <f>IF('Revenue Input'!$E11="","",IF('Cash Flow %s Yr1'!P15="","",'Cash Flow %s Yr1'!P15*'Revenue Input'!$E11))</f>
        <v/>
      </c>
      <c r="Q15" s="60" t="str">
        <f>IF('Revenue Input'!$E11="","",IF('Cash Flow %s Yr1'!Q15="","",'Cash Flow %s Yr1'!Q15*'Revenue Input'!$E11))</f>
        <v/>
      </c>
      <c r="R15" s="60" t="str">
        <f>IF('Revenue Input'!$E11="","",IF('Cash Flow %s Yr1'!R15="","",'Cash Flow %s Yr1'!R15*'Revenue Input'!$E11))</f>
        <v/>
      </c>
    </row>
    <row r="16" spans="1:19" s="30" customFormat="1" x14ac:dyDescent="0.3">
      <c r="A16" s="48"/>
      <c r="B16" s="61"/>
      <c r="C16" s="61"/>
      <c r="D16" s="60"/>
      <c r="E16" s="60"/>
      <c r="F16" s="60"/>
      <c r="G16" s="60"/>
      <c r="H16" s="60"/>
      <c r="I16" s="60"/>
      <c r="J16" s="60"/>
      <c r="K16" s="60"/>
      <c r="L16" s="60"/>
      <c r="M16" s="60"/>
      <c r="N16" s="60"/>
      <c r="O16" s="60"/>
      <c r="P16" s="60"/>
      <c r="Q16" s="60"/>
      <c r="R16" s="60"/>
    </row>
    <row r="17" spans="1:18" s="67" customFormat="1" x14ac:dyDescent="0.3">
      <c r="A17" s="48"/>
      <c r="B17" s="68"/>
      <c r="C17" s="68"/>
      <c r="D17" s="79"/>
      <c r="E17" s="79"/>
      <c r="F17" s="79"/>
      <c r="G17" s="79"/>
      <c r="H17" s="79"/>
      <c r="I17" s="79"/>
      <c r="J17" s="79"/>
      <c r="K17" s="79"/>
      <c r="L17" s="79"/>
      <c r="M17" s="79"/>
      <c r="N17" s="79"/>
      <c r="O17" s="79"/>
      <c r="P17" s="79"/>
      <c r="Q17" s="79"/>
      <c r="R17" s="79"/>
    </row>
    <row r="18" spans="1:18" s="67" customFormat="1" ht="17.399999999999999" x14ac:dyDescent="0.3">
      <c r="A18" s="48"/>
      <c r="B18" s="66" t="s">
        <v>1242</v>
      </c>
      <c r="C18" s="68"/>
      <c r="D18" s="79"/>
      <c r="E18" s="79"/>
      <c r="F18" s="79"/>
      <c r="G18" s="79"/>
      <c r="H18" s="79"/>
      <c r="I18" s="79"/>
      <c r="J18" s="79"/>
      <c r="K18" s="79"/>
      <c r="L18" s="79"/>
      <c r="M18" s="79"/>
      <c r="N18" s="79"/>
      <c r="O18" s="79"/>
      <c r="P18" s="79"/>
      <c r="Q18" s="79"/>
      <c r="R18" s="79"/>
    </row>
    <row r="19" spans="1:18" s="30" customFormat="1" x14ac:dyDescent="0.3">
      <c r="A19" s="48"/>
      <c r="B19" s="61">
        <f>+'Revenue Input'!B30</f>
        <v>8520</v>
      </c>
      <c r="C19" s="61" t="str">
        <f>+'Revenue Input'!C30</f>
        <v>State Child Nutrition Program</v>
      </c>
      <c r="D19" s="60" t="str">
        <f>IF('Revenue Input'!$E30="","",IF('Cash Flow %s Yr1'!D17="","",'Cash Flow %s Yr1'!D17*'Revenue Input'!$E30))</f>
        <v/>
      </c>
      <c r="E19" s="60" t="str">
        <f>IF('Revenue Input'!$E30="","",IF('Cash Flow %s Yr1'!E17="","",'Cash Flow %s Yr1'!E17*'Revenue Input'!$E30))</f>
        <v/>
      </c>
      <c r="F19" s="60" t="str">
        <f>IF('Revenue Input'!$E30="","",IF('Cash Flow %s Yr1'!F17="","",'Cash Flow %s Yr1'!F17*'Revenue Input'!$E30))</f>
        <v/>
      </c>
      <c r="G19" s="60" t="str">
        <f>IF('Revenue Input'!$E30="","",IF('Cash Flow %s Yr1'!G17="","",'Cash Flow %s Yr1'!G17*'Revenue Input'!$E30))</f>
        <v/>
      </c>
      <c r="H19" s="60" t="str">
        <f>IF('Revenue Input'!$E30="","",IF('Cash Flow %s Yr1'!H17="","",'Cash Flow %s Yr1'!H17*'Revenue Input'!$E30))</f>
        <v/>
      </c>
      <c r="I19" s="60" t="str">
        <f>IF('Revenue Input'!$E30="","",IF('Cash Flow %s Yr1'!I17="","",'Cash Flow %s Yr1'!I17*'Revenue Input'!$E30))</f>
        <v/>
      </c>
      <c r="J19" s="60" t="str">
        <f>IF('Revenue Input'!$E30="","",IF('Cash Flow %s Yr1'!J17="","",'Cash Flow %s Yr1'!J17*'Revenue Input'!$E30))</f>
        <v/>
      </c>
      <c r="K19" s="60" t="str">
        <f>IF('Revenue Input'!$E30="","",IF('Cash Flow %s Yr1'!K17="","",'Cash Flow %s Yr1'!K17*'Revenue Input'!$E30))</f>
        <v/>
      </c>
      <c r="L19" s="60" t="str">
        <f>IF('Revenue Input'!$E30="","",IF('Cash Flow %s Yr1'!L17="","",'Cash Flow %s Yr1'!L17*'Revenue Input'!$E30))</f>
        <v/>
      </c>
      <c r="M19" s="60" t="str">
        <f>IF('Revenue Input'!$E30="","",IF('Cash Flow %s Yr1'!M17="","",'Cash Flow %s Yr1'!M17*'Revenue Input'!$E30))</f>
        <v/>
      </c>
      <c r="N19" s="60" t="str">
        <f>IF('Revenue Input'!$E30="","",IF('Cash Flow %s Yr1'!N17="","",'Cash Flow %s Yr1'!N17*'Revenue Input'!$E30))</f>
        <v/>
      </c>
      <c r="O19" s="60" t="str">
        <f>IF('Revenue Input'!$E30="","",IF('Cash Flow %s Yr1'!O17="","",'Cash Flow %s Yr1'!O17*'Revenue Input'!$E30))</f>
        <v/>
      </c>
      <c r="P19" s="60" t="str">
        <f>IF('Revenue Input'!$E30="","",IF('Cash Flow %s Yr1'!P17="","",'Cash Flow %s Yr1'!P17*'Revenue Input'!$E30))</f>
        <v/>
      </c>
      <c r="Q19" s="60" t="str">
        <f>IF('Revenue Input'!$E30="","",IF('Cash Flow %s Yr1'!Q17="","",'Cash Flow %s Yr1'!Q17*'Revenue Input'!$E30))</f>
        <v/>
      </c>
      <c r="R19" s="60" t="str">
        <f>IF('Revenue Input'!$E30="","",IF('Cash Flow %s Yr1'!R17="","",'Cash Flow %s Yr1'!R17*'Revenue Input'!$E30))</f>
        <v/>
      </c>
    </row>
    <row r="20" spans="1:18" s="30" customFormat="1" x14ac:dyDescent="0.3">
      <c r="A20" s="47"/>
      <c r="B20" s="61">
        <f>+'Revenue Input'!B31</f>
        <v>8550</v>
      </c>
      <c r="C20" s="61" t="str">
        <f>+'Revenue Input'!C31</f>
        <v>Mandate Block Grant</v>
      </c>
      <c r="D20" s="60">
        <f>IF('Revenue Input'!$E31="","",IF('Cash Flow %s Yr1'!D18="","",'Cash Flow %s Yr1'!D18*'Revenue Input'!$E31))</f>
        <v>0</v>
      </c>
      <c r="E20" s="60">
        <f>IF('Revenue Input'!$E31="","",IF('Cash Flow %s Yr1'!E18="","",'Cash Flow %s Yr1'!E18*'Revenue Input'!$E31))</f>
        <v>0</v>
      </c>
      <c r="F20" s="60">
        <f>IF('Revenue Input'!$E31="","",IF('Cash Flow %s Yr1'!F18="","",'Cash Flow %s Yr1'!F18*'Revenue Input'!$E31))</f>
        <v>0</v>
      </c>
      <c r="G20" s="60">
        <f>IF('Revenue Input'!$E31="","",IF('Cash Flow %s Yr1'!G18="","",'Cash Flow %s Yr1'!G18*'Revenue Input'!$E31))</f>
        <v>0</v>
      </c>
      <c r="H20" s="60">
        <f>IF('Revenue Input'!$E31="","",IF('Cash Flow %s Yr1'!H18="","",'Cash Flow %s Yr1'!H18*'Revenue Input'!$E31))</f>
        <v>370.50734999999997</v>
      </c>
      <c r="I20" s="60">
        <f>IF('Revenue Input'!$E31="","",IF('Cash Flow %s Yr1'!I18="","",'Cash Flow %s Yr1'!I18*'Revenue Input'!$E31))</f>
        <v>370.50734999999997</v>
      </c>
      <c r="J20" s="60">
        <f>IF('Revenue Input'!$E31="","",IF('Cash Flow %s Yr1'!J18="","",'Cash Flow %s Yr1'!J18*'Revenue Input'!$E31))</f>
        <v>370.50734999999997</v>
      </c>
      <c r="K20" s="60">
        <f>IF('Revenue Input'!$E31="","",IF('Cash Flow %s Yr1'!K18="","",'Cash Flow %s Yr1'!K18*'Revenue Input'!$E31))</f>
        <v>370.50734999999997</v>
      </c>
      <c r="L20" s="60">
        <f>IF('Revenue Input'!$E31="","",IF('Cash Flow %s Yr1'!L18="","",'Cash Flow %s Yr1'!L18*'Revenue Input'!$E31))</f>
        <v>370.50734999999997</v>
      </c>
      <c r="M20" s="60">
        <f>IF('Revenue Input'!$E31="","",IF('Cash Flow %s Yr1'!M18="","",'Cash Flow %s Yr1'!M18*'Revenue Input'!$E31))</f>
        <v>370.50734999999997</v>
      </c>
      <c r="N20" s="60">
        <f>IF('Revenue Input'!$E31="","",IF('Cash Flow %s Yr1'!N18="","",'Cash Flow %s Yr1'!N18*'Revenue Input'!$E31))</f>
        <v>370.50734999999997</v>
      </c>
      <c r="O20" s="60">
        <f>IF('Revenue Input'!$E31="","",IF('Cash Flow %s Yr1'!O18="","",'Cash Flow %s Yr1'!O18*'Revenue Input'!$E31))</f>
        <v>1111.5220499999998</v>
      </c>
      <c r="P20" s="60">
        <f>IF('Revenue Input'!$E31="","",IF('Cash Flow %s Yr1'!P18="","",'Cash Flow %s Yr1'!P18*'Revenue Input'!$E31))</f>
        <v>0</v>
      </c>
      <c r="Q20" s="60">
        <f>IF('Revenue Input'!$E31="","",IF('Cash Flow %s Yr1'!Q18="","",'Cash Flow %s Yr1'!Q18*'Revenue Input'!$E31))</f>
        <v>0</v>
      </c>
      <c r="R20" s="60">
        <f>IF('Revenue Input'!$E31="","",IF('Cash Flow %s Yr1'!R18="","",'Cash Flow %s Yr1'!R18*'Revenue Input'!$E31))</f>
        <v>0</v>
      </c>
    </row>
    <row r="21" spans="1:18" s="30" customFormat="1" x14ac:dyDescent="0.3">
      <c r="A21" s="48"/>
      <c r="B21" s="61">
        <f>+'Revenue Input'!B32</f>
        <v>8560</v>
      </c>
      <c r="C21" s="61" t="str">
        <f>+'Revenue Input'!C32</f>
        <v>Lottery</v>
      </c>
      <c r="D21" s="60">
        <f>IF('Revenue Input'!$E32="","",IF('Cash Flow %s Yr1'!D19="","",'Cash Flow %s Yr1'!D19*'Revenue Input'!$E32))</f>
        <v>0</v>
      </c>
      <c r="E21" s="60">
        <f>IF('Revenue Input'!$E32="","",IF('Cash Flow %s Yr1'!E19="","",'Cash Flow %s Yr1'!E19*'Revenue Input'!$E32))</f>
        <v>0</v>
      </c>
      <c r="F21" s="60">
        <f>IF('Revenue Input'!$E32="","",IF('Cash Flow %s Yr1'!F19="","",'Cash Flow %s Yr1'!F19*'Revenue Input'!$E32))</f>
        <v>0</v>
      </c>
      <c r="G21" s="60">
        <f>IF('Revenue Input'!$E32="","",IF('Cash Flow %s Yr1'!G19="","",'Cash Flow %s Yr1'!G19*'Revenue Input'!$E32))</f>
        <v>0</v>
      </c>
      <c r="H21" s="60">
        <f>IF('Revenue Input'!$E32="","",IF('Cash Flow %s Yr1'!H19="","",'Cash Flow %s Yr1'!H19*'Revenue Input'!$E32))</f>
        <v>3221.2874999999999</v>
      </c>
      <c r="I21" s="60">
        <f>IF('Revenue Input'!$E32="","",IF('Cash Flow %s Yr1'!I19="","",'Cash Flow %s Yr1'!I19*'Revenue Input'!$E32))</f>
        <v>0</v>
      </c>
      <c r="J21" s="60">
        <f>IF('Revenue Input'!$E32="","",IF('Cash Flow %s Yr1'!J19="","",'Cash Flow %s Yr1'!J19*'Revenue Input'!$E32))</f>
        <v>0</v>
      </c>
      <c r="K21" s="60">
        <f>IF('Revenue Input'!$E32="","",IF('Cash Flow %s Yr1'!K19="","",'Cash Flow %s Yr1'!K19*'Revenue Input'!$E32))</f>
        <v>3221.2874999999999</v>
      </c>
      <c r="L21" s="60">
        <f>IF('Revenue Input'!$E32="","",IF('Cash Flow %s Yr1'!L19="","",'Cash Flow %s Yr1'!L19*'Revenue Input'!$E32))</f>
        <v>0</v>
      </c>
      <c r="M21" s="60">
        <f>IF('Revenue Input'!$E32="","",IF('Cash Flow %s Yr1'!M19="","",'Cash Flow %s Yr1'!M19*'Revenue Input'!$E32))</f>
        <v>0</v>
      </c>
      <c r="N21" s="60">
        <f>IF('Revenue Input'!$E32="","",IF('Cash Flow %s Yr1'!N19="","",'Cash Flow %s Yr1'!N19*'Revenue Input'!$E32))</f>
        <v>3221.2874999999999</v>
      </c>
      <c r="O21" s="60">
        <f>IF('Revenue Input'!$E32="","",IF('Cash Flow %s Yr1'!O19="","",'Cash Flow %s Yr1'!O19*'Revenue Input'!$E32))</f>
        <v>3221.2874999999999</v>
      </c>
      <c r="P21" s="60">
        <f>IF('Revenue Input'!$E32="","",IF('Cash Flow %s Yr1'!P19="","",'Cash Flow %s Yr1'!P19*'Revenue Input'!$E32))</f>
        <v>0</v>
      </c>
      <c r="Q21" s="60">
        <f>IF('Revenue Input'!$E32="","",IF('Cash Flow %s Yr1'!Q19="","",'Cash Flow %s Yr1'!Q19*'Revenue Input'!$E32))</f>
        <v>0</v>
      </c>
      <c r="R21" s="60">
        <f>IF('Revenue Input'!$E32="","",IF('Cash Flow %s Yr1'!R19="","",'Cash Flow %s Yr1'!R19*'Revenue Input'!$E32))</f>
        <v>0</v>
      </c>
    </row>
    <row r="22" spans="1:18" s="30" customFormat="1" x14ac:dyDescent="0.3">
      <c r="A22" s="48"/>
      <c r="B22" s="61">
        <f>+'Revenue Input'!B33</f>
        <v>8560</v>
      </c>
      <c r="C22" s="61" t="str">
        <f>+'Revenue Input'!C33</f>
        <v>Restricted Lottery</v>
      </c>
      <c r="D22" s="60">
        <f>IF('Revenue Input'!$E33="","",IF('Cash Flow %s Yr1'!D20="","",'Cash Flow %s Yr1'!D20*'Revenue Input'!$E33))</f>
        <v>0</v>
      </c>
      <c r="E22" s="60">
        <f>IF('Revenue Input'!$E33="","",IF('Cash Flow %s Yr1'!E20="","",'Cash Flow %s Yr1'!E20*'Revenue Input'!$E33))</f>
        <v>0</v>
      </c>
      <c r="F22" s="60">
        <f>IF('Revenue Input'!$E33="","",IF('Cash Flow %s Yr1'!F20="","",'Cash Flow %s Yr1'!F20*'Revenue Input'!$E33))</f>
        <v>0</v>
      </c>
      <c r="G22" s="60">
        <f>IF('Revenue Input'!$E33="","",IF('Cash Flow %s Yr1'!G20="","",'Cash Flow %s Yr1'!G20*'Revenue Input'!$E33))</f>
        <v>0</v>
      </c>
      <c r="H22" s="60">
        <f>IF('Revenue Input'!$E33="","",IF('Cash Flow %s Yr1'!H20="","",'Cash Flow %s Yr1'!H20*'Revenue Input'!$E33))</f>
        <v>2486.9129999999996</v>
      </c>
      <c r="I22" s="60">
        <f>IF('Revenue Input'!$E33="","",IF('Cash Flow %s Yr1'!I20="","",'Cash Flow %s Yr1'!I20*'Revenue Input'!$E33))</f>
        <v>0</v>
      </c>
      <c r="J22" s="60">
        <f>IF('Revenue Input'!$E33="","",IF('Cash Flow %s Yr1'!J20="","",'Cash Flow %s Yr1'!J20*'Revenue Input'!$E33))</f>
        <v>0</v>
      </c>
      <c r="K22" s="60">
        <f>IF('Revenue Input'!$E33="","",IF('Cash Flow %s Yr1'!K20="","",'Cash Flow %s Yr1'!K20*'Revenue Input'!$E33))</f>
        <v>0</v>
      </c>
      <c r="L22" s="60">
        <f>IF('Revenue Input'!$E33="","",IF('Cash Flow %s Yr1'!L20="","",'Cash Flow %s Yr1'!L20*'Revenue Input'!$E33))</f>
        <v>0</v>
      </c>
      <c r="M22" s="60">
        <f>IF('Revenue Input'!$E33="","",IF('Cash Flow %s Yr1'!M20="","",'Cash Flow %s Yr1'!M20*'Revenue Input'!$E33))</f>
        <v>0</v>
      </c>
      <c r="N22" s="60">
        <f>IF('Revenue Input'!$E33="","",IF('Cash Flow %s Yr1'!N20="","",'Cash Flow %s Yr1'!N20*'Revenue Input'!$E33))</f>
        <v>0</v>
      </c>
      <c r="O22" s="60">
        <f>IF('Revenue Input'!$E33="","",IF('Cash Flow %s Yr1'!O20="","",'Cash Flow %s Yr1'!O20*'Revenue Input'!$E33))</f>
        <v>1339.1069999999997</v>
      </c>
      <c r="P22" s="60">
        <f>IF('Revenue Input'!$E33="","",IF('Cash Flow %s Yr1'!P20="","",'Cash Flow %s Yr1'!P20*'Revenue Input'!$E33))</f>
        <v>0</v>
      </c>
      <c r="Q22" s="60">
        <f>IF('Revenue Input'!$E33="","",IF('Cash Flow %s Yr1'!Q20="","",'Cash Flow %s Yr1'!Q20*'Revenue Input'!$E33))</f>
        <v>0</v>
      </c>
      <c r="R22" s="60">
        <f>IF('Revenue Input'!$E33="","",IF('Cash Flow %s Yr1'!R20="","",'Cash Flow %s Yr1'!R20*'Revenue Input'!$E33))</f>
        <v>0</v>
      </c>
    </row>
    <row r="23" spans="1:18" s="30" customFormat="1" x14ac:dyDescent="0.3">
      <c r="A23" s="48"/>
      <c r="B23" s="61">
        <f>+'Revenue Input'!B34</f>
        <v>8590</v>
      </c>
      <c r="C23" s="61" t="str">
        <f>+'Revenue Input'!C34</f>
        <v xml:space="preserve">Other State Revenues </v>
      </c>
      <c r="D23" s="60" t="str">
        <f>IF('Revenue Input'!$E34="","",IF('Cash Flow %s Yr1'!D21="","",'Cash Flow %s Yr1'!D21*'Revenue Input'!$E34))</f>
        <v/>
      </c>
      <c r="E23" s="60" t="str">
        <f>IF('Revenue Input'!$E34="","",IF('Cash Flow %s Yr1'!E21="","",'Cash Flow %s Yr1'!E21*'Revenue Input'!$E34))</f>
        <v/>
      </c>
      <c r="F23" s="60" t="str">
        <f>IF('Revenue Input'!$E34="","",IF('Cash Flow %s Yr1'!F21="","",'Cash Flow %s Yr1'!F21*'Revenue Input'!$E34))</f>
        <v/>
      </c>
      <c r="G23" s="60" t="str">
        <f>IF('Revenue Input'!$E34="","",IF('Cash Flow %s Yr1'!G21="","",'Cash Flow %s Yr1'!G21*'Revenue Input'!$E34))</f>
        <v/>
      </c>
      <c r="H23" s="60" t="str">
        <f>IF('Revenue Input'!$E34="","",IF('Cash Flow %s Yr1'!H21="","",'Cash Flow %s Yr1'!H21*'Revenue Input'!$E34))</f>
        <v/>
      </c>
      <c r="I23" s="60" t="str">
        <f>IF('Revenue Input'!$E34="","",IF('Cash Flow %s Yr1'!I21="","",'Cash Flow %s Yr1'!I21*'Revenue Input'!$E34))</f>
        <v/>
      </c>
      <c r="J23" s="60" t="str">
        <f>IF('Revenue Input'!$E34="","",IF('Cash Flow %s Yr1'!J21="","",'Cash Flow %s Yr1'!J21*'Revenue Input'!$E34))</f>
        <v/>
      </c>
      <c r="K23" s="60" t="str">
        <f>IF('Revenue Input'!$E34="","",IF('Cash Flow %s Yr1'!K21="","",'Cash Flow %s Yr1'!K21*'Revenue Input'!$E34))</f>
        <v/>
      </c>
      <c r="L23" s="60" t="str">
        <f>IF('Revenue Input'!$E34="","",IF('Cash Flow %s Yr1'!L21="","",'Cash Flow %s Yr1'!L21*'Revenue Input'!$E34))</f>
        <v/>
      </c>
      <c r="M23" s="60" t="str">
        <f>IF('Revenue Input'!$E34="","",IF('Cash Flow %s Yr1'!M21="","",'Cash Flow %s Yr1'!M21*'Revenue Input'!$E34))</f>
        <v/>
      </c>
      <c r="N23" s="60" t="str">
        <f>IF('Revenue Input'!$E34="","",IF('Cash Flow %s Yr1'!N21="","",'Cash Flow %s Yr1'!N21*'Revenue Input'!$E34))</f>
        <v/>
      </c>
      <c r="O23" s="60" t="str">
        <f>IF('Revenue Input'!$E34="","",IF('Cash Flow %s Yr1'!O21="","",'Cash Flow %s Yr1'!O21*'Revenue Input'!$E34))</f>
        <v/>
      </c>
      <c r="P23" s="60" t="str">
        <f>IF('Revenue Input'!$E34="","",IF('Cash Flow %s Yr1'!P21="","",'Cash Flow %s Yr1'!P21*'Revenue Input'!$E34))</f>
        <v/>
      </c>
      <c r="Q23" s="60" t="str">
        <f>IF('Revenue Input'!$E34="","",IF('Cash Flow %s Yr1'!Q21="","",'Cash Flow %s Yr1'!Q21*'Revenue Input'!$E34))</f>
        <v/>
      </c>
      <c r="R23" s="60" t="str">
        <f>IF('Revenue Input'!$E34="","",IF('Cash Flow %s Yr1'!R21="","",'Cash Flow %s Yr1'!R21*'Revenue Input'!$E34))</f>
        <v/>
      </c>
    </row>
    <row r="24" spans="1:18" s="30" customFormat="1" x14ac:dyDescent="0.3">
      <c r="A24" s="48"/>
      <c r="B24" s="61">
        <f>+'Revenue Input'!B37</f>
        <v>8591</v>
      </c>
      <c r="C24" s="61" t="str">
        <f>+'Revenue Input'!C37</f>
        <v>SB740</v>
      </c>
      <c r="D24" s="60">
        <f>IF('Revenue Input'!$E37="","",IF('Cash Flow %s Yr1'!D22="","",'Cash Flow %s Yr1'!D22*'Revenue Input'!$E37))</f>
        <v>0</v>
      </c>
      <c r="E24" s="60">
        <f>IF('Revenue Input'!$E37="","",IF('Cash Flow %s Yr1'!E22="","",'Cash Flow %s Yr1'!E22*'Revenue Input'!$E37))</f>
        <v>0</v>
      </c>
      <c r="F24" s="60">
        <f>IF('Revenue Input'!$E37="","",IF('Cash Flow %s Yr1'!F22="","",'Cash Flow %s Yr1'!F22*'Revenue Input'!$E37))</f>
        <v>0</v>
      </c>
      <c r="G24" s="60">
        <f>IF('Revenue Input'!$E37="","",IF('Cash Flow %s Yr1'!G22="","",'Cash Flow %s Yr1'!G22*'Revenue Input'!$E37))</f>
        <v>0</v>
      </c>
      <c r="H24" s="60">
        <f>IF('Revenue Input'!$E37="","",IF('Cash Flow %s Yr1'!H22="","",'Cash Flow %s Yr1'!H22*'Revenue Input'!$E37))</f>
        <v>0</v>
      </c>
      <c r="I24" s="60">
        <f>IF('Revenue Input'!$E37="","",IF('Cash Flow %s Yr1'!I22="","",'Cash Flow %s Yr1'!I22*'Revenue Input'!$E37))</f>
        <v>0</v>
      </c>
      <c r="J24" s="60">
        <f>IF('Revenue Input'!$E37="","",IF('Cash Flow %s Yr1'!J22="","",'Cash Flow %s Yr1'!J22*'Revenue Input'!$E37))</f>
        <v>13860</v>
      </c>
      <c r="K24" s="60">
        <f>IF('Revenue Input'!$E37="","",IF('Cash Flow %s Yr1'!K22="","",'Cash Flow %s Yr1'!K22*'Revenue Input'!$E37))</f>
        <v>0</v>
      </c>
      <c r="L24" s="60">
        <f>IF('Revenue Input'!$E37="","",IF('Cash Flow %s Yr1'!L22="","",'Cash Flow %s Yr1'!L22*'Revenue Input'!$E37))</f>
        <v>0</v>
      </c>
      <c r="M24" s="60">
        <f>IF('Revenue Input'!$E37="","",IF('Cash Flow %s Yr1'!M22="","",'Cash Flow %s Yr1'!M22*'Revenue Input'!$E37))</f>
        <v>13860</v>
      </c>
      <c r="N24" s="60">
        <f>IF('Revenue Input'!$E37="","",IF('Cash Flow %s Yr1'!N22="","",'Cash Flow %s Yr1'!N22*'Revenue Input'!$E37))</f>
        <v>0</v>
      </c>
      <c r="O24" s="60">
        <f>IF('Revenue Input'!$E37="","",IF('Cash Flow %s Yr1'!O22="","",'Cash Flow %s Yr1'!O22*'Revenue Input'!$E37))</f>
        <v>6930</v>
      </c>
      <c r="P24" s="60">
        <f>IF('Revenue Input'!$E37="","",IF('Cash Flow %s Yr1'!P22="","",'Cash Flow %s Yr1'!P22*'Revenue Input'!$E37))</f>
        <v>0</v>
      </c>
      <c r="Q24" s="60">
        <f>IF('Revenue Input'!$E37="","",IF('Cash Flow %s Yr1'!Q22="","",'Cash Flow %s Yr1'!Q22*'Revenue Input'!$E37))</f>
        <v>0</v>
      </c>
      <c r="R24" s="60">
        <f>IF('Revenue Input'!$E37="","",IF('Cash Flow %s Yr1'!R22="","",'Cash Flow %s Yr1'!R22*'Revenue Input'!$E37))</f>
        <v>0</v>
      </c>
    </row>
    <row r="25" spans="1:18" s="30" customFormat="1" ht="17.399999999999999" x14ac:dyDescent="0.3">
      <c r="A25" s="45"/>
      <c r="B25" s="61">
        <f>+'Revenue Input'!B38</f>
        <v>8599</v>
      </c>
      <c r="C25" s="61" t="str">
        <f>+'Revenue Input'!C38</f>
        <v>Prior Year State Income</v>
      </c>
      <c r="D25" s="60" t="str">
        <f>IF('Revenue Input'!$E38="","",IF('Cash Flow %s Yr1'!D21="","",'Cash Flow %s Yr1'!D21*'Revenue Input'!$E38))</f>
        <v/>
      </c>
      <c r="E25" s="60" t="str">
        <f>IF('Revenue Input'!$E38="","",IF('Cash Flow %s Yr1'!E21="","",'Cash Flow %s Yr1'!E21*'Revenue Input'!$E38))</f>
        <v/>
      </c>
      <c r="F25" s="60" t="str">
        <f>IF('Revenue Input'!$E38="","",IF('Cash Flow %s Yr1'!F21="","",'Cash Flow %s Yr1'!F21*'Revenue Input'!$E38))</f>
        <v/>
      </c>
      <c r="G25" s="60" t="str">
        <f>IF('Revenue Input'!$E38="","",IF('Cash Flow %s Yr1'!G21="","",'Cash Flow %s Yr1'!G21*'Revenue Input'!$E38))</f>
        <v/>
      </c>
      <c r="H25" s="60" t="str">
        <f>IF('Revenue Input'!$E38="","",IF('Cash Flow %s Yr1'!H21="","",'Cash Flow %s Yr1'!H21*'Revenue Input'!$E38))</f>
        <v/>
      </c>
      <c r="I25" s="60" t="str">
        <f>IF('Revenue Input'!$E38="","",IF('Cash Flow %s Yr1'!I21="","",'Cash Flow %s Yr1'!I21*'Revenue Input'!$E38))</f>
        <v/>
      </c>
      <c r="J25" s="60" t="str">
        <f>IF('Revenue Input'!$E38="","",IF('Cash Flow %s Yr1'!J21="","",'Cash Flow %s Yr1'!J21*'Revenue Input'!$E38))</f>
        <v/>
      </c>
      <c r="K25" s="60" t="str">
        <f>IF('Revenue Input'!$E38="","",IF('Cash Flow %s Yr1'!K21="","",'Cash Flow %s Yr1'!K21*'Revenue Input'!$E38))</f>
        <v/>
      </c>
      <c r="L25" s="60" t="str">
        <f>IF('Revenue Input'!$E38="","",IF('Cash Flow %s Yr1'!L21="","",'Cash Flow %s Yr1'!L21*'Revenue Input'!$E38))</f>
        <v/>
      </c>
      <c r="M25" s="60" t="str">
        <f>IF('Revenue Input'!$E38="","",IF('Cash Flow %s Yr1'!M21="","",'Cash Flow %s Yr1'!M21*'Revenue Input'!$E38))</f>
        <v/>
      </c>
      <c r="N25" s="60" t="str">
        <f>IF('Revenue Input'!$E38="","",IF('Cash Flow %s Yr1'!N21="","",'Cash Flow %s Yr1'!N21*'Revenue Input'!$E38))</f>
        <v/>
      </c>
      <c r="O25" s="60" t="str">
        <f>IF('Revenue Input'!$E38="","",IF('Cash Flow %s Yr1'!O21="","",'Cash Flow %s Yr1'!O21*'Revenue Input'!$E38))</f>
        <v/>
      </c>
      <c r="P25" s="60" t="str">
        <f>IF('Revenue Input'!$E38="","",IF('Cash Flow %s Yr1'!P21="","",'Cash Flow %s Yr1'!P21*'Revenue Input'!$E38))</f>
        <v/>
      </c>
      <c r="Q25" s="60" t="str">
        <f>IF('Revenue Input'!$E38="","",IF('Cash Flow %s Yr1'!Q21="","",'Cash Flow %s Yr1'!Q21*'Revenue Input'!$E38))</f>
        <v/>
      </c>
      <c r="R25" s="60" t="str">
        <f>IF('Revenue Input'!$E38="","",IF('Cash Flow %s Yr1'!R21="","",'Cash Flow %s Yr1'!R21*'Revenue Input'!$E38))</f>
        <v/>
      </c>
    </row>
    <row r="26" spans="1:18" s="30" customFormat="1" ht="17.399999999999999" x14ac:dyDescent="0.3">
      <c r="A26" s="45"/>
      <c r="B26" s="61">
        <f>+'Revenue Input'!B39</f>
        <v>8792</v>
      </c>
      <c r="C26" s="61" t="str">
        <f>+'Revenue Input'!C39</f>
        <v>Special Education - AB 602</v>
      </c>
      <c r="D26" s="60" t="str">
        <f>IF('Revenue Input'!$E39="","",IF('Cash Flow %s Yr1'!D22="","",'Cash Flow %s Yr1'!D22*'Revenue Input'!$E39))</f>
        <v/>
      </c>
      <c r="E26" s="60" t="str">
        <f>IF('Revenue Input'!$E39="","",IF('Cash Flow %s Yr1'!E22="","",'Cash Flow %s Yr1'!E22*'Revenue Input'!$E39))</f>
        <v/>
      </c>
      <c r="F26" s="60" t="str">
        <f>IF('Revenue Input'!$E39="","",IF('Cash Flow %s Yr1'!F22="","",'Cash Flow %s Yr1'!F22*'Revenue Input'!$E39))</f>
        <v/>
      </c>
      <c r="G26" s="60" t="str">
        <f>IF('Revenue Input'!$E39="","",IF('Cash Flow %s Yr1'!G22="","",'Cash Flow %s Yr1'!G22*'Revenue Input'!$E39))</f>
        <v/>
      </c>
      <c r="H26" s="60" t="str">
        <f>IF('Revenue Input'!$E39="","",IF('Cash Flow %s Yr1'!H22="","",'Cash Flow %s Yr1'!H22*'Revenue Input'!$E39))</f>
        <v/>
      </c>
      <c r="I26" s="60" t="str">
        <f>IF('Revenue Input'!$E39="","",IF('Cash Flow %s Yr1'!I22="","",'Cash Flow %s Yr1'!I22*'Revenue Input'!$E39))</f>
        <v/>
      </c>
      <c r="J26" s="60" t="str">
        <f>IF('Revenue Input'!$E39="","",IF('Cash Flow %s Yr1'!J22="","",'Cash Flow %s Yr1'!J22*'Revenue Input'!$E39))</f>
        <v/>
      </c>
      <c r="K26" s="60" t="str">
        <f>IF('Revenue Input'!$E39="","",IF('Cash Flow %s Yr1'!K22="","",'Cash Flow %s Yr1'!K22*'Revenue Input'!$E39))</f>
        <v/>
      </c>
      <c r="L26" s="60" t="str">
        <f>IF('Revenue Input'!$E39="","",IF('Cash Flow %s Yr1'!L22="","",'Cash Flow %s Yr1'!L22*'Revenue Input'!$E39))</f>
        <v/>
      </c>
      <c r="M26" s="60" t="str">
        <f>IF('Revenue Input'!$E39="","",IF('Cash Flow %s Yr1'!M22="","",'Cash Flow %s Yr1'!M22*'Revenue Input'!$E39))</f>
        <v/>
      </c>
      <c r="N26" s="60" t="str">
        <f>IF('Revenue Input'!$E39="","",IF('Cash Flow %s Yr1'!N22="","",'Cash Flow %s Yr1'!N22*'Revenue Input'!$E39))</f>
        <v/>
      </c>
      <c r="O26" s="60" t="str">
        <f>IF('Revenue Input'!$E39="","",IF('Cash Flow %s Yr1'!O22="","",'Cash Flow %s Yr1'!O22*'Revenue Input'!$E39))</f>
        <v/>
      </c>
      <c r="P26" s="60" t="str">
        <f>IF('Revenue Input'!$E39="","",IF('Cash Flow %s Yr1'!P22="","",'Cash Flow %s Yr1'!P22*'Revenue Input'!$E39))</f>
        <v/>
      </c>
      <c r="Q26" s="60" t="str">
        <f>IF('Revenue Input'!$E39="","",IF('Cash Flow %s Yr1'!Q22="","",'Cash Flow %s Yr1'!Q22*'Revenue Input'!$E39))</f>
        <v/>
      </c>
      <c r="R26" s="60" t="str">
        <f>IF('Revenue Input'!$E39="","",IF('Cash Flow %s Yr1'!R22="","",'Cash Flow %s Yr1'!R22*'Revenue Input'!$E39))</f>
        <v/>
      </c>
    </row>
    <row r="27" spans="1:18" s="30" customFormat="1" ht="17.399999999999999" x14ac:dyDescent="0.3">
      <c r="A27" s="45"/>
      <c r="B27" s="61"/>
      <c r="C27" s="61"/>
      <c r="D27" s="60"/>
      <c r="E27" s="60"/>
      <c r="F27" s="60"/>
      <c r="G27" s="60"/>
      <c r="H27" s="60"/>
      <c r="I27" s="60"/>
      <c r="J27" s="60"/>
      <c r="K27" s="60"/>
      <c r="L27" s="60"/>
      <c r="M27" s="60"/>
      <c r="N27" s="60"/>
      <c r="O27" s="60"/>
      <c r="P27" s="60"/>
      <c r="Q27" s="60"/>
      <c r="R27" s="60"/>
    </row>
    <row r="28" spans="1:18" s="30" customFormat="1" ht="17.399999999999999" x14ac:dyDescent="0.3">
      <c r="A28" s="45"/>
      <c r="B28" s="69"/>
      <c r="C28" s="33" t="s">
        <v>1257</v>
      </c>
      <c r="D28" s="165">
        <f t="shared" ref="D28:R28" si="0">SUM(D12:D27)</f>
        <v>20178.800000000003</v>
      </c>
      <c r="E28" s="165">
        <f t="shared" si="0"/>
        <v>41935.520000000004</v>
      </c>
      <c r="F28" s="165">
        <f t="shared" si="0"/>
        <v>95323.78</v>
      </c>
      <c r="G28" s="165">
        <f>SUM(G12:G27)</f>
        <v>65330.799999999996</v>
      </c>
      <c r="H28" s="165">
        <f>SUM(H12:H27)</f>
        <v>71409.507850000009</v>
      </c>
      <c r="I28" s="165">
        <f>SUM(I12:I27)</f>
        <v>81189.807349999988</v>
      </c>
      <c r="J28" s="165">
        <f>SUM(J12:J27)</f>
        <v>79561.307350000003</v>
      </c>
      <c r="K28" s="165">
        <f t="shared" si="0"/>
        <v>68922.594850000009</v>
      </c>
      <c r="L28" s="165">
        <f t="shared" si="0"/>
        <v>102946.52735</v>
      </c>
      <c r="M28" s="165">
        <f t="shared" si="0"/>
        <v>75935.187349999993</v>
      </c>
      <c r="N28" s="165">
        <f t="shared" si="0"/>
        <v>65296.474849999999</v>
      </c>
      <c r="O28" s="165">
        <f>SUM(O12:O27)</f>
        <v>115177.93655000001</v>
      </c>
      <c r="P28" s="165">
        <f t="shared" si="0"/>
        <v>0</v>
      </c>
      <c r="Q28" s="165">
        <f t="shared" si="0"/>
        <v>0</v>
      </c>
      <c r="R28" s="165">
        <f t="shared" si="0"/>
        <v>0</v>
      </c>
    </row>
    <row r="29" spans="1:18" s="30" customFormat="1" ht="17.399999999999999" x14ac:dyDescent="0.3">
      <c r="A29" s="45"/>
      <c r="B29" s="68"/>
      <c r="C29" s="48"/>
      <c r="D29" s="120"/>
      <c r="E29" s="120"/>
      <c r="F29" s="120"/>
      <c r="G29" s="120"/>
      <c r="H29" s="120"/>
      <c r="I29" s="120"/>
      <c r="J29" s="120"/>
      <c r="K29" s="120"/>
      <c r="L29" s="120"/>
      <c r="M29" s="120"/>
      <c r="N29" s="120"/>
      <c r="O29" s="120"/>
      <c r="P29" s="120"/>
      <c r="Q29" s="120"/>
      <c r="R29" s="120"/>
    </row>
    <row r="30" spans="1:18" s="30" customFormat="1" ht="17.399999999999999" x14ac:dyDescent="0.3">
      <c r="B30" s="45" t="s">
        <v>781</v>
      </c>
      <c r="C30" s="48"/>
      <c r="D30" s="120"/>
      <c r="E30" s="120"/>
      <c r="F30" s="120"/>
      <c r="G30" s="120"/>
      <c r="H30" s="120"/>
      <c r="I30" s="120"/>
      <c r="J30" s="120"/>
      <c r="K30" s="120"/>
      <c r="L30" s="120"/>
      <c r="M30" s="120"/>
      <c r="N30" s="120"/>
      <c r="O30" s="120"/>
      <c r="P30" s="120"/>
      <c r="Q30" s="120"/>
      <c r="R30" s="120"/>
    </row>
    <row r="31" spans="1:18" s="30" customFormat="1" ht="17.399999999999999" x14ac:dyDescent="0.3">
      <c r="A31" s="45"/>
      <c r="B31" s="61">
        <f>'Revenue Input'!B15</f>
        <v>8181</v>
      </c>
      <c r="C31" s="61" t="str">
        <f>'Revenue Input'!C15</f>
        <v>Special Education - Federal IDEA</v>
      </c>
      <c r="D31" s="60" t="str">
        <f>IF('Revenue Input'!$E15="","",IF('Cash Flow %s Yr1'!D26="","",'Cash Flow %s Yr1'!D26*'Revenue Input'!$E15))</f>
        <v/>
      </c>
      <c r="E31" s="60" t="str">
        <f>IF('Revenue Input'!$E15="","",IF('Cash Flow %s Yr1'!E26="","",'Cash Flow %s Yr1'!E26*'Revenue Input'!$E15))</f>
        <v/>
      </c>
      <c r="F31" s="60" t="str">
        <f>IF('Revenue Input'!$E15="","",IF('Cash Flow %s Yr1'!F26="","",'Cash Flow %s Yr1'!F26*'Revenue Input'!$E15))</f>
        <v/>
      </c>
      <c r="G31" s="60" t="str">
        <f>IF('Revenue Input'!$E15="","",IF('Cash Flow %s Yr1'!G26="","",'Cash Flow %s Yr1'!G26*'Revenue Input'!$E15))</f>
        <v/>
      </c>
      <c r="H31" s="60" t="str">
        <f>IF('Revenue Input'!$E15="","",IF('Cash Flow %s Yr1'!H26="","",'Cash Flow %s Yr1'!H26*'Revenue Input'!$E15))</f>
        <v/>
      </c>
      <c r="I31" s="60" t="str">
        <f>IF('Revenue Input'!$E15="","",IF('Cash Flow %s Yr1'!I26="","",'Cash Flow %s Yr1'!I26*'Revenue Input'!$E15))</f>
        <v/>
      </c>
      <c r="J31" s="60" t="str">
        <f>IF('Revenue Input'!$E15="","",IF('Cash Flow %s Yr1'!J26="","",'Cash Flow %s Yr1'!J26*'Revenue Input'!$E15))</f>
        <v/>
      </c>
      <c r="K31" s="60" t="str">
        <f>IF('Revenue Input'!$E15="","",IF('Cash Flow %s Yr1'!K26="","",'Cash Flow %s Yr1'!K26*'Revenue Input'!$E15))</f>
        <v/>
      </c>
      <c r="L31" s="60" t="str">
        <f>IF('Revenue Input'!$E15="","",IF('Cash Flow %s Yr1'!L26="","",'Cash Flow %s Yr1'!L26*'Revenue Input'!$E15))</f>
        <v/>
      </c>
      <c r="M31" s="60" t="str">
        <f>IF('Revenue Input'!$E15="","",IF('Cash Flow %s Yr1'!M26="","",'Cash Flow %s Yr1'!M26*'Revenue Input'!$E15))</f>
        <v/>
      </c>
      <c r="N31" s="60" t="str">
        <f>IF('Revenue Input'!$E15="","",IF('Cash Flow %s Yr1'!N26="","",'Cash Flow %s Yr1'!N26*'Revenue Input'!$E15))</f>
        <v/>
      </c>
      <c r="O31" s="60" t="str">
        <f>IF('Revenue Input'!$E15="","",IF('Cash Flow %s Yr1'!O26="","",'Cash Flow %s Yr1'!O26*'Revenue Input'!$E15))</f>
        <v/>
      </c>
      <c r="P31" s="60" t="str">
        <f>IF('Revenue Input'!$E15="","",IF('Cash Flow %s Yr1'!P26="","",'Cash Flow %s Yr1'!P26*'Revenue Input'!$E15))</f>
        <v/>
      </c>
      <c r="Q31" s="60" t="str">
        <f>IF('Revenue Input'!$E15="","",IF('Cash Flow %s Yr1'!Q26="","",'Cash Flow %s Yr1'!Q26*'Revenue Input'!$E15))</f>
        <v/>
      </c>
      <c r="R31" s="60" t="str">
        <f>IF('Revenue Input'!$E15="","",IF('Cash Flow %s Yr1'!R26="","",'Cash Flow %s Yr1'!R26*'Revenue Input'!$E15))</f>
        <v/>
      </c>
    </row>
    <row r="32" spans="1:18" s="30" customFormat="1" ht="17.399999999999999" x14ac:dyDescent="0.3">
      <c r="A32" s="45"/>
      <c r="B32" s="61">
        <f>'Revenue Input'!B17</f>
        <v>8290</v>
      </c>
      <c r="C32" s="61" t="str">
        <f>'Revenue Input'!C17</f>
        <v>All Other Federal Revenue, GEER/CRF</v>
      </c>
      <c r="D32" s="60" t="str">
        <f>IF('Revenue Input'!$E17="","",IF('Cash Flow %s Yr1'!D27="","",'Cash Flow %s Yr1'!D27*'Revenue Input'!$E17))</f>
        <v/>
      </c>
      <c r="E32" s="60" t="str">
        <f>IF('Revenue Input'!$E17="","",IF('Cash Flow %s Yr1'!E27="","",'Cash Flow %s Yr1'!E27*'Revenue Input'!$E17))</f>
        <v/>
      </c>
      <c r="F32" s="60" t="str">
        <f>IF('Revenue Input'!$E17="","",IF('Cash Flow %s Yr1'!F27="","",'Cash Flow %s Yr1'!F27*'Revenue Input'!$E17))</f>
        <v/>
      </c>
      <c r="G32" s="60" t="str">
        <f>IF('Revenue Input'!$E17="","",IF('Cash Flow %s Yr1'!G27="","",'Cash Flow %s Yr1'!G27*'Revenue Input'!$E17))</f>
        <v/>
      </c>
      <c r="H32" s="60" t="str">
        <f>IF('Revenue Input'!$E17="","",IF('Cash Flow %s Yr1'!H27="","",'Cash Flow %s Yr1'!H27*'Revenue Input'!$E17))</f>
        <v/>
      </c>
      <c r="I32" s="60" t="str">
        <f>IF('Revenue Input'!$E17="","",IF('Cash Flow %s Yr1'!I27="","",'Cash Flow %s Yr1'!I27*'Revenue Input'!$E17))</f>
        <v/>
      </c>
      <c r="J32" s="60" t="str">
        <f>IF('Revenue Input'!$E17="","",IF('Cash Flow %s Yr1'!J27="","",'Cash Flow %s Yr1'!J27*'Revenue Input'!$E17))</f>
        <v/>
      </c>
      <c r="K32" s="60" t="str">
        <f>IF('Revenue Input'!$E17="","",IF('Cash Flow %s Yr1'!K27="","",'Cash Flow %s Yr1'!K27*'Revenue Input'!$E17))</f>
        <v/>
      </c>
      <c r="L32" s="60" t="str">
        <f>IF('Revenue Input'!$E17="","",IF('Cash Flow %s Yr1'!L27="","",'Cash Flow %s Yr1'!L27*'Revenue Input'!$E17))</f>
        <v/>
      </c>
      <c r="M32" s="60" t="str">
        <f>IF('Revenue Input'!$E17="","",IF('Cash Flow %s Yr1'!M27="","",'Cash Flow %s Yr1'!M27*'Revenue Input'!$E17))</f>
        <v/>
      </c>
      <c r="N32" s="60" t="str">
        <f>IF('Revenue Input'!$E17="","",IF('Cash Flow %s Yr1'!N27="","",'Cash Flow %s Yr1'!N27*'Revenue Input'!$E17))</f>
        <v/>
      </c>
      <c r="O32" s="60" t="str">
        <f>IF('Revenue Input'!$E17="","",IF('Cash Flow %s Yr1'!O27="","",'Cash Flow %s Yr1'!O27*'Revenue Input'!$E17))</f>
        <v/>
      </c>
      <c r="P32" s="60" t="str">
        <f>IF('Revenue Input'!$E17="","",IF('Cash Flow %s Yr1'!P27="","",'Cash Flow %s Yr1'!P27*'Revenue Input'!$E17))</f>
        <v/>
      </c>
      <c r="Q32" s="60" t="str">
        <f>IF('Revenue Input'!$E17="","",IF('Cash Flow %s Yr1'!Q27="","",'Cash Flow %s Yr1'!Q27*'Revenue Input'!$E17))</f>
        <v/>
      </c>
      <c r="R32" s="60" t="str">
        <f>IF('Revenue Input'!$E17="","",IF('Cash Flow %s Yr1'!R27="","",'Cash Flow %s Yr1'!R27*'Revenue Input'!$E17))</f>
        <v/>
      </c>
    </row>
    <row r="33" spans="1:18" s="30" customFormat="1" ht="17.399999999999999" x14ac:dyDescent="0.3">
      <c r="A33" s="45"/>
      <c r="B33" s="61">
        <f>'Revenue Input'!B21</f>
        <v>8291</v>
      </c>
      <c r="C33" s="61" t="str">
        <f>'Revenue Input'!C21</f>
        <v>Title I</v>
      </c>
      <c r="D33" s="60">
        <f>IF('Revenue Input'!$E21="","",IF('Cash Flow %s Yr1'!D28="","",'Cash Flow %s Yr1'!D28*'Revenue Input'!$E21))</f>
        <v>0</v>
      </c>
      <c r="E33" s="60">
        <f>IF('Revenue Input'!$E21="","",IF('Cash Flow %s Yr1'!E28="","",'Cash Flow %s Yr1'!E28*'Revenue Input'!$E21))</f>
        <v>0</v>
      </c>
      <c r="F33" s="60">
        <f>IF('Revenue Input'!$E21="","",IF('Cash Flow %s Yr1'!F28="","",'Cash Flow %s Yr1'!F28*'Revenue Input'!$E21))</f>
        <v>0</v>
      </c>
      <c r="G33" s="60">
        <f>IF('Revenue Input'!$E21="","",IF('Cash Flow %s Yr1'!G28="","",'Cash Flow %s Yr1'!G28*'Revenue Input'!$E21))</f>
        <v>0</v>
      </c>
      <c r="H33" s="60">
        <f>IF('Revenue Input'!$E21="","",IF('Cash Flow %s Yr1'!H28="","",'Cash Flow %s Yr1'!H28*'Revenue Input'!$E21))</f>
        <v>0</v>
      </c>
      <c r="I33" s="60">
        <f>IF('Revenue Input'!$E21="","",IF('Cash Flow %s Yr1'!I28="","",'Cash Flow %s Yr1'!I28*'Revenue Input'!$E21))</f>
        <v>0</v>
      </c>
      <c r="J33" s="60">
        <f>IF('Revenue Input'!$E21="","",IF('Cash Flow %s Yr1'!J28="","",'Cash Flow %s Yr1'!J28*'Revenue Input'!$E21))</f>
        <v>7689.25</v>
      </c>
      <c r="K33" s="60">
        <f>IF('Revenue Input'!$E21="","",IF('Cash Flow %s Yr1'!K28="","",'Cash Flow %s Yr1'!K28*'Revenue Input'!$E21))</f>
        <v>0</v>
      </c>
      <c r="L33" s="60">
        <f>IF('Revenue Input'!$E21="","",IF('Cash Flow %s Yr1'!L28="","",'Cash Flow %s Yr1'!L28*'Revenue Input'!$E21))</f>
        <v>0</v>
      </c>
      <c r="M33" s="60">
        <f>IF('Revenue Input'!$E21="","",IF('Cash Flow %s Yr1'!M28="","",'Cash Flow %s Yr1'!M28*'Revenue Input'!$E21))</f>
        <v>15378.5</v>
      </c>
      <c r="N33" s="60">
        <f>IF('Revenue Input'!$E21="","",IF('Cash Flow %s Yr1'!N28="","",'Cash Flow %s Yr1'!N28*'Revenue Input'!$E21))</f>
        <v>0</v>
      </c>
      <c r="O33" s="60">
        <f>IF('Revenue Input'!$E21="","",IF('Cash Flow %s Yr1'!O28="","",'Cash Flow %s Yr1'!O28*'Revenue Input'!$E21))</f>
        <v>7689.25</v>
      </c>
      <c r="P33" s="60">
        <f>IF('Revenue Input'!$E21="","",IF('Cash Flow %s Yr1'!P28="","",'Cash Flow %s Yr1'!P28*'Revenue Input'!$E21))</f>
        <v>0</v>
      </c>
      <c r="Q33" s="60">
        <f>IF('Revenue Input'!$E21="","",IF('Cash Flow %s Yr1'!Q28="","",'Cash Flow %s Yr1'!Q28*'Revenue Input'!$E21))</f>
        <v>0</v>
      </c>
      <c r="R33" s="60">
        <f>IF('Revenue Input'!$E21="","",IF('Cash Flow %s Yr1'!R28="","",'Cash Flow %s Yr1'!R28*'Revenue Input'!$E21))</f>
        <v>0</v>
      </c>
    </row>
    <row r="34" spans="1:18" s="30" customFormat="1" ht="17.399999999999999" x14ac:dyDescent="0.3">
      <c r="A34" s="45"/>
      <c r="B34" s="61">
        <f>'Revenue Input'!B22</f>
        <v>8292</v>
      </c>
      <c r="C34" s="61" t="str">
        <f>'Revenue Input'!C22</f>
        <v>Title II</v>
      </c>
      <c r="D34" s="60">
        <f>IF('Revenue Input'!$E22="","",IF('Cash Flow %s Yr1'!D29="","",'Cash Flow %s Yr1'!D29*'Revenue Input'!$E22))</f>
        <v>0</v>
      </c>
      <c r="E34" s="60">
        <f>IF('Revenue Input'!$E22="","",IF('Cash Flow %s Yr1'!E29="","",'Cash Flow %s Yr1'!E29*'Revenue Input'!$E22))</f>
        <v>0</v>
      </c>
      <c r="F34" s="60">
        <f>IF('Revenue Input'!$E22="","",IF('Cash Flow %s Yr1'!F29="","",'Cash Flow %s Yr1'!F29*'Revenue Input'!$E22))</f>
        <v>0</v>
      </c>
      <c r="G34" s="60">
        <f>IF('Revenue Input'!$E22="","",IF('Cash Flow %s Yr1'!G29="","",'Cash Flow %s Yr1'!G29*'Revenue Input'!$E22))</f>
        <v>0</v>
      </c>
      <c r="H34" s="60">
        <f>IF('Revenue Input'!$E22="","",IF('Cash Flow %s Yr1'!H29="","",'Cash Flow %s Yr1'!H29*'Revenue Input'!$E22))</f>
        <v>0</v>
      </c>
      <c r="I34" s="60">
        <f>IF('Revenue Input'!$E22="","",IF('Cash Flow %s Yr1'!I29="","",'Cash Flow %s Yr1'!I29*'Revenue Input'!$E22))</f>
        <v>0</v>
      </c>
      <c r="J34" s="60">
        <f>IF('Revenue Input'!$E22="","",IF('Cash Flow %s Yr1'!J29="","",'Cash Flow %s Yr1'!J29*'Revenue Input'!$E22))</f>
        <v>853.5</v>
      </c>
      <c r="K34" s="60">
        <f>IF('Revenue Input'!$E22="","",IF('Cash Flow %s Yr1'!K29="","",'Cash Flow %s Yr1'!K29*'Revenue Input'!$E22))</f>
        <v>0</v>
      </c>
      <c r="L34" s="60">
        <f>IF('Revenue Input'!$E22="","",IF('Cash Flow %s Yr1'!L29="","",'Cash Flow %s Yr1'!L29*'Revenue Input'!$E22))</f>
        <v>0</v>
      </c>
      <c r="M34" s="60">
        <f>IF('Revenue Input'!$E22="","",IF('Cash Flow %s Yr1'!M29="","",'Cash Flow %s Yr1'!M29*'Revenue Input'!$E22))</f>
        <v>1707</v>
      </c>
      <c r="N34" s="60">
        <f>IF('Revenue Input'!$E22="","",IF('Cash Flow %s Yr1'!N29="","",'Cash Flow %s Yr1'!N29*'Revenue Input'!$E22))</f>
        <v>0</v>
      </c>
      <c r="O34" s="60">
        <f>IF('Revenue Input'!$E22="","",IF('Cash Flow %s Yr1'!O29="","",'Cash Flow %s Yr1'!O29*'Revenue Input'!$E22))</f>
        <v>853.5</v>
      </c>
      <c r="P34" s="60">
        <f>IF('Revenue Input'!$E22="","",IF('Cash Flow %s Yr1'!P29="","",'Cash Flow %s Yr1'!P29*'Revenue Input'!$E22))</f>
        <v>0</v>
      </c>
      <c r="Q34" s="60">
        <f>IF('Revenue Input'!$E22="","",IF('Cash Flow %s Yr1'!Q29="","",'Cash Flow %s Yr1'!Q29*'Revenue Input'!$E22))</f>
        <v>0</v>
      </c>
      <c r="R34" s="60">
        <f>IF('Revenue Input'!$E22="","",IF('Cash Flow %s Yr1'!R29="","",'Cash Flow %s Yr1'!R29*'Revenue Input'!$E22))</f>
        <v>0</v>
      </c>
    </row>
    <row r="35" spans="1:18" s="30" customFormat="1" ht="17.399999999999999" x14ac:dyDescent="0.3">
      <c r="A35" s="45"/>
      <c r="B35" s="61">
        <f>'Revenue Input'!B23</f>
        <v>8293</v>
      </c>
      <c r="C35" s="61" t="str">
        <f>'Revenue Input'!C23</f>
        <v>Title III</v>
      </c>
      <c r="D35" s="60" t="str">
        <f>IF('Revenue Input'!$E23="","",IF('Cash Flow %s Yr1'!D30="","",'Cash Flow %s Yr1'!D30*'Revenue Input'!$E23))</f>
        <v/>
      </c>
      <c r="E35" s="60" t="str">
        <f>IF('Revenue Input'!$E23="","",IF('Cash Flow %s Yr1'!E30="","",'Cash Flow %s Yr1'!E30*'Revenue Input'!$E23))</f>
        <v/>
      </c>
      <c r="F35" s="60" t="str">
        <f>IF('Revenue Input'!$E23="","",IF('Cash Flow %s Yr1'!F30="","",'Cash Flow %s Yr1'!F30*'Revenue Input'!$E23))</f>
        <v/>
      </c>
      <c r="G35" s="60" t="str">
        <f>IF('Revenue Input'!$E23="","",IF('Cash Flow %s Yr1'!G30="","",'Cash Flow %s Yr1'!G30*'Revenue Input'!$E23))</f>
        <v/>
      </c>
      <c r="H35" s="60" t="str">
        <f>IF('Revenue Input'!$E23="","",IF('Cash Flow %s Yr1'!H30="","",'Cash Flow %s Yr1'!H30*'Revenue Input'!$E23))</f>
        <v/>
      </c>
      <c r="I35" s="60" t="str">
        <f>IF('Revenue Input'!$E23="","",IF('Cash Flow %s Yr1'!I30="","",'Cash Flow %s Yr1'!I30*'Revenue Input'!$E23))</f>
        <v/>
      </c>
      <c r="J35" s="60" t="str">
        <f>IF('Revenue Input'!$E23="","",IF('Cash Flow %s Yr1'!J30="","",'Cash Flow %s Yr1'!J30*'Revenue Input'!$E23))</f>
        <v/>
      </c>
      <c r="K35" s="60" t="str">
        <f>IF('Revenue Input'!$E23="","",IF('Cash Flow %s Yr1'!K30="","",'Cash Flow %s Yr1'!K30*'Revenue Input'!$E23))</f>
        <v/>
      </c>
      <c r="L35" s="60" t="str">
        <f>IF('Revenue Input'!$E23="","",IF('Cash Flow %s Yr1'!L30="","",'Cash Flow %s Yr1'!L30*'Revenue Input'!$E23))</f>
        <v/>
      </c>
      <c r="M35" s="60" t="str">
        <f>IF('Revenue Input'!$E23="","",IF('Cash Flow %s Yr1'!M30="","",'Cash Flow %s Yr1'!M30*'Revenue Input'!$E23))</f>
        <v/>
      </c>
      <c r="N35" s="60" t="str">
        <f>IF('Revenue Input'!$E23="","",IF('Cash Flow %s Yr1'!N30="","",'Cash Flow %s Yr1'!N30*'Revenue Input'!$E23))</f>
        <v/>
      </c>
      <c r="O35" s="60" t="str">
        <f>IF('Revenue Input'!$E23="","",IF('Cash Flow %s Yr1'!O30="","",'Cash Flow %s Yr1'!O30*'Revenue Input'!$E23))</f>
        <v/>
      </c>
      <c r="P35" s="60" t="str">
        <f>IF('Revenue Input'!$E23="","",IF('Cash Flow %s Yr1'!P30="","",'Cash Flow %s Yr1'!P30*'Revenue Input'!$E23))</f>
        <v/>
      </c>
      <c r="Q35" s="60" t="str">
        <f>IF('Revenue Input'!$E23="","",IF('Cash Flow %s Yr1'!Q30="","",'Cash Flow %s Yr1'!Q30*'Revenue Input'!$E23))</f>
        <v/>
      </c>
      <c r="R35" s="60" t="str">
        <f>IF('Revenue Input'!$E23="","",IF('Cash Flow %s Yr1'!R30="","",'Cash Flow %s Yr1'!R30*'Revenue Input'!$E23))</f>
        <v/>
      </c>
    </row>
    <row r="36" spans="1:18" s="30" customFormat="1" ht="17.399999999999999" x14ac:dyDescent="0.3">
      <c r="A36" s="45"/>
      <c r="B36" s="61">
        <f>'Revenue Input'!B24</f>
        <v>8294</v>
      </c>
      <c r="C36" s="61" t="str">
        <f>'Revenue Input'!C24</f>
        <v>Title IV</v>
      </c>
      <c r="D36" s="60" t="str">
        <f>IF('Revenue Input'!$E24="","",IF('Cash Flow %s Yr1'!D31="","",'Cash Flow %s Yr1'!D31*'Revenue Input'!$E24))</f>
        <v/>
      </c>
      <c r="E36" s="60" t="str">
        <f>IF('Revenue Input'!$E24="","",IF('Cash Flow %s Yr1'!E31="","",'Cash Flow %s Yr1'!E31*'Revenue Input'!$E24))</f>
        <v/>
      </c>
      <c r="F36" s="60" t="str">
        <f>IF('Revenue Input'!$E24="","",IF('Cash Flow %s Yr1'!F31="","",'Cash Flow %s Yr1'!F31*'Revenue Input'!$E24))</f>
        <v/>
      </c>
      <c r="G36" s="60" t="str">
        <f>IF('Revenue Input'!$E24="","",IF('Cash Flow %s Yr1'!G31="","",'Cash Flow %s Yr1'!G31*'Revenue Input'!$E24))</f>
        <v/>
      </c>
      <c r="H36" s="60" t="str">
        <f>IF('Revenue Input'!$E24="","",IF('Cash Flow %s Yr1'!H31="","",'Cash Flow %s Yr1'!H31*'Revenue Input'!$E24))</f>
        <v/>
      </c>
      <c r="I36" s="60" t="str">
        <f>IF('Revenue Input'!$E24="","",IF('Cash Flow %s Yr1'!I31="","",'Cash Flow %s Yr1'!I31*'Revenue Input'!$E24))</f>
        <v/>
      </c>
      <c r="J36" s="60">
        <f>IF('Revenue Input'!$E24="","",IF('Cash Flow %s Yr1'!J31="","",'Cash Flow %s Yr1'!J31*'Revenue Input'!$E24))</f>
        <v>2500</v>
      </c>
      <c r="K36" s="60" t="str">
        <f>IF('Revenue Input'!$E24="","",IF('Cash Flow %s Yr1'!K31="","",'Cash Flow %s Yr1'!K31*'Revenue Input'!$E24))</f>
        <v/>
      </c>
      <c r="L36" s="60" t="str">
        <f>IF('Revenue Input'!$E24="","",IF('Cash Flow %s Yr1'!L31="","",'Cash Flow %s Yr1'!L31*'Revenue Input'!$E24))</f>
        <v/>
      </c>
      <c r="M36" s="60">
        <f>IF('Revenue Input'!$E24="","",IF('Cash Flow %s Yr1'!M31="","",'Cash Flow %s Yr1'!M31*'Revenue Input'!$E24))</f>
        <v>5000</v>
      </c>
      <c r="N36" s="60" t="str">
        <f>IF('Revenue Input'!$E24="","",IF('Cash Flow %s Yr1'!N31="","",'Cash Flow %s Yr1'!N31*'Revenue Input'!$E24))</f>
        <v/>
      </c>
      <c r="O36" s="60">
        <f>IF('Revenue Input'!$E24="","",IF('Cash Flow %s Yr1'!O31="","",'Cash Flow %s Yr1'!O31*'Revenue Input'!$E24))</f>
        <v>2500</v>
      </c>
      <c r="P36" s="60" t="str">
        <f>IF('Revenue Input'!$E24="","",IF('Cash Flow %s Yr1'!P31="","",'Cash Flow %s Yr1'!P31*'Revenue Input'!$E24))</f>
        <v/>
      </c>
      <c r="Q36" s="60" t="str">
        <f>IF('Revenue Input'!$E24="","",IF('Cash Flow %s Yr1'!Q31="","",'Cash Flow %s Yr1'!Q31*'Revenue Input'!$E24))</f>
        <v/>
      </c>
      <c r="R36" s="60" t="str">
        <f>IF('Revenue Input'!$E24="","",IF('Cash Flow %s Yr1'!R31="","",'Cash Flow %s Yr1'!R31*'Revenue Input'!$E24))</f>
        <v/>
      </c>
    </row>
    <row r="37" spans="1:18" s="30" customFormat="1" ht="17.399999999999999" x14ac:dyDescent="0.3">
      <c r="A37" s="45"/>
      <c r="B37" s="61">
        <f>'Revenue Input'!B25</f>
        <v>8295</v>
      </c>
      <c r="C37" s="61" t="str">
        <f>'Revenue Input'!C25</f>
        <v>Title V</v>
      </c>
      <c r="D37" s="60" t="str">
        <f>IF('Revenue Input'!$E25="","",IF('Cash Flow %s Yr1'!D32="","",'Cash Flow %s Yr1'!D32*'Revenue Input'!$E25))</f>
        <v/>
      </c>
      <c r="E37" s="60" t="str">
        <f>IF('Revenue Input'!$E25="","",IF('Cash Flow %s Yr1'!E32="","",'Cash Flow %s Yr1'!E32*'Revenue Input'!$E25))</f>
        <v/>
      </c>
      <c r="F37" s="60" t="str">
        <f>IF('Revenue Input'!$E25="","",IF('Cash Flow %s Yr1'!F32="","",'Cash Flow %s Yr1'!F32*'Revenue Input'!$E25))</f>
        <v/>
      </c>
      <c r="G37" s="60" t="str">
        <f>IF('Revenue Input'!$E25="","",IF('Cash Flow %s Yr1'!G32="","",'Cash Flow %s Yr1'!G32*'Revenue Input'!$E25))</f>
        <v/>
      </c>
      <c r="H37" s="60" t="str">
        <f>IF('Revenue Input'!$E25="","",IF('Cash Flow %s Yr1'!H32="","",'Cash Flow %s Yr1'!H32*'Revenue Input'!$E25))</f>
        <v/>
      </c>
      <c r="I37" s="60" t="str">
        <f>IF('Revenue Input'!$E25="","",IF('Cash Flow %s Yr1'!I32="","",'Cash Flow %s Yr1'!I32*'Revenue Input'!$E25))</f>
        <v/>
      </c>
      <c r="J37" s="60" t="str">
        <f>IF('Revenue Input'!$E25="","",IF('Cash Flow %s Yr1'!J32="","",'Cash Flow %s Yr1'!J32*'Revenue Input'!$E25))</f>
        <v/>
      </c>
      <c r="K37" s="60" t="str">
        <f>IF('Revenue Input'!$E25="","",IF('Cash Flow %s Yr1'!K32="","",'Cash Flow %s Yr1'!K32*'Revenue Input'!$E25))</f>
        <v/>
      </c>
      <c r="L37" s="60" t="str">
        <f>IF('Revenue Input'!$E25="","",IF('Cash Flow %s Yr1'!L32="","",'Cash Flow %s Yr1'!L32*'Revenue Input'!$E25))</f>
        <v/>
      </c>
      <c r="M37" s="60" t="str">
        <f>IF('Revenue Input'!$E25="","",IF('Cash Flow %s Yr1'!M32="","",'Cash Flow %s Yr1'!M32*'Revenue Input'!$E25))</f>
        <v/>
      </c>
      <c r="N37" s="60" t="str">
        <f>IF('Revenue Input'!$E25="","",IF('Cash Flow %s Yr1'!N32="","",'Cash Flow %s Yr1'!N32*'Revenue Input'!$E25))</f>
        <v/>
      </c>
      <c r="O37" s="60" t="str">
        <f>IF('Revenue Input'!$E25="","",IF('Cash Flow %s Yr1'!O32="","",'Cash Flow %s Yr1'!O32*'Revenue Input'!$E25))</f>
        <v/>
      </c>
      <c r="P37" s="60" t="str">
        <f>IF('Revenue Input'!$E25="","",IF('Cash Flow %s Yr1'!P32="","",'Cash Flow %s Yr1'!P32*'Revenue Input'!$E25))</f>
        <v/>
      </c>
      <c r="Q37" s="60" t="str">
        <f>IF('Revenue Input'!$E25="","",IF('Cash Flow %s Yr1'!Q32="","",'Cash Flow %s Yr1'!Q32*'Revenue Input'!$E25))</f>
        <v/>
      </c>
      <c r="R37" s="60" t="str">
        <f>IF('Revenue Input'!$E25="","",IF('Cash Flow %s Yr1'!R32="","",'Cash Flow %s Yr1'!R32*'Revenue Input'!$E25))</f>
        <v/>
      </c>
    </row>
    <row r="38" spans="1:18" s="30" customFormat="1" ht="17.399999999999999" x14ac:dyDescent="0.3">
      <c r="A38" s="45"/>
      <c r="B38" s="61">
        <f>'Revenue Input'!B26</f>
        <v>8299</v>
      </c>
      <c r="C38" s="61" t="str">
        <f>'Revenue Input'!C26</f>
        <v>Prior Year Federal Revenue</v>
      </c>
      <c r="D38" s="60" t="str">
        <f>IF('Revenue Input'!$E26="","",IF('Cash Flow %s Yr1'!D33="","",'Cash Flow %s Yr1'!D33*'Revenue Input'!$E26))</f>
        <v/>
      </c>
      <c r="E38" s="60" t="str">
        <f>IF('Revenue Input'!$E26="","",IF('Cash Flow %s Yr1'!E33="","",'Cash Flow %s Yr1'!E33*'Revenue Input'!$E26))</f>
        <v/>
      </c>
      <c r="F38" s="60" t="str">
        <f>IF('Revenue Input'!$E26="","",IF('Cash Flow %s Yr1'!F33="","",'Cash Flow %s Yr1'!F33*'Revenue Input'!$E26))</f>
        <v/>
      </c>
      <c r="G38" s="60" t="str">
        <f>IF('Revenue Input'!$E26="","",IF('Cash Flow %s Yr1'!G33="","",'Cash Flow %s Yr1'!G33*'Revenue Input'!$E26))</f>
        <v/>
      </c>
      <c r="H38" s="60" t="str">
        <f>IF('Revenue Input'!$E26="","",IF('Cash Flow %s Yr1'!H33="","",'Cash Flow %s Yr1'!H33*'Revenue Input'!$E26))</f>
        <v/>
      </c>
      <c r="I38" s="60" t="str">
        <f>IF('Revenue Input'!$E26="","",IF('Cash Flow %s Yr1'!I33="","",'Cash Flow %s Yr1'!I33*'Revenue Input'!$E26))</f>
        <v/>
      </c>
      <c r="J38" s="60" t="str">
        <f>IF('Revenue Input'!$E26="","",IF('Cash Flow %s Yr1'!J33="","",'Cash Flow %s Yr1'!J33*'Revenue Input'!$E26))</f>
        <v/>
      </c>
      <c r="K38" s="60" t="str">
        <f>IF('Revenue Input'!$E26="","",IF('Cash Flow %s Yr1'!K33="","",'Cash Flow %s Yr1'!K33*'Revenue Input'!$E26))</f>
        <v/>
      </c>
      <c r="L38" s="60" t="str">
        <f>IF('Revenue Input'!$E26="","",IF('Cash Flow %s Yr1'!L33="","",'Cash Flow %s Yr1'!L33*'Revenue Input'!$E26))</f>
        <v/>
      </c>
      <c r="M38" s="60" t="str">
        <f>IF('Revenue Input'!$E26="","",IF('Cash Flow %s Yr1'!M33="","",'Cash Flow %s Yr1'!M33*'Revenue Input'!$E26))</f>
        <v/>
      </c>
      <c r="N38" s="60" t="str">
        <f>IF('Revenue Input'!$E26="","",IF('Cash Flow %s Yr1'!N33="","",'Cash Flow %s Yr1'!N33*'Revenue Input'!$E26))</f>
        <v/>
      </c>
      <c r="O38" s="60" t="str">
        <f>IF('Revenue Input'!$E26="","",IF('Cash Flow %s Yr1'!O33="","",'Cash Flow %s Yr1'!O33*'Revenue Input'!$E26))</f>
        <v/>
      </c>
      <c r="P38" s="60" t="str">
        <f>IF('Revenue Input'!$E26="","",IF('Cash Flow %s Yr1'!P33="","",'Cash Flow %s Yr1'!P33*'Revenue Input'!$E26))</f>
        <v/>
      </c>
      <c r="Q38" s="60" t="str">
        <f>IF('Revenue Input'!$E26="","",IF('Cash Flow %s Yr1'!Q33="","",'Cash Flow %s Yr1'!Q33*'Revenue Input'!$E26))</f>
        <v/>
      </c>
      <c r="R38" s="60" t="str">
        <f>IF('Revenue Input'!$E26="","",IF('Cash Flow %s Yr1'!R33="","",'Cash Flow %s Yr1'!R33*'Revenue Input'!$E26))</f>
        <v/>
      </c>
    </row>
    <row r="39" spans="1:18" s="30" customFormat="1" ht="17.399999999999999" x14ac:dyDescent="0.3">
      <c r="A39" s="45"/>
      <c r="B39" s="69"/>
      <c r="C39" s="33" t="s">
        <v>1258</v>
      </c>
      <c r="D39" s="165">
        <f t="shared" ref="D39:R39" si="1">SUM(D31:D38)</f>
        <v>0</v>
      </c>
      <c r="E39" s="165">
        <f t="shared" si="1"/>
        <v>0</v>
      </c>
      <c r="F39" s="165">
        <f t="shared" si="1"/>
        <v>0</v>
      </c>
      <c r="G39" s="165">
        <f t="shared" si="1"/>
        <v>0</v>
      </c>
      <c r="H39" s="165">
        <f t="shared" si="1"/>
        <v>0</v>
      </c>
      <c r="I39" s="165">
        <f t="shared" si="1"/>
        <v>0</v>
      </c>
      <c r="J39" s="165">
        <f t="shared" si="1"/>
        <v>11042.75</v>
      </c>
      <c r="K39" s="165">
        <f t="shared" si="1"/>
        <v>0</v>
      </c>
      <c r="L39" s="165">
        <f t="shared" si="1"/>
        <v>0</v>
      </c>
      <c r="M39" s="165">
        <f t="shared" si="1"/>
        <v>22085.5</v>
      </c>
      <c r="N39" s="165">
        <f t="shared" si="1"/>
        <v>0</v>
      </c>
      <c r="O39" s="165">
        <f t="shared" si="1"/>
        <v>11042.75</v>
      </c>
      <c r="P39" s="165">
        <f t="shared" si="1"/>
        <v>0</v>
      </c>
      <c r="Q39" s="165">
        <f t="shared" si="1"/>
        <v>0</v>
      </c>
      <c r="R39" s="165">
        <f t="shared" si="1"/>
        <v>0</v>
      </c>
    </row>
    <row r="40" spans="1:18" s="30" customFormat="1" ht="17.399999999999999" x14ac:dyDescent="0.3">
      <c r="A40" s="45"/>
      <c r="B40" s="68"/>
      <c r="C40" s="48"/>
      <c r="D40" s="120"/>
      <c r="E40" s="120"/>
      <c r="F40" s="120"/>
      <c r="G40" s="120"/>
      <c r="H40" s="120"/>
      <c r="I40" s="120"/>
      <c r="J40" s="120"/>
      <c r="K40" s="120"/>
      <c r="L40" s="120"/>
      <c r="M40" s="120"/>
      <c r="N40" s="120"/>
      <c r="O40" s="120"/>
      <c r="P40" s="120"/>
      <c r="Q40" s="120"/>
      <c r="R40" s="120"/>
    </row>
    <row r="41" spans="1:18" s="30" customFormat="1" ht="17.399999999999999" x14ac:dyDescent="0.3">
      <c r="B41" s="45" t="s">
        <v>790</v>
      </c>
      <c r="C41" s="48"/>
      <c r="D41" s="120"/>
      <c r="E41" s="120"/>
      <c r="F41" s="120"/>
      <c r="G41" s="120"/>
      <c r="H41" s="120"/>
      <c r="I41" s="120"/>
      <c r="J41" s="120"/>
      <c r="K41" s="120"/>
      <c r="L41" s="120"/>
      <c r="M41" s="120"/>
      <c r="N41" s="120"/>
      <c r="O41" s="120"/>
      <c r="P41" s="120"/>
      <c r="Q41" s="120"/>
      <c r="R41" s="120"/>
    </row>
    <row r="42" spans="1:18" s="30" customFormat="1" ht="17.399999999999999" x14ac:dyDescent="0.3">
      <c r="A42" s="45"/>
      <c r="B42" s="61">
        <f>'Revenue Input'!B44</f>
        <v>8660</v>
      </c>
      <c r="C42" s="61" t="str">
        <f>'Revenue Input'!C44</f>
        <v>Interest</v>
      </c>
      <c r="D42" s="60">
        <f>IF('Revenue Input'!$E44="","",IF('Cash Flow %s Yr1'!D37="","",'Cash Flow %s Yr1'!D37*'Revenue Input'!$E44))</f>
        <v>498</v>
      </c>
      <c r="E42" s="60">
        <f>IF('Revenue Input'!$E44="","",IF('Cash Flow %s Yr1'!E37="","",'Cash Flow %s Yr1'!E37*'Revenue Input'!$E44))</f>
        <v>498</v>
      </c>
      <c r="F42" s="60">
        <f>IF('Revenue Input'!$E44="","",IF('Cash Flow %s Yr1'!F37="","",'Cash Flow %s Yr1'!F37*'Revenue Input'!$E44))</f>
        <v>498</v>
      </c>
      <c r="G42" s="60">
        <f>IF('Revenue Input'!$E44="","",IF('Cash Flow %s Yr1'!G37="","",'Cash Flow %s Yr1'!G37*'Revenue Input'!$E44))</f>
        <v>498</v>
      </c>
      <c r="H42" s="60">
        <f>IF('Revenue Input'!$E44="","",IF('Cash Flow %s Yr1'!H37="","",'Cash Flow %s Yr1'!H37*'Revenue Input'!$E44))</f>
        <v>498</v>
      </c>
      <c r="I42" s="60">
        <f>IF('Revenue Input'!$E44="","",IF('Cash Flow %s Yr1'!I37="","",'Cash Flow %s Yr1'!I37*'Revenue Input'!$E44))</f>
        <v>498</v>
      </c>
      <c r="J42" s="60">
        <f>IF('Revenue Input'!$E44="","",IF('Cash Flow %s Yr1'!J37="","",'Cash Flow %s Yr1'!J37*'Revenue Input'!$E44))</f>
        <v>498</v>
      </c>
      <c r="K42" s="60">
        <f>IF('Revenue Input'!$E44="","",IF('Cash Flow %s Yr1'!K37="","",'Cash Flow %s Yr1'!K37*'Revenue Input'!$E44))</f>
        <v>498</v>
      </c>
      <c r="L42" s="60">
        <f>IF('Revenue Input'!$E44="","",IF('Cash Flow %s Yr1'!L37="","",'Cash Flow %s Yr1'!L37*'Revenue Input'!$E44))</f>
        <v>504.00000000000006</v>
      </c>
      <c r="M42" s="60">
        <f>IF('Revenue Input'!$E44="","",IF('Cash Flow %s Yr1'!M37="","",'Cash Flow %s Yr1'!M37*'Revenue Input'!$E44))</f>
        <v>504.00000000000006</v>
      </c>
      <c r="N42" s="60">
        <f>IF('Revenue Input'!$E44="","",IF('Cash Flow %s Yr1'!N37="","",'Cash Flow %s Yr1'!N37*'Revenue Input'!$E44))</f>
        <v>504.00000000000006</v>
      </c>
      <c r="O42" s="60">
        <f>IF('Revenue Input'!$E44="","",IF('Cash Flow %s Yr1'!O37="","",'Cash Flow %s Yr1'!O37*'Revenue Input'!$E44))</f>
        <v>504.00000000000006</v>
      </c>
      <c r="P42" s="60" t="str">
        <f>IF('Revenue Input'!$E44="","",IF('Cash Flow %s Yr1'!P37="","",'Cash Flow %s Yr1'!P37*'Revenue Input'!$E44))</f>
        <v/>
      </c>
      <c r="Q42" s="60" t="str">
        <f>IF('Revenue Input'!$E44="","",IF('Cash Flow %s Yr1'!Q37="","",'Cash Flow %s Yr1'!Q37*'Revenue Input'!$E44))</f>
        <v/>
      </c>
      <c r="R42" s="60" t="str">
        <f>IF('Revenue Input'!$E44="","",IF('Cash Flow %s Yr1'!R37="","",'Cash Flow %s Yr1'!R37*'Revenue Input'!$E44))</f>
        <v/>
      </c>
    </row>
    <row r="43" spans="1:18" s="30" customFormat="1" ht="17.399999999999999" x14ac:dyDescent="0.3">
      <c r="A43" s="45"/>
      <c r="B43" s="61">
        <f>'Revenue Input'!B45</f>
        <v>8682</v>
      </c>
      <c r="C43" s="61" t="str">
        <f>'Revenue Input'!C45</f>
        <v>Foundation Grants / Donations</v>
      </c>
      <c r="D43" s="60">
        <f>IF('Revenue Input'!$E45="","",IF('Cash Flow %s Yr1'!D38="","",'Cash Flow %s Yr1'!D38*'Revenue Input'!$E45))</f>
        <v>0</v>
      </c>
      <c r="E43" s="60">
        <f>IF('Revenue Input'!$E45="","",IF('Cash Flow %s Yr1'!E38="","",'Cash Flow %s Yr1'!E38*'Revenue Input'!$E45))</f>
        <v>0</v>
      </c>
      <c r="F43" s="60">
        <f>IF('Revenue Input'!$E45="","",IF('Cash Flow %s Yr1'!F38="","",'Cash Flow %s Yr1'!F38*'Revenue Input'!$E45))</f>
        <v>0</v>
      </c>
      <c r="G43" s="60">
        <f>IF('Revenue Input'!$E45="","",IF('Cash Flow %s Yr1'!G38="","",'Cash Flow %s Yr1'!G38*'Revenue Input'!$E45))</f>
        <v>0</v>
      </c>
      <c r="H43" s="60">
        <f>IF('Revenue Input'!$E45="","",IF('Cash Flow %s Yr1'!H38="","",'Cash Flow %s Yr1'!H38*'Revenue Input'!$E45))</f>
        <v>0</v>
      </c>
      <c r="I43" s="60">
        <f>IF('Revenue Input'!$E45="","",IF('Cash Flow %s Yr1'!I38="","",'Cash Flow %s Yr1'!I38*'Revenue Input'!$E45))</f>
        <v>0</v>
      </c>
      <c r="J43" s="60">
        <f>IF('Revenue Input'!$E45="","",IF('Cash Flow %s Yr1'!J38="","",'Cash Flow %s Yr1'!J38*'Revenue Input'!$E45))</f>
        <v>0</v>
      </c>
      <c r="K43" s="60">
        <f>IF('Revenue Input'!$E45="","",IF('Cash Flow %s Yr1'!K38="","",'Cash Flow %s Yr1'!K38*'Revenue Input'!$E45))</f>
        <v>0</v>
      </c>
      <c r="L43" s="60">
        <f>IF('Revenue Input'!$E45="","",IF('Cash Flow %s Yr1'!L38="","",'Cash Flow %s Yr1'!L38*'Revenue Input'!$E45))</f>
        <v>0</v>
      </c>
      <c r="M43" s="60">
        <f>IF('Revenue Input'!$E45="","",IF('Cash Flow %s Yr1'!M38="","",'Cash Flow %s Yr1'!M38*'Revenue Input'!$E45))</f>
        <v>0</v>
      </c>
      <c r="N43" s="60">
        <f>IF('Revenue Input'!$E45="","",IF('Cash Flow %s Yr1'!N38="","",'Cash Flow %s Yr1'!N38*'Revenue Input'!$E45))</f>
        <v>0</v>
      </c>
      <c r="O43" s="60">
        <f>IF('Revenue Input'!$E45="","",IF('Cash Flow %s Yr1'!O38="","",'Cash Flow %s Yr1'!O38*'Revenue Input'!$E45))</f>
        <v>0</v>
      </c>
      <c r="P43" s="60" t="str">
        <f>IF('Revenue Input'!$E45="","",IF('Cash Flow %s Yr1'!P38="","",'Cash Flow %s Yr1'!P38*'Revenue Input'!$E45))</f>
        <v/>
      </c>
      <c r="Q43" s="60" t="str">
        <f>IF('Revenue Input'!$E45="","",IF('Cash Flow %s Yr1'!Q38="","",'Cash Flow %s Yr1'!Q38*'Revenue Input'!$E45))</f>
        <v/>
      </c>
      <c r="R43" s="60" t="str">
        <f>IF('Revenue Input'!$E45="","",IF('Cash Flow %s Yr1'!R38="","",'Cash Flow %s Yr1'!R38*'Revenue Input'!$E45))</f>
        <v/>
      </c>
    </row>
    <row r="44" spans="1:18" s="30" customFormat="1" ht="17.399999999999999" x14ac:dyDescent="0.3">
      <c r="A44" s="45"/>
      <c r="B44" s="61">
        <f>'Revenue Input'!B46</f>
        <v>8684</v>
      </c>
      <c r="C44" s="61" t="str">
        <f>'Revenue Input'!C46</f>
        <v>Student  Body (ASB) Fundraising Revenue</v>
      </c>
      <c r="D44" s="60" t="str">
        <f>IF('Revenue Input'!$E46="","",IF('Cash Flow %s Yr1'!D39="","",'Cash Flow %s Yr1'!D39*'Revenue Input'!$E46))</f>
        <v/>
      </c>
      <c r="E44" s="60" t="str">
        <f>IF('Revenue Input'!$E46="","",IF('Cash Flow %s Yr1'!E39="","",'Cash Flow %s Yr1'!E39*'Revenue Input'!$E46))</f>
        <v/>
      </c>
      <c r="F44" s="60" t="str">
        <f>IF('Revenue Input'!$E46="","",IF('Cash Flow %s Yr1'!F39="","",'Cash Flow %s Yr1'!F39*'Revenue Input'!$E46))</f>
        <v/>
      </c>
      <c r="G44" s="60" t="str">
        <f>IF('Revenue Input'!$E46="","",IF('Cash Flow %s Yr1'!G39="","",'Cash Flow %s Yr1'!G39*'Revenue Input'!$E46))</f>
        <v/>
      </c>
      <c r="H44" s="60" t="str">
        <f>IF('Revenue Input'!$E46="","",IF('Cash Flow %s Yr1'!H39="","",'Cash Flow %s Yr1'!H39*'Revenue Input'!$E46))</f>
        <v/>
      </c>
      <c r="I44" s="60" t="str">
        <f>IF('Revenue Input'!$E46="","",IF('Cash Flow %s Yr1'!I39="","",'Cash Flow %s Yr1'!I39*'Revenue Input'!$E46))</f>
        <v/>
      </c>
      <c r="J44" s="60" t="str">
        <f>IF('Revenue Input'!$E46="","",IF('Cash Flow %s Yr1'!J39="","",'Cash Flow %s Yr1'!J39*'Revenue Input'!$E46))</f>
        <v/>
      </c>
      <c r="K44" s="60" t="str">
        <f>IF('Revenue Input'!$E46="","",IF('Cash Flow %s Yr1'!K39="","",'Cash Flow %s Yr1'!K39*'Revenue Input'!$E46))</f>
        <v/>
      </c>
      <c r="L44" s="60" t="str">
        <f>IF('Revenue Input'!$E46="","",IF('Cash Flow %s Yr1'!L39="","",'Cash Flow %s Yr1'!L39*'Revenue Input'!$E46))</f>
        <v/>
      </c>
      <c r="M44" s="60" t="str">
        <f>IF('Revenue Input'!$E46="","",IF('Cash Flow %s Yr1'!M39="","",'Cash Flow %s Yr1'!M39*'Revenue Input'!$E46))</f>
        <v/>
      </c>
      <c r="N44" s="60" t="str">
        <f>IF('Revenue Input'!$E46="","",IF('Cash Flow %s Yr1'!N39="","",'Cash Flow %s Yr1'!N39*'Revenue Input'!$E46))</f>
        <v/>
      </c>
      <c r="O44" s="60" t="str">
        <f>IF('Revenue Input'!$E46="","",IF('Cash Flow %s Yr1'!O39="","",'Cash Flow %s Yr1'!O39*'Revenue Input'!$E46))</f>
        <v/>
      </c>
      <c r="P44" s="60" t="str">
        <f>IF('Revenue Input'!$E46="","",IF('Cash Flow %s Yr1'!P39="","",'Cash Flow %s Yr1'!P39*'Revenue Input'!$E46))</f>
        <v/>
      </c>
      <c r="Q44" s="60" t="str">
        <f>IF('Revenue Input'!$E46="","",IF('Cash Flow %s Yr1'!Q39="","",'Cash Flow %s Yr1'!Q39*'Revenue Input'!$E46))</f>
        <v/>
      </c>
      <c r="R44" s="60" t="str">
        <f>IF('Revenue Input'!$E46="","",IF('Cash Flow %s Yr1'!R39="","",'Cash Flow %s Yr1'!R39*'Revenue Input'!$E46))</f>
        <v/>
      </c>
    </row>
    <row r="45" spans="1:18" s="30" customFormat="1" x14ac:dyDescent="0.3">
      <c r="A45" s="47"/>
      <c r="B45" s="61">
        <f>'Revenue Input'!B47</f>
        <v>8685</v>
      </c>
      <c r="C45" s="61" t="str">
        <f>'Revenue Input'!C47</f>
        <v>School Site Fundraising</v>
      </c>
      <c r="D45" s="60">
        <f>IF('Revenue Input'!$E47="","",IF('Cash Flow %s Yr1'!D40="","",'Cash Flow %s Yr1'!D40*'Revenue Input'!$E47))</f>
        <v>0</v>
      </c>
      <c r="E45" s="60">
        <f>IF('Revenue Input'!$E47="","",IF('Cash Flow %s Yr1'!E40="","",'Cash Flow %s Yr1'!E40*'Revenue Input'!$E47))</f>
        <v>0</v>
      </c>
      <c r="F45" s="60">
        <f>IF('Revenue Input'!$E47="","",IF('Cash Flow %s Yr1'!F40="","",'Cash Flow %s Yr1'!F40*'Revenue Input'!$E47))</f>
        <v>500</v>
      </c>
      <c r="G45" s="60">
        <f>IF('Revenue Input'!$E47="","",IF('Cash Flow %s Yr1'!G40="","",'Cash Flow %s Yr1'!G40*'Revenue Input'!$E47))</f>
        <v>500</v>
      </c>
      <c r="H45" s="60">
        <f>IF('Revenue Input'!$E47="","",IF('Cash Flow %s Yr1'!H40="","",'Cash Flow %s Yr1'!H40*'Revenue Input'!$E47))</f>
        <v>500</v>
      </c>
      <c r="I45" s="60">
        <f>IF('Revenue Input'!$E47="","",IF('Cash Flow %s Yr1'!I40="","",'Cash Flow %s Yr1'!I40*'Revenue Input'!$E47))</f>
        <v>500</v>
      </c>
      <c r="J45" s="60">
        <f>IF('Revenue Input'!$E47="","",IF('Cash Flow %s Yr1'!J40="","",'Cash Flow %s Yr1'!J40*'Revenue Input'!$E47))</f>
        <v>500</v>
      </c>
      <c r="K45" s="60">
        <f>IF('Revenue Input'!$E47="","",IF('Cash Flow %s Yr1'!K40="","",'Cash Flow %s Yr1'!K40*'Revenue Input'!$E47))</f>
        <v>500</v>
      </c>
      <c r="L45" s="60">
        <f>IF('Revenue Input'!$E47="","",IF('Cash Flow %s Yr1'!L40="","",'Cash Flow %s Yr1'!L40*'Revenue Input'!$E47))</f>
        <v>500</v>
      </c>
      <c r="M45" s="60">
        <f>IF('Revenue Input'!$E47="","",IF('Cash Flow %s Yr1'!M40="","",'Cash Flow %s Yr1'!M40*'Revenue Input'!$E47))</f>
        <v>500</v>
      </c>
      <c r="N45" s="60">
        <f>IF('Revenue Input'!$E47="","",IF('Cash Flow %s Yr1'!N40="","",'Cash Flow %s Yr1'!N40*'Revenue Input'!$E47))</f>
        <v>500</v>
      </c>
      <c r="O45" s="60">
        <f>IF('Revenue Input'!$E47="","",IF('Cash Flow %s Yr1'!O40="","",'Cash Flow %s Yr1'!O40*'Revenue Input'!$E47))</f>
        <v>500</v>
      </c>
      <c r="P45" s="60" t="str">
        <f>IF('Revenue Input'!$E47="","",IF('Cash Flow %s Yr1'!P40="","",'Cash Flow %s Yr1'!P40*'Revenue Input'!$E47))</f>
        <v/>
      </c>
      <c r="Q45" s="60" t="str">
        <f>IF('Revenue Input'!$E47="","",IF('Cash Flow %s Yr1'!Q40="","",'Cash Flow %s Yr1'!Q40*'Revenue Input'!$E47))</f>
        <v/>
      </c>
      <c r="R45" s="60" t="str">
        <f>IF('Revenue Input'!$E47="","",IF('Cash Flow %s Yr1'!R40="","",'Cash Flow %s Yr1'!R40*'Revenue Input'!$E47))</f>
        <v/>
      </c>
    </row>
    <row r="46" spans="1:18" s="30" customFormat="1" x14ac:dyDescent="0.3">
      <c r="A46" s="48"/>
      <c r="B46" s="61">
        <f>'Revenue Input'!B48</f>
        <v>8686</v>
      </c>
      <c r="C46" s="61" t="str">
        <f>'Revenue Input'!C48</f>
        <v>Donations</v>
      </c>
      <c r="D46" s="60" t="str">
        <f>IF('Revenue Input'!$E48="","",IF('Cash Flow %s Yr1'!D41="","",'Cash Flow %s Yr1'!D41*'Revenue Input'!$E48))</f>
        <v/>
      </c>
      <c r="E46" s="60" t="str">
        <f>IF('Revenue Input'!$E48="","",IF('Cash Flow %s Yr1'!E41="","",'Cash Flow %s Yr1'!E41*'Revenue Input'!$E48))</f>
        <v/>
      </c>
      <c r="F46" s="60" t="str">
        <f>IF('Revenue Input'!$E48="","",IF('Cash Flow %s Yr1'!F41="","",'Cash Flow %s Yr1'!F41*'Revenue Input'!$E48))</f>
        <v/>
      </c>
      <c r="G46" s="60" t="str">
        <f>IF('Revenue Input'!$E48="","",IF('Cash Flow %s Yr1'!G41="","",'Cash Flow %s Yr1'!G41*'Revenue Input'!$E48))</f>
        <v/>
      </c>
      <c r="H46" s="60" t="str">
        <f>IF('Revenue Input'!$E48="","",IF('Cash Flow %s Yr1'!H41="","",'Cash Flow %s Yr1'!H41*'Revenue Input'!$E48))</f>
        <v/>
      </c>
      <c r="I46" s="60" t="str">
        <f>IF('Revenue Input'!$E48="","",IF('Cash Flow %s Yr1'!I41="","",'Cash Flow %s Yr1'!I41*'Revenue Input'!$E48))</f>
        <v/>
      </c>
      <c r="J46" s="60" t="str">
        <f>IF('Revenue Input'!$E48="","",IF('Cash Flow %s Yr1'!J41="","",'Cash Flow %s Yr1'!J41*'Revenue Input'!$E48))</f>
        <v/>
      </c>
      <c r="K46" s="60" t="str">
        <f>IF('Revenue Input'!$E48="","",IF('Cash Flow %s Yr1'!K41="","",'Cash Flow %s Yr1'!K41*'Revenue Input'!$E48))</f>
        <v/>
      </c>
      <c r="L46" s="60" t="str">
        <f>IF('Revenue Input'!$E48="","",IF('Cash Flow %s Yr1'!L41="","",'Cash Flow %s Yr1'!L41*'Revenue Input'!$E48))</f>
        <v/>
      </c>
      <c r="M46" s="60" t="str">
        <f>IF('Revenue Input'!$E48="","",IF('Cash Flow %s Yr1'!M41="","",'Cash Flow %s Yr1'!M41*'Revenue Input'!$E48))</f>
        <v/>
      </c>
      <c r="N46" s="60" t="str">
        <f>IF('Revenue Input'!$E48="","",IF('Cash Flow %s Yr1'!N41="","",'Cash Flow %s Yr1'!N41*'Revenue Input'!$E48))</f>
        <v/>
      </c>
      <c r="O46" s="60" t="str">
        <f>IF('Revenue Input'!$E48="","",IF('Cash Flow %s Yr1'!O41="","",'Cash Flow %s Yr1'!O41*'Revenue Input'!$E48))</f>
        <v/>
      </c>
      <c r="P46" s="60" t="str">
        <f>IF('Revenue Input'!$E48="","",IF('Cash Flow %s Yr1'!P41="","",'Cash Flow %s Yr1'!P41*'Revenue Input'!$E48))</f>
        <v/>
      </c>
      <c r="Q46" s="60" t="str">
        <f>IF('Revenue Input'!$E48="","",IF('Cash Flow %s Yr1'!Q41="","",'Cash Flow %s Yr1'!Q41*'Revenue Input'!$E48))</f>
        <v/>
      </c>
      <c r="R46" s="60" t="str">
        <f>IF('Revenue Input'!$E48="","",IF('Cash Flow %s Yr1'!R41="","",'Cash Flow %s Yr1'!R41*'Revenue Input'!$E48))</f>
        <v/>
      </c>
    </row>
    <row r="47" spans="1:18" s="30" customFormat="1" ht="17.399999999999999" x14ac:dyDescent="0.3">
      <c r="A47" s="45"/>
      <c r="B47" s="61">
        <f>'Revenue Input'!B49</f>
        <v>8687</v>
      </c>
      <c r="C47" s="61" t="str">
        <f>'Revenue Input'!C49</f>
        <v>Fund Development</v>
      </c>
      <c r="D47" s="60" t="str">
        <f>IF('Revenue Input'!$E49="","",IF('Cash Flow %s Yr1'!D42="","",'Cash Flow %s Yr1'!D42*'Revenue Input'!$E49))</f>
        <v/>
      </c>
      <c r="E47" s="60" t="str">
        <f>IF('Revenue Input'!$E49="","",IF('Cash Flow %s Yr1'!E42="","",'Cash Flow %s Yr1'!E42*'Revenue Input'!$E49))</f>
        <v/>
      </c>
      <c r="F47" s="60" t="str">
        <f>IF('Revenue Input'!$E49="","",IF('Cash Flow %s Yr1'!F42="","",'Cash Flow %s Yr1'!F42*'Revenue Input'!$E49))</f>
        <v/>
      </c>
      <c r="G47" s="60" t="str">
        <f>IF('Revenue Input'!$E49="","",IF('Cash Flow %s Yr1'!G42="","",'Cash Flow %s Yr1'!G42*'Revenue Input'!$E49))</f>
        <v/>
      </c>
      <c r="H47" s="60" t="str">
        <f>IF('Revenue Input'!$E49="","",IF('Cash Flow %s Yr1'!H42="","",'Cash Flow %s Yr1'!H42*'Revenue Input'!$E49))</f>
        <v/>
      </c>
      <c r="I47" s="60" t="str">
        <f>IF('Revenue Input'!$E49="","",IF('Cash Flow %s Yr1'!I42="","",'Cash Flow %s Yr1'!I42*'Revenue Input'!$E49))</f>
        <v/>
      </c>
      <c r="J47" s="60" t="str">
        <f>IF('Revenue Input'!$E49="","",IF('Cash Flow %s Yr1'!J42="","",'Cash Flow %s Yr1'!J42*'Revenue Input'!$E49))</f>
        <v/>
      </c>
      <c r="K47" s="60" t="str">
        <f>IF('Revenue Input'!$E49="","",IF('Cash Flow %s Yr1'!K42="","",'Cash Flow %s Yr1'!K42*'Revenue Input'!$E49))</f>
        <v/>
      </c>
      <c r="L47" s="60" t="str">
        <f>IF('Revenue Input'!$E49="","",IF('Cash Flow %s Yr1'!L42="","",'Cash Flow %s Yr1'!L42*'Revenue Input'!$E49))</f>
        <v/>
      </c>
      <c r="M47" s="60" t="str">
        <f>IF('Revenue Input'!$E49="","",IF('Cash Flow %s Yr1'!M42="","",'Cash Flow %s Yr1'!M42*'Revenue Input'!$E49))</f>
        <v/>
      </c>
      <c r="N47" s="60" t="str">
        <f>IF('Revenue Input'!$E49="","",IF('Cash Flow %s Yr1'!N42="","",'Cash Flow %s Yr1'!N42*'Revenue Input'!$E49))</f>
        <v/>
      </c>
      <c r="O47" s="60" t="str">
        <f>IF('Revenue Input'!$E49="","",IF('Cash Flow %s Yr1'!O42="","",'Cash Flow %s Yr1'!O42*'Revenue Input'!$E49))</f>
        <v/>
      </c>
      <c r="P47" s="60" t="str">
        <f>IF('Revenue Input'!$E49="","",IF('Cash Flow %s Yr1'!P42="","",'Cash Flow %s Yr1'!P42*'Revenue Input'!$E49))</f>
        <v/>
      </c>
      <c r="Q47" s="60" t="str">
        <f>IF('Revenue Input'!$E49="","",IF('Cash Flow %s Yr1'!Q42="","",'Cash Flow %s Yr1'!Q42*'Revenue Input'!$E49))</f>
        <v/>
      </c>
      <c r="R47" s="60" t="str">
        <f>IF('Revenue Input'!$E49="","",IF('Cash Flow %s Yr1'!R42="","",'Cash Flow %s Yr1'!R42*'Revenue Input'!$E49))</f>
        <v/>
      </c>
    </row>
    <row r="48" spans="1:18" s="30" customFormat="1" ht="17.399999999999999" x14ac:dyDescent="0.3">
      <c r="A48" s="45"/>
      <c r="B48" s="61">
        <f>'Revenue Input'!B50</f>
        <v>8688</v>
      </c>
      <c r="C48" s="61" t="str">
        <f>'Revenue Input'!C50</f>
        <v>In Kind Contributions</v>
      </c>
      <c r="D48" s="60" t="str">
        <f>IF('Revenue Input'!$E50="","",IF('Cash Flow %s Yr1'!D43="","",'Cash Flow %s Yr1'!D43*'Revenue Input'!$E50))</f>
        <v/>
      </c>
      <c r="E48" s="60" t="str">
        <f>IF('Revenue Input'!$E50="","",IF('Cash Flow %s Yr1'!E43="","",'Cash Flow %s Yr1'!E43*'Revenue Input'!$E50))</f>
        <v/>
      </c>
      <c r="F48" s="60" t="str">
        <f>IF('Revenue Input'!$E50="","",IF('Cash Flow %s Yr1'!F43="","",'Cash Flow %s Yr1'!F43*'Revenue Input'!$E50))</f>
        <v/>
      </c>
      <c r="G48" s="60" t="str">
        <f>IF('Revenue Input'!$E50="","",IF('Cash Flow %s Yr1'!G43="","",'Cash Flow %s Yr1'!G43*'Revenue Input'!$E50))</f>
        <v/>
      </c>
      <c r="H48" s="60" t="str">
        <f>IF('Revenue Input'!$E50="","",IF('Cash Flow %s Yr1'!H43="","",'Cash Flow %s Yr1'!H43*'Revenue Input'!$E50))</f>
        <v/>
      </c>
      <c r="I48" s="60" t="str">
        <f>IF('Revenue Input'!$E50="","",IF('Cash Flow %s Yr1'!I43="","",'Cash Flow %s Yr1'!I43*'Revenue Input'!$E50))</f>
        <v/>
      </c>
      <c r="J48" s="60" t="str">
        <f>IF('Revenue Input'!$E50="","",IF('Cash Flow %s Yr1'!J43="","",'Cash Flow %s Yr1'!J43*'Revenue Input'!$E50))</f>
        <v/>
      </c>
      <c r="K48" s="60" t="str">
        <f>IF('Revenue Input'!$E50="","",IF('Cash Flow %s Yr1'!K43="","",'Cash Flow %s Yr1'!K43*'Revenue Input'!$E50))</f>
        <v/>
      </c>
      <c r="L48" s="60" t="str">
        <f>IF('Revenue Input'!$E50="","",IF('Cash Flow %s Yr1'!L43="","",'Cash Flow %s Yr1'!L43*'Revenue Input'!$E50))</f>
        <v/>
      </c>
      <c r="M48" s="60" t="str">
        <f>IF('Revenue Input'!$E50="","",IF('Cash Flow %s Yr1'!M43="","",'Cash Flow %s Yr1'!M43*'Revenue Input'!$E50))</f>
        <v/>
      </c>
      <c r="N48" s="60" t="str">
        <f>IF('Revenue Input'!$E50="","",IF('Cash Flow %s Yr1'!N43="","",'Cash Flow %s Yr1'!N43*'Revenue Input'!$E50))</f>
        <v/>
      </c>
      <c r="O48" s="60" t="str">
        <f>IF('Revenue Input'!$E50="","",IF('Cash Flow %s Yr1'!O43="","",'Cash Flow %s Yr1'!O43*'Revenue Input'!$E50))</f>
        <v/>
      </c>
      <c r="P48" s="60" t="str">
        <f>IF('Revenue Input'!$E50="","",IF('Cash Flow %s Yr1'!P43="","",'Cash Flow %s Yr1'!P43*'Revenue Input'!$E50))</f>
        <v/>
      </c>
      <c r="Q48" s="60" t="str">
        <f>IF('Revenue Input'!$E50="","",IF('Cash Flow %s Yr1'!Q43="","",'Cash Flow %s Yr1'!Q43*'Revenue Input'!$E50))</f>
        <v/>
      </c>
      <c r="R48" s="60" t="str">
        <f>IF('Revenue Input'!$E50="","",IF('Cash Flow %s Yr1'!R43="","",'Cash Flow %s Yr1'!R43*'Revenue Input'!$E50))</f>
        <v/>
      </c>
    </row>
    <row r="49" spans="1:18" s="30" customFormat="1" ht="17.399999999999999" x14ac:dyDescent="0.3">
      <c r="A49" s="45"/>
      <c r="B49" s="61">
        <f>'Revenue Input'!B51</f>
        <v>8689</v>
      </c>
      <c r="C49" s="61" t="str">
        <f>'Revenue Input'!C51</f>
        <v xml:space="preserve">All Other Local Revenue </v>
      </c>
      <c r="D49" s="60" t="str">
        <f>IF('Revenue Input'!$E51="","",IF('Cash Flow %s Yr1'!D44="","",'Cash Flow %s Yr1'!D44*'Revenue Input'!$E51))</f>
        <v/>
      </c>
      <c r="E49" s="60" t="str">
        <f>IF('Revenue Input'!$E51="","",IF('Cash Flow %s Yr1'!E44="","",'Cash Flow %s Yr1'!E44*'Revenue Input'!$E51))</f>
        <v/>
      </c>
      <c r="F49" s="60" t="str">
        <f>IF('Revenue Input'!$E51="","",IF('Cash Flow %s Yr1'!F44="","",'Cash Flow %s Yr1'!F44*'Revenue Input'!$E51))</f>
        <v/>
      </c>
      <c r="G49" s="60" t="str">
        <f>IF('Revenue Input'!$E51="","",IF('Cash Flow %s Yr1'!G44="","",'Cash Flow %s Yr1'!G44*'Revenue Input'!$E51))</f>
        <v/>
      </c>
      <c r="H49" s="60" t="str">
        <f>IF('Revenue Input'!$E51="","",IF('Cash Flow %s Yr1'!H44="","",'Cash Flow %s Yr1'!H44*'Revenue Input'!$E51))</f>
        <v/>
      </c>
      <c r="I49" s="60" t="str">
        <f>IF('Revenue Input'!$E51="","",IF('Cash Flow %s Yr1'!I44="","",'Cash Flow %s Yr1'!I44*'Revenue Input'!$E51))</f>
        <v/>
      </c>
      <c r="J49" s="60" t="str">
        <f>IF('Revenue Input'!$E51="","",IF('Cash Flow %s Yr1'!J44="","",'Cash Flow %s Yr1'!J44*'Revenue Input'!$E51))</f>
        <v/>
      </c>
      <c r="K49" s="60" t="str">
        <f>IF('Revenue Input'!$E51="","",IF('Cash Flow %s Yr1'!K44="","",'Cash Flow %s Yr1'!K44*'Revenue Input'!$E51))</f>
        <v/>
      </c>
      <c r="L49" s="60" t="str">
        <f>IF('Revenue Input'!$E51="","",IF('Cash Flow %s Yr1'!L44="","",'Cash Flow %s Yr1'!L44*'Revenue Input'!$E51))</f>
        <v/>
      </c>
      <c r="M49" s="60" t="str">
        <f>IF('Revenue Input'!$E51="","",IF('Cash Flow %s Yr1'!M44="","",'Cash Flow %s Yr1'!M44*'Revenue Input'!$E51))</f>
        <v/>
      </c>
      <c r="N49" s="60" t="str">
        <f>IF('Revenue Input'!$E51="","",IF('Cash Flow %s Yr1'!N44="","",'Cash Flow %s Yr1'!N44*'Revenue Input'!$E51))</f>
        <v/>
      </c>
      <c r="O49" s="60" t="str">
        <f>IF('Revenue Input'!$E51="","",IF('Cash Flow %s Yr1'!O44="","",'Cash Flow %s Yr1'!O44*'Revenue Input'!$E51))</f>
        <v/>
      </c>
      <c r="P49" s="60" t="str">
        <f>IF('Revenue Input'!$E51="","",IF('Cash Flow %s Yr1'!P44="","",'Cash Flow %s Yr1'!P44*'Revenue Input'!$E51))</f>
        <v/>
      </c>
      <c r="Q49" s="60" t="str">
        <f>IF('Revenue Input'!$E51="","",IF('Cash Flow %s Yr1'!Q44="","",'Cash Flow %s Yr1'!Q44*'Revenue Input'!$E51))</f>
        <v/>
      </c>
      <c r="R49" s="60" t="str">
        <f>IF('Revenue Input'!$E51="","",IF('Cash Flow %s Yr1'!R44="","",'Cash Flow %s Yr1'!R44*'Revenue Input'!$E51))</f>
        <v/>
      </c>
    </row>
    <row r="50" spans="1:18" s="30" customFormat="1" ht="17.399999999999999" x14ac:dyDescent="0.3">
      <c r="A50" s="45"/>
      <c r="B50" s="61">
        <f>'Revenue Input'!B52</f>
        <v>8699</v>
      </c>
      <c r="C50" s="61" t="str">
        <f>'Revenue Input'!C52</f>
        <v xml:space="preserve">All Other Local Revenue </v>
      </c>
      <c r="D50" s="60">
        <f>IF('Revenue Input'!$E52="","",IF('Cash Flow %s Yr1'!D45="","",'Cash Flow %s Yr1'!D45*'Revenue Input'!$E52))</f>
        <v>0</v>
      </c>
      <c r="E50" s="60">
        <f>IF('Revenue Input'!$E52="","",IF('Cash Flow %s Yr1'!E45="","",'Cash Flow %s Yr1'!E45*'Revenue Input'!$E52))</f>
        <v>0</v>
      </c>
      <c r="F50" s="60">
        <f>IF('Revenue Input'!$E52="","",IF('Cash Flow %s Yr1'!F45="","",'Cash Flow %s Yr1'!F45*'Revenue Input'!$E52))</f>
        <v>0</v>
      </c>
      <c r="G50" s="60">
        <f>IF('Revenue Input'!$E52="","",IF('Cash Flow %s Yr1'!G45="","",'Cash Flow %s Yr1'!G45*'Revenue Input'!$E52))</f>
        <v>0</v>
      </c>
      <c r="H50" s="60">
        <f>IF('Revenue Input'!$E52="","",IF('Cash Flow %s Yr1'!H45="","",'Cash Flow %s Yr1'!H45*'Revenue Input'!$E52))</f>
        <v>0</v>
      </c>
      <c r="I50" s="60">
        <f>IF('Revenue Input'!$E52="","",IF('Cash Flow %s Yr1'!I45="","",'Cash Flow %s Yr1'!I45*'Revenue Input'!$E52))</f>
        <v>0</v>
      </c>
      <c r="J50" s="60">
        <f>IF('Revenue Input'!$E52="","",IF('Cash Flow %s Yr1'!J45="","",'Cash Flow %s Yr1'!J45*'Revenue Input'!$E52))</f>
        <v>0</v>
      </c>
      <c r="K50" s="60">
        <f>IF('Revenue Input'!$E52="","",IF('Cash Flow %s Yr1'!K45="","",'Cash Flow %s Yr1'!K45*'Revenue Input'!$E52))</f>
        <v>0</v>
      </c>
      <c r="L50" s="60">
        <f>IF('Revenue Input'!$E52="","",IF('Cash Flow %s Yr1'!L45="","",'Cash Flow %s Yr1'!L45*'Revenue Input'!$E52))</f>
        <v>0</v>
      </c>
      <c r="M50" s="60">
        <f>IF('Revenue Input'!$E52="","",IF('Cash Flow %s Yr1'!M45="","",'Cash Flow %s Yr1'!M45*'Revenue Input'!$E52))</f>
        <v>0</v>
      </c>
      <c r="N50" s="60">
        <f>IF('Revenue Input'!$E52="","",IF('Cash Flow %s Yr1'!N45="","",'Cash Flow %s Yr1'!N45*'Revenue Input'!$E52))</f>
        <v>0</v>
      </c>
      <c r="O50" s="60">
        <f>IF('Revenue Input'!$E52="","",IF('Cash Flow %s Yr1'!O45="","",'Cash Flow %s Yr1'!O45*'Revenue Input'!$E52))</f>
        <v>0</v>
      </c>
      <c r="P50" s="60" t="str">
        <f>IF('Revenue Input'!$E52="","",IF('Cash Flow %s Yr1'!P45="","",'Cash Flow %s Yr1'!P45*'Revenue Input'!$E52))</f>
        <v/>
      </c>
      <c r="Q50" s="60" t="str">
        <f>IF('Revenue Input'!$E52="","",IF('Cash Flow %s Yr1'!Q45="","",'Cash Flow %s Yr1'!Q45*'Revenue Input'!$E52))</f>
        <v/>
      </c>
      <c r="R50" s="60" t="str">
        <f>IF('Revenue Input'!$E52="","",IF('Cash Flow %s Yr1'!R45="","",'Cash Flow %s Yr1'!R45*'Revenue Input'!$E52))</f>
        <v/>
      </c>
    </row>
    <row r="51" spans="1:18" s="30" customFormat="1" ht="17.399999999999999" x14ac:dyDescent="0.3">
      <c r="A51" s="45"/>
      <c r="B51" s="61">
        <f>'Revenue Input'!B53</f>
        <v>8792</v>
      </c>
      <c r="C51" s="61" t="str">
        <f>'Revenue Input'!C53</f>
        <v>SPED State/Other Transfers of Apportionments from County</v>
      </c>
      <c r="D51" s="60" t="str">
        <f>IF('Revenue Input'!$E53="","",IF('Cash Flow %s Yr1'!D46="","",'Cash Flow %s Yr1'!D46*'Revenue Input'!$E53))</f>
        <v/>
      </c>
      <c r="E51" s="60" t="str">
        <f>IF('Revenue Input'!$E53="","",IF('Cash Flow %s Yr1'!E46="","",'Cash Flow %s Yr1'!E46*'Revenue Input'!$E53))</f>
        <v/>
      </c>
      <c r="F51" s="60" t="str">
        <f>IF('Revenue Input'!$E53="","",IF('Cash Flow %s Yr1'!F46="","",'Cash Flow %s Yr1'!F46*'Revenue Input'!$E53))</f>
        <v/>
      </c>
      <c r="G51" s="60" t="str">
        <f>IF('Revenue Input'!$E53="","",IF('Cash Flow %s Yr1'!G46="","",'Cash Flow %s Yr1'!G46*'Revenue Input'!$E53))</f>
        <v/>
      </c>
      <c r="H51" s="60" t="str">
        <f>IF('Revenue Input'!$E53="","",IF('Cash Flow %s Yr1'!H46="","",'Cash Flow %s Yr1'!H46*'Revenue Input'!$E53))</f>
        <v/>
      </c>
      <c r="I51" s="60" t="str">
        <f>IF('Revenue Input'!$E53="","",IF('Cash Flow %s Yr1'!I46="","",'Cash Flow %s Yr1'!I46*'Revenue Input'!$E53))</f>
        <v/>
      </c>
      <c r="J51" s="60" t="str">
        <f>IF('Revenue Input'!$E53="","",IF('Cash Flow %s Yr1'!J46="","",'Cash Flow %s Yr1'!J46*'Revenue Input'!$E53))</f>
        <v/>
      </c>
      <c r="K51" s="60" t="str">
        <f>IF('Revenue Input'!$E53="","",IF('Cash Flow %s Yr1'!K46="","",'Cash Flow %s Yr1'!K46*'Revenue Input'!$E53))</f>
        <v/>
      </c>
      <c r="L51" s="60" t="str">
        <f>IF('Revenue Input'!$E53="","",IF('Cash Flow %s Yr1'!L46="","",'Cash Flow %s Yr1'!L46*'Revenue Input'!$E53))</f>
        <v/>
      </c>
      <c r="M51" s="60" t="str">
        <f>IF('Revenue Input'!$E53="","",IF('Cash Flow %s Yr1'!M46="","",'Cash Flow %s Yr1'!M46*'Revenue Input'!$E53))</f>
        <v/>
      </c>
      <c r="N51" s="60" t="str">
        <f>IF('Revenue Input'!$E53="","",IF('Cash Flow %s Yr1'!N46="","",'Cash Flow %s Yr1'!N46*'Revenue Input'!$E53))</f>
        <v/>
      </c>
      <c r="O51" s="60" t="str">
        <f>IF('Revenue Input'!$E53="","",IF('Cash Flow %s Yr1'!O46="","",'Cash Flow %s Yr1'!O46*'Revenue Input'!$E53))</f>
        <v/>
      </c>
      <c r="P51" s="60" t="str">
        <f>IF('Revenue Input'!$E53="","",IF('Cash Flow %s Yr1'!P46="","",'Cash Flow %s Yr1'!P46*'Revenue Input'!$E53))</f>
        <v/>
      </c>
      <c r="Q51" s="60" t="str">
        <f>IF('Revenue Input'!$E53="","",IF('Cash Flow %s Yr1'!Q46="","",'Cash Flow %s Yr1'!Q46*'Revenue Input'!$E53))</f>
        <v/>
      </c>
      <c r="R51" s="60" t="str">
        <f>IF('Revenue Input'!$E53="","",IF('Cash Flow %s Yr1'!R46="","",'Cash Flow %s Yr1'!R46*'Revenue Input'!$E53))</f>
        <v/>
      </c>
    </row>
    <row r="52" spans="1:18" s="30" customFormat="1" ht="17.399999999999999" x14ac:dyDescent="0.3">
      <c r="A52" s="45"/>
      <c r="B52" s="61">
        <f>'Revenue Input'!B55</f>
        <v>8984</v>
      </c>
      <c r="C52" s="61" t="str">
        <f>'Revenue Input'!C55</f>
        <v>Student Body (ASB Fundraising)</v>
      </c>
      <c r="D52" s="60" t="str">
        <f>IF('Revenue Input'!$E55="","",IF('Cash Flow %s Yr1'!D47="","",'Cash Flow %s Yr1'!D47*'Revenue Input'!$E55))</f>
        <v/>
      </c>
      <c r="E52" s="60" t="str">
        <f>IF('Revenue Input'!$E55="","",IF('Cash Flow %s Yr1'!E47="","",'Cash Flow %s Yr1'!E47*'Revenue Input'!$E55))</f>
        <v/>
      </c>
      <c r="F52" s="60" t="str">
        <f>IF('Revenue Input'!$E55="","",IF('Cash Flow %s Yr1'!F47="","",'Cash Flow %s Yr1'!F47*'Revenue Input'!$E55))</f>
        <v/>
      </c>
      <c r="G52" s="60" t="str">
        <f>IF('Revenue Input'!$E55="","",IF('Cash Flow %s Yr1'!G47="","",'Cash Flow %s Yr1'!G47*'Revenue Input'!$E55))</f>
        <v/>
      </c>
      <c r="H52" s="60" t="str">
        <f>IF('Revenue Input'!$E55="","",IF('Cash Flow %s Yr1'!H47="","",'Cash Flow %s Yr1'!H47*'Revenue Input'!$E55))</f>
        <v/>
      </c>
      <c r="I52" s="60" t="str">
        <f>IF('Revenue Input'!$E55="","",IF('Cash Flow %s Yr1'!I47="","",'Cash Flow %s Yr1'!I47*'Revenue Input'!$E55))</f>
        <v/>
      </c>
      <c r="J52" s="60" t="str">
        <f>IF('Revenue Input'!$E55="","",IF('Cash Flow %s Yr1'!J47="","",'Cash Flow %s Yr1'!J47*'Revenue Input'!$E55))</f>
        <v/>
      </c>
      <c r="K52" s="60" t="str">
        <f>IF('Revenue Input'!$E55="","",IF('Cash Flow %s Yr1'!K47="","",'Cash Flow %s Yr1'!K47*'Revenue Input'!$E55))</f>
        <v/>
      </c>
      <c r="L52" s="60" t="str">
        <f>IF('Revenue Input'!$E55="","",IF('Cash Flow %s Yr1'!L47="","",'Cash Flow %s Yr1'!L47*'Revenue Input'!$E55))</f>
        <v/>
      </c>
      <c r="M52" s="60" t="str">
        <f>IF('Revenue Input'!$E55="","",IF('Cash Flow %s Yr1'!M47="","",'Cash Flow %s Yr1'!M47*'Revenue Input'!$E55))</f>
        <v/>
      </c>
      <c r="N52" s="60" t="str">
        <f>IF('Revenue Input'!$E55="","",IF('Cash Flow %s Yr1'!N47="","",'Cash Flow %s Yr1'!N47*'Revenue Input'!$E55))</f>
        <v/>
      </c>
      <c r="O52" s="60" t="str">
        <f>IF('Revenue Input'!$E55="","",IF('Cash Flow %s Yr1'!O47="","",'Cash Flow %s Yr1'!O47*'Revenue Input'!$E55))</f>
        <v/>
      </c>
      <c r="P52" s="60" t="str">
        <f>IF('Revenue Input'!$E55="","",IF('Cash Flow %s Yr1'!P47="","",'Cash Flow %s Yr1'!P47*'Revenue Input'!$E55))</f>
        <v/>
      </c>
      <c r="Q52" s="60" t="str">
        <f>IF('Revenue Input'!$E55="","",IF('Cash Flow %s Yr1'!Q47="","",'Cash Flow %s Yr1'!Q47*'Revenue Input'!$E55))</f>
        <v/>
      </c>
      <c r="R52" s="60" t="str">
        <f>IF('Revenue Input'!$E55="","",IF('Cash Flow %s Yr1'!R47="","",'Cash Flow %s Yr1'!R47*'Revenue Input'!$E55))</f>
        <v/>
      </c>
    </row>
    <row r="53" spans="1:18" s="30" customFormat="1" ht="17.399999999999999" x14ac:dyDescent="0.3">
      <c r="A53" s="45"/>
      <c r="B53" s="61"/>
      <c r="C53" s="61"/>
      <c r="D53" s="60"/>
      <c r="E53" s="60"/>
      <c r="F53" s="60"/>
      <c r="G53" s="60"/>
      <c r="H53" s="60"/>
      <c r="I53" s="60"/>
      <c r="J53" s="60"/>
      <c r="K53" s="60"/>
      <c r="L53" s="60"/>
      <c r="M53" s="60"/>
      <c r="N53" s="60"/>
      <c r="O53" s="60"/>
      <c r="P53" s="60"/>
      <c r="Q53" s="60"/>
      <c r="R53" s="60"/>
    </row>
    <row r="54" spans="1:18" s="30" customFormat="1" ht="17.399999999999999" x14ac:dyDescent="0.3">
      <c r="A54" s="45"/>
      <c r="B54" s="61"/>
      <c r="C54" s="61"/>
      <c r="D54" s="60"/>
      <c r="E54" s="60"/>
      <c r="F54" s="60"/>
      <c r="G54" s="60"/>
      <c r="H54" s="60"/>
      <c r="I54" s="60"/>
      <c r="J54" s="60"/>
      <c r="K54" s="60"/>
      <c r="L54" s="60"/>
      <c r="M54" s="60"/>
      <c r="N54" s="60"/>
      <c r="O54" s="60"/>
      <c r="P54" s="60"/>
      <c r="Q54" s="60"/>
      <c r="R54" s="60"/>
    </row>
    <row r="55" spans="1:18" s="30" customFormat="1" ht="17.399999999999999" x14ac:dyDescent="0.3">
      <c r="A55" s="45"/>
      <c r="B55" s="68"/>
      <c r="C55" s="33" t="s">
        <v>1259</v>
      </c>
      <c r="D55" s="183">
        <f t="shared" ref="D55:R55" si="2">SUM(D42:D54)</f>
        <v>498</v>
      </c>
      <c r="E55" s="183">
        <f t="shared" si="2"/>
        <v>498</v>
      </c>
      <c r="F55" s="183">
        <f t="shared" si="2"/>
        <v>998</v>
      </c>
      <c r="G55" s="183">
        <f>SUM(G42:G54)</f>
        <v>998</v>
      </c>
      <c r="H55" s="183">
        <f t="shared" si="2"/>
        <v>998</v>
      </c>
      <c r="I55" s="183">
        <f t="shared" si="2"/>
        <v>998</v>
      </c>
      <c r="J55" s="183">
        <f t="shared" si="2"/>
        <v>998</v>
      </c>
      <c r="K55" s="183">
        <f t="shared" si="2"/>
        <v>998</v>
      </c>
      <c r="L55" s="183">
        <f t="shared" si="2"/>
        <v>1004</v>
      </c>
      <c r="M55" s="183">
        <f t="shared" si="2"/>
        <v>1004</v>
      </c>
      <c r="N55" s="183">
        <f t="shared" si="2"/>
        <v>1004</v>
      </c>
      <c r="O55" s="183">
        <f t="shared" si="2"/>
        <v>1004</v>
      </c>
      <c r="P55" s="183">
        <f t="shared" si="2"/>
        <v>0</v>
      </c>
      <c r="Q55" s="183">
        <f t="shared" si="2"/>
        <v>0</v>
      </c>
      <c r="R55" s="183">
        <f t="shared" si="2"/>
        <v>0</v>
      </c>
    </row>
    <row r="56" spans="1:18" s="30" customFormat="1" ht="17.399999999999999" x14ac:dyDescent="0.3">
      <c r="A56" s="45"/>
      <c r="B56" s="47" t="s">
        <v>676</v>
      </c>
      <c r="C56" s="48"/>
      <c r="D56" s="184">
        <f t="shared" ref="D56:R56" si="3">SUM(D55,D39,D28)</f>
        <v>20676.800000000003</v>
      </c>
      <c r="E56" s="184">
        <f t="shared" si="3"/>
        <v>42433.520000000004</v>
      </c>
      <c r="F56" s="184">
        <f t="shared" si="3"/>
        <v>96321.78</v>
      </c>
      <c r="G56" s="184">
        <f>SUM(G55,G39,G28)</f>
        <v>66328.799999999988</v>
      </c>
      <c r="H56" s="184">
        <f t="shared" si="3"/>
        <v>72407.507850000009</v>
      </c>
      <c r="I56" s="184">
        <f t="shared" si="3"/>
        <v>82187.807349999988</v>
      </c>
      <c r="J56" s="184">
        <f t="shared" si="3"/>
        <v>91602.057350000003</v>
      </c>
      <c r="K56" s="184">
        <f t="shared" si="3"/>
        <v>69920.594850000009</v>
      </c>
      <c r="L56" s="184">
        <f t="shared" si="3"/>
        <v>103950.52735</v>
      </c>
      <c r="M56" s="184">
        <f t="shared" si="3"/>
        <v>99024.687349999993</v>
      </c>
      <c r="N56" s="184">
        <f t="shared" si="3"/>
        <v>66300.474849999999</v>
      </c>
      <c r="O56" s="184">
        <f t="shared" si="3"/>
        <v>127224.68655000001</v>
      </c>
      <c r="P56" s="184">
        <f t="shared" si="3"/>
        <v>0</v>
      </c>
      <c r="Q56" s="184">
        <f t="shared" si="3"/>
        <v>0</v>
      </c>
      <c r="R56" s="184">
        <f t="shared" si="3"/>
        <v>0</v>
      </c>
    </row>
    <row r="57" spans="1:18" s="30" customFormat="1" ht="17.399999999999999" x14ac:dyDescent="0.3">
      <c r="A57" s="45"/>
      <c r="B57" s="68"/>
      <c r="C57" s="48"/>
      <c r="D57" s="121"/>
      <c r="E57" s="121"/>
      <c r="F57" s="121"/>
      <c r="G57" s="121"/>
      <c r="H57" s="121"/>
      <c r="I57" s="121"/>
      <c r="J57" s="121"/>
      <c r="K57" s="121"/>
      <c r="L57" s="121"/>
      <c r="M57" s="121"/>
      <c r="N57" s="121"/>
      <c r="O57" s="121"/>
      <c r="P57" s="121"/>
      <c r="Q57" s="121"/>
      <c r="R57" s="121"/>
    </row>
    <row r="58" spans="1:18" s="30" customFormat="1" ht="17.399999999999999" x14ac:dyDescent="0.3">
      <c r="A58" s="45" t="s">
        <v>796</v>
      </c>
      <c r="B58" s="69"/>
      <c r="C58" s="33"/>
      <c r="D58" s="122"/>
      <c r="E58" s="122"/>
      <c r="F58" s="122"/>
      <c r="G58" s="122"/>
      <c r="H58" s="122"/>
      <c r="I58" s="122"/>
      <c r="J58" s="122"/>
      <c r="K58" s="122"/>
      <c r="L58" s="122"/>
      <c r="M58" s="122"/>
      <c r="N58" s="122"/>
      <c r="O58" s="122"/>
      <c r="P58" s="122"/>
      <c r="Q58" s="122"/>
      <c r="R58" s="122"/>
    </row>
    <row r="59" spans="1:18" x14ac:dyDescent="0.3">
      <c r="A59" s="1"/>
      <c r="B59" s="33" t="s">
        <v>732</v>
      </c>
      <c r="C59" s="3"/>
      <c r="D59" s="101"/>
      <c r="E59" s="101"/>
      <c r="F59" s="101"/>
      <c r="G59" s="101"/>
      <c r="H59" s="101"/>
      <c r="I59" s="101"/>
      <c r="J59" s="101"/>
      <c r="K59" s="101"/>
      <c r="L59" s="101"/>
      <c r="M59" s="101"/>
      <c r="N59" s="101"/>
      <c r="O59" s="101"/>
      <c r="P59" s="101"/>
      <c r="Q59" s="101"/>
      <c r="R59" s="101"/>
    </row>
    <row r="60" spans="1:18" x14ac:dyDescent="0.3">
      <c r="A60" s="35"/>
      <c r="B60" s="63" t="str">
        <f>'Expenses Summary'!B8</f>
        <v>1100</v>
      </c>
      <c r="C60" s="63" t="str">
        <f>'Expenses Summary'!C8</f>
        <v>Teachers'  Salaries</v>
      </c>
      <c r="D60" s="60">
        <f>IF('Expenses Summary'!$R8="","",IF('Cash Flow %s Yr1'!D55="","",'Cash Flow %s Yr1'!D55*'Expenses Summary'!$R8))</f>
        <v>4155.12</v>
      </c>
      <c r="E60" s="60">
        <f>IF('Expenses Summary'!$R8="","",IF('Cash Flow %s Yr1'!E55="","",'Cash Flow %s Yr1'!E55*'Expenses Summary'!$R8))</f>
        <v>10387.800000000001</v>
      </c>
      <c r="F60" s="60">
        <f>IF('Expenses Summary'!$R8="","",IF('Cash Flow %s Yr1'!F55="","",'Cash Flow %s Yr1'!F55*'Expenses Summary'!$R8))</f>
        <v>20775.600000000002</v>
      </c>
      <c r="G60" s="60">
        <f>IF('Expenses Summary'!$R8="","",IF('Cash Flow %s Yr1'!G55="","",'Cash Flow %s Yr1'!G55*'Expenses Summary'!$R8))</f>
        <v>20775.600000000002</v>
      </c>
      <c r="H60" s="60">
        <f>IF('Expenses Summary'!$R8="","",IF('Cash Flow %s Yr1'!H55="","",'Cash Flow %s Yr1'!H55*'Expenses Summary'!$R8))</f>
        <v>20775.600000000002</v>
      </c>
      <c r="I60" s="60">
        <f>IF('Expenses Summary'!$R8="","",IF('Cash Flow %s Yr1'!I55="","",'Cash Flow %s Yr1'!I55*'Expenses Summary'!$R8))</f>
        <v>20775.600000000002</v>
      </c>
      <c r="J60" s="60">
        <f>IF('Expenses Summary'!$R8="","",IF('Cash Flow %s Yr1'!J55="","",'Cash Flow %s Yr1'!J55*'Expenses Summary'!$R8))</f>
        <v>20775.600000000002</v>
      </c>
      <c r="K60" s="60">
        <f>IF('Expenses Summary'!$R8="","",IF('Cash Flow %s Yr1'!K55="","",'Cash Flow %s Yr1'!K55*'Expenses Summary'!$R8))</f>
        <v>20775.600000000002</v>
      </c>
      <c r="L60" s="60">
        <f>IF('Expenses Summary'!$R8="","",IF('Cash Flow %s Yr1'!L55="","",'Cash Flow %s Yr1'!L55*'Expenses Summary'!$R8))</f>
        <v>20775.600000000002</v>
      </c>
      <c r="M60" s="60">
        <f>IF('Expenses Summary'!$R8="","",IF('Cash Flow %s Yr1'!M55="","",'Cash Flow %s Yr1'!M55*'Expenses Summary'!$R8))</f>
        <v>20775.600000000002</v>
      </c>
      <c r="N60" s="60">
        <f>IF('Expenses Summary'!$R8="","",IF('Cash Flow %s Yr1'!N55="","",'Cash Flow %s Yr1'!N55*'Expenses Summary'!$R8))</f>
        <v>20775.600000000002</v>
      </c>
      <c r="O60" s="60">
        <f>IF('Expenses Summary'!$R8="","",IF('Cash Flow %s Yr1'!O55="","",'Cash Flow %s Yr1'!O55*'Expenses Summary'!$R8))</f>
        <v>6232.6799999999994</v>
      </c>
      <c r="P60" s="60" t="str">
        <f>IF('Expenses Summary'!$R8="","",IF('Cash Flow %s Yr1'!P55="","",'Cash Flow %s Yr1'!P55*'Expenses Summary'!$R8))</f>
        <v/>
      </c>
      <c r="Q60" s="123"/>
      <c r="R60" s="123"/>
    </row>
    <row r="61" spans="1:18" x14ac:dyDescent="0.3">
      <c r="A61" s="35"/>
      <c r="B61" s="63" t="str">
        <f>'Expenses Summary'!B9</f>
        <v>1105</v>
      </c>
      <c r="C61" s="63" t="str">
        <f>'Expenses Summary'!C9</f>
        <v>Teachers'  Stipend</v>
      </c>
      <c r="D61" s="60">
        <f>IF('Expenses Summary'!$R9="","",IF('Cash Flow %s Yr1'!D56="","",'Cash Flow %s Yr1'!D56*'Expenses Summary'!$R9))</f>
        <v>0</v>
      </c>
      <c r="E61" s="60">
        <f>IF('Expenses Summary'!$R9="","",IF('Cash Flow %s Yr1'!E56="","",'Cash Flow %s Yr1'!E56*'Expenses Summary'!$R9))</f>
        <v>0</v>
      </c>
      <c r="F61" s="60">
        <f>IF('Expenses Summary'!$R9="","",IF('Cash Flow %s Yr1'!F56="","",'Cash Flow %s Yr1'!F56*'Expenses Summary'!$R9))</f>
        <v>0</v>
      </c>
      <c r="G61" s="60">
        <f>IF('Expenses Summary'!$R9="","",IF('Cash Flow %s Yr1'!G56="","",'Cash Flow %s Yr1'!G56*'Expenses Summary'!$R9))</f>
        <v>0</v>
      </c>
      <c r="H61" s="60">
        <f>IF('Expenses Summary'!$R9="","",IF('Cash Flow %s Yr1'!H56="","",'Cash Flow %s Yr1'!H56*'Expenses Summary'!$R9))</f>
        <v>0</v>
      </c>
      <c r="I61" s="60">
        <f>IF('Expenses Summary'!$R9="","",IF('Cash Flow %s Yr1'!I56="","",'Cash Flow %s Yr1'!I56*'Expenses Summary'!$R9))</f>
        <v>1000</v>
      </c>
      <c r="J61" s="60">
        <f>IF('Expenses Summary'!$R9="","",IF('Cash Flow %s Yr1'!J56="","",'Cash Flow %s Yr1'!J56*'Expenses Summary'!$R9))</f>
        <v>0</v>
      </c>
      <c r="K61" s="60">
        <f>IF('Expenses Summary'!$R9="","",IF('Cash Flow %s Yr1'!K56="","",'Cash Flow %s Yr1'!K56*'Expenses Summary'!$R9))</f>
        <v>0</v>
      </c>
      <c r="L61" s="60">
        <f>IF('Expenses Summary'!$R9="","",IF('Cash Flow %s Yr1'!L56="","",'Cash Flow %s Yr1'!L56*'Expenses Summary'!$R9))</f>
        <v>0</v>
      </c>
      <c r="M61" s="60">
        <f>IF('Expenses Summary'!$R9="","",IF('Cash Flow %s Yr1'!M56="","",'Cash Flow %s Yr1'!M56*'Expenses Summary'!$R9))</f>
        <v>0</v>
      </c>
      <c r="N61" s="60">
        <f>IF('Expenses Summary'!$R9="","",IF('Cash Flow %s Yr1'!N56="","",'Cash Flow %s Yr1'!N56*'Expenses Summary'!$R9))</f>
        <v>0</v>
      </c>
      <c r="O61" s="60">
        <f>IF('Expenses Summary'!$R9="","",IF('Cash Flow %s Yr1'!O56="","",'Cash Flow %s Yr1'!O56*'Expenses Summary'!$R9))</f>
        <v>1000</v>
      </c>
      <c r="P61" s="123"/>
      <c r="Q61" s="123"/>
      <c r="R61" s="123"/>
    </row>
    <row r="62" spans="1:18" x14ac:dyDescent="0.3">
      <c r="A62" s="35"/>
      <c r="B62" s="63" t="str">
        <f>'Expenses Summary'!B10</f>
        <v>1120</v>
      </c>
      <c r="C62" s="63" t="str">
        <f>'Expenses Summary'!C10</f>
        <v>Substitute Expense</v>
      </c>
      <c r="D62" s="60">
        <f>IF('Expenses Summary'!$R10="","",IF('Cash Flow %s Yr1'!D57="","",'Cash Flow %s Yr1'!D57*'Expenses Summary'!$R10))</f>
        <v>0</v>
      </c>
      <c r="E62" s="60">
        <f>IF('Expenses Summary'!$R10="","",IF('Cash Flow %s Yr1'!E57="","",'Cash Flow %s Yr1'!E57*'Expenses Summary'!$R10))</f>
        <v>0</v>
      </c>
      <c r="F62" s="60">
        <f>IF('Expenses Summary'!$R10="","",IF('Cash Flow %s Yr1'!F57="","",'Cash Flow %s Yr1'!F57*'Expenses Summary'!$R10))</f>
        <v>0</v>
      </c>
      <c r="G62" s="60">
        <f>IF('Expenses Summary'!$R10="","",IF('Cash Flow %s Yr1'!G57="","",'Cash Flow %s Yr1'!G57*'Expenses Summary'!$R10))</f>
        <v>0</v>
      </c>
      <c r="H62" s="60">
        <f>IF('Expenses Summary'!$R10="","",IF('Cash Flow %s Yr1'!H57="","",'Cash Flow %s Yr1'!H57*'Expenses Summary'!$R10))</f>
        <v>0</v>
      </c>
      <c r="I62" s="60">
        <f>IF('Expenses Summary'!$R10="","",IF('Cash Flow %s Yr1'!I57="","",'Cash Flow %s Yr1'!I57*'Expenses Summary'!$R10))</f>
        <v>0</v>
      </c>
      <c r="J62" s="60">
        <f>IF('Expenses Summary'!$R10="","",IF('Cash Flow %s Yr1'!J57="","",'Cash Flow %s Yr1'!J57*'Expenses Summary'!$R10))</f>
        <v>0</v>
      </c>
      <c r="K62" s="60">
        <f>IF('Expenses Summary'!$R10="","",IF('Cash Flow %s Yr1'!K57="","",'Cash Flow %s Yr1'!K57*'Expenses Summary'!$R10))</f>
        <v>0</v>
      </c>
      <c r="L62" s="60">
        <f>IF('Expenses Summary'!$R10="","",IF('Cash Flow %s Yr1'!L57="","",'Cash Flow %s Yr1'!L57*'Expenses Summary'!$R10))</f>
        <v>0</v>
      </c>
      <c r="M62" s="60">
        <f>IF('Expenses Summary'!$R10="","",IF('Cash Flow %s Yr1'!M57="","",'Cash Flow %s Yr1'!M57*'Expenses Summary'!$R10))</f>
        <v>0</v>
      </c>
      <c r="N62" s="60">
        <f>IF('Expenses Summary'!$R10="","",IF('Cash Flow %s Yr1'!N57="","",'Cash Flow %s Yr1'!N57*'Expenses Summary'!$R10))</f>
        <v>0</v>
      </c>
      <c r="O62" s="60">
        <f>IF('Expenses Summary'!$R10="","",IF('Cash Flow %s Yr1'!O57="","",'Cash Flow %s Yr1'!O57*'Expenses Summary'!$R10))</f>
        <v>0</v>
      </c>
      <c r="P62" s="123"/>
      <c r="Q62" s="123"/>
      <c r="R62" s="123"/>
    </row>
    <row r="63" spans="1:18" x14ac:dyDescent="0.3">
      <c r="A63" s="35"/>
      <c r="B63" s="63" t="str">
        <f>'Expenses Summary'!B11</f>
        <v>1200</v>
      </c>
      <c r="C63" s="63" t="str">
        <f>'Expenses Summary'!C11</f>
        <v>Certificated Pupil Support Salaries</v>
      </c>
      <c r="D63" s="60">
        <f>IF('Expenses Summary'!$R11="","",IF('Cash Flow %s Yr1'!D58="","",'Cash Flow %s Yr1'!D58*'Expenses Summary'!$R11))+'Expenses Summary'!D12*'Cash Flow %s Yr1'!D58</f>
        <v>0</v>
      </c>
      <c r="E63" s="60">
        <f>IF('Expenses Summary'!$R11="","",IF('Cash Flow %s Yr1'!E58="","",'Cash Flow %s Yr1'!E58*'Expenses Summary'!$R11))+'Expenses Summary'!R12*'Cash Flow %s Yr1'!E58</f>
        <v>0</v>
      </c>
      <c r="F63" s="60">
        <f>IF('Expenses Summary'!$R11="","",IF('Cash Flow %s Yr1'!F58="","",'Cash Flow %s Yr1'!F58*'Expenses Summary'!$R11))+'Expenses Summary'!$T$12*'Cash Flow %s Yr1'!F58</f>
        <v>0</v>
      </c>
      <c r="G63" s="60">
        <f>IF('Expenses Summary'!$R11="","",IF('Cash Flow %s Yr1'!G58="","",'Cash Flow %s Yr1'!G58*'Expenses Summary'!$R11))+'Expenses Summary'!$T$12*'Cash Flow %s Yr1'!G58</f>
        <v>0</v>
      </c>
      <c r="H63" s="60">
        <f>IF('Expenses Summary'!$R11="","",IF('Cash Flow %s Yr1'!H58="","",'Cash Flow %s Yr1'!H58*'Expenses Summary'!$R11))+'Expenses Summary'!$T$12*'Cash Flow %s Yr1'!H58</f>
        <v>0</v>
      </c>
      <c r="I63" s="60">
        <f>IF('Expenses Summary'!$R11="","",IF('Cash Flow %s Yr1'!I58="","",'Cash Flow %s Yr1'!I58*'Expenses Summary'!$R11))+'Expenses Summary'!$T$12*'Cash Flow %s Yr1'!I58</f>
        <v>0</v>
      </c>
      <c r="J63" s="60">
        <f>IF('Expenses Summary'!$R11="","",IF('Cash Flow %s Yr1'!J58="","",'Cash Flow %s Yr1'!J58*'Expenses Summary'!$R11))+'Expenses Summary'!$T$12*'Cash Flow %s Yr1'!J58</f>
        <v>0</v>
      </c>
      <c r="K63" s="60">
        <f>IF('Expenses Summary'!$R11="","",IF('Cash Flow %s Yr1'!K58="","",'Cash Flow %s Yr1'!K58*'Expenses Summary'!$R11))+'Expenses Summary'!$T$12*'Cash Flow %s Yr1'!K58</f>
        <v>0</v>
      </c>
      <c r="L63" s="60">
        <f>IF('Expenses Summary'!$R11="","",IF('Cash Flow %s Yr1'!L58="","",'Cash Flow %s Yr1'!L58*'Expenses Summary'!$R11))+'Expenses Summary'!$T$12*'Cash Flow %s Yr1'!L58</f>
        <v>0</v>
      </c>
      <c r="M63" s="60">
        <f>IF('Expenses Summary'!$R11="","",IF('Cash Flow %s Yr1'!M58="","",'Cash Flow %s Yr1'!M58*'Expenses Summary'!$R11))+'Expenses Summary'!$T$12*'Cash Flow %s Yr1'!M58</f>
        <v>0</v>
      </c>
      <c r="N63" s="60">
        <f>IF('Expenses Summary'!$R11="","",IF('Cash Flow %s Yr1'!N58="","",'Cash Flow %s Yr1'!N58*'Expenses Summary'!$R11))+'Expenses Summary'!$T$12*'Cash Flow %s Yr1'!N58</f>
        <v>0</v>
      </c>
      <c r="O63" s="60">
        <f>IF('Expenses Summary'!$R11="","",IF('Cash Flow %s Yr1'!O58="","",'Cash Flow %s Yr1'!O58*'Expenses Summary'!$R11))+'Expenses Summary'!$T$12*'Cash Flow %s Yr1'!O58</f>
        <v>0</v>
      </c>
      <c r="P63" s="123"/>
      <c r="Q63" s="123"/>
      <c r="R63" s="123"/>
    </row>
    <row r="64" spans="1:18" x14ac:dyDescent="0.3">
      <c r="A64" s="35"/>
      <c r="B64" s="63" t="str">
        <f>'Expenses Summary'!B13</f>
        <v>1300</v>
      </c>
      <c r="C64" s="63" t="str">
        <f>'Expenses Summary'!C13</f>
        <v>Certificated Supervisor and Administrator Salaries</v>
      </c>
      <c r="D64" s="60">
        <f>IF('Expenses Summary'!$R13="","",IF('Cash Flow %s Yr1'!D59="","",'Cash Flow %s Yr1'!D59*'Expenses Summary'!$R13))</f>
        <v>5602.5</v>
      </c>
      <c r="E64" s="60">
        <f>IF('Expenses Summary'!$R13="","",IF('Cash Flow %s Yr1'!E59="","",'Cash Flow %s Yr1'!E59*'Expenses Summary'!$R13))</f>
        <v>5602.5</v>
      </c>
      <c r="F64" s="60">
        <f>IF('Expenses Summary'!$R13="","",IF('Cash Flow %s Yr1'!F59="","",'Cash Flow %s Yr1'!F59*'Expenses Summary'!$R13))</f>
        <v>5602.5</v>
      </c>
      <c r="G64" s="60">
        <f>IF('Expenses Summary'!$R13="","",IF('Cash Flow %s Yr1'!G59="","",'Cash Flow %s Yr1'!G59*'Expenses Summary'!$R13))</f>
        <v>5602.5</v>
      </c>
      <c r="H64" s="60">
        <f>IF('Expenses Summary'!$R13="","",IF('Cash Flow %s Yr1'!H59="","",'Cash Flow %s Yr1'!H59*'Expenses Summary'!$R13))</f>
        <v>5602.5</v>
      </c>
      <c r="I64" s="60">
        <f>IF('Expenses Summary'!$R13="","",IF('Cash Flow %s Yr1'!I59="","",'Cash Flow %s Yr1'!I59*'Expenses Summary'!$R13))</f>
        <v>5602.5</v>
      </c>
      <c r="J64" s="60">
        <f>IF('Expenses Summary'!$R13="","",IF('Cash Flow %s Yr1'!J59="","",'Cash Flow %s Yr1'!J59*'Expenses Summary'!$R13))</f>
        <v>5602.5</v>
      </c>
      <c r="K64" s="60">
        <f>IF('Expenses Summary'!$R13="","",IF('Cash Flow %s Yr1'!K59="","",'Cash Flow %s Yr1'!K59*'Expenses Summary'!$R13))</f>
        <v>5602.5</v>
      </c>
      <c r="L64" s="60">
        <f>IF('Expenses Summary'!$R13="","",IF('Cash Flow %s Yr1'!L59="","",'Cash Flow %s Yr1'!L59*'Expenses Summary'!$R13))</f>
        <v>5670</v>
      </c>
      <c r="M64" s="60">
        <f>IF('Expenses Summary'!$R13="","",IF('Cash Flow %s Yr1'!M59="","",'Cash Flow %s Yr1'!M59*'Expenses Summary'!$R13))</f>
        <v>5670</v>
      </c>
      <c r="N64" s="60">
        <f>IF('Expenses Summary'!$R13="","",IF('Cash Flow %s Yr1'!N59="","",'Cash Flow %s Yr1'!N59*'Expenses Summary'!$R13))</f>
        <v>5670</v>
      </c>
      <c r="O64" s="60">
        <f>IF('Expenses Summary'!$R13="","",IF('Cash Flow %s Yr1'!O59="","",'Cash Flow %s Yr1'!O59*'Expenses Summary'!$R13))</f>
        <v>5670</v>
      </c>
      <c r="P64" s="123"/>
      <c r="Q64" s="123"/>
      <c r="R64" s="123"/>
    </row>
    <row r="65" spans="1:18" x14ac:dyDescent="0.3">
      <c r="A65" s="35"/>
      <c r="B65" s="63" t="str">
        <f>'Expenses Summary'!B14</f>
        <v>1305</v>
      </c>
      <c r="C65" s="63" t="str">
        <f>'Expenses Summary'!C14</f>
        <v>Certificated Supervisor and Administrator Bonuses</v>
      </c>
      <c r="D65" s="60">
        <f>IF('Expenses Summary'!$R14="","",IF('Cash Flow %s Yr1'!D60="","",'Cash Flow %s Yr1'!D60*'Expenses Summary'!$R14))</f>
        <v>0</v>
      </c>
      <c r="E65" s="60">
        <f>IF('Expenses Summary'!$R14="","",IF('Cash Flow %s Yr1'!E60="","",'Cash Flow %s Yr1'!E60*'Expenses Summary'!$R14))</f>
        <v>0</v>
      </c>
      <c r="F65" s="60">
        <f>IF('Expenses Summary'!$R14="","",IF('Cash Flow %s Yr1'!F60="","",'Cash Flow %s Yr1'!F60*'Expenses Summary'!$R14))</f>
        <v>0</v>
      </c>
      <c r="G65" s="60">
        <f>IF('Expenses Summary'!$R14="","",IF('Cash Flow %s Yr1'!G60="","",'Cash Flow %s Yr1'!G60*'Expenses Summary'!$R14))</f>
        <v>0</v>
      </c>
      <c r="H65" s="60">
        <f>IF('Expenses Summary'!$R14="","",IF('Cash Flow %s Yr1'!H60="","",'Cash Flow %s Yr1'!H60*'Expenses Summary'!$R14))</f>
        <v>0</v>
      </c>
      <c r="I65" s="60">
        <f>IF('Expenses Summary'!$R14="","",IF('Cash Flow %s Yr1'!I60="","",'Cash Flow %s Yr1'!I60*'Expenses Summary'!$R14))</f>
        <v>0</v>
      </c>
      <c r="J65" s="60">
        <f>IF('Expenses Summary'!$R14="","",IF('Cash Flow %s Yr1'!J60="","",'Cash Flow %s Yr1'!J60*'Expenses Summary'!$R14))</f>
        <v>0</v>
      </c>
      <c r="K65" s="60">
        <f>IF('Expenses Summary'!$R14="","",IF('Cash Flow %s Yr1'!K60="","",'Cash Flow %s Yr1'!K60*'Expenses Summary'!$R14))</f>
        <v>0</v>
      </c>
      <c r="L65" s="60">
        <f>IF('Expenses Summary'!$R14="","",IF('Cash Flow %s Yr1'!L60="","",'Cash Flow %s Yr1'!L60*'Expenses Summary'!$R14))</f>
        <v>0</v>
      </c>
      <c r="M65" s="60">
        <f>IF('Expenses Summary'!$R14="","",IF('Cash Flow %s Yr1'!M60="","",'Cash Flow %s Yr1'!M60*'Expenses Summary'!$R14))</f>
        <v>0</v>
      </c>
      <c r="N65" s="60">
        <f>IF('Expenses Summary'!$R14="","",IF('Cash Flow %s Yr1'!N60="","",'Cash Flow %s Yr1'!N60*'Expenses Summary'!$R14))</f>
        <v>0</v>
      </c>
      <c r="O65" s="60">
        <f>IF('Expenses Summary'!$R14="","",IF('Cash Flow %s Yr1'!O60="","",'Cash Flow %s Yr1'!O60*'Expenses Summary'!$R14))</f>
        <v>0</v>
      </c>
      <c r="P65" s="123"/>
      <c r="Q65" s="123"/>
      <c r="R65" s="123"/>
    </row>
    <row r="66" spans="1:18" x14ac:dyDescent="0.3">
      <c r="A66" s="35"/>
      <c r="B66" s="63" t="str">
        <f>'Expenses Summary'!B15</f>
        <v>1900</v>
      </c>
      <c r="C66" s="63" t="str">
        <f>'Expenses Summary'!C15</f>
        <v>Other Certificated Salaries</v>
      </c>
      <c r="D66" s="60">
        <f>IF('Expenses Summary'!$R15="","",IF('Cash Flow %s Yr1'!D61="","",'Cash Flow %s Yr1'!D61*'Expenses Summary'!$R15))</f>
        <v>0</v>
      </c>
      <c r="E66" s="60">
        <f>IF('Expenses Summary'!$R15="","",IF('Cash Flow %s Yr1'!E61="","",'Cash Flow %s Yr1'!E61*'Expenses Summary'!$R15))</f>
        <v>0</v>
      </c>
      <c r="F66" s="60">
        <f>IF('Expenses Summary'!$R15="","",IF('Cash Flow %s Yr1'!F61="","",'Cash Flow %s Yr1'!F61*'Expenses Summary'!$R15))</f>
        <v>0</v>
      </c>
      <c r="G66" s="60">
        <f>IF('Expenses Summary'!$R15="","",IF('Cash Flow %s Yr1'!G61="","",'Cash Flow %s Yr1'!G61*'Expenses Summary'!$R15))</f>
        <v>0</v>
      </c>
      <c r="H66" s="60">
        <f>IF('Expenses Summary'!$R15="","",IF('Cash Flow %s Yr1'!H61="","",'Cash Flow %s Yr1'!H61*'Expenses Summary'!$R15))</f>
        <v>0</v>
      </c>
      <c r="I66" s="60">
        <f>IF('Expenses Summary'!$R15="","",IF('Cash Flow %s Yr1'!I61="","",'Cash Flow %s Yr1'!I61*'Expenses Summary'!$R15))</f>
        <v>0</v>
      </c>
      <c r="J66" s="60">
        <f>IF('Expenses Summary'!$R15="","",IF('Cash Flow %s Yr1'!J61="","",'Cash Flow %s Yr1'!J61*'Expenses Summary'!$R15))</f>
        <v>0</v>
      </c>
      <c r="K66" s="60">
        <f>IF('Expenses Summary'!$R15="","",IF('Cash Flow %s Yr1'!K61="","",'Cash Flow %s Yr1'!K61*'Expenses Summary'!$R15))</f>
        <v>0</v>
      </c>
      <c r="L66" s="60">
        <f>IF('Expenses Summary'!$R15="","",IF('Cash Flow %s Yr1'!L61="","",'Cash Flow %s Yr1'!L61*'Expenses Summary'!$R15))</f>
        <v>0</v>
      </c>
      <c r="M66" s="60">
        <f>IF('Expenses Summary'!$R15="","",IF('Cash Flow %s Yr1'!M61="","",'Cash Flow %s Yr1'!M61*'Expenses Summary'!$R15))</f>
        <v>0</v>
      </c>
      <c r="N66" s="60">
        <f>IF('Expenses Summary'!$R15="","",IF('Cash Flow %s Yr1'!N61="","",'Cash Flow %s Yr1'!N61*'Expenses Summary'!$R15))</f>
        <v>0</v>
      </c>
      <c r="O66" s="60">
        <f>IF('Expenses Summary'!$R15="","",IF('Cash Flow %s Yr1'!O61="","",'Cash Flow %s Yr1'!O61*'Expenses Summary'!$R15))</f>
        <v>0</v>
      </c>
      <c r="P66" s="123"/>
      <c r="Q66" s="123"/>
      <c r="R66" s="123"/>
    </row>
    <row r="67" spans="1:18" x14ac:dyDescent="0.3">
      <c r="A67" s="35"/>
      <c r="B67" s="63" t="str">
        <f>'Expenses Summary'!B16</f>
        <v>1910</v>
      </c>
      <c r="C67" s="63" t="str">
        <f>'Expenses Summary'!C16</f>
        <v>Other Certificated Overtime</v>
      </c>
      <c r="D67" s="60">
        <f>IF('Expenses Summary'!$R16="","",IF('Cash Flow %s Yr1'!D62="","",'Cash Flow %s Yr1'!D62*'Expenses Summary'!$R16))</f>
        <v>0</v>
      </c>
      <c r="E67" s="60">
        <f>IF('Expenses Summary'!$R16="","",IF('Cash Flow %s Yr1'!E62="","",'Cash Flow %s Yr1'!E62*'Expenses Summary'!$R16))</f>
        <v>0</v>
      </c>
      <c r="F67" s="60">
        <f>IF('Expenses Summary'!$R16="","",IF('Cash Flow %s Yr1'!F62="","",'Cash Flow %s Yr1'!F62*'Expenses Summary'!$R16))</f>
        <v>0</v>
      </c>
      <c r="G67" s="60">
        <f>IF('Expenses Summary'!$R16="","",IF('Cash Flow %s Yr1'!G62="","",'Cash Flow %s Yr1'!G62*'Expenses Summary'!$R16))</f>
        <v>0</v>
      </c>
      <c r="H67" s="60">
        <f>IF('Expenses Summary'!$R16="","",IF('Cash Flow %s Yr1'!H62="","",'Cash Flow %s Yr1'!H62*'Expenses Summary'!$R16))</f>
        <v>0</v>
      </c>
      <c r="I67" s="60">
        <f>IF('Expenses Summary'!$R16="","",IF('Cash Flow %s Yr1'!I62="","",'Cash Flow %s Yr1'!I62*'Expenses Summary'!$R16))</f>
        <v>0</v>
      </c>
      <c r="J67" s="60">
        <f>IF('Expenses Summary'!$R16="","",IF('Cash Flow %s Yr1'!J62="","",'Cash Flow %s Yr1'!J62*'Expenses Summary'!$R16))</f>
        <v>0</v>
      </c>
      <c r="K67" s="60">
        <f>IF('Expenses Summary'!$R16="","",IF('Cash Flow %s Yr1'!K62="","",'Cash Flow %s Yr1'!K62*'Expenses Summary'!$R16))</f>
        <v>0</v>
      </c>
      <c r="L67" s="60">
        <f>IF('Expenses Summary'!$R16="","",IF('Cash Flow %s Yr1'!L62="","",'Cash Flow %s Yr1'!L62*'Expenses Summary'!$R16))</f>
        <v>0</v>
      </c>
      <c r="M67" s="60">
        <f>IF('Expenses Summary'!$R16="","",IF('Cash Flow %s Yr1'!M62="","",'Cash Flow %s Yr1'!M62*'Expenses Summary'!$R16))</f>
        <v>0</v>
      </c>
      <c r="N67" s="60">
        <f>IF('Expenses Summary'!$R16="","",IF('Cash Flow %s Yr1'!N62="","",'Cash Flow %s Yr1'!N62*'Expenses Summary'!$R16))</f>
        <v>0</v>
      </c>
      <c r="O67" s="60">
        <f>IF('Expenses Summary'!$R16="","",IF('Cash Flow %s Yr1'!O62="","",'Cash Flow %s Yr1'!O62*'Expenses Summary'!$R16))</f>
        <v>0</v>
      </c>
      <c r="P67" s="123"/>
      <c r="Q67" s="123"/>
      <c r="R67" s="123"/>
    </row>
    <row r="68" spans="1:18" x14ac:dyDescent="0.3">
      <c r="A68" s="35"/>
      <c r="B68" s="35" t="s">
        <v>555</v>
      </c>
      <c r="C68" s="33" t="s">
        <v>720</v>
      </c>
      <c r="D68" s="165">
        <f t="shared" ref="D68:I68" si="4">IF(SUM(D59:D67)&gt;0,SUM(D59:D67),"")</f>
        <v>9757.619999999999</v>
      </c>
      <c r="E68" s="165">
        <f t="shared" si="4"/>
        <v>15990.300000000001</v>
      </c>
      <c r="F68" s="165">
        <f t="shared" si="4"/>
        <v>26378.100000000002</v>
      </c>
      <c r="G68" s="165">
        <f t="shared" si="4"/>
        <v>26378.100000000002</v>
      </c>
      <c r="H68" s="165">
        <f t="shared" si="4"/>
        <v>26378.100000000002</v>
      </c>
      <c r="I68" s="165">
        <f t="shared" si="4"/>
        <v>27378.100000000002</v>
      </c>
      <c r="J68" s="165">
        <f t="shared" ref="J68:P68" si="5">IF(SUM(J59:J67)&gt;0,SUM(J59:J67),"")</f>
        <v>26378.100000000002</v>
      </c>
      <c r="K68" s="165">
        <f t="shared" si="5"/>
        <v>26378.100000000002</v>
      </c>
      <c r="L68" s="165">
        <f t="shared" si="5"/>
        <v>26445.600000000002</v>
      </c>
      <c r="M68" s="165">
        <f t="shared" si="5"/>
        <v>26445.600000000002</v>
      </c>
      <c r="N68" s="165">
        <f t="shared" si="5"/>
        <v>26445.600000000002</v>
      </c>
      <c r="O68" s="165">
        <f t="shared" si="5"/>
        <v>12902.68</v>
      </c>
      <c r="P68" s="165" t="str">
        <f t="shared" si="5"/>
        <v/>
      </c>
      <c r="Q68" s="121"/>
      <c r="R68" s="121"/>
    </row>
    <row r="69" spans="1:18" s="30" customFormat="1" x14ac:dyDescent="0.3">
      <c r="A69" s="35"/>
      <c r="B69" s="39"/>
      <c r="C69" s="3"/>
      <c r="D69" s="124"/>
      <c r="E69" s="124"/>
      <c r="F69" s="124"/>
      <c r="G69" s="124"/>
      <c r="H69" s="124"/>
      <c r="I69" s="124"/>
      <c r="J69" s="124"/>
      <c r="K69" s="124"/>
      <c r="L69" s="124"/>
      <c r="M69" s="124"/>
      <c r="N69" s="124"/>
      <c r="O69" s="124"/>
      <c r="P69" s="124"/>
      <c r="Q69" s="124"/>
      <c r="R69" s="124"/>
    </row>
    <row r="70" spans="1:18" s="30" customFormat="1" x14ac:dyDescent="0.3">
      <c r="B70" s="5" t="s">
        <v>733</v>
      </c>
      <c r="C70" s="3"/>
      <c r="D70" s="124"/>
      <c r="E70" s="124"/>
      <c r="F70" s="124"/>
      <c r="G70" s="124"/>
      <c r="H70" s="124"/>
      <c r="I70" s="124"/>
      <c r="J70" s="124"/>
      <c r="K70" s="124"/>
      <c r="L70" s="124"/>
      <c r="M70" s="124"/>
      <c r="N70" s="124"/>
      <c r="O70" s="124"/>
      <c r="P70" s="124"/>
      <c r="Q70" s="124"/>
      <c r="R70" s="124"/>
    </row>
    <row r="71" spans="1:18" s="30" customFormat="1" x14ac:dyDescent="0.3">
      <c r="A71" s="35"/>
      <c r="B71" s="63" t="str">
        <f>'Expenses Summary'!B20</f>
        <v>2100</v>
      </c>
      <c r="C71" s="63" t="str">
        <f>'Expenses Summary'!C20</f>
        <v>Instructional Aide Salaries</v>
      </c>
      <c r="D71" s="60">
        <f>IF('Expenses Summary'!$R20="","",IF('Cash Flow %s Yr1'!D66="","",'Cash Flow %s Yr1'!D66*'Expenses Summary'!$R20))</f>
        <v>0</v>
      </c>
      <c r="E71" s="60">
        <f>IF('Expenses Summary'!$R20="","",IF('Cash Flow %s Yr1'!E66="","",'Cash Flow %s Yr1'!E66*'Expenses Summary'!$R20))</f>
        <v>6151.05</v>
      </c>
      <c r="F71" s="60">
        <f>IF('Expenses Summary'!$R20="","",IF('Cash Flow %s Yr1'!F66="","",'Cash Flow %s Yr1'!F66*'Expenses Summary'!$R20))</f>
        <v>12302.1</v>
      </c>
      <c r="G71" s="60">
        <f>IF('Expenses Summary'!$R20="","",IF('Cash Flow %s Yr1'!G66="","",'Cash Flow %s Yr1'!G66*'Expenses Summary'!$R20))</f>
        <v>12302.1</v>
      </c>
      <c r="H71" s="60">
        <f>IF('Expenses Summary'!$R20="","",IF('Cash Flow %s Yr1'!H66="","",'Cash Flow %s Yr1'!H66*'Expenses Summary'!$R20))</f>
        <v>12302.1</v>
      </c>
      <c r="I71" s="60">
        <f>IF('Expenses Summary'!$R20="","",IF('Cash Flow %s Yr1'!I66="","",'Cash Flow %s Yr1'!I66*'Expenses Summary'!$R20))</f>
        <v>12302.1</v>
      </c>
      <c r="J71" s="60">
        <f>IF('Expenses Summary'!$R20="","",IF('Cash Flow %s Yr1'!J66="","",'Cash Flow %s Yr1'!J66*'Expenses Summary'!$R20))</f>
        <v>12302.1</v>
      </c>
      <c r="K71" s="60">
        <f>IF('Expenses Summary'!$R20="","",IF('Cash Flow %s Yr1'!K66="","",'Cash Flow %s Yr1'!K66*'Expenses Summary'!$R20))</f>
        <v>12302.1</v>
      </c>
      <c r="L71" s="60">
        <f>IF('Expenses Summary'!$R20="","",IF('Cash Flow %s Yr1'!L66="","",'Cash Flow %s Yr1'!L66*'Expenses Summary'!$R20))</f>
        <v>12302.1</v>
      </c>
      <c r="M71" s="60">
        <f>IF('Expenses Summary'!$R20="","",IF('Cash Flow %s Yr1'!M66="","",'Cash Flow %s Yr1'!M66*'Expenses Summary'!$R20))</f>
        <v>12302.1</v>
      </c>
      <c r="N71" s="60">
        <f>IF('Expenses Summary'!$R20="","",IF('Cash Flow %s Yr1'!N66="","",'Cash Flow %s Yr1'!N66*'Expenses Summary'!$R20))</f>
        <v>12302.1</v>
      </c>
      <c r="O71" s="60">
        <f>IF('Expenses Summary'!$R20="","",IF('Cash Flow %s Yr1'!O66="","",'Cash Flow %s Yr1'!O66*'Expenses Summary'!$R20))</f>
        <v>6151.05</v>
      </c>
      <c r="P71" s="123"/>
      <c r="Q71" s="123"/>
      <c r="R71" s="123"/>
    </row>
    <row r="72" spans="1:18" s="30" customFormat="1" x14ac:dyDescent="0.3">
      <c r="A72" s="35"/>
      <c r="B72" s="63" t="str">
        <f>'Expenses Summary'!B21</f>
        <v>2110</v>
      </c>
      <c r="C72" s="63" t="str">
        <f>'Expenses Summary'!C21</f>
        <v>Instructional Aide Overtime</v>
      </c>
      <c r="D72" s="60">
        <f>IF('Expenses Summary'!$R21="","",IF('Cash Flow %s Yr1'!D67="","",'Cash Flow %s Yr1'!D67*'Expenses Summary'!$R21))</f>
        <v>0</v>
      </c>
      <c r="E72" s="60">
        <f>IF('Expenses Summary'!$R21="","",IF('Cash Flow %s Yr1'!E67="","",'Cash Flow %s Yr1'!E67*'Expenses Summary'!$R21))</f>
        <v>0</v>
      </c>
      <c r="F72" s="60">
        <f>IF('Expenses Summary'!$R21="","",IF('Cash Flow %s Yr1'!F67="","",'Cash Flow %s Yr1'!F67*'Expenses Summary'!$R21))</f>
        <v>0</v>
      </c>
      <c r="G72" s="60">
        <f>IF('Expenses Summary'!$R21="","",IF('Cash Flow %s Yr1'!G67="","",'Cash Flow %s Yr1'!G67*'Expenses Summary'!$R21))</f>
        <v>0</v>
      </c>
      <c r="H72" s="60">
        <f>IF('Expenses Summary'!$R21="","",IF('Cash Flow %s Yr1'!H67="","",'Cash Flow %s Yr1'!H67*'Expenses Summary'!$R21))</f>
        <v>0</v>
      </c>
      <c r="I72" s="60">
        <f>IF('Expenses Summary'!$R21="","",IF('Cash Flow %s Yr1'!I67="","",'Cash Flow %s Yr1'!I67*'Expenses Summary'!$R21))</f>
        <v>0</v>
      </c>
      <c r="J72" s="60">
        <f>IF('Expenses Summary'!$R21="","",IF('Cash Flow %s Yr1'!J67="","",'Cash Flow %s Yr1'!J67*'Expenses Summary'!$R21))</f>
        <v>0</v>
      </c>
      <c r="K72" s="60">
        <f>IF('Expenses Summary'!$R21="","",IF('Cash Flow %s Yr1'!K67="","",'Cash Flow %s Yr1'!K67*'Expenses Summary'!$R21))</f>
        <v>0</v>
      </c>
      <c r="L72" s="60">
        <f>IF('Expenses Summary'!$R21="","",IF('Cash Flow %s Yr1'!L67="","",'Cash Flow %s Yr1'!L67*'Expenses Summary'!$R21))</f>
        <v>0</v>
      </c>
      <c r="M72" s="60">
        <f>IF('Expenses Summary'!$R21="","",IF('Cash Flow %s Yr1'!M67="","",'Cash Flow %s Yr1'!M67*'Expenses Summary'!$R21))</f>
        <v>0</v>
      </c>
      <c r="N72" s="60">
        <f>IF('Expenses Summary'!$R21="","",IF('Cash Flow %s Yr1'!N67="","",'Cash Flow %s Yr1'!N67*'Expenses Summary'!$R21))</f>
        <v>0</v>
      </c>
      <c r="O72" s="60">
        <f>IF('Expenses Summary'!$R21="","",IF('Cash Flow %s Yr1'!O67="","",'Cash Flow %s Yr1'!O67*'Expenses Summary'!$R21))</f>
        <v>0</v>
      </c>
      <c r="P72" s="123"/>
      <c r="Q72" s="123"/>
      <c r="R72" s="123"/>
    </row>
    <row r="73" spans="1:18" s="30" customFormat="1" x14ac:dyDescent="0.3">
      <c r="A73" s="35"/>
      <c r="B73" s="63" t="str">
        <f>'Expenses Summary'!B22</f>
        <v>2200</v>
      </c>
      <c r="C73" s="63" t="str">
        <f>'Expenses Summary'!C22</f>
        <v>Classified Support Salaries</v>
      </c>
      <c r="D73" s="60">
        <f>IF('Expenses Summary'!$R22="","",IF('Cash Flow %s Yr1'!D68="","",'Cash Flow %s Yr1'!D68*'Expenses Summary'!$R22))</f>
        <v>0</v>
      </c>
      <c r="E73" s="60">
        <f>IF('Expenses Summary'!$R22="","",IF('Cash Flow %s Yr1'!E68="","",'Cash Flow %s Yr1'!E68*'Expenses Summary'!$R22))</f>
        <v>1344.25</v>
      </c>
      <c r="F73" s="60">
        <f>IF('Expenses Summary'!$R22="","",IF('Cash Flow %s Yr1'!F68="","",'Cash Flow %s Yr1'!F68*'Expenses Summary'!$R22))</f>
        <v>2688.5</v>
      </c>
      <c r="G73" s="60">
        <f>IF('Expenses Summary'!$R22="","",IF('Cash Flow %s Yr1'!G68="","",'Cash Flow %s Yr1'!G68*'Expenses Summary'!$R22))</f>
        <v>2688.5</v>
      </c>
      <c r="H73" s="60">
        <f>IF('Expenses Summary'!$R22="","",IF('Cash Flow %s Yr1'!H68="","",'Cash Flow %s Yr1'!H68*'Expenses Summary'!$R22))</f>
        <v>2688.5</v>
      </c>
      <c r="I73" s="60">
        <f>IF('Expenses Summary'!$R22="","",IF('Cash Flow %s Yr1'!I68="","",'Cash Flow %s Yr1'!I68*'Expenses Summary'!$R22))</f>
        <v>2688.5</v>
      </c>
      <c r="J73" s="60">
        <f>IF('Expenses Summary'!$R22="","",IF('Cash Flow %s Yr1'!J68="","",'Cash Flow %s Yr1'!J68*'Expenses Summary'!$R22))</f>
        <v>2688.5</v>
      </c>
      <c r="K73" s="60">
        <f>IF('Expenses Summary'!$R22="","",IF('Cash Flow %s Yr1'!K68="","",'Cash Flow %s Yr1'!K68*'Expenses Summary'!$R22))</f>
        <v>2688.5</v>
      </c>
      <c r="L73" s="60">
        <f>IF('Expenses Summary'!$R22="","",IF('Cash Flow %s Yr1'!L68="","",'Cash Flow %s Yr1'!L68*'Expenses Summary'!$R22))</f>
        <v>2688.5</v>
      </c>
      <c r="M73" s="60">
        <f>IF('Expenses Summary'!$R22="","",IF('Cash Flow %s Yr1'!M68="","",'Cash Flow %s Yr1'!M68*'Expenses Summary'!$R22))</f>
        <v>2688.5</v>
      </c>
      <c r="N73" s="60">
        <f>IF('Expenses Summary'!$R22="","",IF('Cash Flow %s Yr1'!N68="","",'Cash Flow %s Yr1'!N68*'Expenses Summary'!$R22))</f>
        <v>2688.5</v>
      </c>
      <c r="O73" s="60">
        <f>IF('Expenses Summary'!$R22="","",IF('Cash Flow %s Yr1'!O68="","",'Cash Flow %s Yr1'!O68*'Expenses Summary'!$R22))</f>
        <v>1344.25</v>
      </c>
      <c r="P73" s="123"/>
      <c r="Q73" s="123"/>
      <c r="R73" s="123"/>
    </row>
    <row r="74" spans="1:18" s="30" customFormat="1" x14ac:dyDescent="0.3">
      <c r="A74" s="35"/>
      <c r="B74" s="63" t="str">
        <f>'Expenses Summary'!B23</f>
        <v>2210</v>
      </c>
      <c r="C74" s="63" t="str">
        <f>'Expenses Summary'!C23</f>
        <v>Classified Support Overtime</v>
      </c>
      <c r="D74" s="60">
        <f>IF('Expenses Summary'!$R23="","",IF('Cash Flow %s Yr1'!D69="","",'Cash Flow %s Yr1'!D69*'Expenses Summary'!$R23))</f>
        <v>0</v>
      </c>
      <c r="E74" s="60">
        <f>IF('Expenses Summary'!$R23="","",IF('Cash Flow %s Yr1'!E69="","",'Cash Flow %s Yr1'!E69*'Expenses Summary'!$R23))</f>
        <v>0</v>
      </c>
      <c r="F74" s="60">
        <f>IF('Expenses Summary'!$R23="","",IF('Cash Flow %s Yr1'!F69="","",'Cash Flow %s Yr1'!F69*'Expenses Summary'!$R23))</f>
        <v>0</v>
      </c>
      <c r="G74" s="60">
        <f>IF('Expenses Summary'!$R23="","",IF('Cash Flow %s Yr1'!G69="","",'Cash Flow %s Yr1'!G69*'Expenses Summary'!$R23))</f>
        <v>0</v>
      </c>
      <c r="H74" s="60">
        <f>IF('Expenses Summary'!$R23="","",IF('Cash Flow %s Yr1'!H69="","",'Cash Flow %s Yr1'!H69*'Expenses Summary'!$R23))</f>
        <v>0</v>
      </c>
      <c r="I74" s="60">
        <f>IF('Expenses Summary'!$R23="","",IF('Cash Flow %s Yr1'!I69="","",'Cash Flow %s Yr1'!I69*'Expenses Summary'!$R23))</f>
        <v>0</v>
      </c>
      <c r="J74" s="60">
        <f>IF('Expenses Summary'!$R23="","",IF('Cash Flow %s Yr1'!J69="","",'Cash Flow %s Yr1'!J69*'Expenses Summary'!$R23))</f>
        <v>0</v>
      </c>
      <c r="K74" s="60">
        <f>IF('Expenses Summary'!$R23="","",IF('Cash Flow %s Yr1'!K69="","",'Cash Flow %s Yr1'!K69*'Expenses Summary'!$R23))</f>
        <v>0</v>
      </c>
      <c r="L74" s="60">
        <f>IF('Expenses Summary'!$R23="","",IF('Cash Flow %s Yr1'!L69="","",'Cash Flow %s Yr1'!L69*'Expenses Summary'!$R23))</f>
        <v>0</v>
      </c>
      <c r="M74" s="60">
        <f>IF('Expenses Summary'!$R23="","",IF('Cash Flow %s Yr1'!M69="","",'Cash Flow %s Yr1'!M69*'Expenses Summary'!$R23))</f>
        <v>0</v>
      </c>
      <c r="N74" s="60">
        <f>IF('Expenses Summary'!$R23="","",IF('Cash Flow %s Yr1'!N69="","",'Cash Flow %s Yr1'!N69*'Expenses Summary'!$R23))</f>
        <v>0</v>
      </c>
      <c r="O74" s="60">
        <f>IF('Expenses Summary'!$R23="","",IF('Cash Flow %s Yr1'!O69="","",'Cash Flow %s Yr1'!O69*'Expenses Summary'!$R23))</f>
        <v>0</v>
      </c>
      <c r="P74" s="123"/>
      <c r="Q74" s="123"/>
      <c r="R74" s="123"/>
    </row>
    <row r="75" spans="1:18" s="30" customFormat="1" x14ac:dyDescent="0.3">
      <c r="A75" s="35"/>
      <c r="B75" s="63" t="str">
        <f>'Expenses Summary'!B24</f>
        <v>2300</v>
      </c>
      <c r="C75" s="63" t="str">
        <f>'Expenses Summary'!C24</f>
        <v>Classified Supervisor and Administrator Salaries</v>
      </c>
      <c r="D75" s="60">
        <f>IF('Expenses Summary'!$R24="","",IF('Cash Flow %s Yr1'!D70="","",'Cash Flow %s Yr1'!D70*'Expenses Summary'!$R24))</f>
        <v>0</v>
      </c>
      <c r="E75" s="60">
        <f>IF('Expenses Summary'!$R24="","",IF('Cash Flow %s Yr1'!E70="","",'Cash Flow %s Yr1'!E70*'Expenses Summary'!$R24))</f>
        <v>0</v>
      </c>
      <c r="F75" s="60">
        <f>IF('Expenses Summary'!$R24="","",IF('Cash Flow %s Yr1'!F70="","",'Cash Flow %s Yr1'!F70*'Expenses Summary'!$R24))</f>
        <v>0</v>
      </c>
      <c r="G75" s="60">
        <f>IF('Expenses Summary'!$R24="","",IF('Cash Flow %s Yr1'!G70="","",'Cash Flow %s Yr1'!G70*'Expenses Summary'!$R24))</f>
        <v>0</v>
      </c>
      <c r="H75" s="60">
        <f>IF('Expenses Summary'!$R24="","",IF('Cash Flow %s Yr1'!H70="","",'Cash Flow %s Yr1'!H70*'Expenses Summary'!$R24))</f>
        <v>0</v>
      </c>
      <c r="I75" s="60">
        <f>IF('Expenses Summary'!$R24="","",IF('Cash Flow %s Yr1'!I70="","",'Cash Flow %s Yr1'!I70*'Expenses Summary'!$R24))</f>
        <v>0</v>
      </c>
      <c r="J75" s="60">
        <f>IF('Expenses Summary'!$R24="","",IF('Cash Flow %s Yr1'!J70="","",'Cash Flow %s Yr1'!J70*'Expenses Summary'!$R24))</f>
        <v>0</v>
      </c>
      <c r="K75" s="60">
        <f>IF('Expenses Summary'!$R24="","",IF('Cash Flow %s Yr1'!K70="","",'Cash Flow %s Yr1'!K70*'Expenses Summary'!$R24))</f>
        <v>0</v>
      </c>
      <c r="L75" s="60">
        <f>IF('Expenses Summary'!$R24="","",IF('Cash Flow %s Yr1'!L70="","",'Cash Flow %s Yr1'!L70*'Expenses Summary'!$R24))</f>
        <v>0</v>
      </c>
      <c r="M75" s="60">
        <f>IF('Expenses Summary'!$R24="","",IF('Cash Flow %s Yr1'!M70="","",'Cash Flow %s Yr1'!M70*'Expenses Summary'!$R24))</f>
        <v>0</v>
      </c>
      <c r="N75" s="60">
        <f>IF('Expenses Summary'!$R24="","",IF('Cash Flow %s Yr1'!N70="","",'Cash Flow %s Yr1'!N70*'Expenses Summary'!$R24))</f>
        <v>0</v>
      </c>
      <c r="O75" s="60">
        <f>IF('Expenses Summary'!$R24="","",IF('Cash Flow %s Yr1'!O70="","",'Cash Flow %s Yr1'!O70*'Expenses Summary'!$R24))</f>
        <v>0</v>
      </c>
      <c r="P75" s="123"/>
      <c r="Q75" s="123"/>
      <c r="R75" s="123"/>
    </row>
    <row r="76" spans="1:18" s="30" customFormat="1" x14ac:dyDescent="0.3">
      <c r="A76" s="35"/>
      <c r="B76" s="63" t="str">
        <f>'Expenses Summary'!B25</f>
        <v>2400</v>
      </c>
      <c r="C76" s="63" t="str">
        <f>'Expenses Summary'!C25</f>
        <v>Clerical, Technical, and Office Staff Salaries</v>
      </c>
      <c r="D76" s="60">
        <f>IF('Expenses Summary'!$R25="","",IF('Cash Flow %s Yr1'!D71="","",'Cash Flow %s Yr1'!D71*'Expenses Summary'!$R25))</f>
        <v>2223.2546000000002</v>
      </c>
      <c r="E76" s="60">
        <f>IF('Expenses Summary'!$R25="","",IF('Cash Flow %s Yr1'!E71="","",'Cash Flow %s Yr1'!E71*'Expenses Summary'!$R25))</f>
        <v>2223.2546000000002</v>
      </c>
      <c r="F76" s="60">
        <f>IF('Expenses Summary'!$R25="","",IF('Cash Flow %s Yr1'!F71="","",'Cash Flow %s Yr1'!F71*'Expenses Summary'!$R25))</f>
        <v>2223.2546000000002</v>
      </c>
      <c r="G76" s="60">
        <f>IF('Expenses Summary'!$R25="","",IF('Cash Flow %s Yr1'!G71="","",'Cash Flow %s Yr1'!G71*'Expenses Summary'!$R25))</f>
        <v>2223.2546000000002</v>
      </c>
      <c r="H76" s="60">
        <f>IF('Expenses Summary'!$R25="","",IF('Cash Flow %s Yr1'!H71="","",'Cash Flow %s Yr1'!H71*'Expenses Summary'!$R25))</f>
        <v>2223.2546000000002</v>
      </c>
      <c r="I76" s="60">
        <f>IF('Expenses Summary'!$R25="","",IF('Cash Flow %s Yr1'!I71="","",'Cash Flow %s Yr1'!I71*'Expenses Summary'!$R25))</f>
        <v>2223.2546000000002</v>
      </c>
      <c r="J76" s="60">
        <f>IF('Expenses Summary'!$R25="","",IF('Cash Flow %s Yr1'!J71="","",'Cash Flow %s Yr1'!J71*'Expenses Summary'!$R25))</f>
        <v>2223.2546000000002</v>
      </c>
      <c r="K76" s="60">
        <f>IF('Expenses Summary'!$R25="","",IF('Cash Flow %s Yr1'!K71="","",'Cash Flow %s Yr1'!K71*'Expenses Summary'!$R25))</f>
        <v>2223.2546000000002</v>
      </c>
      <c r="L76" s="60">
        <f>IF('Expenses Summary'!$R25="","",IF('Cash Flow %s Yr1'!L71="","",'Cash Flow %s Yr1'!L71*'Expenses Summary'!$R25))</f>
        <v>2250.0408000000002</v>
      </c>
      <c r="M76" s="60">
        <f>IF('Expenses Summary'!$R25="","",IF('Cash Flow %s Yr1'!M71="","",'Cash Flow %s Yr1'!M71*'Expenses Summary'!$R25))</f>
        <v>2250.0408000000002</v>
      </c>
      <c r="N76" s="60">
        <f>IF('Expenses Summary'!$R25="","",IF('Cash Flow %s Yr1'!N71="","",'Cash Flow %s Yr1'!N71*'Expenses Summary'!$R25))</f>
        <v>2250.0408000000002</v>
      </c>
      <c r="O76" s="60">
        <f>IF('Expenses Summary'!$R25="","",IF('Cash Flow %s Yr1'!O71="","",'Cash Flow %s Yr1'!O71*'Expenses Summary'!$R25))</f>
        <v>2250.0408000000002</v>
      </c>
      <c r="P76" s="123"/>
      <c r="Q76" s="123"/>
      <c r="R76" s="123"/>
    </row>
    <row r="77" spans="1:18" s="30" customFormat="1" x14ac:dyDescent="0.3">
      <c r="A77" s="35"/>
      <c r="B77" s="63" t="str">
        <f>'Expenses Summary'!B26</f>
        <v>2410</v>
      </c>
      <c r="C77" s="63" t="str">
        <f>'Expenses Summary'!C26</f>
        <v>Clerical, Technical, and Office Staff Overtime</v>
      </c>
      <c r="D77" s="60">
        <f>IF('Expenses Summary'!$R26="","",IF('Cash Flow %s Yr1'!D72="","",'Cash Flow %s Yr1'!D72*'Expenses Summary'!$R26))</f>
        <v>0</v>
      </c>
      <c r="E77" s="60">
        <f>IF('Expenses Summary'!$R26="","",IF('Cash Flow %s Yr1'!E72="","",'Cash Flow %s Yr1'!E72*'Expenses Summary'!$R26))</f>
        <v>0</v>
      </c>
      <c r="F77" s="60">
        <f>IF('Expenses Summary'!$R26="","",IF('Cash Flow %s Yr1'!F72="","",'Cash Flow %s Yr1'!F72*'Expenses Summary'!$R26))</f>
        <v>0</v>
      </c>
      <c r="G77" s="60">
        <f>IF('Expenses Summary'!$R26="","",IF('Cash Flow %s Yr1'!G72="","",'Cash Flow %s Yr1'!G72*'Expenses Summary'!$R26))</f>
        <v>0</v>
      </c>
      <c r="H77" s="60">
        <f>IF('Expenses Summary'!$R26="","",IF('Cash Flow %s Yr1'!H72="","",'Cash Flow %s Yr1'!H72*'Expenses Summary'!$R26))</f>
        <v>0</v>
      </c>
      <c r="I77" s="60">
        <f>IF('Expenses Summary'!$R26="","",IF('Cash Flow %s Yr1'!I72="","",'Cash Flow %s Yr1'!I72*'Expenses Summary'!$R26))</f>
        <v>0</v>
      </c>
      <c r="J77" s="60">
        <f>IF('Expenses Summary'!$R26="","",IF('Cash Flow %s Yr1'!J72="","",'Cash Flow %s Yr1'!J72*'Expenses Summary'!$R26))</f>
        <v>0</v>
      </c>
      <c r="K77" s="60">
        <f>IF('Expenses Summary'!$R26="","",IF('Cash Flow %s Yr1'!K72="","",'Cash Flow %s Yr1'!K72*'Expenses Summary'!$R26))</f>
        <v>0</v>
      </c>
      <c r="L77" s="60">
        <f>IF('Expenses Summary'!$R26="","",IF('Cash Flow %s Yr1'!L72="","",'Cash Flow %s Yr1'!L72*'Expenses Summary'!$R26))</f>
        <v>0</v>
      </c>
      <c r="M77" s="60">
        <f>IF('Expenses Summary'!$R26="","",IF('Cash Flow %s Yr1'!M72="","",'Cash Flow %s Yr1'!M72*'Expenses Summary'!$R26))</f>
        <v>0</v>
      </c>
      <c r="N77" s="60">
        <f>IF('Expenses Summary'!$R26="","",IF('Cash Flow %s Yr1'!N72="","",'Cash Flow %s Yr1'!N72*'Expenses Summary'!$R26))</f>
        <v>0</v>
      </c>
      <c r="O77" s="60">
        <f>IF('Expenses Summary'!$R26="","",IF('Cash Flow %s Yr1'!O72="","",'Cash Flow %s Yr1'!O72*'Expenses Summary'!$R26))</f>
        <v>0</v>
      </c>
      <c r="P77" s="123"/>
      <c r="Q77" s="123"/>
      <c r="R77" s="123"/>
    </row>
    <row r="78" spans="1:18" s="30" customFormat="1" x14ac:dyDescent="0.3">
      <c r="A78" s="35"/>
      <c r="B78" s="63" t="str">
        <f>'Expenses Summary'!B27</f>
        <v>2900</v>
      </c>
      <c r="C78" s="63" t="str">
        <f>'Expenses Summary'!C27</f>
        <v>Other Classified Salaries</v>
      </c>
      <c r="D78" s="60">
        <f>IF('Expenses Summary'!$R27="","",IF('Cash Flow %s Yr1'!D73="","",'Cash Flow %s Yr1'!D73*'Expenses Summary'!$R27))</f>
        <v>0</v>
      </c>
      <c r="E78" s="60">
        <f>IF('Expenses Summary'!$R27="","",IF('Cash Flow %s Yr1'!E73="","",'Cash Flow %s Yr1'!E73*'Expenses Summary'!$R27))</f>
        <v>0</v>
      </c>
      <c r="F78" s="60">
        <f>IF('Expenses Summary'!$R27="","",IF('Cash Flow %s Yr1'!F73="","",'Cash Flow %s Yr1'!F73*'Expenses Summary'!$R27))</f>
        <v>0</v>
      </c>
      <c r="G78" s="60">
        <f>IF('Expenses Summary'!$R27="","",IF('Cash Flow %s Yr1'!G73="","",'Cash Flow %s Yr1'!G73*'Expenses Summary'!$R27))</f>
        <v>0</v>
      </c>
      <c r="H78" s="60">
        <f>IF('Expenses Summary'!$R27="","",IF('Cash Flow %s Yr1'!H73="","",'Cash Flow %s Yr1'!H73*'Expenses Summary'!$R27))</f>
        <v>0</v>
      </c>
      <c r="I78" s="60">
        <f>IF('Expenses Summary'!$R27="","",IF('Cash Flow %s Yr1'!I73="","",'Cash Flow %s Yr1'!I73*'Expenses Summary'!$R27))</f>
        <v>0</v>
      </c>
      <c r="J78" s="60">
        <f>IF('Expenses Summary'!$R27="","",IF('Cash Flow %s Yr1'!J73="","",'Cash Flow %s Yr1'!J73*'Expenses Summary'!$R27))</f>
        <v>0</v>
      </c>
      <c r="K78" s="60">
        <f>IF('Expenses Summary'!$R27="","",IF('Cash Flow %s Yr1'!K73="","",'Cash Flow %s Yr1'!K73*'Expenses Summary'!$R27))</f>
        <v>0</v>
      </c>
      <c r="L78" s="60">
        <f>IF('Expenses Summary'!$R27="","",IF('Cash Flow %s Yr1'!L73="","",'Cash Flow %s Yr1'!L73*'Expenses Summary'!$R27))</f>
        <v>0</v>
      </c>
      <c r="M78" s="60">
        <f>IF('Expenses Summary'!$R27="","",IF('Cash Flow %s Yr1'!M73="","",'Cash Flow %s Yr1'!M73*'Expenses Summary'!$R27))</f>
        <v>0</v>
      </c>
      <c r="N78" s="60">
        <f>IF('Expenses Summary'!$R27="","",IF('Cash Flow %s Yr1'!N73="","",'Cash Flow %s Yr1'!N73*'Expenses Summary'!$R27))</f>
        <v>0</v>
      </c>
      <c r="O78" s="60">
        <f>IF('Expenses Summary'!$R27="","",IF('Cash Flow %s Yr1'!O73="","",'Cash Flow %s Yr1'!O73*'Expenses Summary'!$R27))</f>
        <v>0</v>
      </c>
      <c r="P78" s="123"/>
      <c r="Q78" s="123"/>
      <c r="R78" s="123"/>
    </row>
    <row r="79" spans="1:18" s="30" customFormat="1" x14ac:dyDescent="0.3">
      <c r="A79" s="35"/>
      <c r="B79" s="63" t="str">
        <f>'Expenses Summary'!B28</f>
        <v>2905</v>
      </c>
      <c r="C79" s="63" t="str">
        <f>'Expenses Summary'!C28</f>
        <v>Other Stipends</v>
      </c>
      <c r="D79" s="60">
        <f>IF('Expenses Summary'!$R28="","",IF('Cash Flow %s Yr1'!D74="","",'Cash Flow %s Yr1'!D74*'Expenses Summary'!$R28))</f>
        <v>0</v>
      </c>
      <c r="E79" s="60">
        <f>IF('Expenses Summary'!$R28="","",IF('Cash Flow %s Yr1'!E74="","",'Cash Flow %s Yr1'!E74*'Expenses Summary'!$R28))</f>
        <v>0</v>
      </c>
      <c r="F79" s="60">
        <f>IF('Expenses Summary'!$R28="","",IF('Cash Flow %s Yr1'!F74="","",'Cash Flow %s Yr1'!F74*'Expenses Summary'!$R28))</f>
        <v>0</v>
      </c>
      <c r="G79" s="60">
        <f>IF('Expenses Summary'!$R28="","",IF('Cash Flow %s Yr1'!G74="","",'Cash Flow %s Yr1'!G74*'Expenses Summary'!$R28))</f>
        <v>0</v>
      </c>
      <c r="H79" s="60">
        <f>IF('Expenses Summary'!$R28="","",IF('Cash Flow %s Yr1'!H74="","",'Cash Flow %s Yr1'!H74*'Expenses Summary'!$R28))</f>
        <v>0</v>
      </c>
      <c r="I79" s="60">
        <f>IF('Expenses Summary'!$R28="","",IF('Cash Flow %s Yr1'!I74="","",'Cash Flow %s Yr1'!I74*'Expenses Summary'!$R28))</f>
        <v>0</v>
      </c>
      <c r="J79" s="60">
        <f>IF('Expenses Summary'!$R28="","",IF('Cash Flow %s Yr1'!J74="","",'Cash Flow %s Yr1'!J74*'Expenses Summary'!$R28))</f>
        <v>0</v>
      </c>
      <c r="K79" s="60">
        <f>IF('Expenses Summary'!$R28="","",IF('Cash Flow %s Yr1'!K74="","",'Cash Flow %s Yr1'!K74*'Expenses Summary'!$R28))</f>
        <v>0</v>
      </c>
      <c r="L79" s="60">
        <f>IF('Expenses Summary'!$R28="","",IF('Cash Flow %s Yr1'!L74="","",'Cash Flow %s Yr1'!L74*'Expenses Summary'!$R28))</f>
        <v>0</v>
      </c>
      <c r="M79" s="60">
        <f>IF('Expenses Summary'!$R28="","",IF('Cash Flow %s Yr1'!M74="","",'Cash Flow %s Yr1'!M74*'Expenses Summary'!$R28))</f>
        <v>0</v>
      </c>
      <c r="N79" s="60">
        <f>IF('Expenses Summary'!$R28="","",IF('Cash Flow %s Yr1'!N74="","",'Cash Flow %s Yr1'!N74*'Expenses Summary'!$R28))</f>
        <v>0</v>
      </c>
      <c r="O79" s="60">
        <f>IF('Expenses Summary'!$R28="","",IF('Cash Flow %s Yr1'!O74="","",'Cash Flow %s Yr1'!O74*'Expenses Summary'!$R28))</f>
        <v>0</v>
      </c>
      <c r="P79" s="123"/>
      <c r="Q79" s="123"/>
      <c r="R79" s="123"/>
    </row>
    <row r="80" spans="1:18" s="30" customFormat="1" x14ac:dyDescent="0.3">
      <c r="A80" s="35"/>
      <c r="B80" s="63" t="str">
        <f>'Expenses Summary'!B29</f>
        <v>2910</v>
      </c>
      <c r="C80" s="63" t="str">
        <f>'Expenses Summary'!C29</f>
        <v>Other Classified Overtime</v>
      </c>
      <c r="D80" s="60">
        <f>IF('Expenses Summary'!$R29="","",IF('Cash Flow %s Yr1'!D75="","",'Cash Flow %s Yr1'!D75*'Expenses Summary'!$R29))</f>
        <v>0</v>
      </c>
      <c r="E80" s="60">
        <f>IF('Expenses Summary'!$R29="","",IF('Cash Flow %s Yr1'!E75="","",'Cash Flow %s Yr1'!E75*'Expenses Summary'!$R29))</f>
        <v>0</v>
      </c>
      <c r="F80" s="60">
        <f>IF('Expenses Summary'!$R29="","",IF('Cash Flow %s Yr1'!F75="","",'Cash Flow %s Yr1'!F75*'Expenses Summary'!$R29))</f>
        <v>0</v>
      </c>
      <c r="G80" s="60">
        <f>IF('Expenses Summary'!$R29="","",IF('Cash Flow %s Yr1'!G75="","",'Cash Flow %s Yr1'!G75*'Expenses Summary'!$R29))</f>
        <v>0</v>
      </c>
      <c r="H80" s="60">
        <f>IF('Expenses Summary'!$R29="","",IF('Cash Flow %s Yr1'!H75="","",'Cash Flow %s Yr1'!H75*'Expenses Summary'!$R29))</f>
        <v>0</v>
      </c>
      <c r="I80" s="60">
        <f>IF('Expenses Summary'!$R29="","",IF('Cash Flow %s Yr1'!I75="","",'Cash Flow %s Yr1'!I75*'Expenses Summary'!$R29))</f>
        <v>0</v>
      </c>
      <c r="J80" s="60">
        <f>IF('Expenses Summary'!$R29="","",IF('Cash Flow %s Yr1'!J75="","",'Cash Flow %s Yr1'!J75*'Expenses Summary'!$R29))</f>
        <v>0</v>
      </c>
      <c r="K80" s="60">
        <f>IF('Expenses Summary'!$R29="","",IF('Cash Flow %s Yr1'!K75="","",'Cash Flow %s Yr1'!K75*'Expenses Summary'!$R29))</f>
        <v>0</v>
      </c>
      <c r="L80" s="60">
        <f>IF('Expenses Summary'!$R29="","",IF('Cash Flow %s Yr1'!L75="","",'Cash Flow %s Yr1'!L75*'Expenses Summary'!$R29))</f>
        <v>0</v>
      </c>
      <c r="M80" s="60">
        <f>IF('Expenses Summary'!$R29="","",IF('Cash Flow %s Yr1'!M75="","",'Cash Flow %s Yr1'!M75*'Expenses Summary'!$R29))</f>
        <v>0</v>
      </c>
      <c r="N80" s="60">
        <f>IF('Expenses Summary'!$R29="","",IF('Cash Flow %s Yr1'!N75="","",'Cash Flow %s Yr1'!N75*'Expenses Summary'!$R29))</f>
        <v>0</v>
      </c>
      <c r="O80" s="60">
        <f>IF('Expenses Summary'!$R29="","",IF('Cash Flow %s Yr1'!O75="","",'Cash Flow %s Yr1'!O75*'Expenses Summary'!$R29))</f>
        <v>0</v>
      </c>
      <c r="P80" s="123"/>
      <c r="Q80" s="123"/>
      <c r="R80" s="123"/>
    </row>
    <row r="81" spans="1:18" s="30" customFormat="1" x14ac:dyDescent="0.3">
      <c r="A81" s="35"/>
      <c r="B81" s="42" t="s">
        <v>737</v>
      </c>
      <c r="C81" s="33" t="s">
        <v>720</v>
      </c>
      <c r="D81" s="165">
        <f t="shared" ref="D81:I81" si="6">IF(SUM(D70:D80)&gt;0,SUM(D70:D80),"")</f>
        <v>2223.2546000000002</v>
      </c>
      <c r="E81" s="165">
        <f t="shared" si="6"/>
        <v>9718.5545999999995</v>
      </c>
      <c r="F81" s="165">
        <f t="shared" si="6"/>
        <v>17213.854599999999</v>
      </c>
      <c r="G81" s="165">
        <f t="shared" si="6"/>
        <v>17213.854599999999</v>
      </c>
      <c r="H81" s="165">
        <f t="shared" si="6"/>
        <v>17213.854599999999</v>
      </c>
      <c r="I81" s="165">
        <f t="shared" si="6"/>
        <v>17213.854599999999</v>
      </c>
      <c r="J81" s="165">
        <f t="shared" ref="J81:O81" si="7">IF(SUM(J70:J80)&gt;0,SUM(J70:J80),"")</f>
        <v>17213.854599999999</v>
      </c>
      <c r="K81" s="165">
        <f t="shared" si="7"/>
        <v>17213.854599999999</v>
      </c>
      <c r="L81" s="165">
        <f t="shared" si="7"/>
        <v>17240.640800000001</v>
      </c>
      <c r="M81" s="165">
        <f t="shared" si="7"/>
        <v>17240.640800000001</v>
      </c>
      <c r="N81" s="165">
        <f t="shared" si="7"/>
        <v>17240.640800000001</v>
      </c>
      <c r="O81" s="165">
        <f t="shared" si="7"/>
        <v>9745.3407999999999</v>
      </c>
      <c r="P81" s="94"/>
      <c r="Q81" s="94"/>
      <c r="R81" s="94"/>
    </row>
    <row r="82" spans="1:18" s="30" customFormat="1" x14ac:dyDescent="0.3">
      <c r="A82" s="35"/>
      <c r="B82" s="39"/>
      <c r="C82" s="3"/>
      <c r="D82" s="96"/>
      <c r="E82" s="96"/>
      <c r="F82" s="96"/>
      <c r="G82" s="96"/>
      <c r="H82" s="96"/>
      <c r="I82" s="96"/>
      <c r="J82" s="96"/>
      <c r="K82" s="96"/>
      <c r="L82" s="96"/>
      <c r="M82" s="96"/>
      <c r="N82" s="96"/>
      <c r="O82" s="96"/>
      <c r="P82" s="96"/>
      <c r="Q82" s="96"/>
      <c r="R82" s="96"/>
    </row>
    <row r="83" spans="1:18" s="30" customFormat="1" x14ac:dyDescent="0.3">
      <c r="B83" s="33" t="s">
        <v>734</v>
      </c>
      <c r="C83" s="3"/>
      <c r="D83" s="96"/>
      <c r="E83" s="96"/>
      <c r="F83" s="96"/>
      <c r="G83" s="96"/>
      <c r="H83" s="96"/>
      <c r="I83" s="96"/>
      <c r="J83" s="96"/>
      <c r="K83" s="96"/>
      <c r="L83" s="96"/>
      <c r="M83" s="96"/>
      <c r="N83" s="96"/>
      <c r="O83" s="96"/>
      <c r="P83" s="96"/>
      <c r="Q83" s="96"/>
      <c r="R83" s="96"/>
    </row>
    <row r="84" spans="1:18" s="30" customFormat="1" x14ac:dyDescent="0.3">
      <c r="A84" s="35"/>
      <c r="B84" s="63" t="str">
        <f>'Expenses Summary'!B33</f>
        <v>3101</v>
      </c>
      <c r="C84" s="63" t="str">
        <f>'Expenses Summary'!C33</f>
        <v>State Teachers' Retirement System, certificated positions</v>
      </c>
      <c r="D84" s="60">
        <f>IF('Expenses Summary'!$R33="","",IF('Cash Flow %s Yr1'!D79="","",'Cash Flow %s Yr1'!D79*'Expenses Summary'!$R33))</f>
        <v>870.621984</v>
      </c>
      <c r="E84" s="60">
        <f>IF('Expenses Summary'!$R33="","",IF('Cash Flow %s Yr1'!E79="","",'Cash Flow %s Yr1'!E79*'Expenses Summary'!$R33))</f>
        <v>2176.5549599999999</v>
      </c>
      <c r="F84" s="60">
        <f>IF('Expenses Summary'!$R33="","",IF('Cash Flow %s Yr1'!F79="","",'Cash Flow %s Yr1'!F79*'Expenses Summary'!$R33))</f>
        <v>4353.1099199999999</v>
      </c>
      <c r="G84" s="60">
        <f>IF('Expenses Summary'!$R33="","",IF('Cash Flow %s Yr1'!G79="","",'Cash Flow %s Yr1'!G79*'Expenses Summary'!$R33))</f>
        <v>4353.1099199999999</v>
      </c>
      <c r="H84" s="60">
        <f>IF('Expenses Summary'!$R33="","",IF('Cash Flow %s Yr1'!H79="","",'Cash Flow %s Yr1'!H79*'Expenses Summary'!$R33))</f>
        <v>4353.1099199999999</v>
      </c>
      <c r="I84" s="60">
        <f>IF('Expenses Summary'!$R33="","",IF('Cash Flow %s Yr1'!I79="","",'Cash Flow %s Yr1'!I79*'Expenses Summary'!$R33))</f>
        <v>4353.1099199999999</v>
      </c>
      <c r="J84" s="60">
        <f>IF('Expenses Summary'!$R33="","",IF('Cash Flow %s Yr1'!J79="","",'Cash Flow %s Yr1'!J79*'Expenses Summary'!$R33))</f>
        <v>4353.1099199999999</v>
      </c>
      <c r="K84" s="60">
        <f>IF('Expenses Summary'!$R33="","",IF('Cash Flow %s Yr1'!K79="","",'Cash Flow %s Yr1'!K79*'Expenses Summary'!$R33))</f>
        <v>4353.1099199999999</v>
      </c>
      <c r="L84" s="60">
        <f>IF('Expenses Summary'!$R33="","",IF('Cash Flow %s Yr1'!L79="","",'Cash Flow %s Yr1'!L79*'Expenses Summary'!$R33))</f>
        <v>4353.1099199999999</v>
      </c>
      <c r="M84" s="60">
        <f>IF('Expenses Summary'!$R33="","",IF('Cash Flow %s Yr1'!M79="","",'Cash Flow %s Yr1'!M79*'Expenses Summary'!$R33))</f>
        <v>4353.1099199999999</v>
      </c>
      <c r="N84" s="60">
        <f>IF('Expenses Summary'!$R33="","",IF('Cash Flow %s Yr1'!N79="","",'Cash Flow %s Yr1'!N79*'Expenses Summary'!$R33))</f>
        <v>4353.1099199999999</v>
      </c>
      <c r="O84" s="60">
        <f>IF('Expenses Summary'!$R33="","",IF('Cash Flow %s Yr1'!O79="","",'Cash Flow %s Yr1'!O79*'Expenses Summary'!$R33))</f>
        <v>1305.9329759999998</v>
      </c>
      <c r="P84" s="123"/>
      <c r="Q84" s="123"/>
      <c r="R84" s="123"/>
    </row>
    <row r="85" spans="1:18" s="30" customFormat="1" x14ac:dyDescent="0.3">
      <c r="A85" s="35"/>
      <c r="B85" s="63" t="str">
        <f>'Expenses Summary'!B34</f>
        <v>3202</v>
      </c>
      <c r="C85" s="63" t="str">
        <f>'Expenses Summary'!C34</f>
        <v>Public Employees' Retirement System, classified positions</v>
      </c>
      <c r="D85" s="60">
        <f>IF('Expenses Summary'!$R34="","",IF('Cash Flow %s Yr1'!D80="","",'Cash Flow %s Yr1'!D80*'Expenses Summary'!$R34))</f>
        <v>0</v>
      </c>
      <c r="E85" s="60">
        <f>IF('Expenses Summary'!$R34="","",IF('Cash Flow %s Yr1'!E80="","",'Cash Flow %s Yr1'!E80*'Expenses Summary'!$R34))</f>
        <v>0</v>
      </c>
      <c r="F85" s="60">
        <f>IF('Expenses Summary'!$R34="","",IF('Cash Flow %s Yr1'!F80="","",'Cash Flow %s Yr1'!F80*'Expenses Summary'!$R34))</f>
        <v>0</v>
      </c>
      <c r="G85" s="60">
        <f>IF('Expenses Summary'!$R34="","",IF('Cash Flow %s Yr1'!G80="","",'Cash Flow %s Yr1'!G80*'Expenses Summary'!$R34))</f>
        <v>0</v>
      </c>
      <c r="H85" s="60">
        <f>IF('Expenses Summary'!$R34="","",IF('Cash Flow %s Yr1'!H80="","",'Cash Flow %s Yr1'!H80*'Expenses Summary'!$R34))</f>
        <v>0</v>
      </c>
      <c r="I85" s="60">
        <f>IF('Expenses Summary'!$R34="","",IF('Cash Flow %s Yr1'!I80="","",'Cash Flow %s Yr1'!I80*'Expenses Summary'!$R34))</f>
        <v>0</v>
      </c>
      <c r="J85" s="60">
        <f>IF('Expenses Summary'!$R34="","",IF('Cash Flow %s Yr1'!J80="","",'Cash Flow %s Yr1'!J80*'Expenses Summary'!$R34))</f>
        <v>0</v>
      </c>
      <c r="K85" s="60">
        <f>IF('Expenses Summary'!$R34="","",IF('Cash Flow %s Yr1'!K80="","",'Cash Flow %s Yr1'!K80*'Expenses Summary'!$R34))</f>
        <v>0</v>
      </c>
      <c r="L85" s="60">
        <f>IF('Expenses Summary'!$R34="","",IF('Cash Flow %s Yr1'!L80="","",'Cash Flow %s Yr1'!L80*'Expenses Summary'!$R34))</f>
        <v>0</v>
      </c>
      <c r="M85" s="60">
        <f>IF('Expenses Summary'!$R34="","",IF('Cash Flow %s Yr1'!M80="","",'Cash Flow %s Yr1'!M80*'Expenses Summary'!$R34))</f>
        <v>0</v>
      </c>
      <c r="N85" s="60">
        <f>IF('Expenses Summary'!$R34="","",IF('Cash Flow %s Yr1'!N80="","",'Cash Flow %s Yr1'!N80*'Expenses Summary'!$R34))</f>
        <v>0</v>
      </c>
      <c r="O85" s="60">
        <f>IF('Expenses Summary'!$R34="","",IF('Cash Flow %s Yr1'!O80="","",'Cash Flow %s Yr1'!O80*'Expenses Summary'!$R34))</f>
        <v>0</v>
      </c>
      <c r="P85" s="123"/>
      <c r="Q85" s="123"/>
      <c r="R85" s="123"/>
    </row>
    <row r="86" spans="1:18" s="30" customFormat="1" x14ac:dyDescent="0.3">
      <c r="A86" s="35"/>
      <c r="B86" s="63" t="str">
        <f>'Expenses Summary'!B35</f>
        <v>3313</v>
      </c>
      <c r="C86" s="63" t="str">
        <f>'Expenses Summary'!C35</f>
        <v>OASDI</v>
      </c>
      <c r="D86" s="60">
        <f>IF('Expenses Summary'!$R35="","",IF('Cash Flow %s Yr1'!D81="","",'Cash Flow %s Yr1'!D81*'Expenses Summary'!$R35))</f>
        <v>1023.8319750000002</v>
      </c>
      <c r="E86" s="60">
        <f>IF('Expenses Summary'!$R35="","",IF('Cash Flow %s Yr1'!E81="","",'Cash Flow %s Yr1'!E81*'Expenses Summary'!$R35))</f>
        <v>1023.8319750000002</v>
      </c>
      <c r="F86" s="60">
        <f>IF('Expenses Summary'!$R35="","",IF('Cash Flow %s Yr1'!F81="","",'Cash Flow %s Yr1'!F81*'Expenses Summary'!$R35))</f>
        <v>1023.8319750000002</v>
      </c>
      <c r="G86" s="60">
        <f>IF('Expenses Summary'!$R35="","",IF('Cash Flow %s Yr1'!G81="","",'Cash Flow %s Yr1'!G81*'Expenses Summary'!$R35))</f>
        <v>1023.8319750000002</v>
      </c>
      <c r="H86" s="60">
        <f>IF('Expenses Summary'!$R35="","",IF('Cash Flow %s Yr1'!H81="","",'Cash Flow %s Yr1'!H81*'Expenses Summary'!$R35))</f>
        <v>1023.8319750000002</v>
      </c>
      <c r="I86" s="60">
        <f>IF('Expenses Summary'!$R35="","",IF('Cash Flow %s Yr1'!I81="","",'Cash Flow %s Yr1'!I81*'Expenses Summary'!$R35))</f>
        <v>1023.8319750000002</v>
      </c>
      <c r="J86" s="60">
        <f>IF('Expenses Summary'!$R35="","",IF('Cash Flow %s Yr1'!J81="","",'Cash Flow %s Yr1'!J81*'Expenses Summary'!$R35))</f>
        <v>1023.8319750000002</v>
      </c>
      <c r="K86" s="60">
        <f>IF('Expenses Summary'!$R35="","",IF('Cash Flow %s Yr1'!K81="","",'Cash Flow %s Yr1'!K81*'Expenses Summary'!$R35))</f>
        <v>1023.8319750000002</v>
      </c>
      <c r="L86" s="60">
        <f>IF('Expenses Summary'!$R35="","",IF('Cash Flow %s Yr1'!L81="","",'Cash Flow %s Yr1'!L81*'Expenses Summary'!$R35))</f>
        <v>1036.1673000000001</v>
      </c>
      <c r="M86" s="60">
        <f>IF('Expenses Summary'!$R35="","",IF('Cash Flow %s Yr1'!M81="","",'Cash Flow %s Yr1'!M81*'Expenses Summary'!$R35))</f>
        <v>1036.1673000000001</v>
      </c>
      <c r="N86" s="60">
        <f>IF('Expenses Summary'!$R35="","",IF('Cash Flow %s Yr1'!N81="","",'Cash Flow %s Yr1'!N81*'Expenses Summary'!$R35))</f>
        <v>1036.1673000000001</v>
      </c>
      <c r="O86" s="60">
        <f>IF('Expenses Summary'!$R35="","",IF('Cash Flow %s Yr1'!O81="","",'Cash Flow %s Yr1'!O81*'Expenses Summary'!$R35))</f>
        <v>1036.1673000000001</v>
      </c>
      <c r="P86" s="123"/>
      <c r="Q86" s="123"/>
      <c r="R86" s="123"/>
    </row>
    <row r="87" spans="1:18" s="30" customFormat="1" x14ac:dyDescent="0.3">
      <c r="A87" s="35"/>
      <c r="B87" s="63" t="str">
        <f>'Expenses Summary'!B36</f>
        <v>3323</v>
      </c>
      <c r="C87" s="63" t="str">
        <f>'Expenses Summary'!C36</f>
        <v>Medicare</v>
      </c>
      <c r="D87" s="60">
        <f>IF('Expenses Summary'!$R36="","",IF('Cash Flow %s Yr1'!D82="","",'Cash Flow %s Yr1'!D82*'Expenses Summary'!$R36))</f>
        <v>547.16068419999999</v>
      </c>
      <c r="E87" s="60">
        <f>IF('Expenses Summary'!$R36="","",IF('Cash Flow %s Yr1'!E82="","",'Cash Flow %s Yr1'!E82*'Expenses Summary'!$R36))</f>
        <v>547.16068419999999</v>
      </c>
      <c r="F87" s="60">
        <f>IF('Expenses Summary'!$R36="","",IF('Cash Flow %s Yr1'!F82="","",'Cash Flow %s Yr1'!F82*'Expenses Summary'!$R36))</f>
        <v>547.16068419999999</v>
      </c>
      <c r="G87" s="60">
        <f>IF('Expenses Summary'!$R36="","",IF('Cash Flow %s Yr1'!G82="","",'Cash Flow %s Yr1'!G82*'Expenses Summary'!$R36))</f>
        <v>547.16068419999999</v>
      </c>
      <c r="H87" s="60">
        <f>IF('Expenses Summary'!$R36="","",IF('Cash Flow %s Yr1'!H82="","",'Cash Flow %s Yr1'!H82*'Expenses Summary'!$R36))</f>
        <v>547.16068419999999</v>
      </c>
      <c r="I87" s="60">
        <f>IF('Expenses Summary'!$R36="","",IF('Cash Flow %s Yr1'!I82="","",'Cash Flow %s Yr1'!I82*'Expenses Summary'!$R36))</f>
        <v>547.16068419999999</v>
      </c>
      <c r="J87" s="60">
        <f>IF('Expenses Summary'!$R36="","",IF('Cash Flow %s Yr1'!J82="","",'Cash Flow %s Yr1'!J82*'Expenses Summary'!$R36))</f>
        <v>547.16068419999999</v>
      </c>
      <c r="K87" s="60">
        <f>IF('Expenses Summary'!$R36="","",IF('Cash Flow %s Yr1'!K82="","",'Cash Flow %s Yr1'!K82*'Expenses Summary'!$R36))</f>
        <v>547.16068419999999</v>
      </c>
      <c r="L87" s="60">
        <f>IF('Expenses Summary'!$R36="","",IF('Cash Flow %s Yr1'!L82="","",'Cash Flow %s Yr1'!L82*'Expenses Summary'!$R36))</f>
        <v>553.7529816</v>
      </c>
      <c r="M87" s="60">
        <f>IF('Expenses Summary'!$R36="","",IF('Cash Flow %s Yr1'!M82="","",'Cash Flow %s Yr1'!M82*'Expenses Summary'!$R36))</f>
        <v>553.7529816</v>
      </c>
      <c r="N87" s="60">
        <f>IF('Expenses Summary'!$R36="","",IF('Cash Flow %s Yr1'!N82="","",'Cash Flow %s Yr1'!N82*'Expenses Summary'!$R36))</f>
        <v>553.7529816</v>
      </c>
      <c r="O87" s="60">
        <f>IF('Expenses Summary'!$R36="","",IF('Cash Flow %s Yr1'!O82="","",'Cash Flow %s Yr1'!O82*'Expenses Summary'!$R36))</f>
        <v>553.7529816</v>
      </c>
      <c r="P87" s="123"/>
      <c r="Q87" s="123"/>
      <c r="R87" s="123"/>
    </row>
    <row r="88" spans="1:18" s="30" customFormat="1" x14ac:dyDescent="0.3">
      <c r="A88" s="35"/>
      <c r="B88" s="63" t="str">
        <f>'Expenses Summary'!B37</f>
        <v>3403</v>
      </c>
      <c r="C88" s="63" t="str">
        <f>'Expenses Summary'!C37</f>
        <v>Health &amp; Welfare Benefits</v>
      </c>
      <c r="D88" s="60">
        <f>IF('Expenses Summary'!$R37="","",IF('Cash Flow %s Yr1'!D83="","",'Cash Flow %s Yr1'!D83*'Expenses Summary'!$R37))</f>
        <v>4433.8600000000006</v>
      </c>
      <c r="E88" s="60">
        <f>IF('Expenses Summary'!$R37="","",IF('Cash Flow %s Yr1'!E83="","",'Cash Flow %s Yr1'!E83*'Expenses Summary'!$R37))</f>
        <v>4433.8600000000006</v>
      </c>
      <c r="F88" s="60">
        <f>IF('Expenses Summary'!$R37="","",IF('Cash Flow %s Yr1'!F83="","",'Cash Flow %s Yr1'!F83*'Expenses Summary'!$R37))</f>
        <v>4433.8600000000006</v>
      </c>
      <c r="G88" s="60">
        <f>IF('Expenses Summary'!$R37="","",IF('Cash Flow %s Yr1'!G83="","",'Cash Flow %s Yr1'!G83*'Expenses Summary'!$R37))</f>
        <v>4433.8600000000006</v>
      </c>
      <c r="H88" s="60">
        <f>IF('Expenses Summary'!$R37="","",IF('Cash Flow %s Yr1'!H83="","",'Cash Flow %s Yr1'!H83*'Expenses Summary'!$R37))</f>
        <v>4433.8600000000006</v>
      </c>
      <c r="I88" s="60">
        <f>IF('Expenses Summary'!$R37="","",IF('Cash Flow %s Yr1'!I83="","",'Cash Flow %s Yr1'!I83*'Expenses Summary'!$R37))</f>
        <v>4433.8600000000006</v>
      </c>
      <c r="J88" s="60">
        <f>IF('Expenses Summary'!$R37="","",IF('Cash Flow %s Yr1'!J83="","",'Cash Flow %s Yr1'!J83*'Expenses Summary'!$R37))</f>
        <v>4433.8600000000006</v>
      </c>
      <c r="K88" s="60">
        <f>IF('Expenses Summary'!$R37="","",IF('Cash Flow %s Yr1'!K83="","",'Cash Flow %s Yr1'!K83*'Expenses Summary'!$R37))</f>
        <v>4433.8600000000006</v>
      </c>
      <c r="L88" s="60">
        <f>IF('Expenses Summary'!$R37="","",IF('Cash Flow %s Yr1'!L83="","",'Cash Flow %s Yr1'!L83*'Expenses Summary'!$R37))</f>
        <v>4487.2800000000007</v>
      </c>
      <c r="M88" s="60">
        <f>IF('Expenses Summary'!$R37="","",IF('Cash Flow %s Yr1'!M83="","",'Cash Flow %s Yr1'!M83*'Expenses Summary'!$R37))</f>
        <v>4487.2800000000007</v>
      </c>
      <c r="N88" s="60">
        <f>IF('Expenses Summary'!$R37="","",IF('Cash Flow %s Yr1'!N83="","",'Cash Flow %s Yr1'!N83*'Expenses Summary'!$R37))</f>
        <v>4487.2800000000007</v>
      </c>
      <c r="O88" s="60">
        <f>IF('Expenses Summary'!$R37="","",IF('Cash Flow %s Yr1'!O83="","",'Cash Flow %s Yr1'!O83*'Expenses Summary'!$R37))</f>
        <v>4487.2800000000007</v>
      </c>
      <c r="P88" s="123"/>
      <c r="Q88" s="123"/>
      <c r="R88" s="123"/>
    </row>
    <row r="89" spans="1:18" s="30" customFormat="1" x14ac:dyDescent="0.3">
      <c r="A89" s="35"/>
      <c r="B89" s="63" t="str">
        <f>'Expenses Summary'!B38</f>
        <v>3503</v>
      </c>
      <c r="C89" s="63" t="str">
        <f>'Expenses Summary'!C38</f>
        <v>State Unemployment Insurance</v>
      </c>
      <c r="D89" s="60">
        <f>IF('Expenses Summary'!$R38="","",IF('Cash Flow %s Yr1'!D84="","",'Cash Flow %s Yr1'!D84*'Expenses Summary'!$R38))</f>
        <v>531.20000000000005</v>
      </c>
      <c r="E89" s="60">
        <f>IF('Expenses Summary'!$R38="","",IF('Cash Flow %s Yr1'!E84="","",'Cash Flow %s Yr1'!E84*'Expenses Summary'!$R38))</f>
        <v>531.20000000000005</v>
      </c>
      <c r="F89" s="60">
        <f>IF('Expenses Summary'!$R38="","",IF('Cash Flow %s Yr1'!F84="","",'Cash Flow %s Yr1'!F84*'Expenses Summary'!$R38))</f>
        <v>531.20000000000005</v>
      </c>
      <c r="G89" s="60">
        <f>IF('Expenses Summary'!$R38="","",IF('Cash Flow %s Yr1'!G84="","",'Cash Flow %s Yr1'!G84*'Expenses Summary'!$R38))</f>
        <v>531.20000000000005</v>
      </c>
      <c r="H89" s="60">
        <f>IF('Expenses Summary'!$R38="","",IF('Cash Flow %s Yr1'!H84="","",'Cash Flow %s Yr1'!H84*'Expenses Summary'!$R38))</f>
        <v>531.20000000000005</v>
      </c>
      <c r="I89" s="60">
        <f>IF('Expenses Summary'!$R38="","",IF('Cash Flow %s Yr1'!I84="","",'Cash Flow %s Yr1'!I84*'Expenses Summary'!$R38))</f>
        <v>531.20000000000005</v>
      </c>
      <c r="J89" s="60">
        <f>IF('Expenses Summary'!$R38="","",IF('Cash Flow %s Yr1'!J84="","",'Cash Flow %s Yr1'!J84*'Expenses Summary'!$R38))</f>
        <v>531.20000000000005</v>
      </c>
      <c r="K89" s="60">
        <f>IF('Expenses Summary'!$R38="","",IF('Cash Flow %s Yr1'!K84="","",'Cash Flow %s Yr1'!K84*'Expenses Summary'!$R38))</f>
        <v>531.20000000000005</v>
      </c>
      <c r="L89" s="60">
        <f>IF('Expenses Summary'!$R38="","",IF('Cash Flow %s Yr1'!L84="","",'Cash Flow %s Yr1'!L84*'Expenses Summary'!$R38))</f>
        <v>537.6</v>
      </c>
      <c r="M89" s="60">
        <f>IF('Expenses Summary'!$R38="","",IF('Cash Flow %s Yr1'!M84="","",'Cash Flow %s Yr1'!M84*'Expenses Summary'!$R38))</f>
        <v>537.6</v>
      </c>
      <c r="N89" s="60">
        <f>IF('Expenses Summary'!$R38="","",IF('Cash Flow %s Yr1'!N84="","",'Cash Flow %s Yr1'!N84*'Expenses Summary'!$R38))</f>
        <v>537.6</v>
      </c>
      <c r="O89" s="60">
        <f>IF('Expenses Summary'!$R38="","",IF('Cash Flow %s Yr1'!O84="","",'Cash Flow %s Yr1'!O84*'Expenses Summary'!$R38))</f>
        <v>537.6</v>
      </c>
      <c r="P89" s="123"/>
      <c r="Q89" s="123"/>
      <c r="R89" s="123"/>
    </row>
    <row r="90" spans="1:18" s="30" customFormat="1" x14ac:dyDescent="0.3">
      <c r="A90" s="35"/>
      <c r="B90" s="63" t="str">
        <f>'Expenses Summary'!B39</f>
        <v>3603</v>
      </c>
      <c r="C90" s="63" t="str">
        <f>'Expenses Summary'!C39</f>
        <v>Worker Compensation Insurance</v>
      </c>
      <c r="D90" s="60">
        <f>IF('Expenses Summary'!$R39="","",IF('Cash Flow %s Yr1'!D85="","",'Cash Flow %s Yr1'!D85*'Expenses Summary'!$R39))</f>
        <v>822.53000000000009</v>
      </c>
      <c r="E90" s="60">
        <f>IF('Expenses Summary'!$R39="","",IF('Cash Flow %s Yr1'!E85="","",'Cash Flow %s Yr1'!E85*'Expenses Summary'!$R39))</f>
        <v>822.53000000000009</v>
      </c>
      <c r="F90" s="60">
        <f>IF('Expenses Summary'!$R39="","",IF('Cash Flow %s Yr1'!F85="","",'Cash Flow %s Yr1'!F85*'Expenses Summary'!$R39))</f>
        <v>822.53000000000009</v>
      </c>
      <c r="G90" s="60">
        <f>IF('Expenses Summary'!$R39="","",IF('Cash Flow %s Yr1'!G85="","",'Cash Flow %s Yr1'!G85*'Expenses Summary'!$R39))</f>
        <v>822.53000000000009</v>
      </c>
      <c r="H90" s="60">
        <f>IF('Expenses Summary'!$R39="","",IF('Cash Flow %s Yr1'!H85="","",'Cash Flow %s Yr1'!H85*'Expenses Summary'!$R39))</f>
        <v>822.53000000000009</v>
      </c>
      <c r="I90" s="60">
        <f>IF('Expenses Summary'!$R39="","",IF('Cash Flow %s Yr1'!I85="","",'Cash Flow %s Yr1'!I85*'Expenses Summary'!$R39))</f>
        <v>822.53000000000009</v>
      </c>
      <c r="J90" s="60">
        <f>IF('Expenses Summary'!$R39="","",IF('Cash Flow %s Yr1'!J85="","",'Cash Flow %s Yr1'!J85*'Expenses Summary'!$R39))</f>
        <v>822.53000000000009</v>
      </c>
      <c r="K90" s="60">
        <f>IF('Expenses Summary'!$R39="","",IF('Cash Flow %s Yr1'!K85="","",'Cash Flow %s Yr1'!K85*'Expenses Summary'!$R39))</f>
        <v>822.53000000000009</v>
      </c>
      <c r="L90" s="60">
        <f>IF('Expenses Summary'!$R39="","",IF('Cash Flow %s Yr1'!L85="","",'Cash Flow %s Yr1'!L85*'Expenses Summary'!$R39))</f>
        <v>832.44</v>
      </c>
      <c r="M90" s="60">
        <f>IF('Expenses Summary'!$R39="","",IF('Cash Flow %s Yr1'!M85="","",'Cash Flow %s Yr1'!M85*'Expenses Summary'!$R39))</f>
        <v>832.44</v>
      </c>
      <c r="N90" s="60">
        <f>IF('Expenses Summary'!$R39="","",IF('Cash Flow %s Yr1'!N85="","",'Cash Flow %s Yr1'!N85*'Expenses Summary'!$R39))</f>
        <v>832.44</v>
      </c>
      <c r="O90" s="60">
        <f>IF('Expenses Summary'!$R39="","",IF('Cash Flow %s Yr1'!O85="","",'Cash Flow %s Yr1'!O85*'Expenses Summary'!$R39))</f>
        <v>832.44</v>
      </c>
      <c r="P90" s="123"/>
      <c r="Q90" s="123"/>
      <c r="R90" s="123"/>
    </row>
    <row r="91" spans="1:18" s="30" customFormat="1" x14ac:dyDescent="0.3">
      <c r="A91" s="35"/>
      <c r="B91" s="63" t="str">
        <f>'Expenses Summary'!B40</f>
        <v>3703</v>
      </c>
      <c r="C91" s="63" t="str">
        <f>'Expenses Summary'!C40</f>
        <v>Other Post Employement Benefits</v>
      </c>
      <c r="D91" s="60">
        <f>IF('Expenses Summary'!$R40="","",IF('Cash Flow %s Yr1'!D86="","",'Cash Flow %s Yr1'!D86*'Expenses Summary'!$R40))</f>
        <v>0</v>
      </c>
      <c r="E91" s="60">
        <f>IF('Expenses Summary'!$R40="","",IF('Cash Flow %s Yr1'!E86="","",'Cash Flow %s Yr1'!E86*'Expenses Summary'!$R40))</f>
        <v>0</v>
      </c>
      <c r="F91" s="60">
        <f>IF('Expenses Summary'!$R40="","",IF('Cash Flow %s Yr1'!F86="","",'Cash Flow %s Yr1'!F86*'Expenses Summary'!$R40))</f>
        <v>0</v>
      </c>
      <c r="G91" s="60">
        <f>IF('Expenses Summary'!$R40="","",IF('Cash Flow %s Yr1'!G86="","",'Cash Flow %s Yr1'!G86*'Expenses Summary'!$R40))</f>
        <v>0</v>
      </c>
      <c r="H91" s="60">
        <f>IF('Expenses Summary'!$R40="","",IF('Cash Flow %s Yr1'!H86="","",'Cash Flow %s Yr1'!H86*'Expenses Summary'!$R40))</f>
        <v>0</v>
      </c>
      <c r="I91" s="60">
        <f>IF('Expenses Summary'!$R40="","",IF('Cash Flow %s Yr1'!I86="","",'Cash Flow %s Yr1'!I86*'Expenses Summary'!$R40))</f>
        <v>0</v>
      </c>
      <c r="J91" s="60">
        <f>IF('Expenses Summary'!$R40="","",IF('Cash Flow %s Yr1'!J86="","",'Cash Flow %s Yr1'!J86*'Expenses Summary'!$R40))</f>
        <v>0</v>
      </c>
      <c r="K91" s="60">
        <f>IF('Expenses Summary'!$R40="","",IF('Cash Flow %s Yr1'!K86="","",'Cash Flow %s Yr1'!K86*'Expenses Summary'!$R40))</f>
        <v>0</v>
      </c>
      <c r="L91" s="60">
        <f>IF('Expenses Summary'!$R40="","",IF('Cash Flow %s Yr1'!L86="","",'Cash Flow %s Yr1'!L86*'Expenses Summary'!$R40))</f>
        <v>0</v>
      </c>
      <c r="M91" s="60">
        <f>IF('Expenses Summary'!$R40="","",IF('Cash Flow %s Yr1'!M86="","",'Cash Flow %s Yr1'!M86*'Expenses Summary'!$R40))</f>
        <v>0</v>
      </c>
      <c r="N91" s="60">
        <f>IF('Expenses Summary'!$R40="","",IF('Cash Flow %s Yr1'!N86="","",'Cash Flow %s Yr1'!N86*'Expenses Summary'!$R40))</f>
        <v>0</v>
      </c>
      <c r="O91" s="60">
        <f>IF('Expenses Summary'!$R40="","",IF('Cash Flow %s Yr1'!O86="","",'Cash Flow %s Yr1'!O86*'Expenses Summary'!$R40))</f>
        <v>0</v>
      </c>
      <c r="P91" s="123"/>
      <c r="Q91" s="123"/>
      <c r="R91" s="123"/>
    </row>
    <row r="92" spans="1:18" s="30" customFormat="1" x14ac:dyDescent="0.3">
      <c r="A92" s="35"/>
      <c r="B92" s="63" t="str">
        <f>'Expenses Summary'!B41</f>
        <v>3903</v>
      </c>
      <c r="C92" s="63" t="str">
        <f>'Expenses Summary'!C41</f>
        <v>Other Benefits</v>
      </c>
      <c r="D92" s="60">
        <f>IF('Expenses Summary'!$R41="","",IF('Cash Flow %s Yr1'!D87="","",'Cash Flow %s Yr1'!D87*'Expenses Summary'!$R41))</f>
        <v>0</v>
      </c>
      <c r="E92" s="60">
        <f>IF('Expenses Summary'!$R41="","",IF('Cash Flow %s Yr1'!E87="","",'Cash Flow %s Yr1'!E87*'Expenses Summary'!$R41))</f>
        <v>0</v>
      </c>
      <c r="F92" s="60">
        <f>IF('Expenses Summary'!$R41="","",IF('Cash Flow %s Yr1'!F87="","",'Cash Flow %s Yr1'!F87*'Expenses Summary'!$R41))</f>
        <v>0</v>
      </c>
      <c r="G92" s="60">
        <f>IF('Expenses Summary'!$R41="","",IF('Cash Flow %s Yr1'!G87="","",'Cash Flow %s Yr1'!G87*'Expenses Summary'!$R41))</f>
        <v>0</v>
      </c>
      <c r="H92" s="60">
        <f>IF('Expenses Summary'!$R41="","",IF('Cash Flow %s Yr1'!H87="","",'Cash Flow %s Yr1'!H87*'Expenses Summary'!$R41))</f>
        <v>0</v>
      </c>
      <c r="I92" s="60">
        <f>IF('Expenses Summary'!$R41="","",IF('Cash Flow %s Yr1'!I87="","",'Cash Flow %s Yr1'!I87*'Expenses Summary'!$R41))</f>
        <v>0</v>
      </c>
      <c r="J92" s="60">
        <f>IF('Expenses Summary'!$R41="","",IF('Cash Flow %s Yr1'!J87="","",'Cash Flow %s Yr1'!J87*'Expenses Summary'!$R41))</f>
        <v>0</v>
      </c>
      <c r="K92" s="60">
        <f>IF('Expenses Summary'!$R41="","",IF('Cash Flow %s Yr1'!K87="","",'Cash Flow %s Yr1'!K87*'Expenses Summary'!$R41))</f>
        <v>0</v>
      </c>
      <c r="L92" s="60">
        <f>IF('Expenses Summary'!$R41="","",IF('Cash Flow %s Yr1'!L87="","",'Cash Flow %s Yr1'!L87*'Expenses Summary'!$R41))</f>
        <v>0</v>
      </c>
      <c r="M92" s="60">
        <f>IF('Expenses Summary'!$R41="","",IF('Cash Flow %s Yr1'!M87="","",'Cash Flow %s Yr1'!M87*'Expenses Summary'!$R41))</f>
        <v>0</v>
      </c>
      <c r="N92" s="60">
        <f>IF('Expenses Summary'!$R41="","",IF('Cash Flow %s Yr1'!N87="","",'Cash Flow %s Yr1'!N87*'Expenses Summary'!$R41))</f>
        <v>0</v>
      </c>
      <c r="O92" s="60">
        <f>IF('Expenses Summary'!$R41="","",IF('Cash Flow %s Yr1'!O87="","",'Cash Flow %s Yr1'!O87*'Expenses Summary'!$R41))</f>
        <v>0</v>
      </c>
      <c r="P92" s="123"/>
      <c r="Q92" s="123"/>
      <c r="R92" s="123"/>
    </row>
    <row r="93" spans="1:18" s="30" customFormat="1" x14ac:dyDescent="0.3">
      <c r="A93" s="35"/>
      <c r="B93" s="42" t="s">
        <v>738</v>
      </c>
      <c r="C93" s="33" t="s">
        <v>720</v>
      </c>
      <c r="D93" s="165">
        <f t="shared" ref="D93:O93" si="8">IF(SUM(D83:D92)&gt;0,SUM(D83:D92),"")</f>
        <v>8229.2046432000006</v>
      </c>
      <c r="E93" s="165">
        <f t="shared" si="8"/>
        <v>9535.1376192000025</v>
      </c>
      <c r="F93" s="165">
        <f t="shared" si="8"/>
        <v>11711.692579200002</v>
      </c>
      <c r="G93" s="165">
        <f t="shared" si="8"/>
        <v>11711.692579200002</v>
      </c>
      <c r="H93" s="165">
        <f t="shared" si="8"/>
        <v>11711.692579200002</v>
      </c>
      <c r="I93" s="165">
        <f t="shared" si="8"/>
        <v>11711.692579200002</v>
      </c>
      <c r="J93" s="165">
        <f t="shared" si="8"/>
        <v>11711.692579200002</v>
      </c>
      <c r="K93" s="165">
        <f t="shared" si="8"/>
        <v>11711.692579200002</v>
      </c>
      <c r="L93" s="165">
        <f t="shared" si="8"/>
        <v>11800.350201600002</v>
      </c>
      <c r="M93" s="165">
        <f t="shared" si="8"/>
        <v>11800.350201600002</v>
      </c>
      <c r="N93" s="165">
        <f t="shared" si="8"/>
        <v>11800.350201600002</v>
      </c>
      <c r="O93" s="165">
        <f t="shared" si="8"/>
        <v>8753.1732576000013</v>
      </c>
      <c r="P93" s="94"/>
      <c r="Q93" s="94"/>
      <c r="R93" s="94"/>
    </row>
    <row r="94" spans="1:18" s="30" customFormat="1" x14ac:dyDescent="0.3">
      <c r="A94" s="35"/>
      <c r="B94" s="39"/>
      <c r="C94" s="1"/>
      <c r="D94" s="89"/>
      <c r="E94" s="89"/>
      <c r="F94" s="89"/>
      <c r="G94" s="89"/>
      <c r="H94" s="89"/>
      <c r="I94" s="89"/>
      <c r="J94" s="89"/>
      <c r="K94" s="89"/>
      <c r="L94" s="89"/>
      <c r="M94" s="89"/>
      <c r="N94" s="89"/>
      <c r="O94" s="89"/>
      <c r="P94" s="89"/>
      <c r="Q94" s="89"/>
      <c r="R94" s="89"/>
    </row>
    <row r="95" spans="1:18" s="30" customFormat="1" x14ac:dyDescent="0.3">
      <c r="B95" s="33" t="s">
        <v>677</v>
      </c>
      <c r="C95" s="3"/>
      <c r="D95" s="89"/>
      <c r="E95" s="89"/>
      <c r="F95" s="89"/>
      <c r="G95" s="89"/>
      <c r="H95" s="89"/>
      <c r="I95" s="89"/>
      <c r="J95" s="89"/>
      <c r="K95" s="89"/>
      <c r="L95" s="89"/>
      <c r="M95" s="89"/>
      <c r="N95" s="89"/>
      <c r="O95" s="89"/>
      <c r="P95" s="89"/>
      <c r="Q95" s="89"/>
      <c r="R95" s="89"/>
    </row>
    <row r="96" spans="1:18" s="30" customFormat="1" x14ac:dyDescent="0.3">
      <c r="A96" s="35"/>
      <c r="B96" s="133" t="str">
        <f>'Expenses Summary'!B47</f>
        <v>4100</v>
      </c>
      <c r="C96" s="133" t="str">
        <f>'Expenses Summary'!C47</f>
        <v>Approved Textbooks and Core Curricula Materials</v>
      </c>
      <c r="D96" s="60">
        <f>IF('Expenses Summary'!$R47="","",IF('Cash Flow %s Yr1'!D91="","",'Cash Flow %s Yr1'!D91*'Expenses Summary'!$R47))</f>
        <v>1300</v>
      </c>
      <c r="E96" s="60">
        <f>IF('Expenses Summary'!$R47="","",IF('Cash Flow %s Yr1'!E91="","",'Cash Flow %s Yr1'!E91*'Expenses Summary'!$R47))</f>
        <v>1300</v>
      </c>
      <c r="F96" s="60">
        <f>IF('Expenses Summary'!$R47="","",IF('Cash Flow %s Yr1'!F91="","",'Cash Flow %s Yr1'!F91*'Expenses Summary'!$R47))</f>
        <v>1300</v>
      </c>
      <c r="G96" s="60">
        <f>IF('Expenses Summary'!$R47="","",IF('Cash Flow %s Yr1'!G91="","",'Cash Flow %s Yr1'!G91*'Expenses Summary'!$R47))</f>
        <v>1300</v>
      </c>
      <c r="H96" s="60">
        <f>IF('Expenses Summary'!$R47="","",IF('Cash Flow %s Yr1'!H91="","",'Cash Flow %s Yr1'!H91*'Expenses Summary'!$R47))</f>
        <v>1300</v>
      </c>
      <c r="I96" s="60">
        <f>IF('Expenses Summary'!$R47="","",IF('Cash Flow %s Yr1'!I91="","",'Cash Flow %s Yr1'!I91*'Expenses Summary'!$R47))</f>
        <v>1300</v>
      </c>
      <c r="J96" s="60">
        <f>IF('Expenses Summary'!$R47="","",IF('Cash Flow %s Yr1'!J91="","",'Cash Flow %s Yr1'!J91*'Expenses Summary'!$R47))</f>
        <v>1300</v>
      </c>
      <c r="K96" s="60">
        <f>IF('Expenses Summary'!$R47="","",IF('Cash Flow %s Yr1'!K91="","",'Cash Flow %s Yr1'!K91*'Expenses Summary'!$R47))</f>
        <v>1300</v>
      </c>
      <c r="L96" s="60">
        <f>IF('Expenses Summary'!$R47="","",IF('Cash Flow %s Yr1'!L91="","",'Cash Flow %s Yr1'!L91*'Expenses Summary'!$R47))</f>
        <v>1300</v>
      </c>
      <c r="M96" s="60">
        <f>IF('Expenses Summary'!$R47="","",IF('Cash Flow %s Yr1'!M91="","",'Cash Flow %s Yr1'!M91*'Expenses Summary'!$R47))</f>
        <v>1300</v>
      </c>
      <c r="N96" s="60">
        <f>IF('Expenses Summary'!$R47="","",IF('Cash Flow %s Yr1'!N91="","",'Cash Flow %s Yr1'!N91*'Expenses Summary'!$R47))</f>
        <v>0</v>
      </c>
      <c r="O96" s="60">
        <f>IF('Expenses Summary'!$R47="","",IF('Cash Flow %s Yr1'!O91="","",'Cash Flow %s Yr1'!O91*'Expenses Summary'!$R47))</f>
        <v>0</v>
      </c>
      <c r="P96" s="123"/>
      <c r="Q96" s="123"/>
      <c r="R96" s="123"/>
    </row>
    <row r="97" spans="1:18" x14ac:dyDescent="0.3">
      <c r="A97" s="35"/>
      <c r="B97" s="133" t="str">
        <f>'Expenses Summary'!B48</f>
        <v>4200</v>
      </c>
      <c r="C97" s="133" t="str">
        <f>'Expenses Summary'!C48</f>
        <v>Books and Other Reference Materials</v>
      </c>
      <c r="D97" s="60">
        <f>IF('Expenses Summary'!$R48="","",IF('Cash Flow %s Yr1'!D92="","",'Cash Flow %s Yr1'!D92*'Expenses Summary'!$R48))</f>
        <v>90</v>
      </c>
      <c r="E97" s="60">
        <f>IF('Expenses Summary'!$R48="","",IF('Cash Flow %s Yr1'!E92="","",'Cash Flow %s Yr1'!E92*'Expenses Summary'!$R48))</f>
        <v>180</v>
      </c>
      <c r="F97" s="60">
        <f>IF('Expenses Summary'!$R48="","",IF('Cash Flow %s Yr1'!F92="","",'Cash Flow %s Yr1'!F92*'Expenses Summary'!$R48))</f>
        <v>180</v>
      </c>
      <c r="G97" s="60">
        <f>IF('Expenses Summary'!$R48="","",IF('Cash Flow %s Yr1'!G92="","",'Cash Flow %s Yr1'!G92*'Expenses Summary'!$R48))</f>
        <v>180</v>
      </c>
      <c r="H97" s="60">
        <f>IF('Expenses Summary'!$R48="","",IF('Cash Flow %s Yr1'!H92="","",'Cash Flow %s Yr1'!H92*'Expenses Summary'!$R48))</f>
        <v>180</v>
      </c>
      <c r="I97" s="60">
        <f>IF('Expenses Summary'!$R48="","",IF('Cash Flow %s Yr1'!I92="","",'Cash Flow %s Yr1'!I92*'Expenses Summary'!$R48))</f>
        <v>180</v>
      </c>
      <c r="J97" s="60">
        <f>IF('Expenses Summary'!$R48="","",IF('Cash Flow %s Yr1'!J92="","",'Cash Flow %s Yr1'!J92*'Expenses Summary'!$R48))</f>
        <v>180</v>
      </c>
      <c r="K97" s="60">
        <f>IF('Expenses Summary'!$R48="","",IF('Cash Flow %s Yr1'!K92="","",'Cash Flow %s Yr1'!K92*'Expenses Summary'!$R48))</f>
        <v>180</v>
      </c>
      <c r="L97" s="60">
        <f>IF('Expenses Summary'!$R48="","",IF('Cash Flow %s Yr1'!L92="","",'Cash Flow %s Yr1'!L92*'Expenses Summary'!$R48))</f>
        <v>180</v>
      </c>
      <c r="M97" s="60">
        <f>IF('Expenses Summary'!$R48="","",IF('Cash Flow %s Yr1'!M92="","",'Cash Flow %s Yr1'!M92*'Expenses Summary'!$R48))</f>
        <v>180</v>
      </c>
      <c r="N97" s="60">
        <f>IF('Expenses Summary'!$R48="","",IF('Cash Flow %s Yr1'!N92="","",'Cash Flow %s Yr1'!N92*'Expenses Summary'!$R48))</f>
        <v>90</v>
      </c>
      <c r="O97" s="60">
        <f>IF('Expenses Summary'!$R48="","",IF('Cash Flow %s Yr1'!O92="","",'Cash Flow %s Yr1'!O92*'Expenses Summary'!$R48))</f>
        <v>0</v>
      </c>
      <c r="P97" s="123"/>
      <c r="Q97" s="123"/>
      <c r="R97" s="123"/>
    </row>
    <row r="98" spans="1:18" x14ac:dyDescent="0.3">
      <c r="A98" s="35"/>
      <c r="B98" s="133" t="str">
        <f>'Expenses Summary'!B49</f>
        <v>4300</v>
      </c>
      <c r="C98" s="133" t="str">
        <f>'Expenses Summary'!C49</f>
        <v>Materials and Supplies</v>
      </c>
      <c r="D98" s="60">
        <f>IF('Expenses Summary'!$R49="","",IF('Cash Flow %s Yr1'!D93="","",'Cash Flow %s Yr1'!D93*'Expenses Summary'!$R49))</f>
        <v>664</v>
      </c>
      <c r="E98" s="60">
        <f>IF('Expenses Summary'!$R49="","",IF('Cash Flow %s Yr1'!E93="","",'Cash Flow %s Yr1'!E93*'Expenses Summary'!$R49))</f>
        <v>664</v>
      </c>
      <c r="F98" s="60">
        <f>IF('Expenses Summary'!$R49="","",IF('Cash Flow %s Yr1'!F93="","",'Cash Flow %s Yr1'!F93*'Expenses Summary'!$R49))</f>
        <v>664</v>
      </c>
      <c r="G98" s="60">
        <f>IF('Expenses Summary'!$R49="","",IF('Cash Flow %s Yr1'!G93="","",'Cash Flow %s Yr1'!G93*'Expenses Summary'!$R49))</f>
        <v>664</v>
      </c>
      <c r="H98" s="60">
        <f>IF('Expenses Summary'!$R49="","",IF('Cash Flow %s Yr1'!H93="","",'Cash Flow %s Yr1'!H93*'Expenses Summary'!$R49))</f>
        <v>664</v>
      </c>
      <c r="I98" s="60">
        <f>IF('Expenses Summary'!$R49="","",IF('Cash Flow %s Yr1'!I93="","",'Cash Flow %s Yr1'!I93*'Expenses Summary'!$R49))</f>
        <v>664</v>
      </c>
      <c r="J98" s="60">
        <f>IF('Expenses Summary'!$R49="","",IF('Cash Flow %s Yr1'!J93="","",'Cash Flow %s Yr1'!J93*'Expenses Summary'!$R49))</f>
        <v>664</v>
      </c>
      <c r="K98" s="60">
        <f>IF('Expenses Summary'!$R49="","",IF('Cash Flow %s Yr1'!K93="","",'Cash Flow %s Yr1'!K93*'Expenses Summary'!$R49))</f>
        <v>664</v>
      </c>
      <c r="L98" s="60">
        <f>IF('Expenses Summary'!$R49="","",IF('Cash Flow %s Yr1'!L93="","",'Cash Flow %s Yr1'!L93*'Expenses Summary'!$R49))</f>
        <v>672</v>
      </c>
      <c r="M98" s="60">
        <f>IF('Expenses Summary'!$R49="","",IF('Cash Flow %s Yr1'!M93="","",'Cash Flow %s Yr1'!M93*'Expenses Summary'!$R49))</f>
        <v>672</v>
      </c>
      <c r="N98" s="60">
        <f>IF('Expenses Summary'!$R49="","",IF('Cash Flow %s Yr1'!N93="","",'Cash Flow %s Yr1'!N93*'Expenses Summary'!$R49))</f>
        <v>672</v>
      </c>
      <c r="O98" s="60">
        <f>IF('Expenses Summary'!$R49="","",IF('Cash Flow %s Yr1'!O93="","",'Cash Flow %s Yr1'!O93*'Expenses Summary'!$R49))</f>
        <v>672</v>
      </c>
      <c r="P98" s="123"/>
      <c r="Q98" s="123"/>
      <c r="R98" s="123"/>
    </row>
    <row r="99" spans="1:18" x14ac:dyDescent="0.3">
      <c r="A99" s="35"/>
      <c r="B99" s="133" t="str">
        <f>'Expenses Summary'!B50</f>
        <v>4315</v>
      </c>
      <c r="C99" s="133" t="str">
        <f>'Expenses Summary'!C50</f>
        <v>Classroom Materials and Supplies</v>
      </c>
      <c r="D99" s="60">
        <f>IF('Expenses Summary'!$R50="","",IF('Cash Flow %s Yr1'!D94="","",'Cash Flow %s Yr1'!D94*'Expenses Summary'!$R50))</f>
        <v>498</v>
      </c>
      <c r="E99" s="60">
        <f>IF('Expenses Summary'!$R50="","",IF('Cash Flow %s Yr1'!E94="","",'Cash Flow %s Yr1'!E94*'Expenses Summary'!$R50))</f>
        <v>498</v>
      </c>
      <c r="F99" s="60">
        <f>IF('Expenses Summary'!$R50="","",IF('Cash Flow %s Yr1'!F94="","",'Cash Flow %s Yr1'!F94*'Expenses Summary'!$R50))</f>
        <v>498</v>
      </c>
      <c r="G99" s="60">
        <f>IF('Expenses Summary'!$R50="","",IF('Cash Flow %s Yr1'!G94="","",'Cash Flow %s Yr1'!G94*'Expenses Summary'!$R50))</f>
        <v>498</v>
      </c>
      <c r="H99" s="60">
        <f>IF('Expenses Summary'!$R50="","",IF('Cash Flow %s Yr1'!H94="","",'Cash Flow %s Yr1'!H94*'Expenses Summary'!$R50))</f>
        <v>498</v>
      </c>
      <c r="I99" s="60">
        <f>IF('Expenses Summary'!$R50="","",IF('Cash Flow %s Yr1'!I94="","",'Cash Flow %s Yr1'!I94*'Expenses Summary'!$R50))</f>
        <v>498</v>
      </c>
      <c r="J99" s="60">
        <f>IF('Expenses Summary'!$R50="","",IF('Cash Flow %s Yr1'!J94="","",'Cash Flow %s Yr1'!J94*'Expenses Summary'!$R50))</f>
        <v>498</v>
      </c>
      <c r="K99" s="60">
        <f>IF('Expenses Summary'!$R50="","",IF('Cash Flow %s Yr1'!K94="","",'Cash Flow %s Yr1'!K94*'Expenses Summary'!$R50))</f>
        <v>498</v>
      </c>
      <c r="L99" s="60">
        <f>IF('Expenses Summary'!$R50="","",IF('Cash Flow %s Yr1'!L94="","",'Cash Flow %s Yr1'!L94*'Expenses Summary'!$R50))</f>
        <v>498</v>
      </c>
      <c r="M99" s="60">
        <f>IF('Expenses Summary'!$R50="","",IF('Cash Flow %s Yr1'!M94="","",'Cash Flow %s Yr1'!M94*'Expenses Summary'!$R50))</f>
        <v>498</v>
      </c>
      <c r="N99" s="60">
        <f>IF('Expenses Summary'!$R50="","",IF('Cash Flow %s Yr1'!N94="","",'Cash Flow %s Yr1'!N94*'Expenses Summary'!$R50))</f>
        <v>498</v>
      </c>
      <c r="O99" s="60">
        <f>IF('Expenses Summary'!$R50="","",IF('Cash Flow %s Yr1'!O94="","",'Cash Flow %s Yr1'!O94*'Expenses Summary'!$R50))</f>
        <v>498</v>
      </c>
      <c r="P99" s="123"/>
      <c r="Q99" s="123"/>
      <c r="R99" s="123"/>
    </row>
    <row r="100" spans="1:18" x14ac:dyDescent="0.3">
      <c r="A100" s="35"/>
      <c r="B100" s="133" t="str">
        <f>'Expenses Summary'!B51</f>
        <v>4342</v>
      </c>
      <c r="C100" s="133" t="str">
        <f>'Expenses Summary'!C51</f>
        <v>Materials for Athletics</v>
      </c>
      <c r="D100" s="60">
        <f>IF('Expenses Summary'!$R51="","",IF('Cash Flow %s Yr1'!D95="","",'Cash Flow %s Yr1'!D95*'Expenses Summary'!$R51))</f>
        <v>415</v>
      </c>
      <c r="E100" s="60">
        <f>IF('Expenses Summary'!$R51="","",IF('Cash Flow %s Yr1'!E95="","",'Cash Flow %s Yr1'!E95*'Expenses Summary'!$R51))</f>
        <v>415</v>
      </c>
      <c r="F100" s="60">
        <f>IF('Expenses Summary'!$R51="","",IF('Cash Flow %s Yr1'!F95="","",'Cash Flow %s Yr1'!F95*'Expenses Summary'!$R51))</f>
        <v>415</v>
      </c>
      <c r="G100" s="60">
        <f>IF('Expenses Summary'!$R51="","",IF('Cash Flow %s Yr1'!G95="","",'Cash Flow %s Yr1'!G95*'Expenses Summary'!$R51))</f>
        <v>415</v>
      </c>
      <c r="H100" s="60">
        <f>IF('Expenses Summary'!$R51="","",IF('Cash Flow %s Yr1'!H95="","",'Cash Flow %s Yr1'!H95*'Expenses Summary'!$R51))</f>
        <v>415</v>
      </c>
      <c r="I100" s="60">
        <f>IF('Expenses Summary'!$R51="","",IF('Cash Flow %s Yr1'!I95="","",'Cash Flow %s Yr1'!I95*'Expenses Summary'!$R51))</f>
        <v>415</v>
      </c>
      <c r="J100" s="60">
        <f>IF('Expenses Summary'!$R51="","",IF('Cash Flow %s Yr1'!J95="","",'Cash Flow %s Yr1'!J95*'Expenses Summary'!$R51))</f>
        <v>415</v>
      </c>
      <c r="K100" s="60">
        <f>IF('Expenses Summary'!$R51="","",IF('Cash Flow %s Yr1'!K95="","",'Cash Flow %s Yr1'!K95*'Expenses Summary'!$R51))</f>
        <v>415</v>
      </c>
      <c r="L100" s="60">
        <f>IF('Expenses Summary'!$R51="","",IF('Cash Flow %s Yr1'!L95="","",'Cash Flow %s Yr1'!L95*'Expenses Summary'!$R51))</f>
        <v>420</v>
      </c>
      <c r="M100" s="60">
        <f>IF('Expenses Summary'!$R51="","",IF('Cash Flow %s Yr1'!M95="","",'Cash Flow %s Yr1'!M95*'Expenses Summary'!$R51))</f>
        <v>420</v>
      </c>
      <c r="N100" s="60">
        <f>IF('Expenses Summary'!$R51="","",IF('Cash Flow %s Yr1'!N95="","",'Cash Flow %s Yr1'!N95*'Expenses Summary'!$R51))</f>
        <v>420</v>
      </c>
      <c r="O100" s="60">
        <f>IF('Expenses Summary'!$R51="","",IF('Cash Flow %s Yr1'!O95="","",'Cash Flow %s Yr1'!O95*'Expenses Summary'!$R51))</f>
        <v>420</v>
      </c>
      <c r="P100" s="123"/>
      <c r="Q100" s="123"/>
      <c r="R100" s="123"/>
    </row>
    <row r="101" spans="1:18" x14ac:dyDescent="0.3">
      <c r="A101" s="35"/>
      <c r="B101" s="133" t="str">
        <f>'Expenses Summary'!B52</f>
        <v>4381</v>
      </c>
      <c r="C101" s="133" t="str">
        <f>'Expenses Summary'!C52</f>
        <v>Materials for Plant Maintenance</v>
      </c>
      <c r="D101" s="60">
        <f>IF('Expenses Summary'!$R52="","",IF('Cash Flow %s Yr1'!D96="","",'Cash Flow %s Yr1'!D96*'Expenses Summary'!$R52))</f>
        <v>83</v>
      </c>
      <c r="E101" s="60">
        <f>IF('Expenses Summary'!$R52="","",IF('Cash Flow %s Yr1'!E96="","",'Cash Flow %s Yr1'!E96*'Expenses Summary'!$R52))</f>
        <v>83</v>
      </c>
      <c r="F101" s="60">
        <f>IF('Expenses Summary'!$R52="","",IF('Cash Flow %s Yr1'!F96="","",'Cash Flow %s Yr1'!F96*'Expenses Summary'!$R52))</f>
        <v>83</v>
      </c>
      <c r="G101" s="60">
        <f>IF('Expenses Summary'!$R52="","",IF('Cash Flow %s Yr1'!G96="","",'Cash Flow %s Yr1'!G96*'Expenses Summary'!$R52))</f>
        <v>83</v>
      </c>
      <c r="H101" s="60">
        <f>IF('Expenses Summary'!$R52="","",IF('Cash Flow %s Yr1'!H96="","",'Cash Flow %s Yr1'!H96*'Expenses Summary'!$R52))</f>
        <v>83</v>
      </c>
      <c r="I101" s="60">
        <f>IF('Expenses Summary'!$R52="","",IF('Cash Flow %s Yr1'!I96="","",'Cash Flow %s Yr1'!I96*'Expenses Summary'!$R52))</f>
        <v>83</v>
      </c>
      <c r="J101" s="60">
        <f>IF('Expenses Summary'!$R52="","",IF('Cash Flow %s Yr1'!J96="","",'Cash Flow %s Yr1'!J96*'Expenses Summary'!$R52))</f>
        <v>83</v>
      </c>
      <c r="K101" s="60">
        <f>IF('Expenses Summary'!$R52="","",IF('Cash Flow %s Yr1'!K96="","",'Cash Flow %s Yr1'!K96*'Expenses Summary'!$R52))</f>
        <v>83</v>
      </c>
      <c r="L101" s="60">
        <f>IF('Expenses Summary'!$R52="","",IF('Cash Flow %s Yr1'!L96="","",'Cash Flow %s Yr1'!L96*'Expenses Summary'!$R52))</f>
        <v>83</v>
      </c>
      <c r="M101" s="60">
        <f>IF('Expenses Summary'!$R52="","",IF('Cash Flow %s Yr1'!M96="","",'Cash Flow %s Yr1'!M96*'Expenses Summary'!$R52))</f>
        <v>83</v>
      </c>
      <c r="N101" s="60">
        <f>IF('Expenses Summary'!$R52="","",IF('Cash Flow %s Yr1'!N96="","",'Cash Flow %s Yr1'!N96*'Expenses Summary'!$R52))</f>
        <v>83</v>
      </c>
      <c r="O101" s="60">
        <f>IF('Expenses Summary'!$R52="","",IF('Cash Flow %s Yr1'!O96="","",'Cash Flow %s Yr1'!O96*'Expenses Summary'!$R52))</f>
        <v>83</v>
      </c>
      <c r="P101" s="123"/>
      <c r="Q101" s="123"/>
      <c r="R101" s="123"/>
    </row>
    <row r="102" spans="1:18" hidden="1" outlineLevel="1" x14ac:dyDescent="0.3">
      <c r="A102" s="35"/>
      <c r="B102" s="133" t="str">
        <f>'Expenses Summary'!B53</f>
        <v>4400</v>
      </c>
      <c r="C102" s="133" t="str">
        <f>'Expenses Summary'!C53</f>
        <v>Noncapitalized Equipment</v>
      </c>
      <c r="D102" s="60" t="str">
        <f>IF('Expenses Summary'!$R53="","",IF('Cash Flow %s Yr1'!D97="","",'Cash Flow %s Yr1'!D97*'Expenses Summary'!$R53))</f>
        <v/>
      </c>
      <c r="E102" s="60" t="str">
        <f>IF('Expenses Summary'!$R53="","",IF('Cash Flow %s Yr1'!E97="","",'Cash Flow %s Yr1'!E97*'Expenses Summary'!$R53))</f>
        <v/>
      </c>
      <c r="F102" s="60">
        <f>IF('Expenses Summary'!$R53="","",IF('Cash Flow %s Yr1'!F97="","",'Cash Flow %s Yr1'!F97*'Expenses Summary'!$R53))</f>
        <v>500</v>
      </c>
      <c r="G102" s="60">
        <f>IF('Expenses Summary'!$R53="","",IF('Cash Flow %s Yr1'!G97="","",'Cash Flow %s Yr1'!G97*'Expenses Summary'!$R53))</f>
        <v>500</v>
      </c>
      <c r="H102" s="60">
        <f>IF('Expenses Summary'!$R53="","",IF('Cash Flow %s Yr1'!H97="","",'Cash Flow %s Yr1'!H97*'Expenses Summary'!$R53))</f>
        <v>500</v>
      </c>
      <c r="I102" s="60">
        <f>IF('Expenses Summary'!$R53="","",IF('Cash Flow %s Yr1'!I97="","",'Cash Flow %s Yr1'!I97*'Expenses Summary'!$R53))</f>
        <v>500</v>
      </c>
      <c r="J102" s="60">
        <f>IF('Expenses Summary'!$R53="","",IF('Cash Flow %s Yr1'!J97="","",'Cash Flow %s Yr1'!J97*'Expenses Summary'!$R53))</f>
        <v>500</v>
      </c>
      <c r="K102" s="60">
        <f>IF('Expenses Summary'!$R53="","",IF('Cash Flow %s Yr1'!K97="","",'Cash Flow %s Yr1'!K97*'Expenses Summary'!$R53))</f>
        <v>500</v>
      </c>
      <c r="L102" s="60">
        <f>IF('Expenses Summary'!$R53="","",IF('Cash Flow %s Yr1'!L97="","",'Cash Flow %s Yr1'!L97*'Expenses Summary'!$R53))</f>
        <v>500</v>
      </c>
      <c r="M102" s="60">
        <f>IF('Expenses Summary'!$R53="","",IF('Cash Flow %s Yr1'!M97="","",'Cash Flow %s Yr1'!M97*'Expenses Summary'!$R53))</f>
        <v>500</v>
      </c>
      <c r="N102" s="60">
        <f>IF('Expenses Summary'!$R53="","",IF('Cash Flow %s Yr1'!N97="","",'Cash Flow %s Yr1'!N97*'Expenses Summary'!$R53))</f>
        <v>500</v>
      </c>
      <c r="O102" s="60">
        <f>IF('Expenses Summary'!$R53="","",IF('Cash Flow %s Yr1'!O97="","",'Cash Flow %s Yr1'!O97*'Expenses Summary'!$R53))</f>
        <v>500</v>
      </c>
      <c r="P102" s="123"/>
      <c r="Q102" s="123"/>
      <c r="R102" s="123"/>
    </row>
    <row r="103" spans="1:18" hidden="1" outlineLevel="1" x14ac:dyDescent="0.3">
      <c r="A103" s="35"/>
      <c r="B103" s="133" t="str">
        <f>'Expenses Summary'!B55</f>
        <v>4430</v>
      </c>
      <c r="C103" s="133" t="str">
        <f>'Expenses Summary'!C55</f>
        <v>General Student Equipment</v>
      </c>
      <c r="D103" s="60" t="str">
        <f>IF('Expenses Summary'!$R55="","",IF('Cash Flow %s Yr1'!D99="","",'Cash Flow %s Yr1'!D99*'Expenses Summary'!$R55))</f>
        <v/>
      </c>
      <c r="E103" s="60" t="str">
        <f>IF('Expenses Summary'!$R55="","",IF('Cash Flow %s Yr1'!E99="","",'Cash Flow %s Yr1'!E99*'Expenses Summary'!$R55))</f>
        <v/>
      </c>
      <c r="F103" s="60">
        <f>IF('Expenses Summary'!$R55="","",IF('Cash Flow %s Yr1'!F99="","",'Cash Flow %s Yr1'!F99*'Expenses Summary'!$R55))</f>
        <v>600</v>
      </c>
      <c r="G103" s="60">
        <f>IF('Expenses Summary'!$R55="","",IF('Cash Flow %s Yr1'!G99="","",'Cash Flow %s Yr1'!G99*'Expenses Summary'!$R55))</f>
        <v>600</v>
      </c>
      <c r="H103" s="60">
        <f>IF('Expenses Summary'!$R55="","",IF('Cash Flow %s Yr1'!H99="","",'Cash Flow %s Yr1'!H99*'Expenses Summary'!$R55))</f>
        <v>600</v>
      </c>
      <c r="I103" s="60">
        <f>IF('Expenses Summary'!$R55="","",IF('Cash Flow %s Yr1'!I99="","",'Cash Flow %s Yr1'!I99*'Expenses Summary'!$R55))</f>
        <v>600</v>
      </c>
      <c r="J103" s="60">
        <f>IF('Expenses Summary'!$R55="","",IF('Cash Flow %s Yr1'!J99="","",'Cash Flow %s Yr1'!J99*'Expenses Summary'!$R55))</f>
        <v>600</v>
      </c>
      <c r="K103" s="60">
        <f>IF('Expenses Summary'!$R55="","",IF('Cash Flow %s Yr1'!K99="","",'Cash Flow %s Yr1'!K99*'Expenses Summary'!$R55))</f>
        <v>600</v>
      </c>
      <c r="L103" s="60">
        <f>IF('Expenses Summary'!$R55="","",IF('Cash Flow %s Yr1'!L99="","",'Cash Flow %s Yr1'!L99*'Expenses Summary'!$R55))</f>
        <v>600</v>
      </c>
      <c r="M103" s="60">
        <f>IF('Expenses Summary'!$R55="","",IF('Cash Flow %s Yr1'!M99="","",'Cash Flow %s Yr1'!M99*'Expenses Summary'!$R55))</f>
        <v>600</v>
      </c>
      <c r="N103" s="60">
        <f>IF('Expenses Summary'!$R55="","",IF('Cash Flow %s Yr1'!N99="","",'Cash Flow %s Yr1'!N99*'Expenses Summary'!$R55))</f>
        <v>600</v>
      </c>
      <c r="O103" s="60">
        <f>IF('Expenses Summary'!$R55="","",IF('Cash Flow %s Yr1'!O99="","",'Cash Flow %s Yr1'!O99*'Expenses Summary'!$R55))</f>
        <v>600</v>
      </c>
      <c r="P103" s="123"/>
      <c r="Q103" s="123"/>
      <c r="R103" s="123"/>
    </row>
    <row r="104" spans="1:18" hidden="1" outlineLevel="1" x14ac:dyDescent="0.3">
      <c r="A104" s="35"/>
      <c r="B104" s="133">
        <f>'Expenses Summary'!B56</f>
        <v>0</v>
      </c>
      <c r="C104" s="133">
        <f>'Expenses Summary'!C56</f>
        <v>0</v>
      </c>
      <c r="D104" s="60" t="str">
        <f>IF('Expenses Summary'!$R56="","",IF('Cash Flow %s Yr1'!D100="","",'Cash Flow %s Yr1'!D100*'Expenses Summary'!$R56))</f>
        <v/>
      </c>
      <c r="E104" s="60" t="str">
        <f>IF('Expenses Summary'!$R56="","",IF('Cash Flow %s Yr1'!E100="","",'Cash Flow %s Yr1'!E100*'Expenses Summary'!$R56))</f>
        <v/>
      </c>
      <c r="F104" s="60">
        <f>IF('Expenses Summary'!$R56="","",IF('Cash Flow %s Yr1'!F100="","",'Cash Flow %s Yr1'!F100*'Expenses Summary'!$R56))</f>
        <v>0</v>
      </c>
      <c r="G104" s="60">
        <f>IF('Expenses Summary'!$R56="","",IF('Cash Flow %s Yr1'!G100="","",'Cash Flow %s Yr1'!G100*'Expenses Summary'!$R56))</f>
        <v>0</v>
      </c>
      <c r="H104" s="60">
        <f>IF('Expenses Summary'!$R56="","",IF('Cash Flow %s Yr1'!H100="","",'Cash Flow %s Yr1'!H100*'Expenses Summary'!$R56))</f>
        <v>0</v>
      </c>
      <c r="I104" s="60">
        <f>IF('Expenses Summary'!$R56="","",IF('Cash Flow %s Yr1'!I100="","",'Cash Flow %s Yr1'!I100*'Expenses Summary'!$R56))</f>
        <v>0</v>
      </c>
      <c r="J104" s="60">
        <f>IF('Expenses Summary'!$R56="","",IF('Cash Flow %s Yr1'!J100="","",'Cash Flow %s Yr1'!J100*'Expenses Summary'!$R56))</f>
        <v>0</v>
      </c>
      <c r="K104" s="60">
        <f>IF('Expenses Summary'!$R56="","",IF('Cash Flow %s Yr1'!K100="","",'Cash Flow %s Yr1'!K100*'Expenses Summary'!$R56))</f>
        <v>0</v>
      </c>
      <c r="L104" s="60">
        <f>IF('Expenses Summary'!$R56="","",IF('Cash Flow %s Yr1'!L100="","",'Cash Flow %s Yr1'!L100*'Expenses Summary'!$R56))</f>
        <v>0</v>
      </c>
      <c r="M104" s="60">
        <f>IF('Expenses Summary'!$R56="","",IF('Cash Flow %s Yr1'!M100="","",'Cash Flow %s Yr1'!M100*'Expenses Summary'!$R56))</f>
        <v>0</v>
      </c>
      <c r="N104" s="60">
        <f>IF('Expenses Summary'!$R56="","",IF('Cash Flow %s Yr1'!N100="","",'Cash Flow %s Yr1'!N100*'Expenses Summary'!$R56))</f>
        <v>0</v>
      </c>
      <c r="O104" s="60">
        <f>IF('Expenses Summary'!$R56="","",IF('Cash Flow %s Yr1'!O100="","",'Cash Flow %s Yr1'!O100*'Expenses Summary'!$R56))</f>
        <v>0</v>
      </c>
      <c r="P104" s="123"/>
      <c r="Q104" s="123"/>
      <c r="R104" s="123"/>
    </row>
    <row r="105" spans="1:18" hidden="1" outlineLevel="1" x14ac:dyDescent="0.3">
      <c r="A105" s="35"/>
      <c r="B105" s="133">
        <f>'Expenses Summary'!B57</f>
        <v>0</v>
      </c>
      <c r="C105" s="133">
        <f>'Expenses Summary'!C57</f>
        <v>0</v>
      </c>
      <c r="D105" s="60" t="str">
        <f>IF('Expenses Summary'!$R57="","",IF('Cash Flow %s Yr1'!D101="","",'Cash Flow %s Yr1'!D101*'Expenses Summary'!$R57))</f>
        <v/>
      </c>
      <c r="E105" s="60" t="str">
        <f>IF('Expenses Summary'!$R57="","",IF('Cash Flow %s Yr1'!E101="","",'Cash Flow %s Yr1'!E101*'Expenses Summary'!$R57))</f>
        <v/>
      </c>
      <c r="F105" s="60">
        <f>IF('Expenses Summary'!$R57="","",IF('Cash Flow %s Yr1'!F101="","",'Cash Flow %s Yr1'!F101*'Expenses Summary'!$R57))</f>
        <v>0</v>
      </c>
      <c r="G105" s="60">
        <f>IF('Expenses Summary'!$R57="","",IF('Cash Flow %s Yr1'!G101="","",'Cash Flow %s Yr1'!G101*'Expenses Summary'!$R57))</f>
        <v>0</v>
      </c>
      <c r="H105" s="60">
        <f>IF('Expenses Summary'!$R57="","",IF('Cash Flow %s Yr1'!H101="","",'Cash Flow %s Yr1'!H101*'Expenses Summary'!$R57))</f>
        <v>0</v>
      </c>
      <c r="I105" s="60">
        <f>IF('Expenses Summary'!$R57="","",IF('Cash Flow %s Yr1'!I101="","",'Cash Flow %s Yr1'!I101*'Expenses Summary'!$R57))</f>
        <v>0</v>
      </c>
      <c r="J105" s="60">
        <f>IF('Expenses Summary'!$R57="","",IF('Cash Flow %s Yr1'!J101="","",'Cash Flow %s Yr1'!J101*'Expenses Summary'!$R57))</f>
        <v>0</v>
      </c>
      <c r="K105" s="60">
        <f>IF('Expenses Summary'!$R57="","",IF('Cash Flow %s Yr1'!K101="","",'Cash Flow %s Yr1'!K101*'Expenses Summary'!$R57))</f>
        <v>0</v>
      </c>
      <c r="L105" s="60">
        <f>IF('Expenses Summary'!$R57="","",IF('Cash Flow %s Yr1'!L101="","",'Cash Flow %s Yr1'!L101*'Expenses Summary'!$R57))</f>
        <v>0</v>
      </c>
      <c r="M105" s="60">
        <f>IF('Expenses Summary'!$R57="","",IF('Cash Flow %s Yr1'!M101="","",'Cash Flow %s Yr1'!M101*'Expenses Summary'!$R57))</f>
        <v>0</v>
      </c>
      <c r="N105" s="60">
        <f>IF('Expenses Summary'!$R57="","",IF('Cash Flow %s Yr1'!N101="","",'Cash Flow %s Yr1'!N101*'Expenses Summary'!$R57))</f>
        <v>0</v>
      </c>
      <c r="O105" s="60">
        <f>IF('Expenses Summary'!$R57="","",IF('Cash Flow %s Yr1'!O101="","",'Cash Flow %s Yr1'!O101*'Expenses Summary'!$R57))</f>
        <v>0</v>
      </c>
      <c r="P105" s="123"/>
      <c r="Q105" s="123"/>
      <c r="R105" s="123"/>
    </row>
    <row r="106" spans="1:18" hidden="1" outlineLevel="1" x14ac:dyDescent="0.3">
      <c r="A106" s="35"/>
      <c r="B106" s="133">
        <f>'Expenses Summary'!B58</f>
        <v>0</v>
      </c>
      <c r="C106" s="133">
        <f>'Expenses Summary'!C58</f>
        <v>0</v>
      </c>
      <c r="D106" s="60" t="str">
        <f>IF('Expenses Summary'!$R58="","",IF('Cash Flow %s Yr1'!D102="","",'Cash Flow %s Yr1'!D102*'Expenses Summary'!$R58))</f>
        <v/>
      </c>
      <c r="E106" s="60" t="str">
        <f>IF('Expenses Summary'!$R58="","",IF('Cash Flow %s Yr1'!E102="","",'Cash Flow %s Yr1'!E102*'Expenses Summary'!$R58))</f>
        <v/>
      </c>
      <c r="F106" s="60">
        <f>IF('Expenses Summary'!$R58="","",IF('Cash Flow %s Yr1'!F102="","",'Cash Flow %s Yr1'!F102*'Expenses Summary'!$R58))</f>
        <v>0</v>
      </c>
      <c r="G106" s="60">
        <f>IF('Expenses Summary'!$R58="","",IF('Cash Flow %s Yr1'!G102="","",'Cash Flow %s Yr1'!G102*'Expenses Summary'!$R58))</f>
        <v>0</v>
      </c>
      <c r="H106" s="60">
        <f>IF('Expenses Summary'!$R58="","",IF('Cash Flow %s Yr1'!H102="","",'Cash Flow %s Yr1'!H102*'Expenses Summary'!$R58))</f>
        <v>0</v>
      </c>
      <c r="I106" s="60">
        <f>IF('Expenses Summary'!$R58="","",IF('Cash Flow %s Yr1'!I102="","",'Cash Flow %s Yr1'!I102*'Expenses Summary'!$R58))</f>
        <v>0</v>
      </c>
      <c r="J106" s="60">
        <f>IF('Expenses Summary'!$R58="","",IF('Cash Flow %s Yr1'!J102="","",'Cash Flow %s Yr1'!J102*'Expenses Summary'!$R58))</f>
        <v>0</v>
      </c>
      <c r="K106" s="60">
        <f>IF('Expenses Summary'!$R58="","",IF('Cash Flow %s Yr1'!K102="","",'Cash Flow %s Yr1'!K102*'Expenses Summary'!$R58))</f>
        <v>0</v>
      </c>
      <c r="L106" s="60">
        <f>IF('Expenses Summary'!$R58="","",IF('Cash Flow %s Yr1'!L102="","",'Cash Flow %s Yr1'!L102*'Expenses Summary'!$R58))</f>
        <v>0</v>
      </c>
      <c r="M106" s="60">
        <f>IF('Expenses Summary'!$R58="","",IF('Cash Flow %s Yr1'!M102="","",'Cash Flow %s Yr1'!M102*'Expenses Summary'!$R58))</f>
        <v>0</v>
      </c>
      <c r="N106" s="60">
        <f>IF('Expenses Summary'!$R58="","",IF('Cash Flow %s Yr1'!N102="","",'Cash Flow %s Yr1'!N102*'Expenses Summary'!$R58))</f>
        <v>0</v>
      </c>
      <c r="O106" s="60">
        <f>IF('Expenses Summary'!$R58="","",IF('Cash Flow %s Yr1'!O102="","",'Cash Flow %s Yr1'!O102*'Expenses Summary'!$R58))</f>
        <v>0</v>
      </c>
      <c r="P106" s="123"/>
      <c r="Q106" s="123"/>
      <c r="R106" s="123"/>
    </row>
    <row r="107" spans="1:18" hidden="1" outlineLevel="1" x14ac:dyDescent="0.3">
      <c r="A107" s="35"/>
      <c r="B107" s="133">
        <f>'Expenses Summary'!B59</f>
        <v>0</v>
      </c>
      <c r="C107" s="133">
        <f>'Expenses Summary'!C59</f>
        <v>0</v>
      </c>
      <c r="D107" s="60" t="str">
        <f>IF('Expenses Summary'!$R59="","",IF('Cash Flow %s Yr1'!D103="","",'Cash Flow %s Yr1'!D103*'Expenses Summary'!$R59))</f>
        <v/>
      </c>
      <c r="E107" s="60" t="str">
        <f>IF('Expenses Summary'!$R59="","",IF('Cash Flow %s Yr1'!E103="","",'Cash Flow %s Yr1'!E103*'Expenses Summary'!$R59))</f>
        <v/>
      </c>
      <c r="F107" s="60">
        <f>IF('Expenses Summary'!$R59="","",IF('Cash Flow %s Yr1'!F103="","",'Cash Flow %s Yr1'!F103*'Expenses Summary'!$R59))</f>
        <v>0</v>
      </c>
      <c r="G107" s="60">
        <f>IF('Expenses Summary'!$R59="","",IF('Cash Flow %s Yr1'!G103="","",'Cash Flow %s Yr1'!G103*'Expenses Summary'!$R59))</f>
        <v>0</v>
      </c>
      <c r="H107" s="60">
        <f>IF('Expenses Summary'!$R59="","",IF('Cash Flow %s Yr1'!H103="","",'Cash Flow %s Yr1'!H103*'Expenses Summary'!$R59))</f>
        <v>0</v>
      </c>
      <c r="I107" s="60">
        <f>IF('Expenses Summary'!$R59="","",IF('Cash Flow %s Yr1'!I103="","",'Cash Flow %s Yr1'!I103*'Expenses Summary'!$R59))</f>
        <v>0</v>
      </c>
      <c r="J107" s="60">
        <f>IF('Expenses Summary'!$R59="","",IF('Cash Flow %s Yr1'!J103="","",'Cash Flow %s Yr1'!J103*'Expenses Summary'!$R59))</f>
        <v>0</v>
      </c>
      <c r="K107" s="60">
        <f>IF('Expenses Summary'!$R59="","",IF('Cash Flow %s Yr1'!K103="","",'Cash Flow %s Yr1'!K103*'Expenses Summary'!$R59))</f>
        <v>0</v>
      </c>
      <c r="L107" s="60">
        <f>IF('Expenses Summary'!$R59="","",IF('Cash Flow %s Yr1'!L103="","",'Cash Flow %s Yr1'!L103*'Expenses Summary'!$R59))</f>
        <v>0</v>
      </c>
      <c r="M107" s="60">
        <f>IF('Expenses Summary'!$R59="","",IF('Cash Flow %s Yr1'!M103="","",'Cash Flow %s Yr1'!M103*'Expenses Summary'!$R59))</f>
        <v>0</v>
      </c>
      <c r="N107" s="60">
        <f>IF('Expenses Summary'!$R59="","",IF('Cash Flow %s Yr1'!N103="","",'Cash Flow %s Yr1'!N103*'Expenses Summary'!$R59))</f>
        <v>0</v>
      </c>
      <c r="O107" s="60">
        <f>IF('Expenses Summary'!$R59="","",IF('Cash Flow %s Yr1'!O103="","",'Cash Flow %s Yr1'!O103*'Expenses Summary'!$R59))</f>
        <v>0</v>
      </c>
      <c r="P107" s="123"/>
      <c r="Q107" s="123"/>
      <c r="R107" s="123"/>
    </row>
    <row r="108" spans="1:18" hidden="1" outlineLevel="1" x14ac:dyDescent="0.3">
      <c r="A108" s="35"/>
      <c r="B108" s="133">
        <f>'Expenses Summary'!B60</f>
        <v>0</v>
      </c>
      <c r="C108" s="133">
        <f>'Expenses Summary'!C60</f>
        <v>0</v>
      </c>
      <c r="D108" s="60" t="str">
        <f>IF('Expenses Summary'!$R60="","",IF('Cash Flow %s Yr1'!D104="","",'Cash Flow %s Yr1'!D104*'Expenses Summary'!$R60))</f>
        <v/>
      </c>
      <c r="E108" s="60" t="str">
        <f>IF('Expenses Summary'!$R60="","",IF('Cash Flow %s Yr1'!E104="","",'Cash Flow %s Yr1'!E104*'Expenses Summary'!$R60))</f>
        <v/>
      </c>
      <c r="F108" s="60">
        <f>IF('Expenses Summary'!$R60="","",IF('Cash Flow %s Yr1'!F104="","",'Cash Flow %s Yr1'!F104*'Expenses Summary'!$R60))</f>
        <v>0</v>
      </c>
      <c r="G108" s="60">
        <f>IF('Expenses Summary'!$R60="","",IF('Cash Flow %s Yr1'!G104="","",'Cash Flow %s Yr1'!G104*'Expenses Summary'!$R60))</f>
        <v>0</v>
      </c>
      <c r="H108" s="60">
        <f>IF('Expenses Summary'!$R60="","",IF('Cash Flow %s Yr1'!H104="","",'Cash Flow %s Yr1'!H104*'Expenses Summary'!$R60))</f>
        <v>0</v>
      </c>
      <c r="I108" s="60">
        <f>IF('Expenses Summary'!$R60="","",IF('Cash Flow %s Yr1'!I104="","",'Cash Flow %s Yr1'!I104*'Expenses Summary'!$R60))</f>
        <v>0</v>
      </c>
      <c r="J108" s="60">
        <f>IF('Expenses Summary'!$R60="","",IF('Cash Flow %s Yr1'!J104="","",'Cash Flow %s Yr1'!J104*'Expenses Summary'!$R60))</f>
        <v>0</v>
      </c>
      <c r="K108" s="60">
        <f>IF('Expenses Summary'!$R60="","",IF('Cash Flow %s Yr1'!K104="","",'Cash Flow %s Yr1'!K104*'Expenses Summary'!$R60))</f>
        <v>0</v>
      </c>
      <c r="L108" s="60">
        <f>IF('Expenses Summary'!$R60="","",IF('Cash Flow %s Yr1'!L104="","",'Cash Flow %s Yr1'!L104*'Expenses Summary'!$R60))</f>
        <v>0</v>
      </c>
      <c r="M108" s="60">
        <f>IF('Expenses Summary'!$R60="","",IF('Cash Flow %s Yr1'!M104="","",'Cash Flow %s Yr1'!M104*'Expenses Summary'!$R60))</f>
        <v>0</v>
      </c>
      <c r="N108" s="60">
        <f>IF('Expenses Summary'!$R60="","",IF('Cash Flow %s Yr1'!N104="","",'Cash Flow %s Yr1'!N104*'Expenses Summary'!$R60))</f>
        <v>0</v>
      </c>
      <c r="O108" s="60">
        <f>IF('Expenses Summary'!$R60="","",IF('Cash Flow %s Yr1'!O104="","",'Cash Flow %s Yr1'!O104*'Expenses Summary'!$R60))</f>
        <v>0</v>
      </c>
      <c r="P108" s="123"/>
      <c r="Q108" s="123"/>
      <c r="R108" s="123"/>
    </row>
    <row r="109" spans="1:18" hidden="1" outlineLevel="1" x14ac:dyDescent="0.3">
      <c r="A109" s="35"/>
      <c r="B109" s="133">
        <f>'Expenses Summary'!B61</f>
        <v>0</v>
      </c>
      <c r="C109" s="133">
        <f>'Expenses Summary'!C61</f>
        <v>0</v>
      </c>
      <c r="D109" s="60" t="str">
        <f>IF('Expenses Summary'!$R61="","",IF('Cash Flow %s Yr1'!D105="","",'Cash Flow %s Yr1'!D105*'Expenses Summary'!$R61))</f>
        <v/>
      </c>
      <c r="E109" s="60" t="str">
        <f>IF('Expenses Summary'!$R61="","",IF('Cash Flow %s Yr1'!E105="","",'Cash Flow %s Yr1'!E105*'Expenses Summary'!$R61))</f>
        <v/>
      </c>
      <c r="F109" s="60">
        <f>IF('Expenses Summary'!$R61="","",IF('Cash Flow %s Yr1'!F105="","",'Cash Flow %s Yr1'!F105*'Expenses Summary'!$R61))</f>
        <v>0</v>
      </c>
      <c r="G109" s="60">
        <f>IF('Expenses Summary'!$R61="","",IF('Cash Flow %s Yr1'!G105="","",'Cash Flow %s Yr1'!G105*'Expenses Summary'!$R61))</f>
        <v>0</v>
      </c>
      <c r="H109" s="60">
        <f>IF('Expenses Summary'!$R61="","",IF('Cash Flow %s Yr1'!H105="","",'Cash Flow %s Yr1'!H105*'Expenses Summary'!$R61))</f>
        <v>0</v>
      </c>
      <c r="I109" s="60">
        <f>IF('Expenses Summary'!$R61="","",IF('Cash Flow %s Yr1'!I105="","",'Cash Flow %s Yr1'!I105*'Expenses Summary'!$R61))</f>
        <v>0</v>
      </c>
      <c r="J109" s="60">
        <f>IF('Expenses Summary'!$R61="","",IF('Cash Flow %s Yr1'!J105="","",'Cash Flow %s Yr1'!J105*'Expenses Summary'!$R61))</f>
        <v>0</v>
      </c>
      <c r="K109" s="60">
        <f>IF('Expenses Summary'!$R61="","",IF('Cash Flow %s Yr1'!K105="","",'Cash Flow %s Yr1'!K105*'Expenses Summary'!$R61))</f>
        <v>0</v>
      </c>
      <c r="L109" s="60">
        <f>IF('Expenses Summary'!$R61="","",IF('Cash Flow %s Yr1'!L105="","",'Cash Flow %s Yr1'!L105*'Expenses Summary'!$R61))</f>
        <v>0</v>
      </c>
      <c r="M109" s="60">
        <f>IF('Expenses Summary'!$R61="","",IF('Cash Flow %s Yr1'!M105="","",'Cash Flow %s Yr1'!M105*'Expenses Summary'!$R61))</f>
        <v>0</v>
      </c>
      <c r="N109" s="60">
        <f>IF('Expenses Summary'!$R61="","",IF('Cash Flow %s Yr1'!N105="","",'Cash Flow %s Yr1'!N105*'Expenses Summary'!$R61))</f>
        <v>0</v>
      </c>
      <c r="O109" s="60">
        <f>IF('Expenses Summary'!$R61="","",IF('Cash Flow %s Yr1'!O105="","",'Cash Flow %s Yr1'!O105*'Expenses Summary'!$R61))</f>
        <v>0</v>
      </c>
      <c r="P109" s="123"/>
      <c r="Q109" s="123"/>
      <c r="R109" s="123"/>
    </row>
    <row r="110" spans="1:18" hidden="1" outlineLevel="1" x14ac:dyDescent="0.3">
      <c r="A110" s="35"/>
      <c r="B110" s="133">
        <f>'Expenses Summary'!B62</f>
        <v>0</v>
      </c>
      <c r="C110" s="133">
        <f>'Expenses Summary'!C62</f>
        <v>0</v>
      </c>
      <c r="D110" s="60" t="str">
        <f>IF('Expenses Summary'!$R62="","",IF('Cash Flow %s Yr1'!D106="","",'Cash Flow %s Yr1'!D106*'Expenses Summary'!$R62))</f>
        <v/>
      </c>
      <c r="E110" s="60" t="str">
        <f>IF('Expenses Summary'!$R62="","",IF('Cash Flow %s Yr1'!E106="","",'Cash Flow %s Yr1'!E106*'Expenses Summary'!$R62))</f>
        <v/>
      </c>
      <c r="F110" s="60">
        <f>IF('Expenses Summary'!$R62="","",IF('Cash Flow %s Yr1'!F106="","",'Cash Flow %s Yr1'!F106*'Expenses Summary'!$R62))</f>
        <v>0</v>
      </c>
      <c r="G110" s="60">
        <f>IF('Expenses Summary'!$R62="","",IF('Cash Flow %s Yr1'!G106="","",'Cash Flow %s Yr1'!G106*'Expenses Summary'!$R62))</f>
        <v>0</v>
      </c>
      <c r="H110" s="60">
        <f>IF('Expenses Summary'!$R62="","",IF('Cash Flow %s Yr1'!H106="","",'Cash Flow %s Yr1'!H106*'Expenses Summary'!$R62))</f>
        <v>0</v>
      </c>
      <c r="I110" s="60">
        <f>IF('Expenses Summary'!$R62="","",IF('Cash Flow %s Yr1'!I106="","",'Cash Flow %s Yr1'!I106*'Expenses Summary'!$R62))</f>
        <v>0</v>
      </c>
      <c r="J110" s="60">
        <f>IF('Expenses Summary'!$R62="","",IF('Cash Flow %s Yr1'!J106="","",'Cash Flow %s Yr1'!J106*'Expenses Summary'!$R62))</f>
        <v>0</v>
      </c>
      <c r="K110" s="60">
        <f>IF('Expenses Summary'!$R62="","",IF('Cash Flow %s Yr1'!K106="","",'Cash Flow %s Yr1'!K106*'Expenses Summary'!$R62))</f>
        <v>0</v>
      </c>
      <c r="L110" s="60">
        <f>IF('Expenses Summary'!$R62="","",IF('Cash Flow %s Yr1'!L106="","",'Cash Flow %s Yr1'!L106*'Expenses Summary'!$R62))</f>
        <v>0</v>
      </c>
      <c r="M110" s="60">
        <f>IF('Expenses Summary'!$R62="","",IF('Cash Flow %s Yr1'!M106="","",'Cash Flow %s Yr1'!M106*'Expenses Summary'!$R62))</f>
        <v>0</v>
      </c>
      <c r="N110" s="60">
        <f>IF('Expenses Summary'!$R62="","",IF('Cash Flow %s Yr1'!N106="","",'Cash Flow %s Yr1'!N106*'Expenses Summary'!$R62))</f>
        <v>0</v>
      </c>
      <c r="O110" s="60">
        <f>IF('Expenses Summary'!$R62="","",IF('Cash Flow %s Yr1'!O106="","",'Cash Flow %s Yr1'!O106*'Expenses Summary'!$R62))</f>
        <v>0</v>
      </c>
      <c r="P110" s="123"/>
      <c r="Q110" s="123"/>
      <c r="R110" s="123"/>
    </row>
    <row r="111" spans="1:18" hidden="1" outlineLevel="1" x14ac:dyDescent="0.3">
      <c r="A111" s="35"/>
      <c r="B111" s="133">
        <f>'Expenses Summary'!B63</f>
        <v>0</v>
      </c>
      <c r="C111" s="133">
        <f>'Expenses Summary'!C63</f>
        <v>0</v>
      </c>
      <c r="D111" s="60" t="str">
        <f>IF('Expenses Summary'!$R63="","",IF('Cash Flow %s Yr1'!D107="","",'Cash Flow %s Yr1'!D107*'Expenses Summary'!$R63))</f>
        <v/>
      </c>
      <c r="E111" s="60" t="str">
        <f>IF('Expenses Summary'!$R63="","",IF('Cash Flow %s Yr1'!E107="","",'Cash Flow %s Yr1'!E107*'Expenses Summary'!$R63))</f>
        <v/>
      </c>
      <c r="F111" s="60">
        <f>IF('Expenses Summary'!$R63="","",IF('Cash Flow %s Yr1'!F107="","",'Cash Flow %s Yr1'!F107*'Expenses Summary'!$R63))</f>
        <v>0</v>
      </c>
      <c r="G111" s="60">
        <f>IF('Expenses Summary'!$R63="","",IF('Cash Flow %s Yr1'!G107="","",'Cash Flow %s Yr1'!G107*'Expenses Summary'!$R63))</f>
        <v>0</v>
      </c>
      <c r="H111" s="60">
        <f>IF('Expenses Summary'!$R63="","",IF('Cash Flow %s Yr1'!H107="","",'Cash Flow %s Yr1'!H107*'Expenses Summary'!$R63))</f>
        <v>0</v>
      </c>
      <c r="I111" s="60">
        <f>IF('Expenses Summary'!$R63="","",IF('Cash Flow %s Yr1'!I107="","",'Cash Flow %s Yr1'!I107*'Expenses Summary'!$R63))</f>
        <v>0</v>
      </c>
      <c r="J111" s="60">
        <f>IF('Expenses Summary'!$R63="","",IF('Cash Flow %s Yr1'!J107="","",'Cash Flow %s Yr1'!J107*'Expenses Summary'!$R63))</f>
        <v>0</v>
      </c>
      <c r="K111" s="60">
        <f>IF('Expenses Summary'!$R63="","",IF('Cash Flow %s Yr1'!K107="","",'Cash Flow %s Yr1'!K107*'Expenses Summary'!$R63))</f>
        <v>0</v>
      </c>
      <c r="L111" s="60">
        <f>IF('Expenses Summary'!$R63="","",IF('Cash Flow %s Yr1'!L107="","",'Cash Flow %s Yr1'!L107*'Expenses Summary'!$R63))</f>
        <v>0</v>
      </c>
      <c r="M111" s="60">
        <f>IF('Expenses Summary'!$R63="","",IF('Cash Flow %s Yr1'!M107="","",'Cash Flow %s Yr1'!M107*'Expenses Summary'!$R63))</f>
        <v>0</v>
      </c>
      <c r="N111" s="60">
        <f>IF('Expenses Summary'!$R63="","",IF('Cash Flow %s Yr1'!N107="","",'Cash Flow %s Yr1'!N107*'Expenses Summary'!$R63))</f>
        <v>0</v>
      </c>
      <c r="O111" s="60">
        <f>IF('Expenses Summary'!$R63="","",IF('Cash Flow %s Yr1'!O107="","",'Cash Flow %s Yr1'!O107*'Expenses Summary'!$R63))</f>
        <v>0</v>
      </c>
      <c r="P111" s="123"/>
      <c r="Q111" s="123"/>
      <c r="R111" s="123"/>
    </row>
    <row r="112" spans="1:18" s="30" customFormat="1" collapsed="1" x14ac:dyDescent="0.3">
      <c r="A112" s="35"/>
      <c r="B112" s="133" t="str">
        <f>'Expenses Summary'!B64</f>
        <v>4700</v>
      </c>
      <c r="C112" s="133" t="str">
        <f>'Expenses Summary'!C64</f>
        <v>Food and Food Supplies</v>
      </c>
      <c r="D112" s="60">
        <f>IF('Expenses Summary'!$R64="","",IF('Cash Flow %s Yr1'!D108="","",'Cash Flow %s Yr1'!D108*'Expenses Summary'!$R64))</f>
        <v>0</v>
      </c>
      <c r="E112" s="60">
        <f>IF('Expenses Summary'!$R64="","",IF('Cash Flow %s Yr1'!E108="","",'Cash Flow %s Yr1'!E108*'Expenses Summary'!$R64))</f>
        <v>0</v>
      </c>
      <c r="F112" s="60">
        <f>IF('Expenses Summary'!$R64="","",IF('Cash Flow %s Yr1'!F108="","",'Cash Flow %s Yr1'!F108*'Expenses Summary'!$R64))</f>
        <v>2600</v>
      </c>
      <c r="G112" s="60">
        <f>IF('Expenses Summary'!$R64="","",IF('Cash Flow %s Yr1'!G108="","",'Cash Flow %s Yr1'!G108*'Expenses Summary'!$R64))</f>
        <v>2600</v>
      </c>
      <c r="H112" s="60">
        <f>IF('Expenses Summary'!$R64="","",IF('Cash Flow %s Yr1'!H108="","",'Cash Flow %s Yr1'!H108*'Expenses Summary'!$R64))</f>
        <v>2600</v>
      </c>
      <c r="I112" s="60">
        <f>IF('Expenses Summary'!$R64="","",IF('Cash Flow %s Yr1'!I108="","",'Cash Flow %s Yr1'!I108*'Expenses Summary'!$R64))</f>
        <v>2600</v>
      </c>
      <c r="J112" s="60">
        <f>IF('Expenses Summary'!$R64="","",IF('Cash Flow %s Yr1'!J108="","",'Cash Flow %s Yr1'!J108*'Expenses Summary'!$R64))</f>
        <v>2600</v>
      </c>
      <c r="K112" s="60">
        <f>IF('Expenses Summary'!$R64="","",IF('Cash Flow %s Yr1'!K108="","",'Cash Flow %s Yr1'!K108*'Expenses Summary'!$R64))</f>
        <v>2600</v>
      </c>
      <c r="L112" s="60">
        <f>IF('Expenses Summary'!$R64="","",IF('Cash Flow %s Yr1'!L108="","",'Cash Flow %s Yr1'!L108*'Expenses Summary'!$R64))</f>
        <v>2600</v>
      </c>
      <c r="M112" s="60">
        <f>IF('Expenses Summary'!$R64="","",IF('Cash Flow %s Yr1'!M108="","",'Cash Flow %s Yr1'!M108*'Expenses Summary'!$R64))</f>
        <v>2600</v>
      </c>
      <c r="N112" s="60">
        <f>IF('Expenses Summary'!$R64="","",IF('Cash Flow %s Yr1'!N108="","",'Cash Flow %s Yr1'!N108*'Expenses Summary'!$R64))</f>
        <v>2600</v>
      </c>
      <c r="O112" s="60">
        <f>IF('Expenses Summary'!$R64="","",IF('Cash Flow %s Yr1'!O108="","",'Cash Flow %s Yr1'!O108*'Expenses Summary'!$R64))</f>
        <v>2600</v>
      </c>
      <c r="P112" s="60">
        <f>IF('Expenses Summary'!$R64="","",IF('Cash Flow %s Yr1'!P108="","",'Cash Flow %s Yr1'!P108*'Expenses Summary'!$R64))</f>
        <v>0</v>
      </c>
      <c r="Q112" s="60">
        <f>IF('Expenses Summary'!$R64="","",IF('Cash Flow %s Yr1'!Q108="","",'Cash Flow %s Yr1'!Q108*'Expenses Summary'!$R64))</f>
        <v>0</v>
      </c>
      <c r="R112" s="60">
        <f>IF('Expenses Summary'!$R64="","",IF('Cash Flow %s Yr1'!R108="","",'Cash Flow %s Yr1'!R108*'Expenses Summary'!$R64))</f>
        <v>0</v>
      </c>
    </row>
    <row r="113" spans="1:18" s="30" customFormat="1" x14ac:dyDescent="0.3">
      <c r="A113" s="35"/>
      <c r="B113" s="32" t="s">
        <v>558</v>
      </c>
      <c r="C113" s="33" t="s">
        <v>720</v>
      </c>
      <c r="D113" s="165">
        <f t="shared" ref="D113:P113" si="9">IF(SUM(D95:D112)&gt;0,SUM(D95:D112),"")</f>
        <v>3050</v>
      </c>
      <c r="E113" s="165">
        <f t="shared" si="9"/>
        <v>3140</v>
      </c>
      <c r="F113" s="165">
        <f t="shared" si="9"/>
        <v>6840</v>
      </c>
      <c r="G113" s="165">
        <f t="shared" si="9"/>
        <v>6840</v>
      </c>
      <c r="H113" s="165">
        <f t="shared" si="9"/>
        <v>6840</v>
      </c>
      <c r="I113" s="165">
        <f t="shared" si="9"/>
        <v>6840</v>
      </c>
      <c r="J113" s="165">
        <f t="shared" si="9"/>
        <v>6840</v>
      </c>
      <c r="K113" s="165">
        <f t="shared" si="9"/>
        <v>6840</v>
      </c>
      <c r="L113" s="165">
        <f t="shared" si="9"/>
        <v>6853</v>
      </c>
      <c r="M113" s="165">
        <f t="shared" si="9"/>
        <v>6853</v>
      </c>
      <c r="N113" s="165">
        <f t="shared" si="9"/>
        <v>5463</v>
      </c>
      <c r="O113" s="165">
        <f t="shared" si="9"/>
        <v>5373</v>
      </c>
      <c r="P113" s="165" t="str">
        <f t="shared" si="9"/>
        <v/>
      </c>
      <c r="Q113" s="165" t="str">
        <f>IF(SUM(Q95:Q112)&gt;0,SUM(Q95:Q112),"")</f>
        <v/>
      </c>
      <c r="R113" s="165" t="str">
        <f>IF(SUM(R95:R112)&gt;0,SUM(R95:R112),"")</f>
        <v/>
      </c>
    </row>
    <row r="114" spans="1:18" s="30" customFormat="1" x14ac:dyDescent="0.3">
      <c r="A114" s="35"/>
      <c r="B114" s="4"/>
      <c r="C114" s="3"/>
      <c r="D114" s="89"/>
      <c r="E114" s="89"/>
      <c r="F114" s="89"/>
      <c r="G114" s="89"/>
      <c r="H114" s="89"/>
      <c r="I114" s="89"/>
      <c r="J114" s="89"/>
      <c r="K114" s="89"/>
      <c r="L114" s="89"/>
      <c r="M114" s="89"/>
      <c r="N114" s="89"/>
      <c r="O114" s="89"/>
      <c r="P114" s="89"/>
      <c r="Q114" s="89"/>
      <c r="R114" s="89"/>
    </row>
    <row r="115" spans="1:18" s="30" customFormat="1" x14ac:dyDescent="0.3">
      <c r="B115" s="5" t="s">
        <v>721</v>
      </c>
      <c r="C115" s="3"/>
      <c r="D115" s="89"/>
      <c r="E115" s="89"/>
      <c r="F115" s="89"/>
      <c r="G115" s="89"/>
      <c r="H115" s="89"/>
      <c r="I115" s="89"/>
      <c r="J115" s="89"/>
      <c r="K115" s="89"/>
      <c r="L115" s="89"/>
      <c r="M115" s="89"/>
      <c r="N115" s="89"/>
      <c r="O115" s="89"/>
      <c r="P115" s="89"/>
      <c r="Q115" s="89"/>
      <c r="R115" s="89"/>
    </row>
    <row r="116" spans="1:18" s="30" customFormat="1" x14ac:dyDescent="0.3">
      <c r="A116" s="35"/>
      <c r="B116" s="133" t="str">
        <f>'Expenses Summary'!B68</f>
        <v>5200</v>
      </c>
      <c r="C116" s="133" t="str">
        <f>'Expenses Summary'!C68</f>
        <v>Travel and Conferences</v>
      </c>
      <c r="D116" s="60">
        <f>IF('Expenses Summary'!$R68="","",IF('Cash Flow %s Yr1'!D112="","",'Cash Flow %s Yr1'!D112*'Expenses Summary'!$R68))</f>
        <v>0</v>
      </c>
      <c r="E116" s="60">
        <f>IF('Expenses Summary'!$R68="","",IF('Cash Flow %s Yr1'!E112="","",'Cash Flow %s Yr1'!E112*'Expenses Summary'!$R68))</f>
        <v>0</v>
      </c>
      <c r="F116" s="60">
        <f>IF('Expenses Summary'!$R68="","",IF('Cash Flow %s Yr1'!F112="","",'Cash Flow %s Yr1'!F112*'Expenses Summary'!$R68))</f>
        <v>462.59999999999997</v>
      </c>
      <c r="G116" s="60">
        <f>IF('Expenses Summary'!$R68="","",IF('Cash Flow %s Yr1'!G112="","",'Cash Flow %s Yr1'!G112*'Expenses Summary'!$R68))</f>
        <v>154.20000000000002</v>
      </c>
      <c r="H116" s="60">
        <f>IF('Expenses Summary'!$R68="","",IF('Cash Flow %s Yr1'!H112="","",'Cash Flow %s Yr1'!H112*'Expenses Summary'!$R68))</f>
        <v>154.20000000000002</v>
      </c>
      <c r="I116" s="60">
        <f>IF('Expenses Summary'!$R68="","",IF('Cash Flow %s Yr1'!I112="","",'Cash Flow %s Yr1'!I112*'Expenses Summary'!$R68))</f>
        <v>154.20000000000002</v>
      </c>
      <c r="J116" s="60">
        <f>IF('Expenses Summary'!$R68="","",IF('Cash Flow %s Yr1'!J112="","",'Cash Flow %s Yr1'!J112*'Expenses Summary'!$R68))</f>
        <v>154.20000000000002</v>
      </c>
      <c r="K116" s="60">
        <f>IF('Expenses Summary'!$R68="","",IF('Cash Flow %s Yr1'!K112="","",'Cash Flow %s Yr1'!K112*'Expenses Summary'!$R68))</f>
        <v>154.20000000000002</v>
      </c>
      <c r="L116" s="60">
        <f>IF('Expenses Summary'!$R68="","",IF('Cash Flow %s Yr1'!L112="","",'Cash Flow %s Yr1'!L112*'Expenses Summary'!$R68))</f>
        <v>154.20000000000002</v>
      </c>
      <c r="M116" s="60">
        <f>IF('Expenses Summary'!$R68="","",IF('Cash Flow %s Yr1'!M112="","",'Cash Flow %s Yr1'!M112*'Expenses Summary'!$R68))</f>
        <v>154.20000000000002</v>
      </c>
      <c r="N116" s="60">
        <f>IF('Expenses Summary'!$R68="","",IF('Cash Flow %s Yr1'!N112="","",'Cash Flow %s Yr1'!N112*'Expenses Summary'!$R68))</f>
        <v>0</v>
      </c>
      <c r="O116" s="60">
        <f>IF('Expenses Summary'!$R68="","",IF('Cash Flow %s Yr1'!O112="","",'Cash Flow %s Yr1'!O112*'Expenses Summary'!$R68))</f>
        <v>0</v>
      </c>
      <c r="P116" s="123"/>
      <c r="Q116" s="123"/>
      <c r="R116" s="123"/>
    </row>
    <row r="117" spans="1:18" s="30" customFormat="1" x14ac:dyDescent="0.3">
      <c r="A117" s="35"/>
      <c r="B117" s="133" t="str">
        <f>'Expenses Summary'!B69</f>
        <v>5210</v>
      </c>
      <c r="C117" s="133" t="str">
        <f>'Expenses Summary'!C69</f>
        <v>Training and Development Expense</v>
      </c>
      <c r="D117" s="60">
        <f>IF('Expenses Summary'!$R69="","",IF('Cash Flow %s Yr1'!D113="","",'Cash Flow %s Yr1'!D113*'Expenses Summary'!$R69))</f>
        <v>0</v>
      </c>
      <c r="E117" s="60">
        <f>IF('Expenses Summary'!$R69="","",IF('Cash Flow %s Yr1'!E113="","",'Cash Flow %s Yr1'!E113*'Expenses Summary'!$R69))</f>
        <v>0</v>
      </c>
      <c r="F117" s="60">
        <f>IF('Expenses Summary'!$R69="","",IF('Cash Flow %s Yr1'!F113="","",'Cash Flow %s Yr1'!F113*'Expenses Summary'!$R69))</f>
        <v>2142</v>
      </c>
      <c r="G117" s="60">
        <f>IF('Expenses Summary'!$R69="","",IF('Cash Flow %s Yr1'!G113="","",'Cash Flow %s Yr1'!G113*'Expenses Summary'!$R69))</f>
        <v>714</v>
      </c>
      <c r="H117" s="60">
        <f>IF('Expenses Summary'!$R69="","",IF('Cash Flow %s Yr1'!H113="","",'Cash Flow %s Yr1'!H113*'Expenses Summary'!$R69))</f>
        <v>714</v>
      </c>
      <c r="I117" s="60">
        <f>IF('Expenses Summary'!$R69="","",IF('Cash Flow %s Yr1'!I113="","",'Cash Flow %s Yr1'!I113*'Expenses Summary'!$R69))</f>
        <v>714</v>
      </c>
      <c r="J117" s="60">
        <f>IF('Expenses Summary'!$R69="","",IF('Cash Flow %s Yr1'!J113="","",'Cash Flow %s Yr1'!J113*'Expenses Summary'!$R69))</f>
        <v>714</v>
      </c>
      <c r="K117" s="60">
        <f>IF('Expenses Summary'!$R69="","",IF('Cash Flow %s Yr1'!K113="","",'Cash Flow %s Yr1'!K113*'Expenses Summary'!$R69))</f>
        <v>714</v>
      </c>
      <c r="L117" s="60">
        <f>IF('Expenses Summary'!$R69="","",IF('Cash Flow %s Yr1'!L113="","",'Cash Flow %s Yr1'!L113*'Expenses Summary'!$R69))</f>
        <v>714</v>
      </c>
      <c r="M117" s="60">
        <f>IF('Expenses Summary'!$R69="","",IF('Cash Flow %s Yr1'!M113="","",'Cash Flow %s Yr1'!M113*'Expenses Summary'!$R69))</f>
        <v>714</v>
      </c>
      <c r="N117" s="60">
        <f>IF('Expenses Summary'!$R69="","",IF('Cash Flow %s Yr1'!N113="","",'Cash Flow %s Yr1'!N113*'Expenses Summary'!$R69))</f>
        <v>0</v>
      </c>
      <c r="O117" s="60">
        <f>IF('Expenses Summary'!$R69="","",IF('Cash Flow %s Yr1'!O113="","",'Cash Flow %s Yr1'!O113*'Expenses Summary'!$R69))</f>
        <v>0</v>
      </c>
      <c r="P117" s="123"/>
      <c r="Q117" s="123"/>
      <c r="R117" s="123"/>
    </row>
    <row r="118" spans="1:18" s="30" customFormat="1" x14ac:dyDescent="0.3">
      <c r="A118" s="35"/>
      <c r="B118" s="133" t="str">
        <f>'Expenses Summary'!B70</f>
        <v>5300</v>
      </c>
      <c r="C118" s="133" t="str">
        <f>'Expenses Summary'!C70</f>
        <v>Dues and Memberships</v>
      </c>
      <c r="D118" s="60">
        <f>IF('Expenses Summary'!$R70="","",IF('Cash Flow %s Yr1'!D114="","",'Cash Flow %s Yr1'!D114*'Expenses Summary'!$R70))</f>
        <v>0</v>
      </c>
      <c r="E118" s="60">
        <f>IF('Expenses Summary'!$R70="","",IF('Cash Flow %s Yr1'!E114="","",'Cash Flow %s Yr1'!E114*'Expenses Summary'!$R70))</f>
        <v>0</v>
      </c>
      <c r="F118" s="60">
        <f>IF('Expenses Summary'!$R70="","",IF('Cash Flow %s Yr1'!F114="","",'Cash Flow %s Yr1'!F114*'Expenses Summary'!$R70))</f>
        <v>3084</v>
      </c>
      <c r="G118" s="60">
        <f>IF('Expenses Summary'!$R70="","",IF('Cash Flow %s Yr1'!G114="","",'Cash Flow %s Yr1'!G114*'Expenses Summary'!$R70))</f>
        <v>1028</v>
      </c>
      <c r="H118" s="60">
        <f>IF('Expenses Summary'!$R70="","",IF('Cash Flow %s Yr1'!H114="","",'Cash Flow %s Yr1'!H114*'Expenses Summary'!$R70))</f>
        <v>1028</v>
      </c>
      <c r="I118" s="60">
        <f>IF('Expenses Summary'!$R70="","",IF('Cash Flow %s Yr1'!I114="","",'Cash Flow %s Yr1'!I114*'Expenses Summary'!$R70))</f>
        <v>1028</v>
      </c>
      <c r="J118" s="60">
        <f>IF('Expenses Summary'!$R70="","",IF('Cash Flow %s Yr1'!J114="","",'Cash Flow %s Yr1'!J114*'Expenses Summary'!$R70))</f>
        <v>1028</v>
      </c>
      <c r="K118" s="60">
        <f>IF('Expenses Summary'!$R70="","",IF('Cash Flow %s Yr1'!K114="","",'Cash Flow %s Yr1'!K114*'Expenses Summary'!$R70))</f>
        <v>1028</v>
      </c>
      <c r="L118" s="60">
        <f>IF('Expenses Summary'!$R70="","",IF('Cash Flow %s Yr1'!L114="","",'Cash Flow %s Yr1'!L114*'Expenses Summary'!$R70))</f>
        <v>1028</v>
      </c>
      <c r="M118" s="60">
        <f>IF('Expenses Summary'!$R70="","",IF('Cash Flow %s Yr1'!M114="","",'Cash Flow %s Yr1'!M114*'Expenses Summary'!$R70))</f>
        <v>1028</v>
      </c>
      <c r="N118" s="60">
        <f>IF('Expenses Summary'!$R70="","",IF('Cash Flow %s Yr1'!N114="","",'Cash Flow %s Yr1'!N114*'Expenses Summary'!$R70))</f>
        <v>0</v>
      </c>
      <c r="O118" s="60">
        <f>IF('Expenses Summary'!$R70="","",IF('Cash Flow %s Yr1'!O114="","",'Cash Flow %s Yr1'!O114*'Expenses Summary'!$R70))</f>
        <v>0</v>
      </c>
      <c r="P118" s="123"/>
      <c r="Q118" s="123"/>
      <c r="R118" s="123"/>
    </row>
    <row r="119" spans="1:18" s="30" customFormat="1" x14ac:dyDescent="0.3">
      <c r="A119" s="35"/>
      <c r="B119" s="133" t="str">
        <f>'Expenses Summary'!B71</f>
        <v>5400</v>
      </c>
      <c r="C119" s="133" t="str">
        <f>'Expenses Summary'!C71</f>
        <v>Insurance</v>
      </c>
      <c r="D119" s="60">
        <f>IF('Expenses Summary'!$R71="","",IF('Cash Flow %s Yr1'!D115="","",'Cash Flow %s Yr1'!D115*'Expenses Summary'!$R71))</f>
        <v>0</v>
      </c>
      <c r="E119" s="60">
        <f>IF('Expenses Summary'!$R71="","",IF('Cash Flow %s Yr1'!E115="","",'Cash Flow %s Yr1'!E115*'Expenses Summary'!$R71))</f>
        <v>0</v>
      </c>
      <c r="F119" s="60">
        <f>IF('Expenses Summary'!$R71="","",IF('Cash Flow %s Yr1'!F115="","",'Cash Flow %s Yr1'!F115*'Expenses Summary'!$R71))</f>
        <v>7200</v>
      </c>
      <c r="G119" s="60">
        <f>IF('Expenses Summary'!$R71="","",IF('Cash Flow %s Yr1'!G115="","",'Cash Flow %s Yr1'!G115*'Expenses Summary'!$R71))</f>
        <v>2400</v>
      </c>
      <c r="H119" s="60">
        <f>IF('Expenses Summary'!$R71="","",IF('Cash Flow %s Yr1'!H115="","",'Cash Flow %s Yr1'!H115*'Expenses Summary'!$R71))</f>
        <v>2400</v>
      </c>
      <c r="I119" s="60">
        <f>IF('Expenses Summary'!$R71="","",IF('Cash Flow %s Yr1'!I115="","",'Cash Flow %s Yr1'!I115*'Expenses Summary'!$R71))</f>
        <v>2400</v>
      </c>
      <c r="J119" s="60">
        <f>IF('Expenses Summary'!$R71="","",IF('Cash Flow %s Yr1'!J115="","",'Cash Flow %s Yr1'!J115*'Expenses Summary'!$R71))</f>
        <v>2400</v>
      </c>
      <c r="K119" s="60">
        <f>IF('Expenses Summary'!$R71="","",IF('Cash Flow %s Yr1'!K115="","",'Cash Flow %s Yr1'!K115*'Expenses Summary'!$R71))</f>
        <v>2400</v>
      </c>
      <c r="L119" s="60">
        <f>IF('Expenses Summary'!$R71="","",IF('Cash Flow %s Yr1'!L115="","",'Cash Flow %s Yr1'!L115*'Expenses Summary'!$R71))</f>
        <v>2400</v>
      </c>
      <c r="M119" s="60">
        <f>IF('Expenses Summary'!$R71="","",IF('Cash Flow %s Yr1'!M115="","",'Cash Flow %s Yr1'!M115*'Expenses Summary'!$R71))</f>
        <v>2400</v>
      </c>
      <c r="N119" s="60">
        <f>IF('Expenses Summary'!$R71="","",IF('Cash Flow %s Yr1'!N115="","",'Cash Flow %s Yr1'!N115*'Expenses Summary'!$R71))</f>
        <v>0</v>
      </c>
      <c r="O119" s="60">
        <f>IF('Expenses Summary'!$R71="","",IF('Cash Flow %s Yr1'!O115="","",'Cash Flow %s Yr1'!O115*'Expenses Summary'!$R71))</f>
        <v>0</v>
      </c>
      <c r="P119" s="123"/>
      <c r="Q119" s="123"/>
      <c r="R119" s="123"/>
    </row>
    <row r="120" spans="1:18" s="30" customFormat="1" x14ac:dyDescent="0.3">
      <c r="A120" s="35"/>
      <c r="B120" s="133" t="str">
        <f>'Expenses Summary'!B72</f>
        <v>5450</v>
      </c>
      <c r="C120" s="133" t="str">
        <f>'Expenses Summary'!C72</f>
        <v>Property Tax</v>
      </c>
      <c r="D120" s="60">
        <f>IF('Expenses Summary'!$R72="","",IF('Cash Flow %s Yr1'!D116="","",'Cash Flow %s Yr1'!D116*'Expenses Summary'!$R72))</f>
        <v>0</v>
      </c>
      <c r="E120" s="60">
        <f>IF('Expenses Summary'!$R72="","",IF('Cash Flow %s Yr1'!E116="","",'Cash Flow %s Yr1'!E116*'Expenses Summary'!$R72))</f>
        <v>0</v>
      </c>
      <c r="F120" s="60">
        <f>IF('Expenses Summary'!$R72="","",IF('Cash Flow %s Yr1'!F116="","",'Cash Flow %s Yr1'!F116*'Expenses Summary'!$R72))</f>
        <v>0</v>
      </c>
      <c r="G120" s="60">
        <f>IF('Expenses Summary'!$R72="","",IF('Cash Flow %s Yr1'!G116="","",'Cash Flow %s Yr1'!G116*'Expenses Summary'!$R72))</f>
        <v>0</v>
      </c>
      <c r="H120" s="60">
        <f>IF('Expenses Summary'!$R72="","",IF('Cash Flow %s Yr1'!H116="","",'Cash Flow %s Yr1'!H116*'Expenses Summary'!$R72))</f>
        <v>0</v>
      </c>
      <c r="I120" s="60">
        <f>IF('Expenses Summary'!$R72="","",IF('Cash Flow %s Yr1'!I116="","",'Cash Flow %s Yr1'!I116*'Expenses Summary'!$R72))</f>
        <v>0</v>
      </c>
      <c r="J120" s="60">
        <f>IF('Expenses Summary'!$R72="","",IF('Cash Flow %s Yr1'!J116="","",'Cash Flow %s Yr1'!J116*'Expenses Summary'!$R72))</f>
        <v>0</v>
      </c>
      <c r="K120" s="60">
        <f>IF('Expenses Summary'!$R72="","",IF('Cash Flow %s Yr1'!K116="","",'Cash Flow %s Yr1'!K116*'Expenses Summary'!$R72))</f>
        <v>0</v>
      </c>
      <c r="L120" s="60">
        <f>IF('Expenses Summary'!$R72="","",IF('Cash Flow %s Yr1'!L116="","",'Cash Flow %s Yr1'!L116*'Expenses Summary'!$R72))</f>
        <v>0</v>
      </c>
      <c r="M120" s="60">
        <f>IF('Expenses Summary'!$R72="","",IF('Cash Flow %s Yr1'!M116="","",'Cash Flow %s Yr1'!M116*'Expenses Summary'!$R72))</f>
        <v>0</v>
      </c>
      <c r="N120" s="60">
        <f>IF('Expenses Summary'!$R72="","",IF('Cash Flow %s Yr1'!N116="","",'Cash Flow %s Yr1'!N116*'Expenses Summary'!$R72))</f>
        <v>0</v>
      </c>
      <c r="O120" s="60">
        <f>IF('Expenses Summary'!$R72="","",IF('Cash Flow %s Yr1'!O116="","",'Cash Flow %s Yr1'!O116*'Expenses Summary'!$R72))</f>
        <v>0</v>
      </c>
      <c r="P120" s="123"/>
      <c r="Q120" s="123"/>
      <c r="R120" s="123"/>
    </row>
    <row r="121" spans="1:18" s="30" customFormat="1" x14ac:dyDescent="0.3">
      <c r="A121" s="35"/>
      <c r="B121" s="133" t="str">
        <f>'Expenses Summary'!B73</f>
        <v>5500</v>
      </c>
      <c r="C121" s="133" t="str">
        <f>'Expenses Summary'!C73</f>
        <v>Operation and Housekeeping Services/Supplies</v>
      </c>
      <c r="D121" s="60">
        <f>IF('Expenses Summary'!$R73="","",IF('Cash Flow %s Yr1'!D117="","",'Cash Flow %s Yr1'!D117*'Expenses Summary'!$R73))</f>
        <v>1660</v>
      </c>
      <c r="E121" s="60">
        <f>IF('Expenses Summary'!$R73="","",IF('Cash Flow %s Yr1'!E117="","",'Cash Flow %s Yr1'!E117*'Expenses Summary'!$R73))</f>
        <v>1660</v>
      </c>
      <c r="F121" s="60">
        <f>IF('Expenses Summary'!$R73="","",IF('Cash Flow %s Yr1'!F117="","",'Cash Flow %s Yr1'!F117*'Expenses Summary'!$R73))</f>
        <v>1660</v>
      </c>
      <c r="G121" s="60">
        <f>IF('Expenses Summary'!$R73="","",IF('Cash Flow %s Yr1'!G117="","",'Cash Flow %s Yr1'!G117*'Expenses Summary'!$R73))</f>
        <v>1660</v>
      </c>
      <c r="H121" s="60">
        <f>IF('Expenses Summary'!$R73="","",IF('Cash Flow %s Yr1'!H117="","",'Cash Flow %s Yr1'!H117*'Expenses Summary'!$R73))</f>
        <v>1660</v>
      </c>
      <c r="I121" s="60">
        <f>IF('Expenses Summary'!$R73="","",IF('Cash Flow %s Yr1'!I117="","",'Cash Flow %s Yr1'!I117*'Expenses Summary'!$R73))</f>
        <v>1660</v>
      </c>
      <c r="J121" s="60">
        <f>IF('Expenses Summary'!$R73="","",IF('Cash Flow %s Yr1'!J117="","",'Cash Flow %s Yr1'!J117*'Expenses Summary'!$R73))</f>
        <v>1660</v>
      </c>
      <c r="K121" s="60">
        <f>IF('Expenses Summary'!$R73="","",IF('Cash Flow %s Yr1'!K117="","",'Cash Flow %s Yr1'!K117*'Expenses Summary'!$R73))</f>
        <v>1660</v>
      </c>
      <c r="L121" s="60">
        <f>IF('Expenses Summary'!$R73="","",IF('Cash Flow %s Yr1'!L117="","",'Cash Flow %s Yr1'!L117*'Expenses Summary'!$R73))</f>
        <v>1680</v>
      </c>
      <c r="M121" s="60">
        <f>IF('Expenses Summary'!$R73="","",IF('Cash Flow %s Yr1'!M117="","",'Cash Flow %s Yr1'!M117*'Expenses Summary'!$R73))</f>
        <v>1680</v>
      </c>
      <c r="N121" s="60">
        <f>IF('Expenses Summary'!$R73="","",IF('Cash Flow %s Yr1'!N117="","",'Cash Flow %s Yr1'!N117*'Expenses Summary'!$R73))</f>
        <v>1680</v>
      </c>
      <c r="O121" s="60">
        <f>IF('Expenses Summary'!$R73="","",IF('Cash Flow %s Yr1'!O117="","",'Cash Flow %s Yr1'!O117*'Expenses Summary'!$R73))</f>
        <v>1680</v>
      </c>
      <c r="P121" s="123"/>
      <c r="Q121" s="123"/>
      <c r="R121" s="123"/>
    </row>
    <row r="122" spans="1:18" s="30" customFormat="1" x14ac:dyDescent="0.3">
      <c r="A122" s="35"/>
      <c r="B122" s="133" t="str">
        <f>'Expenses Summary'!B74</f>
        <v>5501</v>
      </c>
      <c r="C122" s="133" t="str">
        <f>'Expenses Summary'!C74</f>
        <v>Utilities</v>
      </c>
      <c r="D122" s="60">
        <f>IF('Expenses Summary'!$R74="","",IF('Cash Flow %s Yr1'!D118="","",'Cash Flow %s Yr1'!D118*'Expenses Summary'!$R74))</f>
        <v>0</v>
      </c>
      <c r="E122" s="60">
        <f>IF('Expenses Summary'!$R74="","",IF('Cash Flow %s Yr1'!E118="","",'Cash Flow %s Yr1'!E118*'Expenses Summary'!$R74))</f>
        <v>0</v>
      </c>
      <c r="F122" s="60">
        <f>IF('Expenses Summary'!$R74="","",IF('Cash Flow %s Yr1'!F118="","",'Cash Flow %s Yr1'!F118*'Expenses Summary'!$R74))</f>
        <v>0</v>
      </c>
      <c r="G122" s="60">
        <f>IF('Expenses Summary'!$R74="","",IF('Cash Flow %s Yr1'!G118="","",'Cash Flow %s Yr1'!G118*'Expenses Summary'!$R74))</f>
        <v>0</v>
      </c>
      <c r="H122" s="60">
        <f>IF('Expenses Summary'!$R74="","",IF('Cash Flow %s Yr1'!H118="","",'Cash Flow %s Yr1'!H118*'Expenses Summary'!$R74))</f>
        <v>0</v>
      </c>
      <c r="I122" s="60">
        <f>IF('Expenses Summary'!$R74="","",IF('Cash Flow %s Yr1'!I118="","",'Cash Flow %s Yr1'!I118*'Expenses Summary'!$R74))</f>
        <v>0</v>
      </c>
      <c r="J122" s="60">
        <f>IF('Expenses Summary'!$R74="","",IF('Cash Flow %s Yr1'!J118="","",'Cash Flow %s Yr1'!J118*'Expenses Summary'!$R74))</f>
        <v>0</v>
      </c>
      <c r="K122" s="60">
        <f>IF('Expenses Summary'!$R74="","",IF('Cash Flow %s Yr1'!K118="","",'Cash Flow %s Yr1'!K118*'Expenses Summary'!$R74))</f>
        <v>0</v>
      </c>
      <c r="L122" s="60">
        <f>IF('Expenses Summary'!$R74="","",IF('Cash Flow %s Yr1'!L118="","",'Cash Flow %s Yr1'!L118*'Expenses Summary'!$R74))</f>
        <v>0</v>
      </c>
      <c r="M122" s="60">
        <f>IF('Expenses Summary'!$R74="","",IF('Cash Flow %s Yr1'!M118="","",'Cash Flow %s Yr1'!M118*'Expenses Summary'!$R74))</f>
        <v>0</v>
      </c>
      <c r="N122" s="60">
        <f>IF('Expenses Summary'!$R74="","",IF('Cash Flow %s Yr1'!N118="","",'Cash Flow %s Yr1'!N118*'Expenses Summary'!$R74))</f>
        <v>0</v>
      </c>
      <c r="O122" s="60">
        <f>IF('Expenses Summary'!$R74="","",IF('Cash Flow %s Yr1'!O118="","",'Cash Flow %s Yr1'!O118*'Expenses Summary'!$R74))</f>
        <v>0</v>
      </c>
      <c r="P122" s="123"/>
      <c r="Q122" s="123"/>
      <c r="R122" s="123"/>
    </row>
    <row r="123" spans="1:18" s="30" customFormat="1" x14ac:dyDescent="0.3">
      <c r="A123" s="35"/>
      <c r="B123" s="133" t="str">
        <f>'Expenses Summary'!B75</f>
        <v>5505</v>
      </c>
      <c r="C123" s="133" t="str">
        <f>'Expenses Summary'!C75</f>
        <v>Student Transportation / Field Trips</v>
      </c>
      <c r="D123" s="60">
        <f>IF('Expenses Summary'!$R75="","",IF('Cash Flow %s Yr1'!D119="","",'Cash Flow %s Yr1'!D119*'Expenses Summary'!$R75))</f>
        <v>0</v>
      </c>
      <c r="E123" s="60">
        <f>IF('Expenses Summary'!$R75="","",IF('Cash Flow %s Yr1'!E119="","",'Cash Flow %s Yr1'!E119*'Expenses Summary'!$R75))</f>
        <v>0</v>
      </c>
      <c r="F123" s="60">
        <f>IF('Expenses Summary'!$R75="","",IF('Cash Flow %s Yr1'!F119="","",'Cash Flow %s Yr1'!F119*'Expenses Summary'!$R75))</f>
        <v>0</v>
      </c>
      <c r="G123" s="60">
        <f>IF('Expenses Summary'!$R75="","",IF('Cash Flow %s Yr1'!G119="","",'Cash Flow %s Yr1'!G119*'Expenses Summary'!$R75))</f>
        <v>0</v>
      </c>
      <c r="H123" s="60">
        <f>IF('Expenses Summary'!$R75="","",IF('Cash Flow %s Yr1'!H119="","",'Cash Flow %s Yr1'!H119*'Expenses Summary'!$R75))</f>
        <v>0</v>
      </c>
      <c r="I123" s="60">
        <f>IF('Expenses Summary'!$R75="","",IF('Cash Flow %s Yr1'!I119="","",'Cash Flow %s Yr1'!I119*'Expenses Summary'!$R75))</f>
        <v>0</v>
      </c>
      <c r="J123" s="60">
        <f>IF('Expenses Summary'!$R75="","",IF('Cash Flow %s Yr1'!J119="","",'Cash Flow %s Yr1'!J119*'Expenses Summary'!$R75))</f>
        <v>0</v>
      </c>
      <c r="K123" s="60">
        <f>IF('Expenses Summary'!$R75="","",IF('Cash Flow %s Yr1'!K119="","",'Cash Flow %s Yr1'!K119*'Expenses Summary'!$R75))</f>
        <v>0</v>
      </c>
      <c r="L123" s="60">
        <f>IF('Expenses Summary'!$R75="","",IF('Cash Flow %s Yr1'!L119="","",'Cash Flow %s Yr1'!L119*'Expenses Summary'!$R75))</f>
        <v>0</v>
      </c>
      <c r="M123" s="60">
        <f>IF('Expenses Summary'!$R75="","",IF('Cash Flow %s Yr1'!M119="","",'Cash Flow %s Yr1'!M119*'Expenses Summary'!$R75))</f>
        <v>0</v>
      </c>
      <c r="N123" s="60">
        <f>IF('Expenses Summary'!$R75="","",IF('Cash Flow %s Yr1'!N119="","",'Cash Flow %s Yr1'!N119*'Expenses Summary'!$R75))</f>
        <v>0</v>
      </c>
      <c r="O123" s="60">
        <f>IF('Expenses Summary'!$R75="","",IF('Cash Flow %s Yr1'!O119="","",'Cash Flow %s Yr1'!O119*'Expenses Summary'!$R75))</f>
        <v>0</v>
      </c>
      <c r="P123" s="123"/>
      <c r="Q123" s="123"/>
      <c r="R123" s="123"/>
    </row>
    <row r="124" spans="1:18" s="30" customFormat="1" x14ac:dyDescent="0.3">
      <c r="A124" s="35"/>
      <c r="B124" s="133" t="str">
        <f>'Expenses Summary'!B76</f>
        <v>5600</v>
      </c>
      <c r="C124" s="133" t="str">
        <f>'Expenses Summary'!C76</f>
        <v>Space Rental/Leases Expense</v>
      </c>
      <c r="D124" s="60">
        <f>IF('Expenses Summary'!$R76="","",IF('Cash Flow %s Yr1'!D120="","",'Cash Flow %s Yr1'!D120*'Expenses Summary'!$R76))</f>
        <v>4317.66</v>
      </c>
      <c r="E124" s="60">
        <f>IF('Expenses Summary'!$R76="","",IF('Cash Flow %s Yr1'!E120="","",'Cash Flow %s Yr1'!E120*'Expenses Summary'!$R76))</f>
        <v>4317.66</v>
      </c>
      <c r="F124" s="60">
        <f>IF('Expenses Summary'!$R76="","",IF('Cash Flow %s Yr1'!F120="","",'Cash Flow %s Yr1'!F120*'Expenses Summary'!$R76))</f>
        <v>4317.66</v>
      </c>
      <c r="G124" s="60">
        <f>IF('Expenses Summary'!$R76="","",IF('Cash Flow %s Yr1'!G120="","",'Cash Flow %s Yr1'!G120*'Expenses Summary'!$R76))</f>
        <v>4317.66</v>
      </c>
      <c r="H124" s="60">
        <f>IF('Expenses Summary'!$R76="","",IF('Cash Flow %s Yr1'!H120="","",'Cash Flow %s Yr1'!H120*'Expenses Summary'!$R76))</f>
        <v>4317.66</v>
      </c>
      <c r="I124" s="60">
        <f>IF('Expenses Summary'!$R76="","",IF('Cash Flow %s Yr1'!I120="","",'Cash Flow %s Yr1'!I120*'Expenses Summary'!$R76))</f>
        <v>4317.66</v>
      </c>
      <c r="J124" s="60">
        <f>IF('Expenses Summary'!$R76="","",IF('Cash Flow %s Yr1'!J120="","",'Cash Flow %s Yr1'!J120*'Expenses Summary'!$R76))</f>
        <v>4317.66</v>
      </c>
      <c r="K124" s="60">
        <f>IF('Expenses Summary'!$R76="","",IF('Cash Flow %s Yr1'!K120="","",'Cash Flow %s Yr1'!K120*'Expenses Summary'!$R76))</f>
        <v>4317.66</v>
      </c>
      <c r="L124" s="60">
        <f>IF('Expenses Summary'!$R76="","",IF('Cash Flow %s Yr1'!L120="","",'Cash Flow %s Yr1'!L120*'Expenses Summary'!$R76))</f>
        <v>4369.68</v>
      </c>
      <c r="M124" s="60">
        <f>IF('Expenses Summary'!$R76="","",IF('Cash Flow %s Yr1'!M120="","",'Cash Flow %s Yr1'!M120*'Expenses Summary'!$R76))</f>
        <v>4369.68</v>
      </c>
      <c r="N124" s="60">
        <f>IF('Expenses Summary'!$R76="","",IF('Cash Flow %s Yr1'!N120="","",'Cash Flow %s Yr1'!N120*'Expenses Summary'!$R76))</f>
        <v>4369.68</v>
      </c>
      <c r="O124" s="60">
        <f>IF('Expenses Summary'!$R76="","",IF('Cash Flow %s Yr1'!O120="","",'Cash Flow %s Yr1'!O120*'Expenses Summary'!$R76))</f>
        <v>4369.68</v>
      </c>
      <c r="P124" s="123"/>
      <c r="Q124" s="123"/>
      <c r="R124" s="123"/>
    </row>
    <row r="125" spans="1:18" s="30" customFormat="1" x14ac:dyDescent="0.3">
      <c r="A125" s="35"/>
      <c r="B125" s="133" t="str">
        <f>'Expenses Summary'!B77</f>
        <v>5601</v>
      </c>
      <c r="C125" s="133" t="str">
        <f>'Expenses Summary'!C77</f>
        <v>Building Maintenance</v>
      </c>
      <c r="D125" s="60">
        <f>IF('Expenses Summary'!$R77="","",IF('Cash Flow %s Yr1'!D121="","",'Cash Flow %s Yr1'!D121*'Expenses Summary'!$R77))</f>
        <v>0</v>
      </c>
      <c r="E125" s="60">
        <f>IF('Expenses Summary'!$R77="","",IF('Cash Flow %s Yr1'!E121="","",'Cash Flow %s Yr1'!E121*'Expenses Summary'!$R77))</f>
        <v>0</v>
      </c>
      <c r="F125" s="60">
        <f>IF('Expenses Summary'!$R77="","",IF('Cash Flow %s Yr1'!F121="","",'Cash Flow %s Yr1'!F121*'Expenses Summary'!$R77))</f>
        <v>0</v>
      </c>
      <c r="G125" s="60">
        <f>IF('Expenses Summary'!$R77="","",IF('Cash Flow %s Yr1'!G121="","",'Cash Flow %s Yr1'!G121*'Expenses Summary'!$R77))</f>
        <v>0</v>
      </c>
      <c r="H125" s="60">
        <f>IF('Expenses Summary'!$R77="","",IF('Cash Flow %s Yr1'!H121="","",'Cash Flow %s Yr1'!H121*'Expenses Summary'!$R77))</f>
        <v>0</v>
      </c>
      <c r="I125" s="60">
        <f>IF('Expenses Summary'!$R77="","",IF('Cash Flow %s Yr1'!I121="","",'Cash Flow %s Yr1'!I121*'Expenses Summary'!$R77))</f>
        <v>0</v>
      </c>
      <c r="J125" s="60">
        <f>IF('Expenses Summary'!$R77="","",IF('Cash Flow %s Yr1'!J121="","",'Cash Flow %s Yr1'!J121*'Expenses Summary'!$R77))</f>
        <v>0</v>
      </c>
      <c r="K125" s="60">
        <f>IF('Expenses Summary'!$R77="","",IF('Cash Flow %s Yr1'!K121="","",'Cash Flow %s Yr1'!K121*'Expenses Summary'!$R77))</f>
        <v>0</v>
      </c>
      <c r="L125" s="60">
        <f>IF('Expenses Summary'!$R77="","",IF('Cash Flow %s Yr1'!L121="","",'Cash Flow %s Yr1'!L121*'Expenses Summary'!$R77))</f>
        <v>0</v>
      </c>
      <c r="M125" s="60">
        <f>IF('Expenses Summary'!$R77="","",IF('Cash Flow %s Yr1'!M121="","",'Cash Flow %s Yr1'!M121*'Expenses Summary'!$R77))</f>
        <v>0</v>
      </c>
      <c r="N125" s="60">
        <f>IF('Expenses Summary'!$R77="","",IF('Cash Flow %s Yr1'!N121="","",'Cash Flow %s Yr1'!N121*'Expenses Summary'!$R77))</f>
        <v>0</v>
      </c>
      <c r="O125" s="60">
        <f>IF('Expenses Summary'!$R77="","",IF('Cash Flow %s Yr1'!O121="","",'Cash Flow %s Yr1'!O121*'Expenses Summary'!$R77))</f>
        <v>0</v>
      </c>
      <c r="P125" s="123"/>
      <c r="Q125" s="123"/>
      <c r="R125" s="123"/>
    </row>
    <row r="126" spans="1:18" s="30" customFormat="1" x14ac:dyDescent="0.3">
      <c r="A126" s="35"/>
      <c r="B126" s="133" t="str">
        <f>'Expenses Summary'!B78</f>
        <v>5602</v>
      </c>
      <c r="C126" s="133" t="str">
        <f>'Expenses Summary'!C78</f>
        <v>Other Space Rental</v>
      </c>
      <c r="D126" s="60">
        <f>IF('Expenses Summary'!$R78="","",IF('Cash Flow %s Yr1'!D122="","",'Cash Flow %s Yr1'!D122*'Expenses Summary'!$R78))</f>
        <v>295.22104000000002</v>
      </c>
      <c r="E126" s="60">
        <f>IF('Expenses Summary'!$R78="","",IF('Cash Flow %s Yr1'!E122="","",'Cash Flow %s Yr1'!E122*'Expenses Summary'!$R78))</f>
        <v>295.22104000000002</v>
      </c>
      <c r="F126" s="60">
        <f>IF('Expenses Summary'!$R78="","",IF('Cash Flow %s Yr1'!F122="","",'Cash Flow %s Yr1'!F122*'Expenses Summary'!$R78))</f>
        <v>295.22104000000002</v>
      </c>
      <c r="G126" s="60">
        <f>IF('Expenses Summary'!$R78="","",IF('Cash Flow %s Yr1'!G122="","",'Cash Flow %s Yr1'!G122*'Expenses Summary'!$R78))</f>
        <v>295.22104000000002</v>
      </c>
      <c r="H126" s="60">
        <f>IF('Expenses Summary'!$R78="","",IF('Cash Flow %s Yr1'!H122="","",'Cash Flow %s Yr1'!H122*'Expenses Summary'!$R78))</f>
        <v>295.22104000000002</v>
      </c>
      <c r="I126" s="60">
        <f>IF('Expenses Summary'!$R78="","",IF('Cash Flow %s Yr1'!I122="","",'Cash Flow %s Yr1'!I122*'Expenses Summary'!$R78))</f>
        <v>295.22104000000002</v>
      </c>
      <c r="J126" s="60">
        <f>IF('Expenses Summary'!$R78="","",IF('Cash Flow %s Yr1'!J122="","",'Cash Flow %s Yr1'!J122*'Expenses Summary'!$R78))</f>
        <v>295.22104000000002</v>
      </c>
      <c r="K126" s="60">
        <f>IF('Expenses Summary'!$R78="","",IF('Cash Flow %s Yr1'!K122="","",'Cash Flow %s Yr1'!K122*'Expenses Summary'!$R78))</f>
        <v>295.22104000000002</v>
      </c>
      <c r="L126" s="60">
        <f>IF('Expenses Summary'!$R78="","",IF('Cash Flow %s Yr1'!L122="","",'Cash Flow %s Yr1'!L122*'Expenses Summary'!$R78))</f>
        <v>298.77792000000005</v>
      </c>
      <c r="M126" s="60">
        <f>IF('Expenses Summary'!$R78="","",IF('Cash Flow %s Yr1'!M122="","",'Cash Flow %s Yr1'!M122*'Expenses Summary'!$R78))</f>
        <v>298.77792000000005</v>
      </c>
      <c r="N126" s="60">
        <f>IF('Expenses Summary'!$R78="","",IF('Cash Flow %s Yr1'!N122="","",'Cash Flow %s Yr1'!N122*'Expenses Summary'!$R78))</f>
        <v>298.77792000000005</v>
      </c>
      <c r="O126" s="60">
        <f>IF('Expenses Summary'!$R78="","",IF('Cash Flow %s Yr1'!O122="","",'Cash Flow %s Yr1'!O122*'Expenses Summary'!$R78))</f>
        <v>298.77792000000005</v>
      </c>
      <c r="P126" s="123"/>
      <c r="Q126" s="123"/>
      <c r="R126" s="123"/>
    </row>
    <row r="127" spans="1:18" s="30" customFormat="1" x14ac:dyDescent="0.3">
      <c r="A127" s="35"/>
      <c r="B127" s="133" t="str">
        <f>'Expenses Summary'!B79</f>
        <v>5605</v>
      </c>
      <c r="C127" s="133" t="str">
        <f>'Expenses Summary'!C79</f>
        <v>Equipment Rental/Lease Expense</v>
      </c>
      <c r="D127" s="60">
        <f>IF('Expenses Summary'!$R79="","",IF('Cash Flow %s Yr1'!D123="","",'Cash Flow %s Yr1'!D123*'Expenses Summary'!$R79))</f>
        <v>273.90000000000003</v>
      </c>
      <c r="E127" s="60">
        <f>IF('Expenses Summary'!$R79="","",IF('Cash Flow %s Yr1'!E123="","",'Cash Flow %s Yr1'!E123*'Expenses Summary'!$R79))</f>
        <v>273.90000000000003</v>
      </c>
      <c r="F127" s="60">
        <f>IF('Expenses Summary'!$R79="","",IF('Cash Flow %s Yr1'!F123="","",'Cash Flow %s Yr1'!F123*'Expenses Summary'!$R79))</f>
        <v>273.90000000000003</v>
      </c>
      <c r="G127" s="60">
        <f>IF('Expenses Summary'!$R79="","",IF('Cash Flow %s Yr1'!G123="","",'Cash Flow %s Yr1'!G123*'Expenses Summary'!$R79))</f>
        <v>273.90000000000003</v>
      </c>
      <c r="H127" s="60">
        <f>IF('Expenses Summary'!$R79="","",IF('Cash Flow %s Yr1'!H123="","",'Cash Flow %s Yr1'!H123*'Expenses Summary'!$R79))</f>
        <v>273.90000000000003</v>
      </c>
      <c r="I127" s="60">
        <f>IF('Expenses Summary'!$R79="","",IF('Cash Flow %s Yr1'!I123="","",'Cash Flow %s Yr1'!I123*'Expenses Summary'!$R79))</f>
        <v>273.90000000000003</v>
      </c>
      <c r="J127" s="60">
        <f>IF('Expenses Summary'!$R79="","",IF('Cash Flow %s Yr1'!J123="","",'Cash Flow %s Yr1'!J123*'Expenses Summary'!$R79))</f>
        <v>273.90000000000003</v>
      </c>
      <c r="K127" s="60">
        <f>IF('Expenses Summary'!$R79="","",IF('Cash Flow %s Yr1'!K123="","",'Cash Flow %s Yr1'!K123*'Expenses Summary'!$R79))</f>
        <v>273.90000000000003</v>
      </c>
      <c r="L127" s="60">
        <f>IF('Expenses Summary'!$R79="","",IF('Cash Flow %s Yr1'!L123="","",'Cash Flow %s Yr1'!L123*'Expenses Summary'!$R79))</f>
        <v>277.20000000000005</v>
      </c>
      <c r="M127" s="60">
        <f>IF('Expenses Summary'!$R79="","",IF('Cash Flow %s Yr1'!M123="","",'Cash Flow %s Yr1'!M123*'Expenses Summary'!$R79))</f>
        <v>277.20000000000005</v>
      </c>
      <c r="N127" s="60">
        <f>IF('Expenses Summary'!$R79="","",IF('Cash Flow %s Yr1'!N123="","",'Cash Flow %s Yr1'!N123*'Expenses Summary'!$R79))</f>
        <v>277.20000000000005</v>
      </c>
      <c r="O127" s="60">
        <f>IF('Expenses Summary'!$R79="","",IF('Cash Flow %s Yr1'!O123="","",'Cash Flow %s Yr1'!O123*'Expenses Summary'!$R79))</f>
        <v>277.20000000000005</v>
      </c>
      <c r="P127" s="123"/>
      <c r="Q127" s="123"/>
      <c r="R127" s="123"/>
    </row>
    <row r="128" spans="1:18" s="30" customFormat="1" x14ac:dyDescent="0.3">
      <c r="A128" s="35"/>
      <c r="B128" s="133" t="str">
        <f>'Expenses Summary'!B80</f>
        <v>5610</v>
      </c>
      <c r="C128" s="133" t="str">
        <f>'Expenses Summary'!C80</f>
        <v>Equipment Repair</v>
      </c>
      <c r="D128" s="60">
        <f>IF('Expenses Summary'!$R80="","",IF('Cash Flow %s Yr1'!D124="","",'Cash Flow %s Yr1'!D124*'Expenses Summary'!$R80))</f>
        <v>37.35</v>
      </c>
      <c r="E128" s="60">
        <f>IF('Expenses Summary'!$R80="","",IF('Cash Flow %s Yr1'!E124="","",'Cash Flow %s Yr1'!E124*'Expenses Summary'!$R80))</f>
        <v>37.35</v>
      </c>
      <c r="F128" s="60">
        <f>IF('Expenses Summary'!$R80="","",IF('Cash Flow %s Yr1'!F124="","",'Cash Flow %s Yr1'!F124*'Expenses Summary'!$R80))</f>
        <v>37.35</v>
      </c>
      <c r="G128" s="60">
        <f>IF('Expenses Summary'!$R80="","",IF('Cash Flow %s Yr1'!G124="","",'Cash Flow %s Yr1'!G124*'Expenses Summary'!$R80))</f>
        <v>37.35</v>
      </c>
      <c r="H128" s="60">
        <f>IF('Expenses Summary'!$R80="","",IF('Cash Flow %s Yr1'!H124="","",'Cash Flow %s Yr1'!H124*'Expenses Summary'!$R80))</f>
        <v>37.35</v>
      </c>
      <c r="I128" s="60">
        <f>IF('Expenses Summary'!$R80="","",IF('Cash Flow %s Yr1'!I124="","",'Cash Flow %s Yr1'!I124*'Expenses Summary'!$R80))</f>
        <v>37.35</v>
      </c>
      <c r="J128" s="60">
        <f>IF('Expenses Summary'!$R80="","",IF('Cash Flow %s Yr1'!J124="","",'Cash Flow %s Yr1'!J124*'Expenses Summary'!$R80))</f>
        <v>37.35</v>
      </c>
      <c r="K128" s="60">
        <f>IF('Expenses Summary'!$R80="","",IF('Cash Flow %s Yr1'!K124="","",'Cash Flow %s Yr1'!K124*'Expenses Summary'!$R80))</f>
        <v>37.35</v>
      </c>
      <c r="L128" s="60">
        <f>IF('Expenses Summary'!$R80="","",IF('Cash Flow %s Yr1'!L124="","",'Cash Flow %s Yr1'!L124*'Expenses Summary'!$R80))</f>
        <v>37.800000000000004</v>
      </c>
      <c r="M128" s="60">
        <f>IF('Expenses Summary'!$R80="","",IF('Cash Flow %s Yr1'!M124="","",'Cash Flow %s Yr1'!M124*'Expenses Summary'!$R80))</f>
        <v>37.800000000000004</v>
      </c>
      <c r="N128" s="60">
        <f>IF('Expenses Summary'!$R80="","",IF('Cash Flow %s Yr1'!N124="","",'Cash Flow %s Yr1'!N124*'Expenses Summary'!$R80))</f>
        <v>37.800000000000004</v>
      </c>
      <c r="O128" s="60">
        <f>IF('Expenses Summary'!$R80="","",IF('Cash Flow %s Yr1'!O124="","",'Cash Flow %s Yr1'!O124*'Expenses Summary'!$R80))</f>
        <v>37.800000000000004</v>
      </c>
      <c r="P128" s="123"/>
      <c r="Q128" s="123"/>
      <c r="R128" s="123"/>
    </row>
    <row r="129" spans="1:18" s="30" customFormat="1" x14ac:dyDescent="0.3">
      <c r="A129" s="35"/>
      <c r="B129" s="133" t="str">
        <f>'Expenses Summary'!B81</f>
        <v>5800</v>
      </c>
      <c r="C129" s="133" t="str">
        <f>'Expenses Summary'!C81</f>
        <v>Professional/Consulting Services and Operating Expenditures</v>
      </c>
      <c r="D129" s="60">
        <f>IF('Expenses Summary'!$R81="","",IF('Cash Flow %s Yr1'!D125="","",'Cash Flow %s Yr1'!D125*'Expenses Summary'!$R81))</f>
        <v>707.57500000000005</v>
      </c>
      <c r="E129" s="60">
        <f>IF('Expenses Summary'!$R81="","",IF('Cash Flow %s Yr1'!E125="","",'Cash Flow %s Yr1'!E125*'Expenses Summary'!$R81))</f>
        <v>707.57500000000005</v>
      </c>
      <c r="F129" s="60">
        <f>IF('Expenses Summary'!$R81="","",IF('Cash Flow %s Yr1'!F125="","",'Cash Flow %s Yr1'!F125*'Expenses Summary'!$R81))</f>
        <v>707.57500000000005</v>
      </c>
      <c r="G129" s="60">
        <f>IF('Expenses Summary'!$R81="","",IF('Cash Flow %s Yr1'!G125="","",'Cash Flow %s Yr1'!G125*'Expenses Summary'!$R81))</f>
        <v>707.57500000000005</v>
      </c>
      <c r="H129" s="60">
        <f>IF('Expenses Summary'!$R81="","",IF('Cash Flow %s Yr1'!H125="","",'Cash Flow %s Yr1'!H125*'Expenses Summary'!$R81))</f>
        <v>707.57500000000005</v>
      </c>
      <c r="I129" s="60">
        <f>IF('Expenses Summary'!$R81="","",IF('Cash Flow %s Yr1'!I125="","",'Cash Flow %s Yr1'!I125*'Expenses Summary'!$R81))</f>
        <v>707.57500000000005</v>
      </c>
      <c r="J129" s="60">
        <f>IF('Expenses Summary'!$R81="","",IF('Cash Flow %s Yr1'!J125="","",'Cash Flow %s Yr1'!J125*'Expenses Summary'!$R81))</f>
        <v>707.57500000000005</v>
      </c>
      <c r="K129" s="60">
        <f>IF('Expenses Summary'!$R81="","",IF('Cash Flow %s Yr1'!K125="","",'Cash Flow %s Yr1'!K125*'Expenses Summary'!$R81))</f>
        <v>707.57500000000005</v>
      </c>
      <c r="L129" s="60">
        <f>IF('Expenses Summary'!$R81="","",IF('Cash Flow %s Yr1'!L125="","",'Cash Flow %s Yr1'!L125*'Expenses Summary'!$R81))</f>
        <v>716.1</v>
      </c>
      <c r="M129" s="60">
        <f>IF('Expenses Summary'!$R81="","",IF('Cash Flow %s Yr1'!M125="","",'Cash Flow %s Yr1'!M125*'Expenses Summary'!$R81))</f>
        <v>716.1</v>
      </c>
      <c r="N129" s="60">
        <f>IF('Expenses Summary'!$R81="","",IF('Cash Flow %s Yr1'!N125="","",'Cash Flow %s Yr1'!N125*'Expenses Summary'!$R81))</f>
        <v>716.1</v>
      </c>
      <c r="O129" s="60">
        <f>IF('Expenses Summary'!$R81="","",IF('Cash Flow %s Yr1'!O125="","",'Cash Flow %s Yr1'!O125*'Expenses Summary'!$R81))</f>
        <v>716.1</v>
      </c>
      <c r="P129" s="123"/>
      <c r="Q129" s="123"/>
      <c r="R129" s="123"/>
    </row>
    <row r="130" spans="1:18" s="30" customFormat="1" x14ac:dyDescent="0.3">
      <c r="A130" s="35"/>
      <c r="B130" s="133" t="str">
        <f>'Expenses Summary'!B82</f>
        <v>5803</v>
      </c>
      <c r="C130" s="133" t="str">
        <f>'Expenses Summary'!C82</f>
        <v>Banking and Payroll Service Fees</v>
      </c>
      <c r="D130" s="60">
        <f>IF('Expenses Summary'!$R82="","",IF('Cash Flow %s Yr1'!D126="","",'Cash Flow %s Yr1'!D126*'Expenses Summary'!$R82))</f>
        <v>498</v>
      </c>
      <c r="E130" s="60">
        <f>IF('Expenses Summary'!$R82="","",IF('Cash Flow %s Yr1'!E126="","",'Cash Flow %s Yr1'!E126*'Expenses Summary'!$R82))</f>
        <v>498</v>
      </c>
      <c r="F130" s="60">
        <f>IF('Expenses Summary'!$R82="","",IF('Cash Flow %s Yr1'!F126="","",'Cash Flow %s Yr1'!F126*'Expenses Summary'!$R82))</f>
        <v>498</v>
      </c>
      <c r="G130" s="60">
        <f>IF('Expenses Summary'!$R82="","",IF('Cash Flow %s Yr1'!G126="","",'Cash Flow %s Yr1'!G126*'Expenses Summary'!$R82))</f>
        <v>498</v>
      </c>
      <c r="H130" s="60">
        <f>IF('Expenses Summary'!$R82="","",IF('Cash Flow %s Yr1'!H126="","",'Cash Flow %s Yr1'!H126*'Expenses Summary'!$R82))</f>
        <v>498</v>
      </c>
      <c r="I130" s="60">
        <f>IF('Expenses Summary'!$R82="","",IF('Cash Flow %s Yr1'!I126="","",'Cash Flow %s Yr1'!I126*'Expenses Summary'!$R82))</f>
        <v>498</v>
      </c>
      <c r="J130" s="60">
        <f>IF('Expenses Summary'!$R82="","",IF('Cash Flow %s Yr1'!J126="","",'Cash Flow %s Yr1'!J126*'Expenses Summary'!$R82))</f>
        <v>498</v>
      </c>
      <c r="K130" s="60">
        <f>IF('Expenses Summary'!$R82="","",IF('Cash Flow %s Yr1'!K126="","",'Cash Flow %s Yr1'!K126*'Expenses Summary'!$R82))</f>
        <v>498</v>
      </c>
      <c r="L130" s="60">
        <f>IF('Expenses Summary'!$R82="","",IF('Cash Flow %s Yr1'!L126="","",'Cash Flow %s Yr1'!L126*'Expenses Summary'!$R82))</f>
        <v>504.00000000000006</v>
      </c>
      <c r="M130" s="60">
        <f>IF('Expenses Summary'!$R82="","",IF('Cash Flow %s Yr1'!M126="","",'Cash Flow %s Yr1'!M126*'Expenses Summary'!$R82))</f>
        <v>504.00000000000006</v>
      </c>
      <c r="N130" s="60">
        <f>IF('Expenses Summary'!$R82="","",IF('Cash Flow %s Yr1'!N126="","",'Cash Flow %s Yr1'!N126*'Expenses Summary'!$R82))</f>
        <v>504.00000000000006</v>
      </c>
      <c r="O130" s="60">
        <f>IF('Expenses Summary'!$R82="","",IF('Cash Flow %s Yr1'!O126="","",'Cash Flow %s Yr1'!O126*'Expenses Summary'!$R82))</f>
        <v>504.00000000000006</v>
      </c>
      <c r="P130" s="123"/>
      <c r="Q130" s="123"/>
      <c r="R130" s="123"/>
    </row>
    <row r="131" spans="1:18" s="30" customFormat="1" x14ac:dyDescent="0.3">
      <c r="A131" s="35"/>
      <c r="B131" s="133" t="str">
        <f>'Expenses Summary'!B83</f>
        <v>5805</v>
      </c>
      <c r="C131" s="133" t="str">
        <f>'Expenses Summary'!C83</f>
        <v xml:space="preserve">Legal Services </v>
      </c>
      <c r="D131" s="60">
        <f>IF('Expenses Summary'!$R83="","",IF('Cash Flow %s Yr1'!D127="","",'Cash Flow %s Yr1'!D127*'Expenses Summary'!$R83))</f>
        <v>332</v>
      </c>
      <c r="E131" s="60">
        <f>IF('Expenses Summary'!$R83="","",IF('Cash Flow %s Yr1'!E127="","",'Cash Flow %s Yr1'!E127*'Expenses Summary'!$R83))</f>
        <v>332</v>
      </c>
      <c r="F131" s="60">
        <f>IF('Expenses Summary'!$R83="","",IF('Cash Flow %s Yr1'!F127="","",'Cash Flow %s Yr1'!F127*'Expenses Summary'!$R83))</f>
        <v>332</v>
      </c>
      <c r="G131" s="60">
        <f>IF('Expenses Summary'!$R83="","",IF('Cash Flow %s Yr1'!G127="","",'Cash Flow %s Yr1'!G127*'Expenses Summary'!$R83))</f>
        <v>332</v>
      </c>
      <c r="H131" s="60">
        <f>IF('Expenses Summary'!$R83="","",IF('Cash Flow %s Yr1'!H127="","",'Cash Flow %s Yr1'!H127*'Expenses Summary'!$R83))</f>
        <v>332</v>
      </c>
      <c r="I131" s="60">
        <f>IF('Expenses Summary'!$R83="","",IF('Cash Flow %s Yr1'!I127="","",'Cash Flow %s Yr1'!I127*'Expenses Summary'!$R83))</f>
        <v>332</v>
      </c>
      <c r="J131" s="60">
        <f>IF('Expenses Summary'!$R83="","",IF('Cash Flow %s Yr1'!J127="","",'Cash Flow %s Yr1'!J127*'Expenses Summary'!$R83))</f>
        <v>332</v>
      </c>
      <c r="K131" s="60">
        <f>IF('Expenses Summary'!$R83="","",IF('Cash Flow %s Yr1'!K127="","",'Cash Flow %s Yr1'!K127*'Expenses Summary'!$R83))</f>
        <v>332</v>
      </c>
      <c r="L131" s="60">
        <f>IF('Expenses Summary'!$R83="","",IF('Cash Flow %s Yr1'!L127="","",'Cash Flow %s Yr1'!L127*'Expenses Summary'!$R83))</f>
        <v>336</v>
      </c>
      <c r="M131" s="60">
        <f>IF('Expenses Summary'!$R83="","",IF('Cash Flow %s Yr1'!M127="","",'Cash Flow %s Yr1'!M127*'Expenses Summary'!$R83))</f>
        <v>336</v>
      </c>
      <c r="N131" s="60">
        <f>IF('Expenses Summary'!$R83="","",IF('Cash Flow %s Yr1'!N127="","",'Cash Flow %s Yr1'!N127*'Expenses Summary'!$R83))</f>
        <v>336</v>
      </c>
      <c r="O131" s="60">
        <f>IF('Expenses Summary'!$R83="","",IF('Cash Flow %s Yr1'!O127="","",'Cash Flow %s Yr1'!O127*'Expenses Summary'!$R83))</f>
        <v>336</v>
      </c>
      <c r="P131" s="123"/>
      <c r="Q131" s="123"/>
      <c r="R131" s="123"/>
    </row>
    <row r="132" spans="1:18" s="30" customFormat="1" x14ac:dyDescent="0.3">
      <c r="A132" s="35"/>
      <c r="B132" s="133" t="str">
        <f>'Expenses Summary'!B84</f>
        <v>5806</v>
      </c>
      <c r="C132" s="133" t="str">
        <f>'Expenses Summary'!C84</f>
        <v>Audit Services</v>
      </c>
      <c r="D132" s="60">
        <f>IF('Expenses Summary'!$R84="","",IF('Cash Flow %s Yr1'!D128="","",'Cash Flow %s Yr1'!D128*'Expenses Summary'!$R84))</f>
        <v>0</v>
      </c>
      <c r="E132" s="60">
        <f>IF('Expenses Summary'!$R84="","",IF('Cash Flow %s Yr1'!E128="","",'Cash Flow %s Yr1'!E128*'Expenses Summary'!$R84))</f>
        <v>0</v>
      </c>
      <c r="F132" s="60">
        <f>IF('Expenses Summary'!$R84="","",IF('Cash Flow %s Yr1'!F128="","",'Cash Flow %s Yr1'!F128*'Expenses Summary'!$R84))</f>
        <v>0</v>
      </c>
      <c r="G132" s="60">
        <f>IF('Expenses Summary'!$R84="","",IF('Cash Flow %s Yr1'!G128="","",'Cash Flow %s Yr1'!G128*'Expenses Summary'!$R84))</f>
        <v>0</v>
      </c>
      <c r="H132" s="60">
        <f>IF('Expenses Summary'!$R84="","",IF('Cash Flow %s Yr1'!H128="","",'Cash Flow %s Yr1'!H128*'Expenses Summary'!$R84))</f>
        <v>3000</v>
      </c>
      <c r="I132" s="60">
        <f>IF('Expenses Summary'!$R84="","",IF('Cash Flow %s Yr1'!I128="","",'Cash Flow %s Yr1'!I128*'Expenses Summary'!$R84))</f>
        <v>0</v>
      </c>
      <c r="J132" s="60">
        <f>IF('Expenses Summary'!$R84="","",IF('Cash Flow %s Yr1'!J128="","",'Cash Flow %s Yr1'!J128*'Expenses Summary'!$R84))</f>
        <v>0</v>
      </c>
      <c r="K132" s="60">
        <f>IF('Expenses Summary'!$R84="","",IF('Cash Flow %s Yr1'!K128="","",'Cash Flow %s Yr1'!K128*'Expenses Summary'!$R84))</f>
        <v>0</v>
      </c>
      <c r="L132" s="60">
        <f>IF('Expenses Summary'!$R84="","",IF('Cash Flow %s Yr1'!L128="","",'Cash Flow %s Yr1'!L128*'Expenses Summary'!$R84))</f>
        <v>0</v>
      </c>
      <c r="M132" s="60">
        <f>IF('Expenses Summary'!$R84="","",IF('Cash Flow %s Yr1'!M128="","",'Cash Flow %s Yr1'!M128*'Expenses Summary'!$R84))</f>
        <v>0</v>
      </c>
      <c r="N132" s="60">
        <f>IF('Expenses Summary'!$R84="","",IF('Cash Flow %s Yr1'!N128="","",'Cash Flow %s Yr1'!N128*'Expenses Summary'!$R84))</f>
        <v>3000</v>
      </c>
      <c r="O132" s="60">
        <f>IF('Expenses Summary'!$R84="","",IF('Cash Flow %s Yr1'!O128="","",'Cash Flow %s Yr1'!O128*'Expenses Summary'!$R84))</f>
        <v>0</v>
      </c>
      <c r="P132" s="123"/>
      <c r="Q132" s="123"/>
      <c r="R132" s="123"/>
    </row>
    <row r="133" spans="1:18" s="30" customFormat="1" x14ac:dyDescent="0.3">
      <c r="A133" s="35"/>
      <c r="B133" s="133" t="str">
        <f>'Expenses Summary'!B85</f>
        <v>5810</v>
      </c>
      <c r="C133" s="133" t="str">
        <f>'Expenses Summary'!C85</f>
        <v>Educational Consultants</v>
      </c>
      <c r="D133" s="60">
        <f>IF('Expenses Summary'!$R85="","",IF('Cash Flow %s Yr1'!D129="","",'Cash Flow %s Yr1'!D129*'Expenses Summary'!$R85))</f>
        <v>83</v>
      </c>
      <c r="E133" s="60">
        <f>IF('Expenses Summary'!$R85="","",IF('Cash Flow %s Yr1'!E129="","",'Cash Flow %s Yr1'!E129*'Expenses Summary'!$R85))</f>
        <v>83</v>
      </c>
      <c r="F133" s="60">
        <f>IF('Expenses Summary'!$R85="","",IF('Cash Flow %s Yr1'!F129="","",'Cash Flow %s Yr1'!F129*'Expenses Summary'!$R85))</f>
        <v>83</v>
      </c>
      <c r="G133" s="60">
        <f>IF('Expenses Summary'!$R85="","",IF('Cash Flow %s Yr1'!G129="","",'Cash Flow %s Yr1'!G129*'Expenses Summary'!$R85))</f>
        <v>83</v>
      </c>
      <c r="H133" s="60">
        <f>IF('Expenses Summary'!$R85="","",IF('Cash Flow %s Yr1'!H129="","",'Cash Flow %s Yr1'!H129*'Expenses Summary'!$R85))</f>
        <v>83</v>
      </c>
      <c r="I133" s="60">
        <f>IF('Expenses Summary'!$R85="","",IF('Cash Flow %s Yr1'!I129="","",'Cash Flow %s Yr1'!I129*'Expenses Summary'!$R85))</f>
        <v>83</v>
      </c>
      <c r="J133" s="60">
        <f>IF('Expenses Summary'!$R85="","",IF('Cash Flow %s Yr1'!J129="","",'Cash Flow %s Yr1'!J129*'Expenses Summary'!$R85))</f>
        <v>83</v>
      </c>
      <c r="K133" s="60">
        <f>IF('Expenses Summary'!$R85="","",IF('Cash Flow %s Yr1'!K129="","",'Cash Flow %s Yr1'!K129*'Expenses Summary'!$R85))</f>
        <v>83</v>
      </c>
      <c r="L133" s="60">
        <f>IF('Expenses Summary'!$R85="","",IF('Cash Flow %s Yr1'!L129="","",'Cash Flow %s Yr1'!L129*'Expenses Summary'!$R85))</f>
        <v>84</v>
      </c>
      <c r="M133" s="60">
        <f>IF('Expenses Summary'!$R85="","",IF('Cash Flow %s Yr1'!M129="","",'Cash Flow %s Yr1'!M129*'Expenses Summary'!$R85))</f>
        <v>84</v>
      </c>
      <c r="N133" s="60">
        <f>IF('Expenses Summary'!$R85="","",IF('Cash Flow %s Yr1'!N129="","",'Cash Flow %s Yr1'!N129*'Expenses Summary'!$R85))</f>
        <v>84</v>
      </c>
      <c r="O133" s="60">
        <f>IF('Expenses Summary'!$R85="","",IF('Cash Flow %s Yr1'!O129="","",'Cash Flow %s Yr1'!O129*'Expenses Summary'!$R85))</f>
        <v>84</v>
      </c>
      <c r="P133" s="123"/>
      <c r="Q133" s="123"/>
      <c r="R133" s="123"/>
    </row>
    <row r="134" spans="1:18" s="30" customFormat="1" x14ac:dyDescent="0.3">
      <c r="A134" s="35"/>
      <c r="B134" s="133" t="str">
        <f>'Expenses Summary'!B86</f>
        <v>5811</v>
      </c>
      <c r="C134" s="133" t="str">
        <f>'Expenses Summary'!C86</f>
        <v>Student Transportation / Events</v>
      </c>
      <c r="D134" s="60">
        <f>IF('Expenses Summary'!$R86="","",IF('Cash Flow %s Yr1'!D130="","",'Cash Flow %s Yr1'!D130*'Expenses Summary'!$R86))</f>
        <v>0</v>
      </c>
      <c r="E134" s="60">
        <f>IF('Expenses Summary'!$R86="","",IF('Cash Flow %s Yr1'!E130="","",'Cash Flow %s Yr1'!E130*'Expenses Summary'!$R86))</f>
        <v>0</v>
      </c>
      <c r="F134" s="60">
        <f>IF('Expenses Summary'!$R86="","",IF('Cash Flow %s Yr1'!F130="","",'Cash Flow %s Yr1'!F130*'Expenses Summary'!$R86))</f>
        <v>0</v>
      </c>
      <c r="G134" s="60">
        <f>IF('Expenses Summary'!$R86="","",IF('Cash Flow %s Yr1'!G130="","",'Cash Flow %s Yr1'!G130*'Expenses Summary'!$R86))</f>
        <v>0</v>
      </c>
      <c r="H134" s="60">
        <f>IF('Expenses Summary'!$R86="","",IF('Cash Flow %s Yr1'!H130="","",'Cash Flow %s Yr1'!H130*'Expenses Summary'!$R86))</f>
        <v>0</v>
      </c>
      <c r="I134" s="60">
        <f>IF('Expenses Summary'!$R86="","",IF('Cash Flow %s Yr1'!I130="","",'Cash Flow %s Yr1'!I130*'Expenses Summary'!$R86))</f>
        <v>0</v>
      </c>
      <c r="J134" s="60">
        <f>IF('Expenses Summary'!$R86="","",IF('Cash Flow %s Yr1'!J130="","",'Cash Flow %s Yr1'!J130*'Expenses Summary'!$R86))</f>
        <v>0</v>
      </c>
      <c r="K134" s="60">
        <f>IF('Expenses Summary'!$R86="","",IF('Cash Flow %s Yr1'!K130="","",'Cash Flow %s Yr1'!K130*'Expenses Summary'!$R86))</f>
        <v>0</v>
      </c>
      <c r="L134" s="60">
        <f>IF('Expenses Summary'!$R86="","",IF('Cash Flow %s Yr1'!L130="","",'Cash Flow %s Yr1'!L130*'Expenses Summary'!$R86))</f>
        <v>0</v>
      </c>
      <c r="M134" s="60">
        <f>IF('Expenses Summary'!$R86="","",IF('Cash Flow %s Yr1'!M130="","",'Cash Flow %s Yr1'!M130*'Expenses Summary'!$R86))</f>
        <v>0</v>
      </c>
      <c r="N134" s="60">
        <f>IF('Expenses Summary'!$R86="","",IF('Cash Flow %s Yr1'!N130="","",'Cash Flow %s Yr1'!N130*'Expenses Summary'!$R86))</f>
        <v>0</v>
      </c>
      <c r="O134" s="60">
        <f>IF('Expenses Summary'!$R86="","",IF('Cash Flow %s Yr1'!O130="","",'Cash Flow %s Yr1'!O130*'Expenses Summary'!$R86))</f>
        <v>0</v>
      </c>
      <c r="P134" s="123"/>
      <c r="Q134" s="123"/>
      <c r="R134" s="123"/>
    </row>
    <row r="135" spans="1:18" s="30" customFormat="1" x14ac:dyDescent="0.3">
      <c r="A135" s="35"/>
      <c r="B135" s="133" t="str">
        <f>'Expenses Summary'!B88</f>
        <v>5815</v>
      </c>
      <c r="C135" s="133" t="str">
        <f>'Expenses Summary'!C88</f>
        <v>Advertising / Recruiting</v>
      </c>
      <c r="D135" s="60">
        <f>IF('Expenses Summary'!$R88="","",IF('Cash Flow %s Yr1'!D131="","",'Cash Flow %s Yr1'!D131*'Expenses Summary'!$R88))</f>
        <v>41.664250000000003</v>
      </c>
      <c r="E135" s="60">
        <f>IF('Expenses Summary'!$R88="","",IF('Cash Flow %s Yr1'!E131="","",'Cash Flow %s Yr1'!E131*'Expenses Summary'!$R88))</f>
        <v>41.664250000000003</v>
      </c>
      <c r="F135" s="60">
        <f>IF('Expenses Summary'!$R88="","",IF('Cash Flow %s Yr1'!F131="","",'Cash Flow %s Yr1'!F131*'Expenses Summary'!$R88))</f>
        <v>41.664250000000003</v>
      </c>
      <c r="G135" s="60">
        <f>IF('Expenses Summary'!$R88="","",IF('Cash Flow %s Yr1'!G131="","",'Cash Flow %s Yr1'!G131*'Expenses Summary'!$R88))</f>
        <v>41.664250000000003</v>
      </c>
      <c r="H135" s="60">
        <f>IF('Expenses Summary'!$R88="","",IF('Cash Flow %s Yr1'!H131="","",'Cash Flow %s Yr1'!H131*'Expenses Summary'!$R88))</f>
        <v>41.664250000000003</v>
      </c>
      <c r="I135" s="60">
        <f>IF('Expenses Summary'!$R88="","",IF('Cash Flow %s Yr1'!I131="","",'Cash Flow %s Yr1'!I131*'Expenses Summary'!$R88))</f>
        <v>41.664250000000003</v>
      </c>
      <c r="J135" s="60">
        <f>IF('Expenses Summary'!$R88="","",IF('Cash Flow %s Yr1'!J131="","",'Cash Flow %s Yr1'!J131*'Expenses Summary'!$R88))</f>
        <v>41.664250000000003</v>
      </c>
      <c r="K135" s="60">
        <f>IF('Expenses Summary'!$R88="","",IF('Cash Flow %s Yr1'!K131="","",'Cash Flow %s Yr1'!K131*'Expenses Summary'!$R88))</f>
        <v>41.664250000000003</v>
      </c>
      <c r="L135" s="60">
        <f>IF('Expenses Summary'!$R88="","",IF('Cash Flow %s Yr1'!L131="","",'Cash Flow %s Yr1'!L131*'Expenses Summary'!$R88))</f>
        <v>41.664250000000003</v>
      </c>
      <c r="M135" s="60">
        <f>IF('Expenses Summary'!$R88="","",IF('Cash Flow %s Yr1'!M131="","",'Cash Flow %s Yr1'!M131*'Expenses Summary'!$R88))</f>
        <v>41.664250000000003</v>
      </c>
      <c r="N135" s="60">
        <f>IF('Expenses Summary'!$R88="","",IF('Cash Flow %s Yr1'!N131="","",'Cash Flow %s Yr1'!N131*'Expenses Summary'!$R88))</f>
        <v>41.664250000000003</v>
      </c>
      <c r="O135" s="60">
        <f>IF('Expenses Summary'!$R88="","",IF('Cash Flow %s Yr1'!O131="","",'Cash Flow %s Yr1'!O131*'Expenses Summary'!$R88))</f>
        <v>41.692999999999998</v>
      </c>
      <c r="P135" s="123"/>
      <c r="Q135" s="123"/>
      <c r="R135" s="123"/>
    </row>
    <row r="136" spans="1:18" s="30" customFormat="1" x14ac:dyDescent="0.3">
      <c r="A136" s="35"/>
      <c r="B136" s="133" t="str">
        <f>'Expenses Summary'!B89</f>
        <v>5820</v>
      </c>
      <c r="C136" s="133" t="str">
        <f>'Expenses Summary'!C89</f>
        <v>Fundraising Expense</v>
      </c>
      <c r="D136" s="60">
        <f>IF('Expenses Summary'!$R89="","",IF('Cash Flow %s Yr1'!D132="","",'Cash Flow %s Yr1'!D132*'Expenses Summary'!$R89))</f>
        <v>833.28499999999997</v>
      </c>
      <c r="E136" s="60">
        <f>IF('Expenses Summary'!$R89="","",IF('Cash Flow %s Yr1'!E132="","",'Cash Flow %s Yr1'!E132*'Expenses Summary'!$R89))</f>
        <v>833.28499999999997</v>
      </c>
      <c r="F136" s="60">
        <f>IF('Expenses Summary'!$R89="","",IF('Cash Flow %s Yr1'!F132="","",'Cash Flow %s Yr1'!F132*'Expenses Summary'!$R89))</f>
        <v>833.28499999999997</v>
      </c>
      <c r="G136" s="60">
        <f>IF('Expenses Summary'!$R89="","",IF('Cash Flow %s Yr1'!G132="","",'Cash Flow %s Yr1'!G132*'Expenses Summary'!$R89))</f>
        <v>833.28499999999997</v>
      </c>
      <c r="H136" s="60">
        <f>IF('Expenses Summary'!$R89="","",IF('Cash Flow %s Yr1'!H132="","",'Cash Flow %s Yr1'!H132*'Expenses Summary'!$R89))</f>
        <v>833.28499999999997</v>
      </c>
      <c r="I136" s="60">
        <f>IF('Expenses Summary'!$R89="","",IF('Cash Flow %s Yr1'!I132="","",'Cash Flow %s Yr1'!I132*'Expenses Summary'!$R89))</f>
        <v>833.28499999999997</v>
      </c>
      <c r="J136" s="60">
        <f>IF('Expenses Summary'!$R89="","",IF('Cash Flow %s Yr1'!J132="","",'Cash Flow %s Yr1'!J132*'Expenses Summary'!$R89))</f>
        <v>833.28499999999997</v>
      </c>
      <c r="K136" s="60">
        <f>IF('Expenses Summary'!$R89="","",IF('Cash Flow %s Yr1'!K132="","",'Cash Flow %s Yr1'!K132*'Expenses Summary'!$R89))</f>
        <v>833.28499999999997</v>
      </c>
      <c r="L136" s="60">
        <f>IF('Expenses Summary'!$R89="","",IF('Cash Flow %s Yr1'!L132="","",'Cash Flow %s Yr1'!L132*'Expenses Summary'!$R89))</f>
        <v>833.28499999999997</v>
      </c>
      <c r="M136" s="60">
        <f>IF('Expenses Summary'!$R89="","",IF('Cash Flow %s Yr1'!M132="","",'Cash Flow %s Yr1'!M132*'Expenses Summary'!$R89))</f>
        <v>833.28499999999997</v>
      </c>
      <c r="N136" s="60">
        <f>IF('Expenses Summary'!$R89="","",IF('Cash Flow %s Yr1'!N132="","",'Cash Flow %s Yr1'!N132*'Expenses Summary'!$R89))</f>
        <v>833.28499999999997</v>
      </c>
      <c r="O136" s="60">
        <f>IF('Expenses Summary'!$R89="","",IF('Cash Flow %s Yr1'!O132="","",'Cash Flow %s Yr1'!O132*'Expenses Summary'!$R89))</f>
        <v>833.86</v>
      </c>
      <c r="P136" s="123"/>
      <c r="Q136" s="123"/>
      <c r="R136" s="123"/>
    </row>
    <row r="137" spans="1:18" s="30" customFormat="1" x14ac:dyDescent="0.3">
      <c r="A137" s="35"/>
      <c r="B137" s="133" t="str">
        <f>'Expenses Summary'!B91</f>
        <v>5836</v>
      </c>
      <c r="C137" s="133" t="str">
        <f>'Expenses Summary'!C91</f>
        <v>Transportation Services</v>
      </c>
      <c r="D137" s="60" t="str">
        <f>IF('Expenses Summary'!$R91="","",IF('Cash Flow %s Yr1'!D133="","",'Cash Flow %s Yr1'!D133*'Expenses Summary'!$R91))</f>
        <v/>
      </c>
      <c r="E137" s="60" t="str">
        <f>IF('Expenses Summary'!$R91="","",IF('Cash Flow %s Yr1'!E133="","",'Cash Flow %s Yr1'!E133*'Expenses Summary'!$R91))</f>
        <v/>
      </c>
      <c r="F137" s="60" t="str">
        <f>IF('Expenses Summary'!$R91="","",IF('Cash Flow %s Yr1'!F133="","",'Cash Flow %s Yr1'!F133*'Expenses Summary'!$R91))</f>
        <v/>
      </c>
      <c r="G137" s="60" t="str">
        <f>IF('Expenses Summary'!$R91="","",IF('Cash Flow %s Yr1'!G133="","",'Cash Flow %s Yr1'!G133*'Expenses Summary'!$R91))</f>
        <v/>
      </c>
      <c r="H137" s="60" t="str">
        <f>IF('Expenses Summary'!$R91="","",IF('Cash Flow %s Yr1'!H133="","",'Cash Flow %s Yr1'!H133*'Expenses Summary'!$R91))</f>
        <v/>
      </c>
      <c r="I137" s="60" t="str">
        <f>IF('Expenses Summary'!$R91="","",IF('Cash Flow %s Yr1'!I133="","",'Cash Flow %s Yr1'!I133*'Expenses Summary'!$R91))</f>
        <v/>
      </c>
      <c r="J137" s="60" t="str">
        <f>IF('Expenses Summary'!$R91="","",IF('Cash Flow %s Yr1'!J133="","",'Cash Flow %s Yr1'!J133*'Expenses Summary'!$R91))</f>
        <v/>
      </c>
      <c r="K137" s="60" t="str">
        <f>IF('Expenses Summary'!$R91="","",IF('Cash Flow %s Yr1'!K133="","",'Cash Flow %s Yr1'!K133*'Expenses Summary'!$R91))</f>
        <v/>
      </c>
      <c r="L137" s="60" t="str">
        <f>IF('Expenses Summary'!$R91="","",IF('Cash Flow %s Yr1'!L133="","",'Cash Flow %s Yr1'!L133*'Expenses Summary'!$R91))</f>
        <v/>
      </c>
      <c r="M137" s="60" t="str">
        <f>IF('Expenses Summary'!$R91="","",IF('Cash Flow %s Yr1'!M133="","",'Cash Flow %s Yr1'!M133*'Expenses Summary'!$R91))</f>
        <v/>
      </c>
      <c r="N137" s="60" t="str">
        <f>IF('Expenses Summary'!$R91="","",IF('Cash Flow %s Yr1'!N133="","",'Cash Flow %s Yr1'!N133*'Expenses Summary'!$R91))</f>
        <v/>
      </c>
      <c r="O137" s="60" t="str">
        <f>IF('Expenses Summary'!$R91="","",IF('Cash Flow %s Yr1'!O133="","",'Cash Flow %s Yr1'!O133*'Expenses Summary'!$R91))</f>
        <v/>
      </c>
      <c r="P137" s="123"/>
      <c r="Q137" s="123"/>
      <c r="R137" s="123"/>
    </row>
    <row r="138" spans="1:18" s="30" customFormat="1" outlineLevel="1" x14ac:dyDescent="0.3">
      <c r="A138" s="35"/>
      <c r="B138" s="133" t="str">
        <f>'Expenses Summary'!B92</f>
        <v>5842</v>
      </c>
      <c r="C138" s="133" t="str">
        <f>'Expenses Summary'!C92</f>
        <v>Services Student Athletics</v>
      </c>
      <c r="D138" s="60" t="str">
        <f>IF('Expenses Summary'!$R92="","",IF('Cash Flow %s Yr1'!D134="","",'Cash Flow %s Yr1'!D134*'Expenses Summary'!$R92))</f>
        <v/>
      </c>
      <c r="E138" s="60" t="str">
        <f>IF('Expenses Summary'!$R92="","",IF('Cash Flow %s Yr1'!E134="","",'Cash Flow %s Yr1'!E134*'Expenses Summary'!$R92))</f>
        <v/>
      </c>
      <c r="F138" s="60">
        <f>IF('Expenses Summary'!$R92="","",IF('Cash Flow %s Yr1'!F134="","",'Cash Flow %s Yr1'!F134*'Expenses Summary'!$R92))</f>
        <v>0</v>
      </c>
      <c r="G138" s="60">
        <f>IF('Expenses Summary'!$R92="","",IF('Cash Flow %s Yr1'!G134="","",'Cash Flow %s Yr1'!G134*'Expenses Summary'!$R92))</f>
        <v>0</v>
      </c>
      <c r="H138" s="60">
        <f>IF('Expenses Summary'!$R92="","",IF('Cash Flow %s Yr1'!H134="","",'Cash Flow %s Yr1'!H134*'Expenses Summary'!$R92))</f>
        <v>0</v>
      </c>
      <c r="I138" s="60">
        <f>IF('Expenses Summary'!$R92="","",IF('Cash Flow %s Yr1'!I134="","",'Cash Flow %s Yr1'!I134*'Expenses Summary'!$R92))</f>
        <v>0</v>
      </c>
      <c r="J138" s="60">
        <f>IF('Expenses Summary'!$R92="","",IF('Cash Flow %s Yr1'!J134="","",'Cash Flow %s Yr1'!J134*'Expenses Summary'!$R92))</f>
        <v>0</v>
      </c>
      <c r="K138" s="60">
        <f>IF('Expenses Summary'!$R92="","",IF('Cash Flow %s Yr1'!K134="","",'Cash Flow %s Yr1'!K134*'Expenses Summary'!$R92))</f>
        <v>0</v>
      </c>
      <c r="L138" s="60">
        <f>IF('Expenses Summary'!$R92="","",IF('Cash Flow %s Yr1'!L134="","",'Cash Flow %s Yr1'!L134*'Expenses Summary'!$R92))</f>
        <v>0</v>
      </c>
      <c r="M138" s="60">
        <f>IF('Expenses Summary'!$R92="","",IF('Cash Flow %s Yr1'!M134="","",'Cash Flow %s Yr1'!M134*'Expenses Summary'!$R92))</f>
        <v>0</v>
      </c>
      <c r="N138" s="60">
        <f>IF('Expenses Summary'!$R92="","",IF('Cash Flow %s Yr1'!N134="","",'Cash Flow %s Yr1'!N134*'Expenses Summary'!$R92))</f>
        <v>0</v>
      </c>
      <c r="O138" s="60">
        <f>IF('Expenses Summary'!$R92="","",IF('Cash Flow %s Yr1'!O134="","",'Cash Flow %s Yr1'!O134*'Expenses Summary'!$R92))</f>
        <v>0</v>
      </c>
      <c r="P138" s="123"/>
      <c r="Q138" s="123"/>
      <c r="R138" s="123"/>
    </row>
    <row r="139" spans="1:18" s="30" customFormat="1" outlineLevel="1" x14ac:dyDescent="0.3">
      <c r="A139" s="35"/>
      <c r="B139" s="133" t="str">
        <f>'Expenses Summary'!B93</f>
        <v>5850</v>
      </c>
      <c r="C139" s="133" t="str">
        <f>'Expenses Summary'!C93</f>
        <v>Scholarships</v>
      </c>
      <c r="D139" s="60" t="str">
        <f>IF('Expenses Summary'!$R93="","",IF('Cash Flow %s Yr1'!D135="","",'Cash Flow %s Yr1'!D135*'Expenses Summary'!$R93))</f>
        <v/>
      </c>
      <c r="E139" s="60" t="str">
        <f>IF('Expenses Summary'!$R93="","",IF('Cash Flow %s Yr1'!E135="","",'Cash Flow %s Yr1'!E135*'Expenses Summary'!$R93))</f>
        <v/>
      </c>
      <c r="F139" s="60" t="str">
        <f>IF('Expenses Summary'!$R93="","",IF('Cash Flow %s Yr1'!F135="","",'Cash Flow %s Yr1'!F135*'Expenses Summary'!$R93))</f>
        <v/>
      </c>
      <c r="G139" s="60" t="str">
        <f>IF('Expenses Summary'!$R93="","",IF('Cash Flow %s Yr1'!G135="","",'Cash Flow %s Yr1'!G135*'Expenses Summary'!$R93))</f>
        <v/>
      </c>
      <c r="H139" s="60" t="str">
        <f>IF('Expenses Summary'!$R93="","",IF('Cash Flow %s Yr1'!H135="","",'Cash Flow %s Yr1'!H135*'Expenses Summary'!$R93))</f>
        <v/>
      </c>
      <c r="I139" s="60" t="str">
        <f>IF('Expenses Summary'!$R93="","",IF('Cash Flow %s Yr1'!I135="","",'Cash Flow %s Yr1'!I135*'Expenses Summary'!$R93))</f>
        <v/>
      </c>
      <c r="J139" s="60" t="str">
        <f>IF('Expenses Summary'!$R93="","",IF('Cash Flow %s Yr1'!J135="","",'Cash Flow %s Yr1'!J135*'Expenses Summary'!$R93))</f>
        <v/>
      </c>
      <c r="K139" s="60" t="str">
        <f>IF('Expenses Summary'!$R93="","",IF('Cash Flow %s Yr1'!K135="","",'Cash Flow %s Yr1'!K135*'Expenses Summary'!$R93))</f>
        <v/>
      </c>
      <c r="L139" s="60" t="str">
        <f>IF('Expenses Summary'!$R93="","",IF('Cash Flow %s Yr1'!L135="","",'Cash Flow %s Yr1'!L135*'Expenses Summary'!$R93))</f>
        <v/>
      </c>
      <c r="M139" s="60" t="str">
        <f>IF('Expenses Summary'!$R93="","",IF('Cash Flow %s Yr1'!M135="","",'Cash Flow %s Yr1'!M135*'Expenses Summary'!$R93))</f>
        <v/>
      </c>
      <c r="N139" s="60" t="str">
        <f>IF('Expenses Summary'!$R93="","",IF('Cash Flow %s Yr1'!N135="","",'Cash Flow %s Yr1'!N135*'Expenses Summary'!$R93))</f>
        <v/>
      </c>
      <c r="O139" s="60" t="str">
        <f>IF('Expenses Summary'!$R93="","",IF('Cash Flow %s Yr1'!O135="","",'Cash Flow %s Yr1'!O135*'Expenses Summary'!$R93))</f>
        <v/>
      </c>
      <c r="P139" s="123"/>
      <c r="Q139" s="123"/>
      <c r="R139" s="123"/>
    </row>
    <row r="140" spans="1:18" s="30" customFormat="1" outlineLevel="1" x14ac:dyDescent="0.3">
      <c r="A140" s="35"/>
      <c r="B140" s="133" t="str">
        <f>'Expenses Summary'!B94</f>
        <v>5873</v>
      </c>
      <c r="C140" s="133" t="str">
        <f>'Expenses Summary'!C94</f>
        <v>Financial Services</v>
      </c>
      <c r="D140" s="60" t="str">
        <f>IF('Expenses Summary'!$R94="","",IF('Cash Flow %s Yr1'!D136="","",'Cash Flow %s Yr1'!D136*'Expenses Summary'!$R94))</f>
        <v/>
      </c>
      <c r="E140" s="60" t="str">
        <f>IF('Expenses Summary'!$R94="","",IF('Cash Flow %s Yr1'!E136="","",'Cash Flow %s Yr1'!E136*'Expenses Summary'!$R94))</f>
        <v/>
      </c>
      <c r="F140" s="60">
        <f>IF('Expenses Summary'!$R94="","",IF('Cash Flow %s Yr1'!F136="","",'Cash Flow %s Yr1'!F136*'Expenses Summary'!$R94))</f>
        <v>4800</v>
      </c>
      <c r="G140" s="60">
        <f>IF('Expenses Summary'!$R94="","",IF('Cash Flow %s Yr1'!G136="","",'Cash Flow %s Yr1'!G136*'Expenses Summary'!$R94))</f>
        <v>4800</v>
      </c>
      <c r="H140" s="60">
        <f>IF('Expenses Summary'!$R94="","",IF('Cash Flow %s Yr1'!H136="","",'Cash Flow %s Yr1'!H136*'Expenses Summary'!$R94))</f>
        <v>4800</v>
      </c>
      <c r="I140" s="60">
        <f>IF('Expenses Summary'!$R94="","",IF('Cash Flow %s Yr1'!I136="","",'Cash Flow %s Yr1'!I136*'Expenses Summary'!$R94))</f>
        <v>4800</v>
      </c>
      <c r="J140" s="60">
        <f>IF('Expenses Summary'!$R94="","",IF('Cash Flow %s Yr1'!J136="","",'Cash Flow %s Yr1'!J136*'Expenses Summary'!$R94))</f>
        <v>4800</v>
      </c>
      <c r="K140" s="60">
        <f>IF('Expenses Summary'!$R94="","",IF('Cash Flow %s Yr1'!K136="","",'Cash Flow %s Yr1'!K136*'Expenses Summary'!$R94))</f>
        <v>4800</v>
      </c>
      <c r="L140" s="60">
        <f>IF('Expenses Summary'!$R94="","",IF('Cash Flow %s Yr1'!L136="","",'Cash Flow %s Yr1'!L136*'Expenses Summary'!$R94))</f>
        <v>4800</v>
      </c>
      <c r="M140" s="60">
        <f>IF('Expenses Summary'!$R94="","",IF('Cash Flow %s Yr1'!M136="","",'Cash Flow %s Yr1'!M136*'Expenses Summary'!$R94))</f>
        <v>4800</v>
      </c>
      <c r="N140" s="60">
        <f>IF('Expenses Summary'!$R94="","",IF('Cash Flow %s Yr1'!N136="","",'Cash Flow %s Yr1'!N136*'Expenses Summary'!$R94))</f>
        <v>4800</v>
      </c>
      <c r="O140" s="60">
        <f>IF('Expenses Summary'!$R94="","",IF('Cash Flow %s Yr1'!O136="","",'Cash Flow %s Yr1'!O136*'Expenses Summary'!$R94))</f>
        <v>4800</v>
      </c>
      <c r="P140" s="123"/>
      <c r="Q140" s="123"/>
      <c r="R140" s="123"/>
    </row>
    <row r="141" spans="1:18" s="30" customFormat="1" outlineLevel="1" x14ac:dyDescent="0.3">
      <c r="A141" s="35"/>
      <c r="B141" s="133" t="str">
        <f>'Expenses Summary'!B96</f>
        <v>5875</v>
      </c>
      <c r="C141" s="133" t="str">
        <f>'Expenses Summary'!C96</f>
        <v>District Oversight Fee</v>
      </c>
      <c r="D141" s="60" t="str">
        <f>IF('Expenses Summary'!$R96="","",IF('Cash Flow %s Yr1'!D137="","",'Cash Flow %s Yr1'!D137*'Expenses Summary'!$R96))</f>
        <v/>
      </c>
      <c r="E141" s="60" t="str">
        <f>IF('Expenses Summary'!$R96="","",IF('Cash Flow %s Yr1'!E137="","",'Cash Flow %s Yr1'!E137*'Expenses Summary'!$R96))</f>
        <v/>
      </c>
      <c r="F141" s="60">
        <f>IF('Expenses Summary'!$R96="","",IF('Cash Flow %s Yr1'!F137="","",'Cash Flow %s Yr1'!F137*'Expenses Summary'!$R96))</f>
        <v>828.14200000000005</v>
      </c>
      <c r="G141" s="60">
        <f>IF('Expenses Summary'!$R96="","",IF('Cash Flow %s Yr1'!G137="","",'Cash Flow %s Yr1'!G137*'Expenses Summary'!$R96))</f>
        <v>828.14200000000005</v>
      </c>
      <c r="H141" s="60">
        <f>IF('Expenses Summary'!$R96="","",IF('Cash Flow %s Yr1'!H137="","",'Cash Flow %s Yr1'!H137*'Expenses Summary'!$R96))</f>
        <v>828.14200000000005</v>
      </c>
      <c r="I141" s="60">
        <f>IF('Expenses Summary'!$R96="","",IF('Cash Flow %s Yr1'!I137="","",'Cash Flow %s Yr1'!I137*'Expenses Summary'!$R96))</f>
        <v>828.14200000000005</v>
      </c>
      <c r="J141" s="60">
        <f>IF('Expenses Summary'!$R96="","",IF('Cash Flow %s Yr1'!J137="","",'Cash Flow %s Yr1'!J137*'Expenses Summary'!$R96))</f>
        <v>828.14200000000005</v>
      </c>
      <c r="K141" s="60">
        <f>IF('Expenses Summary'!$R96="","",IF('Cash Flow %s Yr1'!K137="","",'Cash Flow %s Yr1'!K137*'Expenses Summary'!$R96))</f>
        <v>828.14200000000005</v>
      </c>
      <c r="L141" s="60">
        <f>IF('Expenses Summary'!$R96="","",IF('Cash Flow %s Yr1'!L137="","",'Cash Flow %s Yr1'!L137*'Expenses Summary'!$R96))</f>
        <v>828.14200000000005</v>
      </c>
      <c r="M141" s="60">
        <f>IF('Expenses Summary'!$R96="","",IF('Cash Flow %s Yr1'!M137="","",'Cash Flow %s Yr1'!M137*'Expenses Summary'!$R96))</f>
        <v>828.14200000000005</v>
      </c>
      <c r="N141" s="60">
        <f>IF('Expenses Summary'!$R96="","",IF('Cash Flow %s Yr1'!N137="","",'Cash Flow %s Yr1'!N137*'Expenses Summary'!$R96))</f>
        <v>828.14200000000005</v>
      </c>
      <c r="O141" s="60">
        <f>IF('Expenses Summary'!$R96="","",IF('Cash Flow %s Yr1'!O137="","",'Cash Flow %s Yr1'!O137*'Expenses Summary'!$R96))</f>
        <v>828.14200000000005</v>
      </c>
      <c r="P141" s="123"/>
      <c r="Q141" s="123"/>
      <c r="R141" s="123"/>
    </row>
    <row r="142" spans="1:18" s="30" customFormat="1" outlineLevel="1" x14ac:dyDescent="0.3">
      <c r="A142" s="35"/>
      <c r="B142" s="133" t="str">
        <f>'Expenses Summary'!B97</f>
        <v>5877</v>
      </c>
      <c r="C142" s="133" t="str">
        <f>'Expenses Summary'!C97</f>
        <v>IT Services</v>
      </c>
      <c r="D142" s="60" t="str">
        <f>IF('Expenses Summary'!$R97="","",IF('Cash Flow %s Yr1'!D138="","",'Cash Flow %s Yr1'!D138*'Expenses Summary'!$R97))</f>
        <v/>
      </c>
      <c r="E142" s="60" t="str">
        <f>IF('Expenses Summary'!$R97="","",IF('Cash Flow %s Yr1'!E138="","",'Cash Flow %s Yr1'!E138*'Expenses Summary'!$R97))</f>
        <v/>
      </c>
      <c r="F142" s="60">
        <f>IF('Expenses Summary'!$R97="","",IF('Cash Flow %s Yr1'!F138="","",'Cash Flow %s Yr1'!F138*'Expenses Summary'!$R97))</f>
        <v>500</v>
      </c>
      <c r="G142" s="60">
        <f>IF('Expenses Summary'!$R97="","",IF('Cash Flow %s Yr1'!G138="","",'Cash Flow %s Yr1'!G138*'Expenses Summary'!$R97))</f>
        <v>500</v>
      </c>
      <c r="H142" s="60">
        <f>IF('Expenses Summary'!$R97="","",IF('Cash Flow %s Yr1'!H138="","",'Cash Flow %s Yr1'!H138*'Expenses Summary'!$R97))</f>
        <v>500</v>
      </c>
      <c r="I142" s="60">
        <f>IF('Expenses Summary'!$R97="","",IF('Cash Flow %s Yr1'!I138="","",'Cash Flow %s Yr1'!I138*'Expenses Summary'!$R97))</f>
        <v>500</v>
      </c>
      <c r="J142" s="60">
        <f>IF('Expenses Summary'!$R97="","",IF('Cash Flow %s Yr1'!J138="","",'Cash Flow %s Yr1'!J138*'Expenses Summary'!$R97))</f>
        <v>500</v>
      </c>
      <c r="K142" s="60">
        <f>IF('Expenses Summary'!$R97="","",IF('Cash Flow %s Yr1'!K138="","",'Cash Flow %s Yr1'!K138*'Expenses Summary'!$R97))</f>
        <v>500</v>
      </c>
      <c r="L142" s="60">
        <f>IF('Expenses Summary'!$R97="","",IF('Cash Flow %s Yr1'!L138="","",'Cash Flow %s Yr1'!L138*'Expenses Summary'!$R97))</f>
        <v>500</v>
      </c>
      <c r="M142" s="60">
        <f>IF('Expenses Summary'!$R97="","",IF('Cash Flow %s Yr1'!M138="","",'Cash Flow %s Yr1'!M138*'Expenses Summary'!$R97))</f>
        <v>500</v>
      </c>
      <c r="N142" s="60">
        <f>IF('Expenses Summary'!$R97="","",IF('Cash Flow %s Yr1'!N138="","",'Cash Flow %s Yr1'!N138*'Expenses Summary'!$R97))</f>
        <v>500</v>
      </c>
      <c r="O142" s="60">
        <f>IF('Expenses Summary'!$R97="","",IF('Cash Flow %s Yr1'!O138="","",'Cash Flow %s Yr1'!O138*'Expenses Summary'!$R97))</f>
        <v>500</v>
      </c>
      <c r="P142" s="123"/>
      <c r="Q142" s="123"/>
      <c r="R142" s="123"/>
    </row>
    <row r="143" spans="1:18" s="30" customFormat="1" outlineLevel="1" x14ac:dyDescent="0.3">
      <c r="A143" s="35"/>
      <c r="B143" s="133" t="str">
        <f>'Expenses Summary'!B98</f>
        <v>5885</v>
      </c>
      <c r="C143" s="133" t="str">
        <f>'Expenses Summary'!C98</f>
        <v>Summer School Program</v>
      </c>
      <c r="D143" s="60" t="str">
        <f>IF('Expenses Summary'!$R98="","",IF('Cash Flow %s Yr1'!D139="","",'Cash Flow %s Yr1'!D139*'Expenses Summary'!$R98))</f>
        <v/>
      </c>
      <c r="E143" s="60" t="str">
        <f>IF('Expenses Summary'!$R98="","",IF('Cash Flow %s Yr1'!E139="","",'Cash Flow %s Yr1'!E139*'Expenses Summary'!$R98))</f>
        <v/>
      </c>
      <c r="F143" s="60" t="str">
        <f>IF('Expenses Summary'!$R98="","",IF('Cash Flow %s Yr1'!F139="","",'Cash Flow %s Yr1'!F139*'Expenses Summary'!$R98))</f>
        <v/>
      </c>
      <c r="G143" s="60" t="str">
        <f>IF('Expenses Summary'!$R98="","",IF('Cash Flow %s Yr1'!G139="","",'Cash Flow %s Yr1'!G139*'Expenses Summary'!$R98))</f>
        <v/>
      </c>
      <c r="H143" s="60" t="str">
        <f>IF('Expenses Summary'!$R98="","",IF('Cash Flow %s Yr1'!H139="","",'Cash Flow %s Yr1'!H139*'Expenses Summary'!$R98))</f>
        <v/>
      </c>
      <c r="I143" s="60" t="str">
        <f>IF('Expenses Summary'!$R98="","",IF('Cash Flow %s Yr1'!I139="","",'Cash Flow %s Yr1'!I139*'Expenses Summary'!$R98))</f>
        <v/>
      </c>
      <c r="J143" s="60" t="str">
        <f>IF('Expenses Summary'!$R98="","",IF('Cash Flow %s Yr1'!J139="","",'Cash Flow %s Yr1'!J139*'Expenses Summary'!$R98))</f>
        <v/>
      </c>
      <c r="K143" s="60" t="str">
        <f>IF('Expenses Summary'!$R98="","",IF('Cash Flow %s Yr1'!K139="","",'Cash Flow %s Yr1'!K139*'Expenses Summary'!$R98))</f>
        <v/>
      </c>
      <c r="L143" s="60" t="str">
        <f>IF('Expenses Summary'!$R98="","",IF('Cash Flow %s Yr1'!L139="","",'Cash Flow %s Yr1'!L139*'Expenses Summary'!$R98))</f>
        <v/>
      </c>
      <c r="M143" s="60" t="str">
        <f>IF('Expenses Summary'!$R98="","",IF('Cash Flow %s Yr1'!M139="","",'Cash Flow %s Yr1'!M139*'Expenses Summary'!$R98))</f>
        <v/>
      </c>
      <c r="N143" s="60" t="str">
        <f>IF('Expenses Summary'!$R98="","",IF('Cash Flow %s Yr1'!N139="","",'Cash Flow %s Yr1'!N139*'Expenses Summary'!$R98))</f>
        <v/>
      </c>
      <c r="O143" s="60" t="str">
        <f>IF('Expenses Summary'!$R98="","",IF('Cash Flow %s Yr1'!O139="","",'Cash Flow %s Yr1'!O139*'Expenses Summary'!$R98))</f>
        <v/>
      </c>
      <c r="P143" s="123"/>
      <c r="Q143" s="123"/>
      <c r="R143" s="123"/>
    </row>
    <row r="144" spans="1:18" s="30" customFormat="1" outlineLevel="1" x14ac:dyDescent="0.3">
      <c r="A144" s="35"/>
      <c r="B144" s="133" t="str">
        <f>'Expenses Summary'!B99</f>
        <v>5890</v>
      </c>
      <c r="C144" s="133" t="str">
        <f>'Expenses Summary'!C99</f>
        <v>Interest Expense / Misc. Fees</v>
      </c>
      <c r="D144" s="60" t="str">
        <f>IF('Expenses Summary'!$R99="","",IF('Cash Flow %s Yr1'!D140="","",'Cash Flow %s Yr1'!D140*'Expenses Summary'!$R99))</f>
        <v/>
      </c>
      <c r="E144" s="60" t="str">
        <f>IF('Expenses Summary'!$R99="","",IF('Cash Flow %s Yr1'!E140="","",'Cash Flow %s Yr1'!E140*'Expenses Summary'!$R99))</f>
        <v/>
      </c>
      <c r="F144" s="60">
        <f>IF('Expenses Summary'!$R99="","",IF('Cash Flow %s Yr1'!F140="","",'Cash Flow %s Yr1'!F140*'Expenses Summary'!$R99))</f>
        <v>0.5</v>
      </c>
      <c r="G144" s="60">
        <f>IF('Expenses Summary'!$R99="","",IF('Cash Flow %s Yr1'!G140="","",'Cash Flow %s Yr1'!G140*'Expenses Summary'!$R99))</f>
        <v>0.5</v>
      </c>
      <c r="H144" s="60">
        <f>IF('Expenses Summary'!$R99="","",IF('Cash Flow %s Yr1'!H140="","",'Cash Flow %s Yr1'!H140*'Expenses Summary'!$R99))</f>
        <v>0.5</v>
      </c>
      <c r="I144" s="60">
        <f>IF('Expenses Summary'!$R99="","",IF('Cash Flow %s Yr1'!I140="","",'Cash Flow %s Yr1'!I140*'Expenses Summary'!$R99))</f>
        <v>0.5</v>
      </c>
      <c r="J144" s="60">
        <f>IF('Expenses Summary'!$R99="","",IF('Cash Flow %s Yr1'!J140="","",'Cash Flow %s Yr1'!J140*'Expenses Summary'!$R99))</f>
        <v>0.5</v>
      </c>
      <c r="K144" s="60">
        <f>IF('Expenses Summary'!$R99="","",IF('Cash Flow %s Yr1'!K140="","",'Cash Flow %s Yr1'!K140*'Expenses Summary'!$R99))</f>
        <v>0.5</v>
      </c>
      <c r="L144" s="60">
        <f>IF('Expenses Summary'!$R99="","",IF('Cash Flow %s Yr1'!L140="","",'Cash Flow %s Yr1'!L140*'Expenses Summary'!$R99))</f>
        <v>0.5</v>
      </c>
      <c r="M144" s="60">
        <f>IF('Expenses Summary'!$R99="","",IF('Cash Flow %s Yr1'!M140="","",'Cash Flow %s Yr1'!M140*'Expenses Summary'!$R99))</f>
        <v>0.5</v>
      </c>
      <c r="N144" s="60">
        <f>IF('Expenses Summary'!$R99="","",IF('Cash Flow %s Yr1'!N140="","",'Cash Flow %s Yr1'!N140*'Expenses Summary'!$R99))</f>
        <v>0.5</v>
      </c>
      <c r="O144" s="60">
        <f>IF('Expenses Summary'!$R99="","",IF('Cash Flow %s Yr1'!O140="","",'Cash Flow %s Yr1'!O140*'Expenses Summary'!$R99))</f>
        <v>0.5</v>
      </c>
      <c r="P144" s="123"/>
      <c r="Q144" s="123"/>
      <c r="R144" s="123"/>
    </row>
    <row r="145" spans="1:18" s="30" customFormat="1" outlineLevel="1" x14ac:dyDescent="0.3">
      <c r="A145" s="35"/>
      <c r="B145" s="133" t="str">
        <f>'Expenses Summary'!B100</f>
        <v>5900</v>
      </c>
      <c r="C145" s="133" t="str">
        <f>'Expenses Summary'!C100</f>
        <v>Communications</v>
      </c>
      <c r="D145" s="60" t="str">
        <f>IF('Expenses Summary'!$R100="","",IF('Cash Flow %s Yr1'!D141="","",'Cash Flow %s Yr1'!D141*'Expenses Summary'!$R100))</f>
        <v/>
      </c>
      <c r="E145" s="60" t="str">
        <f>IF('Expenses Summary'!$R100="","",IF('Cash Flow %s Yr1'!E141="","",'Cash Flow %s Yr1'!E141*'Expenses Summary'!$R100))</f>
        <v/>
      </c>
      <c r="F145" s="60">
        <f>IF('Expenses Summary'!$R100="","",IF('Cash Flow %s Yr1'!F141="","",'Cash Flow %s Yr1'!F141*'Expenses Summary'!$R100))</f>
        <v>665.40000000000009</v>
      </c>
      <c r="G145" s="60">
        <f>IF('Expenses Summary'!$R100="","",IF('Cash Flow %s Yr1'!G141="","",'Cash Flow %s Yr1'!G141*'Expenses Summary'!$R100))</f>
        <v>665.40000000000009</v>
      </c>
      <c r="H145" s="60">
        <f>IF('Expenses Summary'!$R100="","",IF('Cash Flow %s Yr1'!H141="","",'Cash Flow %s Yr1'!H141*'Expenses Summary'!$R100))</f>
        <v>665.40000000000009</v>
      </c>
      <c r="I145" s="60">
        <f>IF('Expenses Summary'!$R100="","",IF('Cash Flow %s Yr1'!I141="","",'Cash Flow %s Yr1'!I141*'Expenses Summary'!$R100))</f>
        <v>665.40000000000009</v>
      </c>
      <c r="J145" s="60">
        <f>IF('Expenses Summary'!$R100="","",IF('Cash Flow %s Yr1'!J141="","",'Cash Flow %s Yr1'!J141*'Expenses Summary'!$R100))</f>
        <v>665.40000000000009</v>
      </c>
      <c r="K145" s="60">
        <f>IF('Expenses Summary'!$R100="","",IF('Cash Flow %s Yr1'!K141="","",'Cash Flow %s Yr1'!K141*'Expenses Summary'!$R100))</f>
        <v>665.40000000000009</v>
      </c>
      <c r="L145" s="60">
        <f>IF('Expenses Summary'!$R100="","",IF('Cash Flow %s Yr1'!L141="","",'Cash Flow %s Yr1'!L141*'Expenses Summary'!$R100))</f>
        <v>665.40000000000009</v>
      </c>
      <c r="M145" s="60">
        <f>IF('Expenses Summary'!$R100="","",IF('Cash Flow %s Yr1'!M141="","",'Cash Flow %s Yr1'!M141*'Expenses Summary'!$R100))</f>
        <v>665.40000000000009</v>
      </c>
      <c r="N145" s="60">
        <f>IF('Expenses Summary'!$R100="","",IF('Cash Flow %s Yr1'!N141="","",'Cash Flow %s Yr1'!N141*'Expenses Summary'!$R100))</f>
        <v>665.40000000000009</v>
      </c>
      <c r="O145" s="60">
        <f>IF('Expenses Summary'!$R100="","",IF('Cash Flow %s Yr1'!O141="","",'Cash Flow %s Yr1'!O141*'Expenses Summary'!$R100))</f>
        <v>665.40000000000009</v>
      </c>
      <c r="P145" s="123"/>
      <c r="Q145" s="123"/>
      <c r="R145" s="123"/>
    </row>
    <row r="146" spans="1:18" s="30" customFormat="1" outlineLevel="1" x14ac:dyDescent="0.3">
      <c r="A146" s="35"/>
      <c r="B146" s="133" t="str">
        <f>'Expenses Summary'!B101</f>
        <v>7010</v>
      </c>
      <c r="C146" s="133" t="str">
        <f>'Expenses Summary'!C101</f>
        <v>Special Education Encroachment</v>
      </c>
      <c r="D146" s="60" t="str">
        <f>IF('Expenses Summary'!$R101="","",IF('Cash Flow %s Yr1'!D142="","",'Cash Flow %s Yr1'!D142*'Expenses Summary'!$R101))</f>
        <v/>
      </c>
      <c r="E146" s="60" t="str">
        <f>IF('Expenses Summary'!$R101="","",IF('Cash Flow %s Yr1'!E142="","",'Cash Flow %s Yr1'!E142*'Expenses Summary'!$R101))</f>
        <v/>
      </c>
      <c r="F146" s="60">
        <f>IF('Expenses Summary'!$R101="","",IF('Cash Flow %s Yr1'!F142="","",'Cash Flow %s Yr1'!F142*'Expenses Summary'!$R101))</f>
        <v>11000</v>
      </c>
      <c r="G146" s="60">
        <f>IF('Expenses Summary'!$R101="","",IF('Cash Flow %s Yr1'!G142="","",'Cash Flow %s Yr1'!G142*'Expenses Summary'!$R101))</f>
        <v>11000</v>
      </c>
      <c r="H146" s="60">
        <f>IF('Expenses Summary'!$R101="","",IF('Cash Flow %s Yr1'!H142="","",'Cash Flow %s Yr1'!H142*'Expenses Summary'!$R101))</f>
        <v>11000</v>
      </c>
      <c r="I146" s="60">
        <f>IF('Expenses Summary'!$R101="","",IF('Cash Flow %s Yr1'!I142="","",'Cash Flow %s Yr1'!I142*'Expenses Summary'!$R101))</f>
        <v>11000</v>
      </c>
      <c r="J146" s="60">
        <f>IF('Expenses Summary'!$R101="","",IF('Cash Flow %s Yr1'!J142="","",'Cash Flow %s Yr1'!J142*'Expenses Summary'!$R101))</f>
        <v>11000</v>
      </c>
      <c r="K146" s="60">
        <f>IF('Expenses Summary'!$R101="","",IF('Cash Flow %s Yr1'!K142="","",'Cash Flow %s Yr1'!K142*'Expenses Summary'!$R101))</f>
        <v>11000</v>
      </c>
      <c r="L146" s="60">
        <f>IF('Expenses Summary'!$R101="","",IF('Cash Flow %s Yr1'!L142="","",'Cash Flow %s Yr1'!L142*'Expenses Summary'!$R101))</f>
        <v>11000</v>
      </c>
      <c r="M146" s="60">
        <f>IF('Expenses Summary'!$R101="","",IF('Cash Flow %s Yr1'!M142="","",'Cash Flow %s Yr1'!M142*'Expenses Summary'!$R101))</f>
        <v>11000</v>
      </c>
      <c r="N146" s="60">
        <f>IF('Expenses Summary'!$R101="","",IF('Cash Flow %s Yr1'!N142="","",'Cash Flow %s Yr1'!N142*'Expenses Summary'!$R101))</f>
        <v>11000</v>
      </c>
      <c r="O146" s="60">
        <f>IF('Expenses Summary'!$R101="","",IF('Cash Flow %s Yr1'!O142="","",'Cash Flow %s Yr1'!O142*'Expenses Summary'!$R101))</f>
        <v>11000</v>
      </c>
      <c r="P146" s="123"/>
      <c r="Q146" s="123"/>
      <c r="R146" s="123"/>
    </row>
    <row r="147" spans="1:18" s="30" customFormat="1" hidden="1" outlineLevel="1" x14ac:dyDescent="0.3">
      <c r="A147" s="35"/>
      <c r="B147" s="133" t="e">
        <f>'Expenses Summary'!#REF!</f>
        <v>#REF!</v>
      </c>
      <c r="C147" s="133" t="e">
        <f>'Expenses Summary'!#REF!</f>
        <v>#REF!</v>
      </c>
      <c r="D147" s="60" t="e">
        <f>IF('Expenses Summary'!#REF!="","",IF('Cash Flow %s Yr1'!D143="","",'Cash Flow %s Yr1'!D143*'Expenses Summary'!#REF!))</f>
        <v>#REF!</v>
      </c>
      <c r="E147" s="60" t="e">
        <f>IF('Expenses Summary'!#REF!="","",IF('Cash Flow %s Yr1'!E143="","",'Cash Flow %s Yr1'!E143*'Expenses Summary'!#REF!))</f>
        <v>#REF!</v>
      </c>
      <c r="F147" s="60" t="e">
        <f>IF('Expenses Summary'!#REF!="","",IF('Cash Flow %s Yr1'!F143="","",'Cash Flow %s Yr1'!F143*'Expenses Summary'!#REF!))</f>
        <v>#REF!</v>
      </c>
      <c r="G147" s="60" t="e">
        <f>IF('Expenses Summary'!#REF!="","",IF('Cash Flow %s Yr1'!G143="","",'Cash Flow %s Yr1'!G143*'Expenses Summary'!#REF!))</f>
        <v>#REF!</v>
      </c>
      <c r="H147" s="60" t="e">
        <f>IF('Expenses Summary'!#REF!="","",IF('Cash Flow %s Yr1'!H143="","",'Cash Flow %s Yr1'!H143*'Expenses Summary'!#REF!))</f>
        <v>#REF!</v>
      </c>
      <c r="I147" s="60" t="e">
        <f>IF('Expenses Summary'!#REF!="","",IF('Cash Flow %s Yr1'!I143="","",'Cash Flow %s Yr1'!I143*'Expenses Summary'!#REF!))</f>
        <v>#REF!</v>
      </c>
      <c r="J147" s="60" t="e">
        <f>IF('Expenses Summary'!#REF!="","",IF('Cash Flow %s Yr1'!J143="","",'Cash Flow %s Yr1'!J143*'Expenses Summary'!#REF!))</f>
        <v>#REF!</v>
      </c>
      <c r="K147" s="60" t="e">
        <f>IF('Expenses Summary'!#REF!="","",IF('Cash Flow %s Yr1'!K143="","",'Cash Flow %s Yr1'!K143*'Expenses Summary'!#REF!))</f>
        <v>#REF!</v>
      </c>
      <c r="L147" s="60" t="e">
        <f>IF('Expenses Summary'!#REF!="","",IF('Cash Flow %s Yr1'!L143="","",'Cash Flow %s Yr1'!L143*'Expenses Summary'!#REF!))</f>
        <v>#REF!</v>
      </c>
      <c r="M147" s="60" t="e">
        <f>IF('Expenses Summary'!#REF!="","",IF('Cash Flow %s Yr1'!M143="","",'Cash Flow %s Yr1'!M143*'Expenses Summary'!#REF!))</f>
        <v>#REF!</v>
      </c>
      <c r="N147" s="60" t="e">
        <f>IF('Expenses Summary'!#REF!="","",IF('Cash Flow %s Yr1'!N143="","",'Cash Flow %s Yr1'!N143*'Expenses Summary'!#REF!))</f>
        <v>#REF!</v>
      </c>
      <c r="O147" s="60" t="e">
        <f>IF('Expenses Summary'!#REF!="","",IF('Cash Flow %s Yr1'!O143="","",'Cash Flow %s Yr1'!O143*'Expenses Summary'!#REF!))</f>
        <v>#REF!</v>
      </c>
      <c r="P147" s="123"/>
      <c r="Q147" s="123"/>
      <c r="R147" s="123"/>
    </row>
    <row r="148" spans="1:18" s="30" customFormat="1" x14ac:dyDescent="0.3">
      <c r="A148" s="35"/>
      <c r="B148" s="133" t="str">
        <f>'Expenses Summary'!B102</f>
        <v>5999</v>
      </c>
      <c r="C148" s="133" t="str">
        <f>'Expenses Summary'!C102</f>
        <v>Expense Suspense</v>
      </c>
      <c r="D148" s="60" t="str">
        <f>IF('Expenses Summary'!$R102="","",IF('Cash Flow %s Yr1'!D144="","",'Cash Flow %s Yr1'!D144*'Expenses Summary'!$R102))</f>
        <v/>
      </c>
      <c r="E148" s="60" t="str">
        <f>IF('Expenses Summary'!$R102="","",IF('Cash Flow %s Yr1'!E144="","",'Cash Flow %s Yr1'!E144*'Expenses Summary'!$R102))</f>
        <v/>
      </c>
      <c r="F148" s="60" t="str">
        <f>IF('Expenses Summary'!$R102="","",IF('Cash Flow %s Yr1'!F144="","",'Cash Flow %s Yr1'!F144*'Expenses Summary'!$R102))</f>
        <v/>
      </c>
      <c r="G148" s="60" t="str">
        <f>IF('Expenses Summary'!$R102="","",IF('Cash Flow %s Yr1'!G144="","",'Cash Flow %s Yr1'!G144*'Expenses Summary'!$R102))</f>
        <v/>
      </c>
      <c r="H148" s="60" t="str">
        <f>IF('Expenses Summary'!$R102="","",IF('Cash Flow %s Yr1'!H144="","",'Cash Flow %s Yr1'!H144*'Expenses Summary'!$R102))</f>
        <v/>
      </c>
      <c r="I148" s="60" t="str">
        <f>IF('Expenses Summary'!$R102="","",IF('Cash Flow %s Yr1'!I144="","",'Cash Flow %s Yr1'!I144*'Expenses Summary'!$R102))</f>
        <v/>
      </c>
      <c r="J148" s="60" t="str">
        <f>IF('Expenses Summary'!$R102="","",IF('Cash Flow %s Yr1'!J144="","",'Cash Flow %s Yr1'!J144*'Expenses Summary'!$R102))</f>
        <v/>
      </c>
      <c r="K148" s="60" t="str">
        <f>IF('Expenses Summary'!$R102="","",IF('Cash Flow %s Yr1'!K144="","",'Cash Flow %s Yr1'!K144*'Expenses Summary'!$R102))</f>
        <v/>
      </c>
      <c r="L148" s="60" t="str">
        <f>IF('Expenses Summary'!$R102="","",IF('Cash Flow %s Yr1'!L144="","",'Cash Flow %s Yr1'!L144*'Expenses Summary'!$R102))</f>
        <v/>
      </c>
      <c r="M148" s="60" t="str">
        <f>IF('Expenses Summary'!$R102="","",IF('Cash Flow %s Yr1'!M144="","",'Cash Flow %s Yr1'!M144*'Expenses Summary'!$R102))</f>
        <v/>
      </c>
      <c r="N148" s="60" t="str">
        <f>IF('Expenses Summary'!$R102="","",IF('Cash Flow %s Yr1'!N144="","",'Cash Flow %s Yr1'!N144*'Expenses Summary'!$R102))</f>
        <v/>
      </c>
      <c r="O148" s="60" t="str">
        <f>IF('Expenses Summary'!$R102="","",IF('Cash Flow %s Yr1'!O144="","",'Cash Flow %s Yr1'!O144*'Expenses Summary'!$R102))</f>
        <v/>
      </c>
      <c r="P148" s="123"/>
      <c r="Q148" s="123"/>
      <c r="R148" s="123"/>
    </row>
    <row r="149" spans="1:18" s="30" customFormat="1" x14ac:dyDescent="0.3">
      <c r="A149" s="35"/>
      <c r="B149" s="32" t="s">
        <v>559</v>
      </c>
      <c r="C149" s="33" t="s">
        <v>720</v>
      </c>
      <c r="D149" s="165" t="e">
        <f>IF(SUM(D115:D148)&gt;0,SUM(D115:D148),"")</f>
        <v>#REF!</v>
      </c>
      <c r="E149" s="165" t="e">
        <f t="shared" ref="E149:O149" si="10">IF(SUM(E115:E148)&gt;0,SUM(E115:E148),"")</f>
        <v>#REF!</v>
      </c>
      <c r="F149" s="165" t="e">
        <f t="shared" si="10"/>
        <v>#REF!</v>
      </c>
      <c r="G149" s="165" t="e">
        <f t="shared" si="10"/>
        <v>#REF!</v>
      </c>
      <c r="H149" s="165" t="e">
        <f t="shared" si="10"/>
        <v>#REF!</v>
      </c>
      <c r="I149" s="165" t="e">
        <f t="shared" si="10"/>
        <v>#REF!</v>
      </c>
      <c r="J149" s="165" t="e">
        <f t="shared" si="10"/>
        <v>#REF!</v>
      </c>
      <c r="K149" s="165" t="e">
        <f t="shared" si="10"/>
        <v>#REF!</v>
      </c>
      <c r="L149" s="165" t="e">
        <f t="shared" si="10"/>
        <v>#REF!</v>
      </c>
      <c r="M149" s="165" t="e">
        <f t="shared" si="10"/>
        <v>#REF!</v>
      </c>
      <c r="N149" s="165" t="e">
        <f t="shared" si="10"/>
        <v>#REF!</v>
      </c>
      <c r="O149" s="165" t="e">
        <f t="shared" si="10"/>
        <v>#REF!</v>
      </c>
      <c r="P149" s="102"/>
      <c r="Q149" s="102"/>
      <c r="R149" s="102"/>
    </row>
    <row r="150" spans="1:18" s="30" customFormat="1" x14ac:dyDescent="0.3">
      <c r="A150" s="35"/>
      <c r="B150" s="4"/>
      <c r="C150" s="3"/>
      <c r="D150" s="89"/>
      <c r="E150" s="89"/>
      <c r="F150" s="89"/>
      <c r="G150" s="89"/>
      <c r="H150" s="89"/>
      <c r="I150" s="89"/>
      <c r="J150" s="89"/>
      <c r="K150" s="89"/>
      <c r="L150" s="89"/>
      <c r="M150" s="89"/>
      <c r="N150" s="89"/>
      <c r="O150" s="89"/>
      <c r="P150" s="89"/>
      <c r="Q150" s="89"/>
      <c r="R150" s="89"/>
    </row>
    <row r="151" spans="1:18" s="30" customFormat="1" x14ac:dyDescent="0.3">
      <c r="B151" s="33" t="s">
        <v>722</v>
      </c>
      <c r="C151" s="3"/>
      <c r="D151" s="89"/>
      <c r="E151" s="89"/>
      <c r="F151" s="89"/>
      <c r="G151" s="89"/>
      <c r="H151" s="89"/>
      <c r="I151" s="89"/>
      <c r="J151" s="89"/>
      <c r="K151" s="89"/>
      <c r="L151" s="89"/>
      <c r="M151" s="89"/>
      <c r="N151" s="89"/>
      <c r="O151" s="89"/>
      <c r="P151" s="89"/>
      <c r="Q151" s="89"/>
      <c r="R151" s="89"/>
    </row>
    <row r="152" spans="1:18" s="30" customFormat="1" x14ac:dyDescent="0.3">
      <c r="A152" s="35"/>
      <c r="B152" s="133" t="str">
        <f>'Expenses Summary'!B106</f>
        <v>6900</v>
      </c>
      <c r="C152" s="133" t="str">
        <f>'Expenses Summary'!C106</f>
        <v xml:space="preserve">Depreciation Expense      </v>
      </c>
      <c r="D152" s="60">
        <f>IF('Expenses Summary'!$R106="","",IF('Cash Flow %s Yr1'!D148="","",'Cash Flow %s Yr1'!D148*'Expenses Summary'!$R106))</f>
        <v>0</v>
      </c>
      <c r="E152" s="60">
        <f>IF('Expenses Summary'!$R106="","",IF('Cash Flow %s Yr1'!E148="","",'Cash Flow %s Yr1'!E148*'Expenses Summary'!$R106))</f>
        <v>0</v>
      </c>
      <c r="F152" s="60">
        <f>IF('Expenses Summary'!$R106="","",IF('Cash Flow %s Yr1'!F148="","",'Cash Flow %s Yr1'!F148*'Expenses Summary'!$R106))</f>
        <v>0</v>
      </c>
      <c r="G152" s="60">
        <f>IF('Expenses Summary'!$R106="","",IF('Cash Flow %s Yr1'!G148="","",'Cash Flow %s Yr1'!G148*'Expenses Summary'!$R106))</f>
        <v>0</v>
      </c>
      <c r="H152" s="60">
        <f>IF('Expenses Summary'!$R106="","",IF('Cash Flow %s Yr1'!H148="","",'Cash Flow %s Yr1'!H148*'Expenses Summary'!$R106))</f>
        <v>0</v>
      </c>
      <c r="I152" s="60">
        <f>IF('Expenses Summary'!$R106="","",IF('Cash Flow %s Yr1'!I148="","",'Cash Flow %s Yr1'!I148*'Expenses Summary'!$R106))</f>
        <v>0</v>
      </c>
      <c r="J152" s="60">
        <f>IF('Expenses Summary'!$R106="","",IF('Cash Flow %s Yr1'!J148="","",'Cash Flow %s Yr1'!J148*'Expenses Summary'!$R106))</f>
        <v>0</v>
      </c>
      <c r="K152" s="60">
        <f>IF('Expenses Summary'!$R106="","",IF('Cash Flow %s Yr1'!K148="","",'Cash Flow %s Yr1'!K148*'Expenses Summary'!$R106))</f>
        <v>0</v>
      </c>
      <c r="L152" s="60">
        <f>IF('Expenses Summary'!$R106="","",IF('Cash Flow %s Yr1'!L148="","",'Cash Flow %s Yr1'!L148*'Expenses Summary'!$R106))</f>
        <v>0</v>
      </c>
      <c r="M152" s="60">
        <f>IF('Expenses Summary'!$R106="","",IF('Cash Flow %s Yr1'!M148="","",'Cash Flow %s Yr1'!M148*'Expenses Summary'!$R106))</f>
        <v>0</v>
      </c>
      <c r="N152" s="60">
        <f>IF('Expenses Summary'!$R106="","",IF('Cash Flow %s Yr1'!N148="","",'Cash Flow %s Yr1'!N148*'Expenses Summary'!$R106))</f>
        <v>0</v>
      </c>
      <c r="O152" s="60">
        <f>IF('Expenses Summary'!$R106="","",IF('Cash Flow %s Yr1'!O148="","",'Cash Flow %s Yr1'!O148*'Expenses Summary'!$R106))</f>
        <v>2908.72</v>
      </c>
      <c r="P152" s="123"/>
      <c r="Q152" s="123"/>
      <c r="R152" s="123"/>
    </row>
    <row r="153" spans="1:18" s="30" customFormat="1" x14ac:dyDescent="0.3">
      <c r="A153" s="35"/>
      <c r="B153" s="32" t="s">
        <v>560</v>
      </c>
      <c r="C153" s="33" t="s">
        <v>720</v>
      </c>
      <c r="D153" s="165" t="str">
        <f t="shared" ref="D153:O153" si="11">IF(SUM(D151:D152)&gt;0,SUM(D151:D152),"")</f>
        <v/>
      </c>
      <c r="E153" s="165" t="str">
        <f t="shared" si="11"/>
        <v/>
      </c>
      <c r="F153" s="165" t="str">
        <f t="shared" si="11"/>
        <v/>
      </c>
      <c r="G153" s="165" t="str">
        <f t="shared" si="11"/>
        <v/>
      </c>
      <c r="H153" s="165" t="str">
        <f t="shared" si="11"/>
        <v/>
      </c>
      <c r="I153" s="165" t="str">
        <f t="shared" si="11"/>
        <v/>
      </c>
      <c r="J153" s="165" t="str">
        <f t="shared" si="11"/>
        <v/>
      </c>
      <c r="K153" s="165" t="str">
        <f t="shared" si="11"/>
        <v/>
      </c>
      <c r="L153" s="165" t="str">
        <f t="shared" si="11"/>
        <v/>
      </c>
      <c r="M153" s="165" t="str">
        <f t="shared" si="11"/>
        <v/>
      </c>
      <c r="N153" s="165" t="str">
        <f t="shared" si="11"/>
        <v/>
      </c>
      <c r="O153" s="165">
        <f t="shared" si="11"/>
        <v>2908.72</v>
      </c>
      <c r="P153" s="102"/>
      <c r="Q153" s="102"/>
      <c r="R153" s="102"/>
    </row>
    <row r="154" spans="1:18" s="30" customFormat="1" x14ac:dyDescent="0.3">
      <c r="A154" s="35"/>
      <c r="B154" s="4"/>
      <c r="C154" s="3"/>
      <c r="D154" s="89"/>
      <c r="E154" s="98"/>
      <c r="F154" s="98"/>
      <c r="G154" s="89"/>
      <c r="H154" s="89"/>
      <c r="I154" s="89"/>
      <c r="J154" s="89"/>
      <c r="K154" s="89"/>
      <c r="L154" s="89"/>
      <c r="M154" s="89"/>
      <c r="N154" s="89"/>
      <c r="O154" s="89"/>
      <c r="P154" s="89"/>
      <c r="Q154" s="89"/>
      <c r="R154" s="89"/>
    </row>
    <row r="155" spans="1:18" s="30" customFormat="1" x14ac:dyDescent="0.3">
      <c r="B155" s="33" t="s">
        <v>723</v>
      </c>
      <c r="C155" s="3"/>
      <c r="D155" s="89"/>
      <c r="E155" s="98"/>
      <c r="F155" s="98"/>
      <c r="G155" s="89"/>
      <c r="H155" s="89"/>
      <c r="I155" s="89"/>
      <c r="J155" s="89"/>
      <c r="K155" s="89"/>
      <c r="L155" s="89"/>
      <c r="M155" s="89"/>
      <c r="N155" s="89"/>
      <c r="O155" s="89"/>
      <c r="P155" s="89"/>
      <c r="Q155" s="89"/>
      <c r="R155" s="89"/>
    </row>
    <row r="156" spans="1:18" s="30" customFormat="1" x14ac:dyDescent="0.3">
      <c r="A156" s="35"/>
      <c r="B156" s="133" t="str">
        <f>'Expenses Summary'!B110</f>
        <v>7000</v>
      </c>
      <c r="C156" s="133" t="str">
        <f>'Expenses Summary'!C110</f>
        <v>Miscellaneous Expense</v>
      </c>
      <c r="D156" s="60">
        <f>IF('Expenses Summary'!$R110="","",IF('Cash Flow %s Yr1'!D152="","",'Cash Flow %s Yr1'!D152*'Expenses Summary'!$R110))</f>
        <v>0</v>
      </c>
      <c r="E156" s="60">
        <f>IF('Expenses Summary'!$R110="","",IF('Cash Flow %s Yr1'!E152="","",'Cash Flow %s Yr1'!E152*'Expenses Summary'!$R110))</f>
        <v>0</v>
      </c>
      <c r="F156" s="60">
        <f>IF('Expenses Summary'!$R110="","",IF('Cash Flow %s Yr1'!F152="","",'Cash Flow %s Yr1'!F152*'Expenses Summary'!$R110))</f>
        <v>0</v>
      </c>
      <c r="G156" s="60">
        <f>IF('Expenses Summary'!$R110="","",IF('Cash Flow %s Yr1'!G152="","",'Cash Flow %s Yr1'!G152*'Expenses Summary'!$R110))</f>
        <v>0</v>
      </c>
      <c r="H156" s="60">
        <f>IF('Expenses Summary'!$R110="","",IF('Cash Flow %s Yr1'!H152="","",'Cash Flow %s Yr1'!H152*'Expenses Summary'!$R110))</f>
        <v>0</v>
      </c>
      <c r="I156" s="60">
        <f>IF('Expenses Summary'!$R110="","",IF('Cash Flow %s Yr1'!I152="","",'Cash Flow %s Yr1'!I152*'Expenses Summary'!$R110))</f>
        <v>0</v>
      </c>
      <c r="J156" s="60">
        <f>IF('Expenses Summary'!$R110="","",IF('Cash Flow %s Yr1'!J152="","",'Cash Flow %s Yr1'!J152*'Expenses Summary'!$R110))</f>
        <v>0</v>
      </c>
      <c r="K156" s="60">
        <f>IF('Expenses Summary'!$R110="","",IF('Cash Flow %s Yr1'!K152="","",'Cash Flow %s Yr1'!K152*'Expenses Summary'!$R110))</f>
        <v>0</v>
      </c>
      <c r="L156" s="60">
        <f>IF('Expenses Summary'!$R110="","",IF('Cash Flow %s Yr1'!L152="","",'Cash Flow %s Yr1'!L152*'Expenses Summary'!$R110))</f>
        <v>0</v>
      </c>
      <c r="M156" s="60">
        <f>IF('Expenses Summary'!$R110="","",IF('Cash Flow %s Yr1'!M152="","",'Cash Flow %s Yr1'!M152*'Expenses Summary'!$R110))</f>
        <v>0</v>
      </c>
      <c r="N156" s="60">
        <f>IF('Expenses Summary'!$R110="","",IF('Cash Flow %s Yr1'!N152="","",'Cash Flow %s Yr1'!N152*'Expenses Summary'!$R110))</f>
        <v>0</v>
      </c>
      <c r="O156" s="60">
        <f>IF('Expenses Summary'!$R110="","",IF('Cash Flow %s Yr1'!O152="","",'Cash Flow %s Yr1'!O152*'Expenses Summary'!$R110))</f>
        <v>0</v>
      </c>
      <c r="P156" s="123"/>
      <c r="Q156" s="123"/>
      <c r="R156" s="123"/>
    </row>
    <row r="157" spans="1:18" s="30" customFormat="1" x14ac:dyDescent="0.3">
      <c r="A157" s="35"/>
      <c r="B157" s="133" t="str">
        <f>'Expenses Summary'!B111</f>
        <v>7438</v>
      </c>
      <c r="C157" s="133" t="str">
        <f>'Expenses Summary'!C111</f>
        <v xml:space="preserve">Debt </v>
      </c>
      <c r="D157" s="60">
        <f>IF('Expenses Summary'!$R111="","",IF('Cash Flow %s Yr1'!D154="","",'Cash Flow %s Yr1'!D154*'Expenses Summary'!$R111))</f>
        <v>0</v>
      </c>
      <c r="E157" s="60">
        <f>IF('Expenses Summary'!$R111="","",IF('Cash Flow %s Yr1'!E154="","",'Cash Flow %s Yr1'!E154*'Expenses Summary'!$R111))</f>
        <v>0</v>
      </c>
      <c r="F157" s="60">
        <f>IF('Expenses Summary'!$R111="","",IF('Cash Flow %s Yr1'!F154="","",'Cash Flow %s Yr1'!F154*'Expenses Summary'!$R111))</f>
        <v>0</v>
      </c>
      <c r="G157" s="60">
        <f>IF('Expenses Summary'!$R111="","",IF('Cash Flow %s Yr1'!G154="","",'Cash Flow %s Yr1'!G154*'Expenses Summary'!$R111))</f>
        <v>0</v>
      </c>
      <c r="H157" s="60">
        <f>IF('Expenses Summary'!$R111="","",IF('Cash Flow %s Yr1'!H154="","",'Cash Flow %s Yr1'!H154*'Expenses Summary'!$R111))</f>
        <v>0</v>
      </c>
      <c r="I157" s="60">
        <f>IF('Expenses Summary'!$R111="","",IF('Cash Flow %s Yr1'!I154="","",'Cash Flow %s Yr1'!I154*'Expenses Summary'!$R111))</f>
        <v>0</v>
      </c>
      <c r="J157" s="60">
        <f>IF('Expenses Summary'!$R111="","",IF('Cash Flow %s Yr1'!J154="","",'Cash Flow %s Yr1'!J154*'Expenses Summary'!$R111))</f>
        <v>0</v>
      </c>
      <c r="K157" s="60">
        <f>IF('Expenses Summary'!$R111="","",IF('Cash Flow %s Yr1'!K154="","",'Cash Flow %s Yr1'!K154*'Expenses Summary'!$R111))</f>
        <v>0</v>
      </c>
      <c r="L157" s="60">
        <f>IF('Expenses Summary'!$R111="","",IF('Cash Flow %s Yr1'!L154="","",'Cash Flow %s Yr1'!L154*'Expenses Summary'!$R111))</f>
        <v>0</v>
      </c>
      <c r="M157" s="60">
        <f>IF('Expenses Summary'!$R111="","",IF('Cash Flow %s Yr1'!M154="","",'Cash Flow %s Yr1'!M154*'Expenses Summary'!$R111))</f>
        <v>0</v>
      </c>
      <c r="N157" s="60">
        <f>IF('Expenses Summary'!$R111="","",IF('Cash Flow %s Yr1'!N154="","",'Cash Flow %s Yr1'!N154*'Expenses Summary'!$R111))</f>
        <v>0</v>
      </c>
      <c r="O157" s="60">
        <f>IF('Expenses Summary'!$R111="","",IF('Cash Flow %s Yr1'!O154="","",'Cash Flow %s Yr1'!O154*'Expenses Summary'!$R111))</f>
        <v>0</v>
      </c>
      <c r="P157" s="123"/>
      <c r="Q157" s="123"/>
      <c r="R157" s="123"/>
    </row>
    <row r="158" spans="1:18" s="30" customFormat="1" x14ac:dyDescent="0.3">
      <c r="A158" s="35"/>
      <c r="B158" s="133" t="str">
        <f>'Expenses Summary'!B112</f>
        <v>8910</v>
      </c>
      <c r="C158" s="133" t="str">
        <f>'Expenses Summary'!C112</f>
        <v>Transfer in From LLC</v>
      </c>
      <c r="D158" s="60">
        <f>IF('Expenses Summary'!$R112="","",IF('Cash Flow %s Yr1'!D155="","",'Cash Flow %s Yr1'!D155*'Expenses Summary'!$R112))</f>
        <v>0</v>
      </c>
      <c r="E158" s="60">
        <f>IF('Expenses Summary'!$R112="","",IF('Cash Flow %s Yr1'!E155="","",'Cash Flow %s Yr1'!E155*'Expenses Summary'!$R112))</f>
        <v>0</v>
      </c>
      <c r="F158" s="60">
        <f>IF('Expenses Summary'!$R112="","",IF('Cash Flow %s Yr1'!F155="","",'Cash Flow %s Yr1'!F155*'Expenses Summary'!$R112))</f>
        <v>0</v>
      </c>
      <c r="G158" s="60">
        <f>IF('Expenses Summary'!$R112="","",IF('Cash Flow %s Yr1'!G155="","",'Cash Flow %s Yr1'!G155*'Expenses Summary'!$R112))</f>
        <v>0</v>
      </c>
      <c r="H158" s="60">
        <f>IF('Expenses Summary'!$R112="","",IF('Cash Flow %s Yr1'!H155="","",'Cash Flow %s Yr1'!H155*'Expenses Summary'!$R112))</f>
        <v>0</v>
      </c>
      <c r="I158" s="60">
        <f>IF('Expenses Summary'!$R112="","",IF('Cash Flow %s Yr1'!I155="","",'Cash Flow %s Yr1'!I155*'Expenses Summary'!$R112))</f>
        <v>0</v>
      </c>
      <c r="J158" s="60">
        <f>IF('Expenses Summary'!$R112="","",IF('Cash Flow %s Yr1'!J155="","",'Cash Flow %s Yr1'!J155*'Expenses Summary'!$R112))</f>
        <v>0</v>
      </c>
      <c r="K158" s="60">
        <f>IF('Expenses Summary'!$R112="","",IF('Cash Flow %s Yr1'!K155="","",'Cash Flow %s Yr1'!K155*'Expenses Summary'!$R112))</f>
        <v>0</v>
      </c>
      <c r="L158" s="60">
        <f>IF('Expenses Summary'!$R112="","",IF('Cash Flow %s Yr1'!L155="","",'Cash Flow %s Yr1'!L155*'Expenses Summary'!$R112))</f>
        <v>0</v>
      </c>
      <c r="M158" s="60">
        <f>IF('Expenses Summary'!$R112="","",IF('Cash Flow %s Yr1'!M155="","",'Cash Flow %s Yr1'!M155*'Expenses Summary'!$R112))</f>
        <v>0</v>
      </c>
      <c r="N158" s="60">
        <f>IF('Expenses Summary'!$R112="","",IF('Cash Flow %s Yr1'!N155="","",'Cash Flow %s Yr1'!N155*'Expenses Summary'!$R112))</f>
        <v>0</v>
      </c>
      <c r="O158" s="60">
        <f>IF('Expenses Summary'!$R112="","",IF('Cash Flow %s Yr1'!O155="","",'Cash Flow %s Yr1'!O155*'Expenses Summary'!$R112))</f>
        <v>0</v>
      </c>
      <c r="P158" s="123"/>
      <c r="Q158" s="123"/>
      <c r="R158" s="123"/>
    </row>
    <row r="159" spans="1:18" s="30" customFormat="1" x14ac:dyDescent="0.3">
      <c r="A159" s="35"/>
      <c r="B159" s="32" t="s">
        <v>684</v>
      </c>
      <c r="C159" s="33" t="s">
        <v>724</v>
      </c>
      <c r="D159" s="183" t="str">
        <f t="shared" ref="D159:O159" si="12">IF(SUM(D155:D158)&gt;0,SUM(D155:D158),"")</f>
        <v/>
      </c>
      <c r="E159" s="183" t="str">
        <f t="shared" si="12"/>
        <v/>
      </c>
      <c r="F159" s="183" t="str">
        <f t="shared" si="12"/>
        <v/>
      </c>
      <c r="G159" s="183" t="str">
        <f t="shared" si="12"/>
        <v/>
      </c>
      <c r="H159" s="183" t="str">
        <f t="shared" si="12"/>
        <v/>
      </c>
      <c r="I159" s="183" t="str">
        <f t="shared" si="12"/>
        <v/>
      </c>
      <c r="J159" s="183" t="str">
        <f t="shared" si="12"/>
        <v/>
      </c>
      <c r="K159" s="183" t="str">
        <f t="shared" si="12"/>
        <v/>
      </c>
      <c r="L159" s="183" t="str">
        <f t="shared" si="12"/>
        <v/>
      </c>
      <c r="M159" s="183" t="str">
        <f t="shared" si="12"/>
        <v/>
      </c>
      <c r="N159" s="183" t="str">
        <f t="shared" si="12"/>
        <v/>
      </c>
      <c r="O159" s="183" t="str">
        <f t="shared" si="12"/>
        <v/>
      </c>
      <c r="P159" s="126"/>
      <c r="Q159" s="126"/>
      <c r="R159" s="126"/>
    </row>
    <row r="160" spans="1:18" s="30" customFormat="1" x14ac:dyDescent="0.3">
      <c r="A160" s="33" t="s">
        <v>731</v>
      </c>
      <c r="B160" s="4"/>
      <c r="C160" s="3"/>
      <c r="D160" s="165" t="e">
        <f t="shared" ref="D160:O160" si="13">IF(SUM(D159,D153,D149,D113,D93,D81,D68)&gt;0,SUM(D159,D153,D149,D113,D93,D81,D68),"")</f>
        <v>#REF!</v>
      </c>
      <c r="E160" s="165" t="e">
        <f t="shared" si="13"/>
        <v>#REF!</v>
      </c>
      <c r="F160" s="165" t="e">
        <f t="shared" si="13"/>
        <v>#REF!</v>
      </c>
      <c r="G160" s="165" t="e">
        <f t="shared" si="13"/>
        <v>#REF!</v>
      </c>
      <c r="H160" s="165" t="e">
        <f t="shared" si="13"/>
        <v>#REF!</v>
      </c>
      <c r="I160" s="165" t="e">
        <f t="shared" si="13"/>
        <v>#REF!</v>
      </c>
      <c r="J160" s="165" t="e">
        <f t="shared" si="13"/>
        <v>#REF!</v>
      </c>
      <c r="K160" s="165" t="e">
        <f t="shared" si="13"/>
        <v>#REF!</v>
      </c>
      <c r="L160" s="165" t="e">
        <f t="shared" si="13"/>
        <v>#REF!</v>
      </c>
      <c r="M160" s="165" t="e">
        <f t="shared" si="13"/>
        <v>#REF!</v>
      </c>
      <c r="N160" s="165" t="e">
        <f t="shared" si="13"/>
        <v>#REF!</v>
      </c>
      <c r="O160" s="165" t="e">
        <f t="shared" si="13"/>
        <v>#REF!</v>
      </c>
      <c r="P160" s="89"/>
      <c r="Q160" s="89"/>
      <c r="R160" s="89"/>
    </row>
    <row r="161" spans="1:18" s="30" customFormat="1" x14ac:dyDescent="0.3">
      <c r="A161" s="33"/>
      <c r="B161" s="4"/>
      <c r="C161" s="3"/>
      <c r="D161" s="44"/>
      <c r="E161" s="44"/>
      <c r="F161" s="44"/>
      <c r="G161" s="44"/>
      <c r="H161" s="44"/>
      <c r="I161" s="44"/>
      <c r="J161" s="44"/>
      <c r="K161" s="44"/>
      <c r="L161" s="44"/>
      <c r="M161" s="44"/>
      <c r="N161" s="44"/>
      <c r="O161" s="44"/>
      <c r="P161" s="89"/>
      <c r="Q161" s="89"/>
      <c r="R161" s="89"/>
    </row>
    <row r="162" spans="1:18" s="30" customFormat="1" x14ac:dyDescent="0.3">
      <c r="A162" s="35"/>
      <c r="B162" s="33" t="s">
        <v>818</v>
      </c>
      <c r="C162" s="3"/>
      <c r="D162" s="89"/>
      <c r="E162" s="98"/>
      <c r="F162" s="98"/>
      <c r="G162" s="89"/>
      <c r="H162" s="89"/>
      <c r="I162" s="89"/>
      <c r="J162" s="89"/>
      <c r="K162" s="89"/>
      <c r="L162" s="89"/>
      <c r="M162" s="89"/>
      <c r="N162" s="89"/>
      <c r="O162" s="89"/>
      <c r="P162" s="89"/>
      <c r="Q162" s="89"/>
      <c r="R162" s="89"/>
    </row>
    <row r="163" spans="1:18" s="30" customFormat="1" x14ac:dyDescent="0.3">
      <c r="A163" s="35"/>
      <c r="B163" s="62"/>
      <c r="C163" s="62" t="str">
        <f>'Cash Flow %s Yr1'!C159</f>
        <v>Cash balance at previous year end</v>
      </c>
      <c r="D163" s="60" t="e">
        <f>+'Cash Flow $s Y20-21'!O174</f>
        <v>#REF!</v>
      </c>
      <c r="E163" s="60"/>
      <c r="F163" s="60"/>
      <c r="G163" s="60"/>
      <c r="H163" s="60"/>
      <c r="I163" s="60"/>
      <c r="J163" s="60"/>
      <c r="K163" s="60"/>
      <c r="L163" s="60"/>
      <c r="M163" s="60"/>
      <c r="N163" s="60"/>
      <c r="O163" s="60"/>
      <c r="P163" s="97"/>
      <c r="Q163" s="97"/>
      <c r="R163" s="97"/>
    </row>
    <row r="164" spans="1:18" s="30" customFormat="1" x14ac:dyDescent="0.3">
      <c r="A164" s="35"/>
      <c r="B164" s="62"/>
      <c r="C164" s="62" t="str">
        <f>'Cash Flow %s Yr1'!C160</f>
        <v>Accounts Receivable</v>
      </c>
      <c r="D164" s="60">
        <f>+'Cash Flow $s Y20-21'!P165</f>
        <v>0</v>
      </c>
      <c r="E164" s="60">
        <f>+'Cash Flow $s Y20-21'!Q165</f>
        <v>0</v>
      </c>
      <c r="F164" s="60">
        <v>0</v>
      </c>
      <c r="G164" s="60">
        <f>'Cash Flow %s Yr1'!G160*'Cash Flow %s Yr1'!$T160</f>
        <v>0</v>
      </c>
      <c r="H164" s="60">
        <f>'Cash Flow %s Yr1'!H160*'Cash Flow %s Yr1'!$T160</f>
        <v>0</v>
      </c>
      <c r="I164" s="60">
        <f>'Cash Flow %s Yr1'!I160*'Cash Flow %s Yr1'!$T160</f>
        <v>0</v>
      </c>
      <c r="J164" s="60">
        <f>'Cash Flow %s Yr1'!J160*'Cash Flow %s Yr1'!$T160</f>
        <v>0</v>
      </c>
      <c r="K164" s="60">
        <f>'Cash Flow %s Yr1'!K160*'Cash Flow %s Yr1'!$T160</f>
        <v>0</v>
      </c>
      <c r="L164" s="60">
        <f>'Cash Flow %s Yr1'!L160*'Cash Flow %s Yr1'!$T160</f>
        <v>0</v>
      </c>
      <c r="M164" s="60">
        <f>'Cash Flow %s Yr1'!M160*'Cash Flow %s Yr1'!$T160</f>
        <v>0</v>
      </c>
      <c r="N164" s="60">
        <f>'Cash Flow %s Yr1'!N160*'Cash Flow %s Yr1'!$T160</f>
        <v>0</v>
      </c>
      <c r="O164" s="60">
        <f>'Cash Flow %s Yr1'!O160*'Cash Flow %s Yr1'!$T160</f>
        <v>0</v>
      </c>
      <c r="P164" s="182">
        <f>P56</f>
        <v>0</v>
      </c>
      <c r="Q164" s="182">
        <f>Q56</f>
        <v>0</v>
      </c>
      <c r="R164" s="182">
        <f>R56</f>
        <v>0</v>
      </c>
    </row>
    <row r="165" spans="1:18" s="30" customFormat="1" x14ac:dyDescent="0.3">
      <c r="A165" s="35"/>
      <c r="B165" s="62"/>
      <c r="C165" s="62" t="str">
        <f>'Cash Flow %s Yr1'!C161</f>
        <v>Accounts Payable</v>
      </c>
      <c r="D165" s="60">
        <v>0</v>
      </c>
      <c r="E165" s="60">
        <v>0</v>
      </c>
      <c r="F165" s="60">
        <v>0</v>
      </c>
      <c r="G165" s="60">
        <f>'Cash Flow %s Yr1'!G161*'Cash Flow %s Yr1'!$T161</f>
        <v>0</v>
      </c>
      <c r="H165" s="60">
        <f>'Cash Flow %s Yr1'!H161*'Cash Flow %s Yr1'!$T161</f>
        <v>0</v>
      </c>
      <c r="I165" s="60">
        <f>'Cash Flow %s Yr1'!I161*'Cash Flow %s Yr1'!$T161</f>
        <v>0</v>
      </c>
      <c r="J165" s="60">
        <f>'Cash Flow %s Yr1'!J161*'Cash Flow %s Yr1'!$T161</f>
        <v>0</v>
      </c>
      <c r="K165" s="60">
        <f>'Cash Flow %s Yr1'!K161*'Cash Flow %s Yr1'!$T161</f>
        <v>0</v>
      </c>
      <c r="L165" s="60">
        <f>'Cash Flow %s Yr1'!L161*'Cash Flow %s Yr1'!$T161</f>
        <v>0</v>
      </c>
      <c r="M165" s="60">
        <f>'Cash Flow %s Yr1'!M161*'Cash Flow %s Yr1'!$T161</f>
        <v>0</v>
      </c>
      <c r="N165" s="60">
        <f>'Cash Flow %s Yr1'!N161*'Cash Flow %s Yr1'!$T161</f>
        <v>0</v>
      </c>
      <c r="O165" s="60">
        <f>'Cash Flow %s Yr1'!O161*'Cash Flow %s Yr1'!$T161</f>
        <v>0</v>
      </c>
      <c r="P165" s="97"/>
      <c r="Q165" s="97"/>
      <c r="R165" s="97"/>
    </row>
    <row r="166" spans="1:18" s="30" customFormat="1" x14ac:dyDescent="0.3">
      <c r="A166" s="35"/>
      <c r="B166" s="62"/>
      <c r="C166" s="62" t="str">
        <f>'Cash Flow %s Yr1'!C162</f>
        <v>Loan Principal Payable</v>
      </c>
      <c r="D166" s="60">
        <f>'Cash Flow %s Yr1'!D162*'Cash Flow %s Yr1'!$T162</f>
        <v>0</v>
      </c>
      <c r="E166" s="60">
        <f>'Cash Flow %s Yr1'!E162*'Cash Flow %s Yr1'!$T162</f>
        <v>0</v>
      </c>
      <c r="F166" s="60">
        <f>'Cash Flow %s Yr1'!F162*'Cash Flow %s Yr1'!$T162</f>
        <v>0</v>
      </c>
      <c r="G166" s="60">
        <f>'Cash Flow %s Yr1'!G162*'Cash Flow %s Yr1'!$T162</f>
        <v>0</v>
      </c>
      <c r="H166" s="60">
        <f>'Cash Flow %s Yr1'!H162*'Cash Flow %s Yr1'!$T162</f>
        <v>0</v>
      </c>
      <c r="I166" s="60">
        <f>'Cash Flow %s Yr1'!I162*'Cash Flow %s Yr1'!$T162</f>
        <v>0</v>
      </c>
      <c r="J166" s="60">
        <f>'Cash Flow %s Yr1'!J162*'Cash Flow %s Yr1'!$T162</f>
        <v>0</v>
      </c>
      <c r="K166" s="60">
        <f>'Cash Flow %s Yr1'!K162*'Cash Flow %s Yr1'!$T162</f>
        <v>0</v>
      </c>
      <c r="L166" s="60">
        <f>'Cash Flow %s Yr1'!L162*'Cash Flow %s Yr1'!$T162</f>
        <v>0</v>
      </c>
      <c r="M166" s="60">
        <f>'Cash Flow %s Yr1'!M162*'Cash Flow %s Yr1'!$T162</f>
        <v>0</v>
      </c>
      <c r="N166" s="60">
        <f>'Cash Flow %s Yr1'!N162*'Cash Flow %s Yr1'!$T162</f>
        <v>0</v>
      </c>
      <c r="O166" s="60">
        <f>'Cash Flow %s Yr1'!O162*'Cash Flow %s Yr1'!$T162</f>
        <v>0</v>
      </c>
      <c r="P166" s="97"/>
      <c r="Q166" s="97"/>
      <c r="R166" s="97"/>
    </row>
    <row r="167" spans="1:18" s="30" customFormat="1" x14ac:dyDescent="0.3">
      <c r="A167" s="35"/>
      <c r="B167" s="118"/>
      <c r="C167" s="33" t="s">
        <v>724</v>
      </c>
      <c r="D167" s="79" t="e">
        <f>D163+D164-D165-D166</f>
        <v>#REF!</v>
      </c>
      <c r="E167" s="79">
        <f t="shared" ref="E167:O167" si="14">E163+E164-E165-E166</f>
        <v>0</v>
      </c>
      <c r="F167" s="79">
        <f t="shared" si="14"/>
        <v>0</v>
      </c>
      <c r="G167" s="79">
        <f t="shared" si="14"/>
        <v>0</v>
      </c>
      <c r="H167" s="79">
        <f t="shared" si="14"/>
        <v>0</v>
      </c>
      <c r="I167" s="79">
        <f t="shared" si="14"/>
        <v>0</v>
      </c>
      <c r="J167" s="79">
        <f t="shared" si="14"/>
        <v>0</v>
      </c>
      <c r="K167" s="79">
        <f t="shared" si="14"/>
        <v>0</v>
      </c>
      <c r="L167" s="79">
        <f t="shared" si="14"/>
        <v>0</v>
      </c>
      <c r="M167" s="79">
        <f t="shared" si="14"/>
        <v>0</v>
      </c>
      <c r="N167" s="79">
        <f t="shared" si="14"/>
        <v>0</v>
      </c>
      <c r="O167" s="79">
        <f t="shared" si="14"/>
        <v>0</v>
      </c>
      <c r="P167" s="102"/>
      <c r="Q167" s="102"/>
      <c r="R167" s="102"/>
    </row>
    <row r="168" spans="1:18" s="39" customFormat="1" ht="16.2" thickBot="1" x14ac:dyDescent="0.35">
      <c r="A168" s="35"/>
      <c r="C168" s="1"/>
      <c r="D168" s="89"/>
      <c r="E168" s="89"/>
      <c r="F168" s="89"/>
      <c r="G168" s="89"/>
      <c r="H168" s="89"/>
      <c r="I168" s="89"/>
      <c r="J168" s="89"/>
      <c r="K168" s="89"/>
      <c r="L168" s="89"/>
      <c r="M168" s="89"/>
      <c r="N168" s="89"/>
      <c r="O168" s="89"/>
      <c r="P168" s="89"/>
      <c r="Q168" s="89"/>
      <c r="R168" s="89"/>
    </row>
    <row r="169" spans="1:18" s="39" customFormat="1" ht="16.2" thickBot="1" x14ac:dyDescent="0.35">
      <c r="A169" s="70" t="s">
        <v>825</v>
      </c>
      <c r="B169" s="125"/>
      <c r="C169" s="71"/>
      <c r="D169" s="285" t="e">
        <f>D56-D160</f>
        <v>#REF!</v>
      </c>
      <c r="E169" s="145" t="e">
        <f t="shared" ref="E169:R169" si="15">E56-E160</f>
        <v>#REF!</v>
      </c>
      <c r="F169" s="145" t="e">
        <f t="shared" si="15"/>
        <v>#REF!</v>
      </c>
      <c r="G169" s="145" t="e">
        <f t="shared" si="15"/>
        <v>#REF!</v>
      </c>
      <c r="H169" s="145" t="e">
        <f t="shared" si="15"/>
        <v>#REF!</v>
      </c>
      <c r="I169" s="145" t="e">
        <f t="shared" si="15"/>
        <v>#REF!</v>
      </c>
      <c r="J169" s="145" t="e">
        <f t="shared" si="15"/>
        <v>#REF!</v>
      </c>
      <c r="K169" s="145" t="e">
        <f t="shared" si="15"/>
        <v>#REF!</v>
      </c>
      <c r="L169" s="145" t="e">
        <f t="shared" si="15"/>
        <v>#REF!</v>
      </c>
      <c r="M169" s="145" t="e">
        <f t="shared" si="15"/>
        <v>#REF!</v>
      </c>
      <c r="N169" s="145" t="e">
        <f t="shared" si="15"/>
        <v>#REF!</v>
      </c>
      <c r="O169" s="145" t="e">
        <f t="shared" si="15"/>
        <v>#REF!</v>
      </c>
      <c r="P169" s="145">
        <f t="shared" si="15"/>
        <v>0</v>
      </c>
      <c r="Q169" s="145">
        <f t="shared" si="15"/>
        <v>0</v>
      </c>
      <c r="R169" s="146">
        <f t="shared" si="15"/>
        <v>0</v>
      </c>
    </row>
    <row r="170" spans="1:18" s="39" customFormat="1" ht="16.2" thickBot="1" x14ac:dyDescent="0.35">
      <c r="A170" s="35"/>
      <c r="C170" s="1"/>
      <c r="D170" s="147"/>
      <c r="E170" s="147"/>
      <c r="F170" s="147"/>
      <c r="G170" s="147"/>
      <c r="H170" s="147"/>
      <c r="I170" s="147"/>
      <c r="J170" s="147"/>
      <c r="K170" s="147"/>
      <c r="L170" s="147"/>
      <c r="M170" s="147"/>
      <c r="N170" s="147"/>
      <c r="O170" s="147"/>
      <c r="P170" s="89"/>
      <c r="Q170" s="89"/>
      <c r="R170" s="89"/>
    </row>
    <row r="171" spans="1:18" s="39" customFormat="1" ht="16.2" thickBot="1" x14ac:dyDescent="0.35">
      <c r="A171" s="70" t="s">
        <v>816</v>
      </c>
      <c r="B171" s="125"/>
      <c r="C171" s="71"/>
      <c r="D171" s="145" t="e">
        <f>D167+D169</f>
        <v>#REF!</v>
      </c>
      <c r="E171" s="145" t="e">
        <f t="shared" ref="E171:O171" si="16">E167+E169</f>
        <v>#REF!</v>
      </c>
      <c r="F171" s="145" t="e">
        <f t="shared" si="16"/>
        <v>#REF!</v>
      </c>
      <c r="G171" s="145" t="e">
        <f t="shared" si="16"/>
        <v>#REF!</v>
      </c>
      <c r="H171" s="145" t="e">
        <f t="shared" si="16"/>
        <v>#REF!</v>
      </c>
      <c r="I171" s="145" t="e">
        <f t="shared" si="16"/>
        <v>#REF!</v>
      </c>
      <c r="J171" s="145" t="e">
        <f t="shared" si="16"/>
        <v>#REF!</v>
      </c>
      <c r="K171" s="145" t="e">
        <f t="shared" si="16"/>
        <v>#REF!</v>
      </c>
      <c r="L171" s="145" t="e">
        <f t="shared" si="16"/>
        <v>#REF!</v>
      </c>
      <c r="M171" s="145" t="e">
        <f t="shared" si="16"/>
        <v>#REF!</v>
      </c>
      <c r="N171" s="145" t="e">
        <f t="shared" si="16"/>
        <v>#REF!</v>
      </c>
      <c r="O171" s="146" t="e">
        <f t="shared" si="16"/>
        <v>#REF!</v>
      </c>
      <c r="P171" s="89"/>
      <c r="Q171" s="89"/>
      <c r="R171" s="89"/>
    </row>
    <row r="172" spans="1:18" s="39" customFormat="1" ht="16.2" thickBot="1" x14ac:dyDescent="0.35">
      <c r="A172" s="35"/>
      <c r="C172" s="1"/>
      <c r="D172" s="89"/>
      <c r="E172" s="89"/>
      <c r="F172" s="89"/>
      <c r="G172" s="89"/>
      <c r="H172" s="89"/>
      <c r="I172" s="89"/>
      <c r="J172" s="89"/>
      <c r="K172" s="89"/>
      <c r="L172" s="89"/>
      <c r="M172" s="89"/>
      <c r="N172" s="89"/>
      <c r="O172" s="89"/>
      <c r="P172" s="89"/>
      <c r="Q172" s="89"/>
      <c r="R172" s="89"/>
    </row>
    <row r="173" spans="1:18" s="39" customFormat="1" ht="16.2" thickBot="1" x14ac:dyDescent="0.35">
      <c r="A173" s="70" t="s">
        <v>826</v>
      </c>
      <c r="B173" s="125"/>
      <c r="C173" s="71"/>
      <c r="D173" s="145" t="e">
        <f>D171</f>
        <v>#REF!</v>
      </c>
      <c r="E173" s="145" t="e">
        <f>D173+E171</f>
        <v>#REF!</v>
      </c>
      <c r="F173" s="145" t="e">
        <f t="shared" ref="F173:O173" si="17">E173+F171</f>
        <v>#REF!</v>
      </c>
      <c r="G173" s="145" t="e">
        <f t="shared" si="17"/>
        <v>#REF!</v>
      </c>
      <c r="H173" s="145" t="e">
        <f t="shared" si="17"/>
        <v>#REF!</v>
      </c>
      <c r="I173" s="145" t="e">
        <f t="shared" si="17"/>
        <v>#REF!</v>
      </c>
      <c r="J173" s="145" t="e">
        <f t="shared" si="17"/>
        <v>#REF!</v>
      </c>
      <c r="K173" s="145" t="e">
        <f t="shared" si="17"/>
        <v>#REF!</v>
      </c>
      <c r="L173" s="145" t="e">
        <f t="shared" si="17"/>
        <v>#REF!</v>
      </c>
      <c r="M173" s="145" t="e">
        <f t="shared" si="17"/>
        <v>#REF!</v>
      </c>
      <c r="N173" s="145" t="e">
        <f t="shared" si="17"/>
        <v>#REF!</v>
      </c>
      <c r="O173" s="146" t="e">
        <f t="shared" si="17"/>
        <v>#REF!</v>
      </c>
      <c r="P173" s="89"/>
      <c r="Q173" s="89"/>
      <c r="R173" s="89"/>
    </row>
    <row r="174" spans="1:18" s="39" customFormat="1" x14ac:dyDescent="0.3">
      <c r="A174" s="35"/>
      <c r="C174" s="1"/>
      <c r="D174" s="89"/>
      <c r="E174" s="89"/>
      <c r="F174" s="89"/>
      <c r="G174" s="89"/>
      <c r="H174" s="89"/>
      <c r="I174" s="89"/>
      <c r="J174" s="89"/>
      <c r="K174" s="89"/>
      <c r="L174" s="89"/>
      <c r="M174" s="89"/>
      <c r="N174" s="89"/>
      <c r="O174" s="89"/>
      <c r="P174" s="89"/>
      <c r="Q174" s="89"/>
      <c r="R174" s="89"/>
    </row>
    <row r="175" spans="1:18" s="39" customFormat="1" x14ac:dyDescent="0.3">
      <c r="A175" s="35"/>
      <c r="C175" s="1"/>
      <c r="D175" s="89"/>
      <c r="E175" s="89"/>
      <c r="F175" s="89"/>
      <c r="G175" s="89"/>
      <c r="H175" s="89"/>
      <c r="I175" s="89"/>
      <c r="J175" s="89"/>
      <c r="K175" s="89"/>
      <c r="L175" s="89"/>
      <c r="M175" s="89"/>
      <c r="N175" s="89"/>
      <c r="O175" s="89"/>
      <c r="P175" s="89"/>
      <c r="Q175" s="89"/>
      <c r="R175" s="89"/>
    </row>
    <row r="176" spans="1:18" s="39" customFormat="1" x14ac:dyDescent="0.3">
      <c r="A176" s="35"/>
      <c r="C176" s="1"/>
      <c r="D176" s="89"/>
      <c r="E176" s="89"/>
      <c r="F176" s="89"/>
      <c r="G176" s="89"/>
      <c r="H176" s="89"/>
      <c r="I176" s="89"/>
      <c r="J176" s="89"/>
      <c r="K176" s="89"/>
      <c r="L176" s="89"/>
      <c r="M176" s="89"/>
      <c r="N176" s="89"/>
      <c r="O176" s="89"/>
      <c r="P176" s="89"/>
      <c r="Q176" s="89"/>
      <c r="R176" s="89"/>
    </row>
  </sheetData>
  <printOptions horizontalCentered="1" verticalCentered="1"/>
  <pageMargins left="0.25" right="0.25" top="0.5" bottom="0.5" header="0.25" footer="0.25"/>
  <pageSetup paperSize="5" scale="70" fitToWidth="0" fitToHeight="0" orientation="landscape" r:id="rId1"/>
  <headerFooter alignWithMargins="0">
    <oddHeader>&amp;A</oddHeader>
    <oddFooter>Page &amp;P</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C02A6-19C4-49B5-95E3-58F66EBFF091}">
  <sheetPr>
    <tabColor theme="6" tint="-0.249977111117893"/>
  </sheetPr>
  <dimension ref="A1:S176"/>
  <sheetViews>
    <sheetView workbookViewId="0">
      <pane xSplit="3" ySplit="6" topLeftCell="H149" activePane="bottomRight" state="frozen"/>
      <selection activeCell="L14" sqref="L14"/>
      <selection pane="topRight" activeCell="L14" sqref="L14"/>
      <selection pane="bottomLeft" activeCell="L14" sqref="L14"/>
      <selection pane="bottomRight" sqref="A1:Q173"/>
    </sheetView>
  </sheetViews>
  <sheetFormatPr defaultRowHeight="15.6" outlineLevelRow="1" x14ac:dyDescent="0.3"/>
  <cols>
    <col min="1" max="1" width="5.6640625" style="34" customWidth="1"/>
    <col min="2" max="2" width="7.6640625" style="39" customWidth="1"/>
    <col min="3" max="3" width="42.5546875" style="1" customWidth="1"/>
    <col min="4" max="15" width="12.44140625" style="89" customWidth="1"/>
    <col min="16" max="17" width="14" style="89" bestFit="1" customWidth="1"/>
    <col min="18" max="18" width="12.44140625" style="89" hidden="1" customWidth="1"/>
    <col min="19" max="19" width="11.5546875" style="1" bestFit="1" customWidth="1"/>
    <col min="20" max="254" width="9.109375" style="1"/>
    <col min="255" max="255" width="22.88671875" style="1" customWidth="1"/>
    <col min="256" max="510" width="9.109375" style="1"/>
    <col min="511" max="511" width="22.88671875" style="1" customWidth="1"/>
    <col min="512" max="766" width="9.109375" style="1"/>
    <col min="767" max="767" width="22.88671875" style="1" customWidth="1"/>
    <col min="768" max="1022" width="9.109375" style="1"/>
    <col min="1023" max="1023" width="22.88671875" style="1" customWidth="1"/>
    <col min="1024" max="1278" width="9.109375" style="1"/>
    <col min="1279" max="1279" width="22.88671875" style="1" customWidth="1"/>
    <col min="1280" max="1534" width="9.109375" style="1"/>
    <col min="1535" max="1535" width="22.88671875" style="1" customWidth="1"/>
    <col min="1536" max="1790" width="9.109375" style="1"/>
    <col min="1791" max="1791" width="22.88671875" style="1" customWidth="1"/>
    <col min="1792" max="2046" width="9.109375" style="1"/>
    <col min="2047" max="2047" width="22.88671875" style="1" customWidth="1"/>
    <col min="2048" max="2302" width="9.109375" style="1"/>
    <col min="2303" max="2303" width="22.88671875" style="1" customWidth="1"/>
    <col min="2304" max="2558" width="9.109375" style="1"/>
    <col min="2559" max="2559" width="22.88671875" style="1" customWidth="1"/>
    <col min="2560" max="2814" width="9.109375" style="1"/>
    <col min="2815" max="2815" width="22.88671875" style="1" customWidth="1"/>
    <col min="2816" max="3070" width="9.109375" style="1"/>
    <col min="3071" max="3071" width="22.88671875" style="1" customWidth="1"/>
    <col min="3072" max="3326" width="9.109375" style="1"/>
    <col min="3327" max="3327" width="22.88671875" style="1" customWidth="1"/>
    <col min="3328" max="3582" width="9.109375" style="1"/>
    <col min="3583" max="3583" width="22.88671875" style="1" customWidth="1"/>
    <col min="3584" max="3838" width="9.109375" style="1"/>
    <col min="3839" max="3839" width="22.88671875" style="1" customWidth="1"/>
    <col min="3840" max="4094" width="9.109375" style="1"/>
    <col min="4095" max="4095" width="22.88671875" style="1" customWidth="1"/>
    <col min="4096" max="4350" width="9.109375" style="1"/>
    <col min="4351" max="4351" width="22.88671875" style="1" customWidth="1"/>
    <col min="4352" max="4606" width="9.109375" style="1"/>
    <col min="4607" max="4607" width="22.88671875" style="1" customWidth="1"/>
    <col min="4608" max="4862" width="9.109375" style="1"/>
    <col min="4863" max="4863" width="22.88671875" style="1" customWidth="1"/>
    <col min="4864" max="5118" width="9.109375" style="1"/>
    <col min="5119" max="5119" width="22.88671875" style="1" customWidth="1"/>
    <col min="5120" max="5374" width="9.109375" style="1"/>
    <col min="5375" max="5375" width="22.88671875" style="1" customWidth="1"/>
    <col min="5376" max="5630" width="9.109375" style="1"/>
    <col min="5631" max="5631" width="22.88671875" style="1" customWidth="1"/>
    <col min="5632" max="5886" width="9.109375" style="1"/>
    <col min="5887" max="5887" width="22.88671875" style="1" customWidth="1"/>
    <col min="5888" max="6142" width="9.109375" style="1"/>
    <col min="6143" max="6143" width="22.88671875" style="1" customWidth="1"/>
    <col min="6144" max="6398" width="9.109375" style="1"/>
    <col min="6399" max="6399" width="22.88671875" style="1" customWidth="1"/>
    <col min="6400" max="6654" width="9.109375" style="1"/>
    <col min="6655" max="6655" width="22.88671875" style="1" customWidth="1"/>
    <col min="6656" max="6910" width="9.109375" style="1"/>
    <col min="6911" max="6911" width="22.88671875" style="1" customWidth="1"/>
    <col min="6912" max="7166" width="9.109375" style="1"/>
    <col min="7167" max="7167" width="22.88671875" style="1" customWidth="1"/>
    <col min="7168" max="7422" width="9.109375" style="1"/>
    <col min="7423" max="7423" width="22.88671875" style="1" customWidth="1"/>
    <col min="7424" max="7678" width="9.109375" style="1"/>
    <col min="7679" max="7679" width="22.88671875" style="1" customWidth="1"/>
    <col min="7680" max="7934" width="9.109375" style="1"/>
    <col min="7935" max="7935" width="22.88671875" style="1" customWidth="1"/>
    <col min="7936" max="8190" width="9.109375" style="1"/>
    <col min="8191" max="8191" width="22.88671875" style="1" customWidth="1"/>
    <col min="8192" max="8446" width="9.109375" style="1"/>
    <col min="8447" max="8447" width="22.88671875" style="1" customWidth="1"/>
    <col min="8448" max="8702" width="9.109375" style="1"/>
    <col min="8703" max="8703" width="22.88671875" style="1" customWidth="1"/>
    <col min="8704" max="8958" width="9.109375" style="1"/>
    <col min="8959" max="8959" width="22.88671875" style="1" customWidth="1"/>
    <col min="8960" max="9214" width="9.109375" style="1"/>
    <col min="9215" max="9215" width="22.88671875" style="1" customWidth="1"/>
    <col min="9216" max="9470" width="9.109375" style="1"/>
    <col min="9471" max="9471" width="22.88671875" style="1" customWidth="1"/>
    <col min="9472" max="9726" width="9.109375" style="1"/>
    <col min="9727" max="9727" width="22.88671875" style="1" customWidth="1"/>
    <col min="9728" max="9982" width="9.109375" style="1"/>
    <col min="9983" max="9983" width="22.88671875" style="1" customWidth="1"/>
    <col min="9984" max="10238" width="9.109375" style="1"/>
    <col min="10239" max="10239" width="22.88671875" style="1" customWidth="1"/>
    <col min="10240" max="10494" width="9.109375" style="1"/>
    <col min="10495" max="10495" width="22.88671875" style="1" customWidth="1"/>
    <col min="10496" max="10750" width="9.109375" style="1"/>
    <col min="10751" max="10751" width="22.88671875" style="1" customWidth="1"/>
    <col min="10752" max="11006" width="9.109375" style="1"/>
    <col min="11007" max="11007" width="22.88671875" style="1" customWidth="1"/>
    <col min="11008" max="11262" width="9.109375" style="1"/>
    <col min="11263" max="11263" width="22.88671875" style="1" customWidth="1"/>
    <col min="11264" max="11518" width="9.109375" style="1"/>
    <col min="11519" max="11519" width="22.88671875" style="1" customWidth="1"/>
    <col min="11520" max="11774" width="9.109375" style="1"/>
    <col min="11775" max="11775" width="22.88671875" style="1" customWidth="1"/>
    <col min="11776" max="12030" width="9.109375" style="1"/>
    <col min="12031" max="12031" width="22.88671875" style="1" customWidth="1"/>
    <col min="12032" max="12286" width="9.109375" style="1"/>
    <col min="12287" max="12287" width="22.88671875" style="1" customWidth="1"/>
    <col min="12288" max="12542" width="9.109375" style="1"/>
    <col min="12543" max="12543" width="22.88671875" style="1" customWidth="1"/>
    <col min="12544" max="12798" width="9.109375" style="1"/>
    <col min="12799" max="12799" width="22.88671875" style="1" customWidth="1"/>
    <col min="12800" max="13054" width="9.109375" style="1"/>
    <col min="13055" max="13055" width="22.88671875" style="1" customWidth="1"/>
    <col min="13056" max="13310" width="9.109375" style="1"/>
    <col min="13311" max="13311" width="22.88671875" style="1" customWidth="1"/>
    <col min="13312" max="13566" width="9.109375" style="1"/>
    <col min="13567" max="13567" width="22.88671875" style="1" customWidth="1"/>
    <col min="13568" max="13822" width="9.109375" style="1"/>
    <col min="13823" max="13823" width="22.88671875" style="1" customWidth="1"/>
    <col min="13824" max="14078" width="9.109375" style="1"/>
    <col min="14079" max="14079" width="22.88671875" style="1" customWidth="1"/>
    <col min="14080" max="14334" width="9.109375" style="1"/>
    <col min="14335" max="14335" width="22.88671875" style="1" customWidth="1"/>
    <col min="14336" max="14590" width="9.109375" style="1"/>
    <col min="14591" max="14591" width="22.88671875" style="1" customWidth="1"/>
    <col min="14592" max="14846" width="9.109375" style="1"/>
    <col min="14847" max="14847" width="22.88671875" style="1" customWidth="1"/>
    <col min="14848" max="15102" width="9.109375" style="1"/>
    <col min="15103" max="15103" width="22.88671875" style="1" customWidth="1"/>
    <col min="15104" max="15358" width="9.109375" style="1"/>
    <col min="15359" max="15359" width="22.88671875" style="1" customWidth="1"/>
    <col min="15360" max="15614" width="9.109375" style="1"/>
    <col min="15615" max="15615" width="22.88671875" style="1" customWidth="1"/>
    <col min="15616" max="15870" width="9.109375" style="1"/>
    <col min="15871" max="15871" width="22.88671875" style="1" customWidth="1"/>
    <col min="15872" max="16126" width="9.109375" style="1"/>
    <col min="16127" max="16127" width="22.88671875" style="1" customWidth="1"/>
    <col min="16128" max="16384" width="9.109375" style="1"/>
  </cols>
  <sheetData>
    <row r="1" spans="1:19" ht="20.399999999999999" x14ac:dyDescent="0.35">
      <c r="A1" s="21" t="str">
        <f>'Student Info'!$A$1</f>
        <v>Three Rivers - 23-65565-0123737</v>
      </c>
    </row>
    <row r="2" spans="1:19" ht="17.399999999999999" x14ac:dyDescent="0.3">
      <c r="A2" s="20" t="s">
        <v>814</v>
      </c>
    </row>
    <row r="3" spans="1:19" ht="17.399999999999999" x14ac:dyDescent="0.3">
      <c r="A3" s="20" t="s">
        <v>1217</v>
      </c>
    </row>
    <row r="5" spans="1:19" ht="17.399999999999999" x14ac:dyDescent="0.3">
      <c r="A5" s="28"/>
      <c r="B5" s="40"/>
      <c r="C5" s="28"/>
      <c r="D5" s="90"/>
      <c r="E5" s="90"/>
      <c r="F5" s="90"/>
      <c r="G5" s="90"/>
      <c r="H5" s="90"/>
      <c r="I5" s="90"/>
      <c r="J5" s="90"/>
      <c r="K5" s="90"/>
      <c r="L5" s="90"/>
      <c r="M5" s="90"/>
      <c r="N5" s="90"/>
      <c r="O5" s="90"/>
      <c r="P5" s="90"/>
      <c r="Q5" s="90"/>
      <c r="R5" s="90"/>
    </row>
    <row r="6" spans="1:19"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row>
    <row r="7" spans="1:19" ht="17.399999999999999" x14ac:dyDescent="0.3">
      <c r="A7" s="45" t="s">
        <v>789</v>
      </c>
      <c r="B7" s="81"/>
      <c r="D7" s="30"/>
      <c r="F7" s="91"/>
      <c r="G7" s="91"/>
      <c r="H7" s="91"/>
      <c r="I7" s="30"/>
      <c r="J7" s="30"/>
      <c r="K7" s="91"/>
      <c r="L7" s="91"/>
      <c r="M7" s="91"/>
      <c r="N7" s="91"/>
      <c r="O7" s="91"/>
      <c r="P7" s="91"/>
      <c r="Q7" s="91"/>
      <c r="R7" s="91"/>
    </row>
    <row r="8" spans="1:19" ht="17.399999999999999" hidden="1" x14ac:dyDescent="0.3">
      <c r="A8" s="45"/>
      <c r="B8" s="81"/>
      <c r="C8" s="119" t="s">
        <v>815</v>
      </c>
      <c r="D8" s="104"/>
      <c r="F8" s="91"/>
      <c r="G8" s="91"/>
      <c r="H8" s="91"/>
      <c r="I8" s="30"/>
      <c r="J8" s="30"/>
      <c r="K8" s="91"/>
      <c r="L8" s="91"/>
      <c r="M8" s="91"/>
      <c r="N8" s="91"/>
      <c r="O8" s="91"/>
      <c r="P8" s="91"/>
      <c r="Q8" s="91"/>
      <c r="R8" s="91"/>
    </row>
    <row r="9" spans="1:19" ht="17.399999999999999" hidden="1" x14ac:dyDescent="0.3">
      <c r="A9" s="45"/>
      <c r="B9" s="81"/>
      <c r="C9" s="83"/>
      <c r="D9" s="93"/>
      <c r="E9" s="108"/>
      <c r="F9" s="108"/>
      <c r="G9" s="108"/>
      <c r="H9" s="108"/>
      <c r="I9" s="108"/>
      <c r="J9" s="108"/>
      <c r="K9" s="108"/>
      <c r="L9" s="109"/>
      <c r="M9" s="108"/>
      <c r="N9" s="108"/>
      <c r="O9" s="109"/>
      <c r="P9" s="108"/>
      <c r="Q9" s="106"/>
      <c r="R9" s="106"/>
    </row>
    <row r="10" spans="1:19" ht="17.399999999999999" hidden="1" x14ac:dyDescent="0.3">
      <c r="A10" s="45"/>
      <c r="B10" s="81"/>
      <c r="C10" s="83"/>
      <c r="D10" s="93"/>
      <c r="E10" s="110"/>
      <c r="F10" s="110"/>
      <c r="G10" s="108"/>
      <c r="H10" s="110"/>
      <c r="I10" s="110"/>
      <c r="J10" s="108"/>
      <c r="K10" s="110"/>
      <c r="L10" s="109"/>
      <c r="M10" s="111"/>
      <c r="N10" s="111"/>
      <c r="O10" s="111"/>
      <c r="P10" s="112"/>
      <c r="Q10" s="93"/>
      <c r="R10" s="106"/>
    </row>
    <row r="11" spans="1:19" s="30" customFormat="1" ht="17.399999999999999" x14ac:dyDescent="0.3">
      <c r="B11" s="66" t="s">
        <v>1256</v>
      </c>
      <c r="C11" s="47"/>
      <c r="D11" s="92"/>
      <c r="E11" s="92"/>
      <c r="F11" s="92"/>
      <c r="G11" s="92"/>
      <c r="H11" s="92"/>
      <c r="I11" s="92"/>
      <c r="J11" s="92"/>
      <c r="K11" s="92"/>
      <c r="L11" s="92"/>
      <c r="M11" s="92"/>
      <c r="N11" s="92"/>
      <c r="O11" s="92"/>
      <c r="P11" s="92"/>
      <c r="Q11" s="92"/>
      <c r="R11" s="92"/>
    </row>
    <row r="12" spans="1:19" s="30" customFormat="1" x14ac:dyDescent="0.3">
      <c r="A12" s="48"/>
      <c r="B12" s="61">
        <f>'Revenue Input'!B8</f>
        <v>8011</v>
      </c>
      <c r="C12" s="61" t="str">
        <f>'Revenue Input'!C8</f>
        <v>LCFF for all grades; state aid portion</v>
      </c>
      <c r="D12" s="60">
        <f>IF('Revenue Input'!$G8="","",IF('Cash Flow %s Yr1'!D12="","",'Cash Flow %s Yr1'!D12*'Revenue Input'!$G8))</f>
        <v>23719.4</v>
      </c>
      <c r="E12" s="60">
        <f>IF('Revenue Input'!$G8="","",IF('Cash Flow %s Yr1'!E12="","",'Cash Flow %s Yr1'!E12*'Revenue Input'!$G8))</f>
        <v>23719.4</v>
      </c>
      <c r="F12" s="60">
        <f>IF('Revenue Input'!$G8="","",IF('Cash Flow %s Yr1'!F12="","",'Cash Flow %s Yr1'!F12*'Revenue Input'!$G8))</f>
        <v>42694.92</v>
      </c>
      <c r="G12" s="60">
        <f>IF('Revenue Input'!$G8="","",IF('Cash Flow %s Yr1'!G12="","",'Cash Flow %s Yr1'!G12*'Revenue Input'!$G8))</f>
        <v>42694.92</v>
      </c>
      <c r="H12" s="60">
        <f>IF('Revenue Input'!$G8="","",IF('Cash Flow %s Yr1'!H12="","",'Cash Flow %s Yr1'!H12*'Revenue Input'!$G8))</f>
        <v>42694.92</v>
      </c>
      <c r="I12" s="60">
        <f>IF('Revenue Input'!$G8="","",IF('Cash Flow %s Yr1'!I12="","",'Cash Flow %s Yr1'!I12*'Revenue Input'!$G8))</f>
        <v>42694.92</v>
      </c>
      <c r="J12" s="60">
        <f>IF('Revenue Input'!$G8="","",IF('Cash Flow %s Yr1'!J12="","",'Cash Flow %s Yr1'!J12*'Revenue Input'!$G8))</f>
        <v>42694.92</v>
      </c>
      <c r="K12" s="60">
        <f>IF('Revenue Input'!$G8="","",IF('Cash Flow %s Yr1'!K12="","",'Cash Flow %s Yr1'!K12*'Revenue Input'!$G8))</f>
        <v>42694.92</v>
      </c>
      <c r="L12" s="60">
        <f>IF('Revenue Input'!$G8="","",IF('Cash Flow %s Yr1'!L12="","",'Cash Flow %s Yr1'!L12*'Revenue Input'!$G8))</f>
        <v>42694.92</v>
      </c>
      <c r="M12" s="60">
        <f>IF('Revenue Input'!$G8="","",IF('Cash Flow %s Yr1'!M12="","",'Cash Flow %s Yr1'!M12*'Revenue Input'!$G8))</f>
        <v>42694.92</v>
      </c>
      <c r="N12" s="60">
        <f>IF('Revenue Input'!$G8="","",IF('Cash Flow %s Yr1'!N12="","",'Cash Flow %s Yr1'!N12*'Revenue Input'!$G8))</f>
        <v>42694.92</v>
      </c>
      <c r="O12" s="60">
        <f>IF('Revenue Input'!$G8="","",IF('Cash Flow %s Yr1'!O12="","",'Cash Flow %s Yr1'!O12*'Revenue Input'!$G8))</f>
        <v>42694.92</v>
      </c>
      <c r="P12" s="60">
        <f>IF('Revenue Input'!$G8="","",IF('Cash Flow %s Yr1'!P12="","",'Cash Flow %s Yr1'!P12*'Revenue Input'!$G8))</f>
        <v>0</v>
      </c>
      <c r="Q12" s="60">
        <f>IF('Revenue Input'!$G8="","",IF('Cash Flow %s Yr1'!Q12="","",'Cash Flow %s Yr1'!Q12*'Revenue Input'!$G8))</f>
        <v>0</v>
      </c>
      <c r="R12" s="60">
        <f>IF('Revenue Input'!$G8="","",IF('Cash Flow %s Yr1'!R12="","",'Cash Flow %s Yr1'!R12*'Revenue Input'!$G8))</f>
        <v>0</v>
      </c>
      <c r="S12" s="178"/>
    </row>
    <row r="13" spans="1:19" s="30" customFormat="1" x14ac:dyDescent="0.3">
      <c r="A13" s="48"/>
      <c r="B13" s="61">
        <f>'Revenue Input'!B9</f>
        <v>8012</v>
      </c>
      <c r="C13" s="61" t="str">
        <f>'Revenue Input'!C9</f>
        <v>LCFF for all grades; EPA portion</v>
      </c>
      <c r="D13" s="60">
        <f>IF('Revenue Input'!$G9="","",IF('Cash Flow %s Yr1'!D13="","",'Cash Flow %s Yr1'!D13*'Revenue Input'!$G9))</f>
        <v>0</v>
      </c>
      <c r="E13" s="60">
        <f>IF('Revenue Input'!$G9="","",IF('Cash Flow %s Yr1'!E13="","",'Cash Flow %s Yr1'!E13*'Revenue Input'!$G9))</f>
        <v>0</v>
      </c>
      <c r="F13" s="60">
        <f>IF('Revenue Input'!$G9="","",IF('Cash Flow %s Yr1'!F13="","",'Cash Flow %s Yr1'!F13*'Revenue Input'!$G9))</f>
        <v>20185</v>
      </c>
      <c r="G13" s="60">
        <f>IF('Revenue Input'!$G9="","",IF('Cash Flow %s Yr1'!G13="","",'Cash Flow %s Yr1'!G13*'Revenue Input'!$G9))</f>
        <v>0</v>
      </c>
      <c r="H13" s="60">
        <f>IF('Revenue Input'!$G9="","",IF('Cash Flow %s Yr1'!H13="","",'Cash Flow %s Yr1'!H13*'Revenue Input'!$G9))</f>
        <v>0</v>
      </c>
      <c r="I13" s="60">
        <f>IF('Revenue Input'!$G9="","",IF('Cash Flow %s Yr1'!I13="","",'Cash Flow %s Yr1'!I13*'Revenue Input'!$G9))</f>
        <v>20185</v>
      </c>
      <c r="J13" s="60">
        <f>IF('Revenue Input'!$G9="","",IF('Cash Flow %s Yr1'!J13="","",'Cash Flow %s Yr1'!J13*'Revenue Input'!$G9))</f>
        <v>0</v>
      </c>
      <c r="K13" s="60">
        <f>IF('Revenue Input'!$G9="","",IF('Cash Flow %s Yr1'!K13="","",'Cash Flow %s Yr1'!K13*'Revenue Input'!$G9))</f>
        <v>0</v>
      </c>
      <c r="L13" s="60">
        <f>IF('Revenue Input'!$G9="","",IF('Cash Flow %s Yr1'!L13="","",'Cash Flow %s Yr1'!L13*'Revenue Input'!$G9))</f>
        <v>20185</v>
      </c>
      <c r="M13" s="60">
        <f>IF('Revenue Input'!$G9="","",IF('Cash Flow %s Yr1'!M13="","",'Cash Flow %s Yr1'!M13*'Revenue Input'!$G9))</f>
        <v>0</v>
      </c>
      <c r="N13" s="60">
        <f>IF('Revenue Input'!$G9="","",IF('Cash Flow %s Yr1'!N13="","",'Cash Flow %s Yr1'!N13*'Revenue Input'!$G9))</f>
        <v>0</v>
      </c>
      <c r="O13" s="60">
        <f>IF('Revenue Input'!$G9="","",IF('Cash Flow %s Yr1'!O13="","",'Cash Flow %s Yr1'!O13*'Revenue Input'!$G9))</f>
        <v>20185</v>
      </c>
      <c r="P13" s="60">
        <f>IF('Revenue Input'!$G9="","",IF('Cash Flow %s Yr1'!P13="","",'Cash Flow %s Yr1'!P13*'Revenue Input'!$G9))</f>
        <v>0</v>
      </c>
      <c r="Q13" s="60">
        <f>IF('Revenue Input'!$G9="","",IF('Cash Flow %s Yr1'!Q13="","",'Cash Flow %s Yr1'!Q13*'Revenue Input'!$G9))</f>
        <v>0</v>
      </c>
      <c r="R13" s="60">
        <f>IF('Revenue Input'!$G9="","",IF('Cash Flow %s Yr1'!R13="","",'Cash Flow %s Yr1'!R13*'Revenue Input'!$G9))</f>
        <v>0</v>
      </c>
    </row>
    <row r="14" spans="1:19" s="30" customFormat="1" x14ac:dyDescent="0.3">
      <c r="A14" s="48"/>
      <c r="B14" s="61">
        <f>'Revenue Input'!B10</f>
        <v>8096</v>
      </c>
      <c r="C14" s="61" t="str">
        <f>'Revenue Input'!C10</f>
        <v>In-Lieu of Property Taxes, all grades</v>
      </c>
      <c r="D14" s="60">
        <f>IF('Revenue Input'!$G10="","",IF('Cash Flow %s Yr1'!D14="","",'Cash Flow %s Yr1'!D14*'Revenue Input'!$G10))</f>
        <v>0</v>
      </c>
      <c r="E14" s="60">
        <f>IF('Revenue Input'!$G10="","",IF('Cash Flow %s Yr1'!E14="","",'Cash Flow %s Yr1'!E14*'Revenue Input'!$G10))</f>
        <v>23101.200000000001</v>
      </c>
      <c r="F14" s="60">
        <f>IF('Revenue Input'!$G10="","",IF('Cash Flow %s Yr1'!F14="","",'Cash Flow %s Yr1'!F14*'Revenue Input'!$G10))</f>
        <v>46202.400000000001</v>
      </c>
      <c r="G14" s="60">
        <f>IF('Revenue Input'!$G10="","",IF('Cash Flow %s Yr1'!G14="","",'Cash Flow %s Yr1'!G14*'Revenue Input'!$G10))</f>
        <v>30801.600000000002</v>
      </c>
      <c r="H14" s="60">
        <f>IF('Revenue Input'!$G10="","",IF('Cash Flow %s Yr1'!H14="","",'Cash Flow %s Yr1'!H14*'Revenue Input'!$G10))</f>
        <v>30801.600000000002</v>
      </c>
      <c r="I14" s="60">
        <f>IF('Revenue Input'!$G10="","",IF('Cash Flow %s Yr1'!I14="","",'Cash Flow %s Yr1'!I14*'Revenue Input'!$G10))</f>
        <v>30801.600000000002</v>
      </c>
      <c r="J14" s="60">
        <f>IF('Revenue Input'!$G10="","",IF('Cash Flow %s Yr1'!J14="","",'Cash Flow %s Yr1'!J14*'Revenue Input'!$G10))</f>
        <v>30801.600000000002</v>
      </c>
      <c r="K14" s="60">
        <f>IF('Revenue Input'!$G10="","",IF('Cash Flow %s Yr1'!K14="","",'Cash Flow %s Yr1'!K14*'Revenue Input'!$G10))</f>
        <v>30801.600000000002</v>
      </c>
      <c r="L14" s="60">
        <f>IF('Revenue Input'!$G10="","",IF('Cash Flow %s Yr1'!L14="","",'Cash Flow %s Yr1'!L14*'Revenue Input'!$G10))</f>
        <v>53902.8</v>
      </c>
      <c r="M14" s="60">
        <f>IF('Revenue Input'!$G10="","",IF('Cash Flow %s Yr1'!M14="","",'Cash Flow %s Yr1'!M14*'Revenue Input'!$G10))</f>
        <v>26951.4</v>
      </c>
      <c r="N14" s="60">
        <f>IF('Revenue Input'!$G10="","",IF('Cash Flow %s Yr1'!N14="","",'Cash Flow %s Yr1'!N14*'Revenue Input'!$G10))</f>
        <v>26951.4</v>
      </c>
      <c r="O14" s="60">
        <f>IF('Revenue Input'!$G10="","",IF('Cash Flow %s Yr1'!O14="","",'Cash Flow %s Yr1'!O14*'Revenue Input'!$G10))</f>
        <v>53902.8</v>
      </c>
      <c r="P14" s="60">
        <f>IF('Revenue Input'!$G10="","",IF('Cash Flow %s Yr1'!P14="","",'Cash Flow %s Yr1'!P14*'Revenue Input'!$G10))</f>
        <v>0</v>
      </c>
      <c r="Q14" s="60">
        <f>IF('Revenue Input'!$G10="","",IF('Cash Flow %s Yr1'!Q14="","",'Cash Flow %s Yr1'!Q14*'Revenue Input'!$G10))</f>
        <v>0</v>
      </c>
      <c r="R14" s="60">
        <f>IF('Revenue Input'!$G10="","",IF('Cash Flow %s Yr1'!R14="","",'Cash Flow %s Yr1'!R14*'Revenue Input'!$G10))</f>
        <v>0</v>
      </c>
    </row>
    <row r="15" spans="1:19" s="30" customFormat="1" x14ac:dyDescent="0.3">
      <c r="A15" s="48"/>
      <c r="B15" s="61">
        <f>'Revenue Input'!B11</f>
        <v>8019</v>
      </c>
      <c r="C15" s="61" t="str">
        <f>'Revenue Input'!C11</f>
        <v>Prior Year Income / Adjustments</v>
      </c>
      <c r="D15" s="60" t="str">
        <f>IF('Revenue Input'!$G11="","",IF('Cash Flow %s Yr1'!D15="","",'Cash Flow %s Yr1'!D15*'Revenue Input'!$G11))</f>
        <v/>
      </c>
      <c r="E15" s="60" t="str">
        <f>IF('Revenue Input'!$G11="","",IF('Cash Flow %s Yr1'!E15="","",'Cash Flow %s Yr1'!E15*'Revenue Input'!$G11))</f>
        <v/>
      </c>
      <c r="F15" s="60" t="str">
        <f>IF('Revenue Input'!$G11="","",IF('Cash Flow %s Yr1'!F15="","",'Cash Flow %s Yr1'!F15*'Revenue Input'!$G11))</f>
        <v/>
      </c>
      <c r="G15" s="60" t="str">
        <f>IF('Revenue Input'!$G11="","",IF('Cash Flow %s Yr1'!G15="","",'Cash Flow %s Yr1'!G15*'Revenue Input'!$G11))</f>
        <v/>
      </c>
      <c r="H15" s="60" t="str">
        <f>IF('Revenue Input'!$G11="","",IF('Cash Flow %s Yr1'!H15="","",'Cash Flow %s Yr1'!H15*'Revenue Input'!$G11))</f>
        <v/>
      </c>
      <c r="I15" s="60" t="str">
        <f>IF('Revenue Input'!$G11="","",IF('Cash Flow %s Yr1'!I15="","",'Cash Flow %s Yr1'!I15*'Revenue Input'!$G11))</f>
        <v/>
      </c>
      <c r="J15" s="60" t="str">
        <f>IF('Revenue Input'!$G11="","",IF('Cash Flow %s Yr1'!J15="","",'Cash Flow %s Yr1'!J15*'Revenue Input'!$G11))</f>
        <v/>
      </c>
      <c r="K15" s="60" t="str">
        <f>IF('Revenue Input'!$G11="","",IF('Cash Flow %s Yr1'!K15="","",'Cash Flow %s Yr1'!K15*'Revenue Input'!$G11))</f>
        <v/>
      </c>
      <c r="L15" s="60" t="str">
        <f>IF('Revenue Input'!$G11="","",IF('Cash Flow %s Yr1'!L15="","",'Cash Flow %s Yr1'!L15*'Revenue Input'!$G11))</f>
        <v/>
      </c>
      <c r="M15" s="60" t="str">
        <f>IF('Revenue Input'!$G11="","",IF('Cash Flow %s Yr1'!M15="","",'Cash Flow %s Yr1'!M15*'Revenue Input'!$G11))</f>
        <v/>
      </c>
      <c r="N15" s="60" t="str">
        <f>IF('Revenue Input'!$G11="","",IF('Cash Flow %s Yr1'!N15="","",'Cash Flow %s Yr1'!N15*'Revenue Input'!$G11))</f>
        <v/>
      </c>
      <c r="O15" s="60" t="str">
        <f>IF('Revenue Input'!$G11="","",IF('Cash Flow %s Yr1'!O15="","",'Cash Flow %s Yr1'!O15*'Revenue Input'!$G11))</f>
        <v/>
      </c>
      <c r="P15" s="60" t="str">
        <f>IF('Revenue Input'!$G11="","",IF('Cash Flow %s Yr1'!P15="","",'Cash Flow %s Yr1'!P15*'Revenue Input'!$G11))</f>
        <v/>
      </c>
      <c r="Q15" s="60" t="str">
        <f>IF('Revenue Input'!$G11="","",IF('Cash Flow %s Yr1'!Q15="","",'Cash Flow %s Yr1'!Q15*'Revenue Input'!$G11))</f>
        <v/>
      </c>
      <c r="R15" s="60" t="str">
        <f>IF('Revenue Input'!$G11="","",IF('Cash Flow %s Yr1'!R15="","",'Cash Flow %s Yr1'!R15*'Revenue Input'!$G11))</f>
        <v/>
      </c>
    </row>
    <row r="16" spans="1:19" s="30" customFormat="1" x14ac:dyDescent="0.3">
      <c r="A16" s="48"/>
      <c r="B16" s="61"/>
      <c r="C16" s="61"/>
      <c r="D16" s="60"/>
      <c r="E16" s="60"/>
      <c r="F16" s="60"/>
      <c r="G16" s="60"/>
      <c r="H16" s="60"/>
      <c r="I16" s="60"/>
      <c r="J16" s="60"/>
      <c r="K16" s="60"/>
      <c r="L16" s="60"/>
      <c r="M16" s="60"/>
      <c r="N16" s="60"/>
      <c r="O16" s="60"/>
      <c r="P16" s="60"/>
      <c r="Q16" s="60"/>
      <c r="R16" s="60"/>
    </row>
    <row r="17" spans="1:18" s="67" customFormat="1" x14ac:dyDescent="0.3">
      <c r="A17" s="48"/>
      <c r="B17" s="68"/>
      <c r="C17" s="68"/>
      <c r="D17" s="79"/>
      <c r="E17" s="79"/>
      <c r="F17" s="79"/>
      <c r="G17" s="79"/>
      <c r="H17" s="79"/>
      <c r="I17" s="79"/>
      <c r="J17" s="79"/>
      <c r="K17" s="79"/>
      <c r="L17" s="79"/>
      <c r="M17" s="79"/>
      <c r="N17" s="79"/>
      <c r="O17" s="79"/>
      <c r="P17" s="79"/>
      <c r="Q17" s="79"/>
      <c r="R17" s="79"/>
    </row>
    <row r="18" spans="1:18" s="67" customFormat="1" ht="17.399999999999999" x14ac:dyDescent="0.3">
      <c r="A18" s="48"/>
      <c r="B18" s="66" t="s">
        <v>1242</v>
      </c>
      <c r="C18" s="68"/>
      <c r="D18" s="79"/>
      <c r="E18" s="79"/>
      <c r="F18" s="79"/>
      <c r="G18" s="79"/>
      <c r="H18" s="79"/>
      <c r="I18" s="79"/>
      <c r="J18" s="79"/>
      <c r="K18" s="79"/>
      <c r="L18" s="79"/>
      <c r="M18" s="79"/>
      <c r="N18" s="79"/>
      <c r="O18" s="79"/>
      <c r="P18" s="79"/>
      <c r="Q18" s="79"/>
      <c r="R18" s="79"/>
    </row>
    <row r="19" spans="1:18" s="30" customFormat="1" x14ac:dyDescent="0.3">
      <c r="A19" s="48"/>
      <c r="B19" s="61">
        <f>+'Revenue Input'!B30</f>
        <v>8520</v>
      </c>
      <c r="C19" s="61" t="str">
        <f>+'Revenue Input'!C30</f>
        <v>State Child Nutrition Program</v>
      </c>
      <c r="D19" s="60" t="str">
        <f>IF('Revenue Input'!$G30="","",IF('Cash Flow %s Yr1'!D17="","",'Cash Flow %s Yr1'!D17*'Revenue Input'!$G30))</f>
        <v/>
      </c>
      <c r="E19" s="60" t="str">
        <f>IF('Revenue Input'!$G30="","",IF('Cash Flow %s Yr1'!E17="","",'Cash Flow %s Yr1'!E17*'Revenue Input'!$G30))</f>
        <v/>
      </c>
      <c r="F19" s="60" t="str">
        <f>IF('Revenue Input'!$G30="","",IF('Cash Flow %s Yr1'!F17="","",'Cash Flow %s Yr1'!F17*'Revenue Input'!$G30))</f>
        <v/>
      </c>
      <c r="G19" s="60" t="str">
        <f>IF('Revenue Input'!$G30="","",IF('Cash Flow %s Yr1'!G17="","",'Cash Flow %s Yr1'!G17*'Revenue Input'!$G30))</f>
        <v/>
      </c>
      <c r="H19" s="60" t="str">
        <f>IF('Revenue Input'!$G30="","",IF('Cash Flow %s Yr1'!H17="","",'Cash Flow %s Yr1'!H17*'Revenue Input'!$G30))</f>
        <v/>
      </c>
      <c r="I19" s="60" t="str">
        <f>IF('Revenue Input'!$G30="","",IF('Cash Flow %s Yr1'!I17="","",'Cash Flow %s Yr1'!I17*'Revenue Input'!$G30))</f>
        <v/>
      </c>
      <c r="J19" s="60" t="str">
        <f>IF('Revenue Input'!$G30="","",IF('Cash Flow %s Yr1'!J17="","",'Cash Flow %s Yr1'!J17*'Revenue Input'!$G30))</f>
        <v/>
      </c>
      <c r="K19" s="60" t="str">
        <f>IF('Revenue Input'!$G30="","",IF('Cash Flow %s Yr1'!K17="","",'Cash Flow %s Yr1'!K17*'Revenue Input'!$G30))</f>
        <v/>
      </c>
      <c r="L19" s="60" t="str">
        <f>IF('Revenue Input'!$G30="","",IF('Cash Flow %s Yr1'!L17="","",'Cash Flow %s Yr1'!L17*'Revenue Input'!$G30))</f>
        <v/>
      </c>
      <c r="M19" s="60" t="str">
        <f>IF('Revenue Input'!$G30="","",IF('Cash Flow %s Yr1'!M17="","",'Cash Flow %s Yr1'!M17*'Revenue Input'!$G30))</f>
        <v/>
      </c>
      <c r="N19" s="60" t="str">
        <f>IF('Revenue Input'!$G30="","",IF('Cash Flow %s Yr1'!N17="","",'Cash Flow %s Yr1'!N17*'Revenue Input'!$G30))</f>
        <v/>
      </c>
      <c r="O19" s="60" t="str">
        <f>IF('Revenue Input'!$G30="","",IF('Cash Flow %s Yr1'!O17="","",'Cash Flow %s Yr1'!O17*'Revenue Input'!$G30))</f>
        <v/>
      </c>
      <c r="P19" s="60" t="str">
        <f>IF('Revenue Input'!$G30="","",IF('Cash Flow %s Yr1'!P17="","",'Cash Flow %s Yr1'!P17*'Revenue Input'!$G30))</f>
        <v/>
      </c>
      <c r="Q19" s="60" t="str">
        <f>IF('Revenue Input'!$G30="","",IF('Cash Flow %s Yr1'!Q17="","",'Cash Flow %s Yr1'!Q17*'Revenue Input'!$G30))</f>
        <v/>
      </c>
      <c r="R19" s="60" t="str">
        <f>IF('Revenue Input'!$G30="","",IF('Cash Flow %s Yr1'!R17="","",'Cash Flow %s Yr1'!R17*'Revenue Input'!$G30))</f>
        <v/>
      </c>
    </row>
    <row r="20" spans="1:18" s="30" customFormat="1" x14ac:dyDescent="0.3">
      <c r="A20" s="47"/>
      <c r="B20" s="61">
        <f>+'Revenue Input'!B31</f>
        <v>8550</v>
      </c>
      <c r="C20" s="61" t="str">
        <f>+'Revenue Input'!C31</f>
        <v>Mandate Block Grant</v>
      </c>
      <c r="D20" s="60">
        <f>IF('Revenue Input'!$G31="","",IF('Cash Flow %s Yr1'!D18="","",'Cash Flow %s Yr1'!D18*'Revenue Input'!$G31))</f>
        <v>0</v>
      </c>
      <c r="E20" s="60">
        <f>IF('Revenue Input'!$G31="","",IF('Cash Flow %s Yr1'!E18="","",'Cash Flow %s Yr1'!E18*'Revenue Input'!$G31))</f>
        <v>0</v>
      </c>
      <c r="F20" s="60">
        <f>IF('Revenue Input'!$G31="","",IF('Cash Flow %s Yr1'!F18="","",'Cash Flow %s Yr1'!F18*'Revenue Input'!$G31))</f>
        <v>0</v>
      </c>
      <c r="G20" s="60">
        <f>IF('Revenue Input'!$G31="","",IF('Cash Flow %s Yr1'!G18="","",'Cash Flow %s Yr1'!G18*'Revenue Input'!$G31))</f>
        <v>0</v>
      </c>
      <c r="H20" s="60">
        <f>IF('Revenue Input'!$G31="","",IF('Cash Flow %s Yr1'!H18="","",'Cash Flow %s Yr1'!H18*'Revenue Input'!$G31))</f>
        <v>406.45663999999999</v>
      </c>
      <c r="I20" s="60">
        <f>IF('Revenue Input'!$G31="","",IF('Cash Flow %s Yr1'!I18="","",'Cash Flow %s Yr1'!I18*'Revenue Input'!$G31))</f>
        <v>406.45663999999999</v>
      </c>
      <c r="J20" s="60">
        <f>IF('Revenue Input'!$G31="","",IF('Cash Flow %s Yr1'!J18="","",'Cash Flow %s Yr1'!J18*'Revenue Input'!$G31))</f>
        <v>406.45663999999999</v>
      </c>
      <c r="K20" s="60">
        <f>IF('Revenue Input'!$G31="","",IF('Cash Flow %s Yr1'!K18="","",'Cash Flow %s Yr1'!K18*'Revenue Input'!$G31))</f>
        <v>406.45663999999999</v>
      </c>
      <c r="L20" s="60">
        <f>IF('Revenue Input'!$G31="","",IF('Cash Flow %s Yr1'!L18="","",'Cash Flow %s Yr1'!L18*'Revenue Input'!$G31))</f>
        <v>406.45663999999999</v>
      </c>
      <c r="M20" s="60">
        <f>IF('Revenue Input'!$G31="","",IF('Cash Flow %s Yr1'!M18="","",'Cash Flow %s Yr1'!M18*'Revenue Input'!$G31))</f>
        <v>406.45663999999999</v>
      </c>
      <c r="N20" s="60">
        <f>IF('Revenue Input'!$G31="","",IF('Cash Flow %s Yr1'!N18="","",'Cash Flow %s Yr1'!N18*'Revenue Input'!$G31))</f>
        <v>406.45663999999999</v>
      </c>
      <c r="O20" s="60">
        <f>IF('Revenue Input'!$G31="","",IF('Cash Flow %s Yr1'!O18="","",'Cash Flow %s Yr1'!O18*'Revenue Input'!$G31))</f>
        <v>1219.3699199999999</v>
      </c>
      <c r="P20" s="60">
        <f>IF('Revenue Input'!$G31="","",IF('Cash Flow %s Yr1'!P18="","",'Cash Flow %s Yr1'!P18*'Revenue Input'!$G31))</f>
        <v>0</v>
      </c>
      <c r="Q20" s="60">
        <f>IF('Revenue Input'!$G31="","",IF('Cash Flow %s Yr1'!Q18="","",'Cash Flow %s Yr1'!Q18*'Revenue Input'!$G31))</f>
        <v>0</v>
      </c>
      <c r="R20" s="60">
        <f>IF('Revenue Input'!$G31="","",IF('Cash Flow %s Yr1'!R18="","",'Cash Flow %s Yr1'!R18*'Revenue Input'!$G31))</f>
        <v>0</v>
      </c>
    </row>
    <row r="21" spans="1:18" s="30" customFormat="1" x14ac:dyDescent="0.3">
      <c r="A21" s="48"/>
      <c r="B21" s="61">
        <f>+'Revenue Input'!B32</f>
        <v>8560</v>
      </c>
      <c r="C21" s="61" t="str">
        <f>+'Revenue Input'!C32</f>
        <v>Lottery</v>
      </c>
      <c r="D21" s="60">
        <f>IF('Revenue Input'!$G32="","",IF('Cash Flow %s Yr1'!D19="","",'Cash Flow %s Yr1'!D19*'Revenue Input'!$G32))</f>
        <v>0</v>
      </c>
      <c r="E21" s="60">
        <f>IF('Revenue Input'!$G32="","",IF('Cash Flow %s Yr1'!E19="","",'Cash Flow %s Yr1'!E19*'Revenue Input'!$G32))</f>
        <v>0</v>
      </c>
      <c r="F21" s="60">
        <f>IF('Revenue Input'!$G32="","",IF('Cash Flow %s Yr1'!F19="","",'Cash Flow %s Yr1'!F19*'Revenue Input'!$G32))</f>
        <v>0</v>
      </c>
      <c r="G21" s="60">
        <f>IF('Revenue Input'!$G32="","",IF('Cash Flow %s Yr1'!G19="","",'Cash Flow %s Yr1'!G19*'Revenue Input'!$G32))</f>
        <v>0</v>
      </c>
      <c r="H21" s="60">
        <f>IF('Revenue Input'!$G32="","",IF('Cash Flow %s Yr1'!H19="","",'Cash Flow %s Yr1'!H19*'Revenue Input'!$G32))</f>
        <v>3533.84</v>
      </c>
      <c r="I21" s="60">
        <f>IF('Revenue Input'!$G32="","",IF('Cash Flow %s Yr1'!I19="","",'Cash Flow %s Yr1'!I19*'Revenue Input'!$G32))</f>
        <v>0</v>
      </c>
      <c r="J21" s="60">
        <f>IF('Revenue Input'!$G32="","",IF('Cash Flow %s Yr1'!J19="","",'Cash Flow %s Yr1'!J19*'Revenue Input'!$G32))</f>
        <v>0</v>
      </c>
      <c r="K21" s="60">
        <f>IF('Revenue Input'!$G32="","",IF('Cash Flow %s Yr1'!K19="","",'Cash Flow %s Yr1'!K19*'Revenue Input'!$G32))</f>
        <v>3533.84</v>
      </c>
      <c r="L21" s="60">
        <f>IF('Revenue Input'!$G32="","",IF('Cash Flow %s Yr1'!L19="","",'Cash Flow %s Yr1'!L19*'Revenue Input'!$G32))</f>
        <v>0</v>
      </c>
      <c r="M21" s="60">
        <f>IF('Revenue Input'!$G32="","",IF('Cash Flow %s Yr1'!M19="","",'Cash Flow %s Yr1'!M19*'Revenue Input'!$G32))</f>
        <v>0</v>
      </c>
      <c r="N21" s="60">
        <f>IF('Revenue Input'!$G32="","",IF('Cash Flow %s Yr1'!N19="","",'Cash Flow %s Yr1'!N19*'Revenue Input'!$G32))</f>
        <v>3533.84</v>
      </c>
      <c r="O21" s="60">
        <f>IF('Revenue Input'!$G32="","",IF('Cash Flow %s Yr1'!O19="","",'Cash Flow %s Yr1'!O19*'Revenue Input'!$G32))</f>
        <v>3533.84</v>
      </c>
      <c r="P21" s="60">
        <f>IF('Revenue Input'!$G32="","",IF('Cash Flow %s Yr1'!P19="","",'Cash Flow %s Yr1'!P19*'Revenue Input'!$G32))</f>
        <v>0</v>
      </c>
      <c r="Q21" s="60">
        <f>IF('Revenue Input'!$G32="","",IF('Cash Flow %s Yr1'!Q19="","",'Cash Flow %s Yr1'!Q19*'Revenue Input'!$G32))</f>
        <v>0</v>
      </c>
      <c r="R21" s="60">
        <f>IF('Revenue Input'!$G32="","",IF('Cash Flow %s Yr1'!R19="","",'Cash Flow %s Yr1'!R19*'Revenue Input'!$G32))</f>
        <v>0</v>
      </c>
    </row>
    <row r="22" spans="1:18" s="30" customFormat="1" x14ac:dyDescent="0.3">
      <c r="A22" s="48"/>
      <c r="B22" s="61">
        <f>+'Revenue Input'!B33</f>
        <v>8560</v>
      </c>
      <c r="C22" s="61" t="str">
        <f>+'Revenue Input'!C33</f>
        <v>Restricted Lottery</v>
      </c>
      <c r="D22" s="60">
        <f>IF('Revenue Input'!$G33="","",IF('Cash Flow %s Yr1'!D20="","",'Cash Flow %s Yr1'!D20*'Revenue Input'!$G33))</f>
        <v>0</v>
      </c>
      <c r="E22" s="60">
        <f>IF('Revenue Input'!$G33="","",IF('Cash Flow %s Yr1'!E20="","",'Cash Flow %s Yr1'!E20*'Revenue Input'!$G33))</f>
        <v>0</v>
      </c>
      <c r="F22" s="60">
        <f>IF('Revenue Input'!$G33="","",IF('Cash Flow %s Yr1'!F20="","",'Cash Flow %s Yr1'!F20*'Revenue Input'!$G33))</f>
        <v>0</v>
      </c>
      <c r="G22" s="60">
        <f>IF('Revenue Input'!$G33="","",IF('Cash Flow %s Yr1'!G20="","",'Cash Flow %s Yr1'!G20*'Revenue Input'!$G33))</f>
        <v>0</v>
      </c>
      <c r="H22" s="60">
        <f>IF('Revenue Input'!$G33="","",IF('Cash Flow %s Yr1'!H20="","",'Cash Flow %s Yr1'!H20*'Revenue Input'!$G33))</f>
        <v>2728.2111999999997</v>
      </c>
      <c r="I22" s="60">
        <f>IF('Revenue Input'!$G33="","",IF('Cash Flow %s Yr1'!I20="","",'Cash Flow %s Yr1'!I20*'Revenue Input'!$G33))</f>
        <v>0</v>
      </c>
      <c r="J22" s="60">
        <f>IF('Revenue Input'!$G33="","",IF('Cash Flow %s Yr1'!J20="","",'Cash Flow %s Yr1'!J20*'Revenue Input'!$G33))</f>
        <v>0</v>
      </c>
      <c r="K22" s="60">
        <f>IF('Revenue Input'!$G33="","",IF('Cash Flow %s Yr1'!K20="","",'Cash Flow %s Yr1'!K20*'Revenue Input'!$G33))</f>
        <v>0</v>
      </c>
      <c r="L22" s="60">
        <f>IF('Revenue Input'!$G33="","",IF('Cash Flow %s Yr1'!L20="","",'Cash Flow %s Yr1'!L20*'Revenue Input'!$G33))</f>
        <v>0</v>
      </c>
      <c r="M22" s="60">
        <f>IF('Revenue Input'!$G33="","",IF('Cash Flow %s Yr1'!M20="","",'Cash Flow %s Yr1'!M20*'Revenue Input'!$G33))</f>
        <v>0</v>
      </c>
      <c r="N22" s="60">
        <f>IF('Revenue Input'!$G33="","",IF('Cash Flow %s Yr1'!N20="","",'Cash Flow %s Yr1'!N20*'Revenue Input'!$G33))</f>
        <v>0</v>
      </c>
      <c r="O22" s="60">
        <f>IF('Revenue Input'!$G33="","",IF('Cash Flow %s Yr1'!O20="","",'Cash Flow %s Yr1'!O20*'Revenue Input'!$G33))</f>
        <v>1469.0367999999999</v>
      </c>
      <c r="P22" s="60">
        <f>IF('Revenue Input'!$G33="","",IF('Cash Flow %s Yr1'!P20="","",'Cash Flow %s Yr1'!P20*'Revenue Input'!$G33))</f>
        <v>0</v>
      </c>
      <c r="Q22" s="60">
        <f>IF('Revenue Input'!$G33="","",IF('Cash Flow %s Yr1'!Q20="","",'Cash Flow %s Yr1'!Q20*'Revenue Input'!$G33))</f>
        <v>0</v>
      </c>
      <c r="R22" s="60">
        <f>IF('Revenue Input'!$G33="","",IF('Cash Flow %s Yr1'!R20="","",'Cash Flow %s Yr1'!R20*'Revenue Input'!$G33))</f>
        <v>0</v>
      </c>
    </row>
    <row r="23" spans="1:18" s="30" customFormat="1" x14ac:dyDescent="0.3">
      <c r="A23" s="48"/>
      <c r="B23" s="61">
        <f>+'Revenue Input'!B34</f>
        <v>8590</v>
      </c>
      <c r="C23" s="61" t="str">
        <f>+'Revenue Input'!C34</f>
        <v xml:space="preserve">Other State Revenues </v>
      </c>
      <c r="D23" s="60" t="str">
        <f>IF('Revenue Input'!$G34="","",IF('Cash Flow %s Yr1'!D21="","",'Cash Flow %s Yr1'!D21*'Revenue Input'!$G34))</f>
        <v/>
      </c>
      <c r="E23" s="60" t="str">
        <f>IF('Revenue Input'!$G34="","",IF('Cash Flow %s Yr1'!E21="","",'Cash Flow %s Yr1'!E21*'Revenue Input'!$G34))</f>
        <v/>
      </c>
      <c r="F23" s="60" t="str">
        <f>IF('Revenue Input'!$G34="","",IF('Cash Flow %s Yr1'!F21="","",'Cash Flow %s Yr1'!F21*'Revenue Input'!$G34))</f>
        <v/>
      </c>
      <c r="G23" s="60" t="str">
        <f>IF('Revenue Input'!$G34="","",IF('Cash Flow %s Yr1'!G21="","",'Cash Flow %s Yr1'!G21*'Revenue Input'!$G34))</f>
        <v/>
      </c>
      <c r="H23" s="60" t="str">
        <f>IF('Revenue Input'!$G34="","",IF('Cash Flow %s Yr1'!H21="","",'Cash Flow %s Yr1'!H21*'Revenue Input'!$G34))</f>
        <v/>
      </c>
      <c r="I23" s="60" t="str">
        <f>IF('Revenue Input'!$G34="","",IF('Cash Flow %s Yr1'!I21="","",'Cash Flow %s Yr1'!I21*'Revenue Input'!$G34))</f>
        <v/>
      </c>
      <c r="J23" s="60" t="str">
        <f>IF('Revenue Input'!$G34="","",IF('Cash Flow %s Yr1'!J21="","",'Cash Flow %s Yr1'!J21*'Revenue Input'!$G34))</f>
        <v/>
      </c>
      <c r="K23" s="60" t="str">
        <f>IF('Revenue Input'!$G34="","",IF('Cash Flow %s Yr1'!K21="","",'Cash Flow %s Yr1'!K21*'Revenue Input'!$G34))</f>
        <v/>
      </c>
      <c r="L23" s="60" t="str">
        <f>IF('Revenue Input'!$G34="","",IF('Cash Flow %s Yr1'!L21="","",'Cash Flow %s Yr1'!L21*'Revenue Input'!$G34))</f>
        <v/>
      </c>
      <c r="M23" s="60" t="str">
        <f>IF('Revenue Input'!$G34="","",IF('Cash Flow %s Yr1'!M21="","",'Cash Flow %s Yr1'!M21*'Revenue Input'!$G34))</f>
        <v/>
      </c>
      <c r="N23" s="60" t="str">
        <f>IF('Revenue Input'!$G34="","",IF('Cash Flow %s Yr1'!N21="","",'Cash Flow %s Yr1'!N21*'Revenue Input'!$G34))</f>
        <v/>
      </c>
      <c r="O23" s="60" t="str">
        <f>IF('Revenue Input'!$G34="","",IF('Cash Flow %s Yr1'!O21="","",'Cash Flow %s Yr1'!O21*'Revenue Input'!$G34))</f>
        <v/>
      </c>
      <c r="P23" s="60" t="str">
        <f>IF('Revenue Input'!$G34="","",IF('Cash Flow %s Yr1'!P21="","",'Cash Flow %s Yr1'!P21*'Revenue Input'!$G34))</f>
        <v/>
      </c>
      <c r="Q23" s="60" t="str">
        <f>IF('Revenue Input'!$G34="","",IF('Cash Flow %s Yr1'!Q21="","",'Cash Flow %s Yr1'!Q21*'Revenue Input'!$G34))</f>
        <v/>
      </c>
      <c r="R23" s="60" t="str">
        <f>IF('Revenue Input'!$G34="","",IF('Cash Flow %s Yr1'!R21="","",'Cash Flow %s Yr1'!R21*'Revenue Input'!$G34))</f>
        <v/>
      </c>
    </row>
    <row r="24" spans="1:18" s="30" customFormat="1" x14ac:dyDescent="0.3">
      <c r="A24" s="48"/>
      <c r="B24" s="61">
        <f>+'Revenue Input'!B37</f>
        <v>8591</v>
      </c>
      <c r="C24" s="61" t="str">
        <f>+'Revenue Input'!C37</f>
        <v>SB740</v>
      </c>
      <c r="D24" s="60">
        <f>IF('Revenue Input'!$G37="","",IF('Cash Flow %s Yr1'!D22="","",'Cash Flow %s Yr1'!D22*'Revenue Input'!$G37))</f>
        <v>0</v>
      </c>
      <c r="E24" s="60">
        <f>IF('Revenue Input'!$G37="","",IF('Cash Flow %s Yr1'!E22="","",'Cash Flow %s Yr1'!E22*'Revenue Input'!$G37))</f>
        <v>0</v>
      </c>
      <c r="F24" s="60">
        <f>IF('Revenue Input'!$G37="","",IF('Cash Flow %s Yr1'!F22="","",'Cash Flow %s Yr1'!F22*'Revenue Input'!$G37))</f>
        <v>0</v>
      </c>
      <c r="G24" s="60">
        <f>IF('Revenue Input'!$G37="","",IF('Cash Flow %s Yr1'!G22="","",'Cash Flow %s Yr1'!G22*'Revenue Input'!$G37))</f>
        <v>0</v>
      </c>
      <c r="H24" s="60">
        <f>IF('Revenue Input'!$G37="","",IF('Cash Flow %s Yr1'!H22="","",'Cash Flow %s Yr1'!H22*'Revenue Input'!$G37))</f>
        <v>0</v>
      </c>
      <c r="I24" s="60">
        <f>IF('Revenue Input'!$G37="","",IF('Cash Flow %s Yr1'!I22="","",'Cash Flow %s Yr1'!I22*'Revenue Input'!$G37))</f>
        <v>0</v>
      </c>
      <c r="J24" s="60">
        <f>IF('Revenue Input'!$G37="","",IF('Cash Flow %s Yr1'!J22="","",'Cash Flow %s Yr1'!J22*'Revenue Input'!$G37))</f>
        <v>13860</v>
      </c>
      <c r="K24" s="60">
        <f>IF('Revenue Input'!$G37="","",IF('Cash Flow %s Yr1'!K22="","",'Cash Flow %s Yr1'!K22*'Revenue Input'!$G37))</f>
        <v>0</v>
      </c>
      <c r="L24" s="60">
        <f>IF('Revenue Input'!$G37="","",IF('Cash Flow %s Yr1'!L22="","",'Cash Flow %s Yr1'!L22*'Revenue Input'!$G37))</f>
        <v>0</v>
      </c>
      <c r="M24" s="60">
        <f>IF('Revenue Input'!$G37="","",IF('Cash Flow %s Yr1'!M22="","",'Cash Flow %s Yr1'!M22*'Revenue Input'!$G37))</f>
        <v>13860</v>
      </c>
      <c r="N24" s="60">
        <f>IF('Revenue Input'!$G37="","",IF('Cash Flow %s Yr1'!N22="","",'Cash Flow %s Yr1'!N22*'Revenue Input'!$G37))</f>
        <v>0</v>
      </c>
      <c r="O24" s="60">
        <f>IF('Revenue Input'!$G37="","",IF('Cash Flow %s Yr1'!O22="","",'Cash Flow %s Yr1'!O22*'Revenue Input'!$G37))</f>
        <v>6930</v>
      </c>
      <c r="P24" s="60">
        <f>IF('Revenue Input'!$G37="","",IF('Cash Flow %s Yr1'!P22="","",'Cash Flow %s Yr1'!P22*'Revenue Input'!$G37))</f>
        <v>0</v>
      </c>
      <c r="Q24" s="60">
        <f>IF('Revenue Input'!$G37="","",IF('Cash Flow %s Yr1'!Q22="","",'Cash Flow %s Yr1'!Q22*'Revenue Input'!$G37))</f>
        <v>0</v>
      </c>
      <c r="R24" s="60">
        <f>IF('Revenue Input'!$G37="","",IF('Cash Flow %s Yr1'!R22="","",'Cash Flow %s Yr1'!R22*'Revenue Input'!$G37))</f>
        <v>0</v>
      </c>
    </row>
    <row r="25" spans="1:18" s="30" customFormat="1" ht="17.399999999999999" x14ac:dyDescent="0.3">
      <c r="A25" s="45"/>
      <c r="B25" s="61">
        <f>+'Revenue Input'!B38</f>
        <v>8599</v>
      </c>
      <c r="C25" s="61" t="str">
        <f>+'Revenue Input'!C38</f>
        <v>Prior Year State Income</v>
      </c>
      <c r="D25" s="60" t="str">
        <f>IF('Revenue Input'!$G38="","",IF('Cash Flow %s Yr1'!D21="","",'Cash Flow %s Yr1'!D21*'Revenue Input'!$G38))</f>
        <v/>
      </c>
      <c r="E25" s="60" t="str">
        <f>IF('Revenue Input'!$G38="","",IF('Cash Flow %s Yr1'!E21="","",'Cash Flow %s Yr1'!E21*'Revenue Input'!$G38))</f>
        <v/>
      </c>
      <c r="F25" s="60" t="str">
        <f>IF('Revenue Input'!$G38="","",IF('Cash Flow %s Yr1'!F21="","",'Cash Flow %s Yr1'!F21*'Revenue Input'!$G38))</f>
        <v/>
      </c>
      <c r="G25" s="60" t="str">
        <f>IF('Revenue Input'!$G38="","",IF('Cash Flow %s Yr1'!G21="","",'Cash Flow %s Yr1'!G21*'Revenue Input'!$G38))</f>
        <v/>
      </c>
      <c r="H25" s="60" t="str">
        <f>IF('Revenue Input'!$G38="","",IF('Cash Flow %s Yr1'!H21="","",'Cash Flow %s Yr1'!H21*'Revenue Input'!$G38))</f>
        <v/>
      </c>
      <c r="I25" s="60" t="str">
        <f>IF('Revenue Input'!$G38="","",IF('Cash Flow %s Yr1'!I21="","",'Cash Flow %s Yr1'!I21*'Revenue Input'!$G38))</f>
        <v/>
      </c>
      <c r="J25" s="60" t="str">
        <f>IF('Revenue Input'!$G38="","",IF('Cash Flow %s Yr1'!J21="","",'Cash Flow %s Yr1'!J21*'Revenue Input'!$G38))</f>
        <v/>
      </c>
      <c r="K25" s="60" t="str">
        <f>IF('Revenue Input'!$G38="","",IF('Cash Flow %s Yr1'!K21="","",'Cash Flow %s Yr1'!K21*'Revenue Input'!$G38))</f>
        <v/>
      </c>
      <c r="L25" s="60" t="str">
        <f>IF('Revenue Input'!$G38="","",IF('Cash Flow %s Yr1'!L21="","",'Cash Flow %s Yr1'!L21*'Revenue Input'!$G38))</f>
        <v/>
      </c>
      <c r="M25" s="60" t="str">
        <f>IF('Revenue Input'!$G38="","",IF('Cash Flow %s Yr1'!M21="","",'Cash Flow %s Yr1'!M21*'Revenue Input'!$G38))</f>
        <v/>
      </c>
      <c r="N25" s="60" t="str">
        <f>IF('Revenue Input'!$G38="","",IF('Cash Flow %s Yr1'!N21="","",'Cash Flow %s Yr1'!N21*'Revenue Input'!$G38))</f>
        <v/>
      </c>
      <c r="O25" s="60" t="str">
        <f>IF('Revenue Input'!$G38="","",IF('Cash Flow %s Yr1'!O21="","",'Cash Flow %s Yr1'!O21*'Revenue Input'!$G38))</f>
        <v/>
      </c>
      <c r="P25" s="60" t="str">
        <f>IF('Revenue Input'!$G38="","",IF('Cash Flow %s Yr1'!P21="","",'Cash Flow %s Yr1'!P21*'Revenue Input'!$G38))</f>
        <v/>
      </c>
      <c r="Q25" s="60" t="str">
        <f>IF('Revenue Input'!$G38="","",IF('Cash Flow %s Yr1'!Q21="","",'Cash Flow %s Yr1'!Q21*'Revenue Input'!$G38))</f>
        <v/>
      </c>
      <c r="R25" s="60" t="str">
        <f>IF('Revenue Input'!$G38="","",IF('Cash Flow %s Yr1'!R21="","",'Cash Flow %s Yr1'!R21*'Revenue Input'!$G38))</f>
        <v/>
      </c>
    </row>
    <row r="26" spans="1:18" s="30" customFormat="1" ht="17.399999999999999" x14ac:dyDescent="0.3">
      <c r="A26" s="45"/>
      <c r="B26" s="61">
        <f>+'Revenue Input'!B39</f>
        <v>8792</v>
      </c>
      <c r="C26" s="61" t="str">
        <f>+'Revenue Input'!C39</f>
        <v>Special Education - AB 602</v>
      </c>
      <c r="D26" s="60" t="str">
        <f>IF('Revenue Input'!$G39="","",IF('Cash Flow %s Yr1'!D22="","",'Cash Flow %s Yr1'!D22*'Revenue Input'!$G39))</f>
        <v/>
      </c>
      <c r="E26" s="60" t="str">
        <f>IF('Revenue Input'!$G39="","",IF('Cash Flow %s Yr1'!E22="","",'Cash Flow %s Yr1'!E22*'Revenue Input'!$G39))</f>
        <v/>
      </c>
      <c r="F26" s="60" t="str">
        <f>IF('Revenue Input'!$G39="","",IF('Cash Flow %s Yr1'!F22="","",'Cash Flow %s Yr1'!F22*'Revenue Input'!$G39))</f>
        <v/>
      </c>
      <c r="G26" s="60" t="str">
        <f>IF('Revenue Input'!$G39="","",IF('Cash Flow %s Yr1'!G22="","",'Cash Flow %s Yr1'!G22*'Revenue Input'!$G39))</f>
        <v/>
      </c>
      <c r="H26" s="60" t="str">
        <f>IF('Revenue Input'!$G39="","",IF('Cash Flow %s Yr1'!H22="","",'Cash Flow %s Yr1'!H22*'Revenue Input'!$G39))</f>
        <v/>
      </c>
      <c r="I26" s="60" t="str">
        <f>IF('Revenue Input'!$G39="","",IF('Cash Flow %s Yr1'!I22="","",'Cash Flow %s Yr1'!I22*'Revenue Input'!$G39))</f>
        <v/>
      </c>
      <c r="J26" s="60" t="str">
        <f>IF('Revenue Input'!$G39="","",IF('Cash Flow %s Yr1'!J22="","",'Cash Flow %s Yr1'!J22*'Revenue Input'!$G39))</f>
        <v/>
      </c>
      <c r="K26" s="60" t="str">
        <f>IF('Revenue Input'!$G39="","",IF('Cash Flow %s Yr1'!K22="","",'Cash Flow %s Yr1'!K22*'Revenue Input'!$G39))</f>
        <v/>
      </c>
      <c r="L26" s="60" t="str">
        <f>IF('Revenue Input'!$G39="","",IF('Cash Flow %s Yr1'!L22="","",'Cash Flow %s Yr1'!L22*'Revenue Input'!$G39))</f>
        <v/>
      </c>
      <c r="M26" s="60" t="str">
        <f>IF('Revenue Input'!$G39="","",IF('Cash Flow %s Yr1'!M22="","",'Cash Flow %s Yr1'!M22*'Revenue Input'!$G39))</f>
        <v/>
      </c>
      <c r="N26" s="60" t="str">
        <f>IF('Revenue Input'!$G39="","",IF('Cash Flow %s Yr1'!N22="","",'Cash Flow %s Yr1'!N22*'Revenue Input'!$G39))</f>
        <v/>
      </c>
      <c r="O26" s="60" t="str">
        <f>IF('Revenue Input'!$G39="","",IF('Cash Flow %s Yr1'!O22="","",'Cash Flow %s Yr1'!O22*'Revenue Input'!$G39))</f>
        <v/>
      </c>
      <c r="P26" s="60" t="str">
        <f>IF('Revenue Input'!$G39="","",IF('Cash Flow %s Yr1'!P22="","",'Cash Flow %s Yr1'!P22*'Revenue Input'!$G39))</f>
        <v/>
      </c>
      <c r="Q26" s="60" t="str">
        <f>IF('Revenue Input'!$G39="","",IF('Cash Flow %s Yr1'!Q22="","",'Cash Flow %s Yr1'!Q22*'Revenue Input'!$G39))</f>
        <v/>
      </c>
      <c r="R26" s="60" t="str">
        <f>IF('Revenue Input'!$G39="","",IF('Cash Flow %s Yr1'!R22="","",'Cash Flow %s Yr1'!R22*'Revenue Input'!$G39))</f>
        <v/>
      </c>
    </row>
    <row r="27" spans="1:18" s="30" customFormat="1" ht="17.399999999999999" x14ac:dyDescent="0.3">
      <c r="A27" s="45"/>
      <c r="B27" s="61"/>
      <c r="C27" s="61"/>
      <c r="D27" s="60"/>
      <c r="E27" s="60"/>
      <c r="F27" s="60"/>
      <c r="G27" s="60"/>
      <c r="H27" s="60"/>
      <c r="I27" s="60"/>
      <c r="J27" s="60"/>
      <c r="K27" s="60"/>
      <c r="L27" s="60"/>
      <c r="M27" s="60"/>
      <c r="N27" s="60"/>
      <c r="O27" s="60"/>
      <c r="P27" s="60"/>
      <c r="Q27" s="60"/>
      <c r="R27" s="60"/>
    </row>
    <row r="28" spans="1:18" s="30" customFormat="1" ht="17.399999999999999" x14ac:dyDescent="0.3">
      <c r="A28" s="45"/>
      <c r="B28" s="69"/>
      <c r="C28" s="33" t="s">
        <v>1257</v>
      </c>
      <c r="D28" s="165">
        <f t="shared" ref="D28:R28" si="0">SUM(D12:D27)</f>
        <v>23719.4</v>
      </c>
      <c r="E28" s="165">
        <f t="shared" si="0"/>
        <v>46820.600000000006</v>
      </c>
      <c r="F28" s="165">
        <f t="shared" si="0"/>
        <v>109082.32</v>
      </c>
      <c r="G28" s="165">
        <f>SUM(G12:G27)</f>
        <v>73496.52</v>
      </c>
      <c r="H28" s="165">
        <f>SUM(H12:H27)</f>
        <v>80165.02784000001</v>
      </c>
      <c r="I28" s="165">
        <f>SUM(I12:I27)</f>
        <v>94087.976640000008</v>
      </c>
      <c r="J28" s="165">
        <f>SUM(J12:J27)</f>
        <v>87762.976640000008</v>
      </c>
      <c r="K28" s="165">
        <f t="shared" si="0"/>
        <v>77436.816640000005</v>
      </c>
      <c r="L28" s="165">
        <f t="shared" si="0"/>
        <v>117189.17664000001</v>
      </c>
      <c r="M28" s="165">
        <f t="shared" si="0"/>
        <v>83912.776640000011</v>
      </c>
      <c r="N28" s="165">
        <f t="shared" si="0"/>
        <v>73586.616640000007</v>
      </c>
      <c r="O28" s="165">
        <f>SUM(O12:O27)</f>
        <v>129934.96672</v>
      </c>
      <c r="P28" s="165">
        <f t="shared" si="0"/>
        <v>0</v>
      </c>
      <c r="Q28" s="165">
        <f t="shared" si="0"/>
        <v>0</v>
      </c>
      <c r="R28" s="165">
        <f t="shared" si="0"/>
        <v>0</v>
      </c>
    </row>
    <row r="29" spans="1:18" s="30" customFormat="1" ht="17.399999999999999" x14ac:dyDescent="0.3">
      <c r="A29" s="45"/>
      <c r="B29" s="68"/>
      <c r="C29" s="48"/>
      <c r="D29" s="120"/>
      <c r="E29" s="120"/>
      <c r="F29" s="120"/>
      <c r="G29" s="120"/>
      <c r="H29" s="120"/>
      <c r="I29" s="120"/>
      <c r="J29" s="120"/>
      <c r="K29" s="120"/>
      <c r="L29" s="120"/>
      <c r="M29" s="120"/>
      <c r="N29" s="120"/>
      <c r="O29" s="120"/>
      <c r="P29" s="120"/>
      <c r="Q29" s="120"/>
      <c r="R29" s="120"/>
    </row>
    <row r="30" spans="1:18" s="30" customFormat="1" ht="17.399999999999999" x14ac:dyDescent="0.3">
      <c r="B30" s="45" t="s">
        <v>781</v>
      </c>
      <c r="C30" s="48"/>
      <c r="D30" s="120"/>
      <c r="E30" s="120"/>
      <c r="F30" s="120"/>
      <c r="G30" s="120"/>
      <c r="H30" s="120"/>
      <c r="I30" s="120"/>
      <c r="J30" s="120"/>
      <c r="K30" s="120"/>
      <c r="L30" s="120"/>
      <c r="M30" s="120"/>
      <c r="N30" s="120"/>
      <c r="O30" s="120"/>
      <c r="P30" s="120"/>
      <c r="Q30" s="120"/>
      <c r="R30" s="120"/>
    </row>
    <row r="31" spans="1:18" s="30" customFormat="1" ht="17.399999999999999" x14ac:dyDescent="0.3">
      <c r="A31" s="45"/>
      <c r="B31" s="61">
        <f>'Revenue Input'!B15</f>
        <v>8181</v>
      </c>
      <c r="C31" s="61" t="str">
        <f>'Revenue Input'!C15</f>
        <v>Special Education - Federal IDEA</v>
      </c>
      <c r="D31" s="60" t="str">
        <f>IF('Revenue Input'!$G15="","",IF('Cash Flow %s Yr1'!D26="","",'Cash Flow %s Yr1'!D26*'Revenue Input'!$G15))</f>
        <v/>
      </c>
      <c r="E31" s="60" t="str">
        <f>IF('Revenue Input'!$G15="","",IF('Cash Flow %s Yr1'!E26="","",'Cash Flow %s Yr1'!E26*'Revenue Input'!$G15))</f>
        <v/>
      </c>
      <c r="F31" s="60" t="str">
        <f>IF('Revenue Input'!$G15="","",IF('Cash Flow %s Yr1'!F26="","",'Cash Flow %s Yr1'!F26*'Revenue Input'!$G15))</f>
        <v/>
      </c>
      <c r="G31" s="60" t="str">
        <f>IF('Revenue Input'!$G15="","",IF('Cash Flow %s Yr1'!G26="","",'Cash Flow %s Yr1'!G26*'Revenue Input'!$G15))</f>
        <v/>
      </c>
      <c r="H31" s="60" t="str">
        <f>IF('Revenue Input'!$G15="","",IF('Cash Flow %s Yr1'!H26="","",'Cash Flow %s Yr1'!H26*'Revenue Input'!$G15))</f>
        <v/>
      </c>
      <c r="I31" s="60" t="str">
        <f>IF('Revenue Input'!$G15="","",IF('Cash Flow %s Yr1'!I26="","",'Cash Flow %s Yr1'!I26*'Revenue Input'!$G15))</f>
        <v/>
      </c>
      <c r="J31" s="60" t="str">
        <f>IF('Revenue Input'!$G15="","",IF('Cash Flow %s Yr1'!J26="","",'Cash Flow %s Yr1'!J26*'Revenue Input'!$G15))</f>
        <v/>
      </c>
      <c r="K31" s="60" t="str">
        <f>IF('Revenue Input'!$G15="","",IF('Cash Flow %s Yr1'!K26="","",'Cash Flow %s Yr1'!K26*'Revenue Input'!$G15))</f>
        <v/>
      </c>
      <c r="L31" s="60" t="str">
        <f>IF('Revenue Input'!$G15="","",IF('Cash Flow %s Yr1'!L26="","",'Cash Flow %s Yr1'!L26*'Revenue Input'!$G15))</f>
        <v/>
      </c>
      <c r="M31" s="60" t="str">
        <f>IF('Revenue Input'!$G15="","",IF('Cash Flow %s Yr1'!M26="","",'Cash Flow %s Yr1'!M26*'Revenue Input'!$G15))</f>
        <v/>
      </c>
      <c r="N31" s="60" t="str">
        <f>IF('Revenue Input'!$G15="","",IF('Cash Flow %s Yr1'!N26="","",'Cash Flow %s Yr1'!N26*'Revenue Input'!$G15))</f>
        <v/>
      </c>
      <c r="O31" s="60" t="str">
        <f>IF('Revenue Input'!$G15="","",IF('Cash Flow %s Yr1'!O26="","",'Cash Flow %s Yr1'!O26*'Revenue Input'!$G15))</f>
        <v/>
      </c>
      <c r="P31" s="60" t="str">
        <f>IF('Revenue Input'!$G15="","",IF('Cash Flow %s Yr1'!P26="","",'Cash Flow %s Yr1'!P26*'Revenue Input'!$G15))</f>
        <v/>
      </c>
      <c r="Q31" s="60" t="str">
        <f>IF('Revenue Input'!$G15="","",IF('Cash Flow %s Yr1'!Q26="","",'Cash Flow %s Yr1'!Q26*'Revenue Input'!$G15))</f>
        <v/>
      </c>
      <c r="R31" s="60" t="str">
        <f>IF('Revenue Input'!$G15="","",IF('Cash Flow %s Yr1'!R26="","",'Cash Flow %s Yr1'!R26*'Revenue Input'!$G15))</f>
        <v/>
      </c>
    </row>
    <row r="32" spans="1:18" s="30" customFormat="1" ht="17.399999999999999" x14ac:dyDescent="0.3">
      <c r="A32" s="45"/>
      <c r="B32" s="61">
        <f>'Revenue Input'!B17</f>
        <v>8290</v>
      </c>
      <c r="C32" s="61" t="str">
        <f>'Revenue Input'!C17</f>
        <v>All Other Federal Revenue, GEER/CRF</v>
      </c>
      <c r="D32" s="60" t="str">
        <f>IF('Revenue Input'!$G17="","",IF('Cash Flow %s Yr1'!D27="","",'Cash Flow %s Yr1'!D27*'Revenue Input'!$G17))</f>
        <v/>
      </c>
      <c r="E32" s="60" t="str">
        <f>IF('Revenue Input'!$G17="","",IF('Cash Flow %s Yr1'!E27="","",'Cash Flow %s Yr1'!E27*'Revenue Input'!$G17))</f>
        <v/>
      </c>
      <c r="F32" s="60" t="str">
        <f>IF('Revenue Input'!$G17="","",IF('Cash Flow %s Yr1'!F27="","",'Cash Flow %s Yr1'!F27*'Revenue Input'!$G17))</f>
        <v/>
      </c>
      <c r="G32" s="60" t="str">
        <f>IF('Revenue Input'!$G17="","",IF('Cash Flow %s Yr1'!G27="","",'Cash Flow %s Yr1'!G27*'Revenue Input'!$G17))</f>
        <v/>
      </c>
      <c r="H32" s="60" t="str">
        <f>IF('Revenue Input'!$G17="","",IF('Cash Flow %s Yr1'!H27="","",'Cash Flow %s Yr1'!H27*'Revenue Input'!$G17))</f>
        <v/>
      </c>
      <c r="I32" s="60" t="str">
        <f>IF('Revenue Input'!$G17="","",IF('Cash Flow %s Yr1'!I27="","",'Cash Flow %s Yr1'!I27*'Revenue Input'!$G17))</f>
        <v/>
      </c>
      <c r="J32" s="60" t="str">
        <f>IF('Revenue Input'!$G17="","",IF('Cash Flow %s Yr1'!J27="","",'Cash Flow %s Yr1'!J27*'Revenue Input'!$G17))</f>
        <v/>
      </c>
      <c r="K32" s="60" t="str">
        <f>IF('Revenue Input'!$G17="","",IF('Cash Flow %s Yr1'!K27="","",'Cash Flow %s Yr1'!K27*'Revenue Input'!$G17))</f>
        <v/>
      </c>
      <c r="L32" s="60" t="str">
        <f>IF('Revenue Input'!$G17="","",IF('Cash Flow %s Yr1'!L27="","",'Cash Flow %s Yr1'!L27*'Revenue Input'!$G17))</f>
        <v/>
      </c>
      <c r="M32" s="60" t="str">
        <f>IF('Revenue Input'!$G17="","",IF('Cash Flow %s Yr1'!M27="","",'Cash Flow %s Yr1'!M27*'Revenue Input'!$G17))</f>
        <v/>
      </c>
      <c r="N32" s="60" t="str">
        <f>IF('Revenue Input'!$G17="","",IF('Cash Flow %s Yr1'!N27="","",'Cash Flow %s Yr1'!N27*'Revenue Input'!$G17))</f>
        <v/>
      </c>
      <c r="O32" s="60" t="str">
        <f>IF('Revenue Input'!$G17="","",IF('Cash Flow %s Yr1'!O27="","",'Cash Flow %s Yr1'!O27*'Revenue Input'!$G17))</f>
        <v/>
      </c>
      <c r="P32" s="60" t="str">
        <f>IF('Revenue Input'!$G17="","",IF('Cash Flow %s Yr1'!P27="","",'Cash Flow %s Yr1'!P27*'Revenue Input'!$G17))</f>
        <v/>
      </c>
      <c r="Q32" s="60" t="str">
        <f>IF('Revenue Input'!$G17="","",IF('Cash Flow %s Yr1'!Q27="","",'Cash Flow %s Yr1'!Q27*'Revenue Input'!$G17))</f>
        <v/>
      </c>
      <c r="R32" s="60" t="str">
        <f>IF('Revenue Input'!$G17="","",IF('Cash Flow %s Yr1'!R27="","",'Cash Flow %s Yr1'!R27*'Revenue Input'!$G17))</f>
        <v/>
      </c>
    </row>
    <row r="33" spans="1:18" s="30" customFormat="1" ht="17.399999999999999" x14ac:dyDescent="0.3">
      <c r="A33" s="45"/>
      <c r="B33" s="61">
        <f>'Revenue Input'!B21</f>
        <v>8291</v>
      </c>
      <c r="C33" s="61" t="str">
        <f>'Revenue Input'!C21</f>
        <v>Title I</v>
      </c>
      <c r="D33" s="60">
        <f>IF('Revenue Input'!$G21="","",IF('Cash Flow %s Yr1'!D28="","",'Cash Flow %s Yr1'!D28*'Revenue Input'!$G21))</f>
        <v>0</v>
      </c>
      <c r="E33" s="60">
        <f>IF('Revenue Input'!$G21="","",IF('Cash Flow %s Yr1'!E28="","",'Cash Flow %s Yr1'!E28*'Revenue Input'!$G21))</f>
        <v>0</v>
      </c>
      <c r="F33" s="60">
        <f>IF('Revenue Input'!$G21="","",IF('Cash Flow %s Yr1'!F28="","",'Cash Flow %s Yr1'!F28*'Revenue Input'!$G21))</f>
        <v>0</v>
      </c>
      <c r="G33" s="60">
        <f>IF('Revenue Input'!$G21="","",IF('Cash Flow %s Yr1'!G28="","",'Cash Flow %s Yr1'!G28*'Revenue Input'!$G21))</f>
        <v>0</v>
      </c>
      <c r="H33" s="60">
        <f>IF('Revenue Input'!$G21="","",IF('Cash Flow %s Yr1'!H28="","",'Cash Flow %s Yr1'!H28*'Revenue Input'!$G21))</f>
        <v>0</v>
      </c>
      <c r="I33" s="60">
        <f>IF('Revenue Input'!$G21="","",IF('Cash Flow %s Yr1'!I28="","",'Cash Flow %s Yr1'!I28*'Revenue Input'!$G21))</f>
        <v>0</v>
      </c>
      <c r="J33" s="60">
        <f>IF('Revenue Input'!$G21="","",IF('Cash Flow %s Yr1'!J28="","",'Cash Flow %s Yr1'!J28*'Revenue Input'!$G21))</f>
        <v>7971.75</v>
      </c>
      <c r="K33" s="60">
        <f>IF('Revenue Input'!$G21="","",IF('Cash Flow %s Yr1'!K28="","",'Cash Flow %s Yr1'!K28*'Revenue Input'!$G21))</f>
        <v>0</v>
      </c>
      <c r="L33" s="60">
        <f>IF('Revenue Input'!$G21="","",IF('Cash Flow %s Yr1'!L28="","",'Cash Flow %s Yr1'!L28*'Revenue Input'!$G21))</f>
        <v>0</v>
      </c>
      <c r="M33" s="60">
        <f>IF('Revenue Input'!$G21="","",IF('Cash Flow %s Yr1'!M28="","",'Cash Flow %s Yr1'!M28*'Revenue Input'!$G21))</f>
        <v>15943.5</v>
      </c>
      <c r="N33" s="60">
        <f>IF('Revenue Input'!$G21="","",IF('Cash Flow %s Yr1'!N28="","",'Cash Flow %s Yr1'!N28*'Revenue Input'!$G21))</f>
        <v>0</v>
      </c>
      <c r="O33" s="60">
        <f>IF('Revenue Input'!$G21="","",IF('Cash Flow %s Yr1'!O28="","",'Cash Flow %s Yr1'!O28*'Revenue Input'!$G21))</f>
        <v>7971.75</v>
      </c>
      <c r="P33" s="60">
        <f>IF('Revenue Input'!$G21="","",IF('Cash Flow %s Yr1'!P28="","",'Cash Flow %s Yr1'!P28*'Revenue Input'!$G21))</f>
        <v>0</v>
      </c>
      <c r="Q33" s="60">
        <f>IF('Revenue Input'!$G21="","",IF('Cash Flow %s Yr1'!Q28="","",'Cash Flow %s Yr1'!Q28*'Revenue Input'!$G21))</f>
        <v>0</v>
      </c>
      <c r="R33" s="60">
        <f>IF('Revenue Input'!$G21="","",IF('Cash Flow %s Yr1'!R28="","",'Cash Flow %s Yr1'!R28*'Revenue Input'!$G21))</f>
        <v>0</v>
      </c>
    </row>
    <row r="34" spans="1:18" s="30" customFormat="1" ht="17.399999999999999" x14ac:dyDescent="0.3">
      <c r="A34" s="45"/>
      <c r="B34" s="61">
        <f>'Revenue Input'!B22</f>
        <v>8292</v>
      </c>
      <c r="C34" s="61" t="str">
        <f>'Revenue Input'!C22</f>
        <v>Title II</v>
      </c>
      <c r="D34" s="60">
        <f>IF('Revenue Input'!$G22="","",IF('Cash Flow %s Yr1'!D29="","",'Cash Flow %s Yr1'!D29*'Revenue Input'!$G22))</f>
        <v>0</v>
      </c>
      <c r="E34" s="60">
        <f>IF('Revenue Input'!$G22="","",IF('Cash Flow %s Yr1'!E29="","",'Cash Flow %s Yr1'!E29*'Revenue Input'!$G22))</f>
        <v>0</v>
      </c>
      <c r="F34" s="60">
        <f>IF('Revenue Input'!$G22="","",IF('Cash Flow %s Yr1'!F29="","",'Cash Flow %s Yr1'!F29*'Revenue Input'!$G22))</f>
        <v>0</v>
      </c>
      <c r="G34" s="60">
        <f>IF('Revenue Input'!$G22="","",IF('Cash Flow %s Yr1'!G29="","",'Cash Flow %s Yr1'!G29*'Revenue Input'!$G22))</f>
        <v>0</v>
      </c>
      <c r="H34" s="60">
        <f>IF('Revenue Input'!$G22="","",IF('Cash Flow %s Yr1'!H29="","",'Cash Flow %s Yr1'!H29*'Revenue Input'!$G22))</f>
        <v>0</v>
      </c>
      <c r="I34" s="60">
        <f>IF('Revenue Input'!$G22="","",IF('Cash Flow %s Yr1'!I29="","",'Cash Flow %s Yr1'!I29*'Revenue Input'!$G22))</f>
        <v>0</v>
      </c>
      <c r="J34" s="60">
        <f>IF('Revenue Input'!$G22="","",IF('Cash Flow %s Yr1'!J29="","",'Cash Flow %s Yr1'!J29*'Revenue Input'!$G22))</f>
        <v>1140</v>
      </c>
      <c r="K34" s="60">
        <f>IF('Revenue Input'!$G22="","",IF('Cash Flow %s Yr1'!K29="","",'Cash Flow %s Yr1'!K29*'Revenue Input'!$G22))</f>
        <v>0</v>
      </c>
      <c r="L34" s="60">
        <f>IF('Revenue Input'!$G22="","",IF('Cash Flow %s Yr1'!L29="","",'Cash Flow %s Yr1'!L29*'Revenue Input'!$G22))</f>
        <v>0</v>
      </c>
      <c r="M34" s="60">
        <f>IF('Revenue Input'!$G22="","",IF('Cash Flow %s Yr1'!M29="","",'Cash Flow %s Yr1'!M29*'Revenue Input'!$G22))</f>
        <v>2280</v>
      </c>
      <c r="N34" s="60">
        <f>IF('Revenue Input'!$G22="","",IF('Cash Flow %s Yr1'!N29="","",'Cash Flow %s Yr1'!N29*'Revenue Input'!$G22))</f>
        <v>0</v>
      </c>
      <c r="O34" s="60">
        <f>IF('Revenue Input'!$G22="","",IF('Cash Flow %s Yr1'!O29="","",'Cash Flow %s Yr1'!O29*'Revenue Input'!$G22))</f>
        <v>1140</v>
      </c>
      <c r="P34" s="60">
        <f>IF('Revenue Input'!$G22="","",IF('Cash Flow %s Yr1'!P29="","",'Cash Flow %s Yr1'!P29*'Revenue Input'!$G22))</f>
        <v>0</v>
      </c>
      <c r="Q34" s="60">
        <f>IF('Revenue Input'!$G22="","",IF('Cash Flow %s Yr1'!Q29="","",'Cash Flow %s Yr1'!Q29*'Revenue Input'!$G22))</f>
        <v>0</v>
      </c>
      <c r="R34" s="60">
        <f>IF('Revenue Input'!$G22="","",IF('Cash Flow %s Yr1'!R29="","",'Cash Flow %s Yr1'!R29*'Revenue Input'!$G22))</f>
        <v>0</v>
      </c>
    </row>
    <row r="35" spans="1:18" s="30" customFormat="1" ht="17.399999999999999" x14ac:dyDescent="0.3">
      <c r="A35" s="45"/>
      <c r="B35" s="61">
        <f>'Revenue Input'!B23</f>
        <v>8293</v>
      </c>
      <c r="C35" s="61" t="str">
        <f>'Revenue Input'!C23</f>
        <v>Title III</v>
      </c>
      <c r="D35" s="60" t="str">
        <f>IF('Revenue Input'!$G23="","",IF('Cash Flow %s Yr1'!D30="","",'Cash Flow %s Yr1'!D30*'Revenue Input'!$G23))</f>
        <v/>
      </c>
      <c r="E35" s="60" t="str">
        <f>IF('Revenue Input'!$G23="","",IF('Cash Flow %s Yr1'!E30="","",'Cash Flow %s Yr1'!E30*'Revenue Input'!$G23))</f>
        <v/>
      </c>
      <c r="F35" s="60" t="str">
        <f>IF('Revenue Input'!$G23="","",IF('Cash Flow %s Yr1'!F30="","",'Cash Flow %s Yr1'!F30*'Revenue Input'!$G23))</f>
        <v/>
      </c>
      <c r="G35" s="60" t="str">
        <f>IF('Revenue Input'!$G23="","",IF('Cash Flow %s Yr1'!G30="","",'Cash Flow %s Yr1'!G30*'Revenue Input'!$G23))</f>
        <v/>
      </c>
      <c r="H35" s="60" t="str">
        <f>IF('Revenue Input'!$G23="","",IF('Cash Flow %s Yr1'!H30="","",'Cash Flow %s Yr1'!H30*'Revenue Input'!$G23))</f>
        <v/>
      </c>
      <c r="I35" s="60" t="str">
        <f>IF('Revenue Input'!$G23="","",IF('Cash Flow %s Yr1'!I30="","",'Cash Flow %s Yr1'!I30*'Revenue Input'!$G23))</f>
        <v/>
      </c>
      <c r="J35" s="60" t="str">
        <f>IF('Revenue Input'!$G23="","",IF('Cash Flow %s Yr1'!J30="","",'Cash Flow %s Yr1'!J30*'Revenue Input'!$G23))</f>
        <v/>
      </c>
      <c r="K35" s="60" t="str">
        <f>IF('Revenue Input'!$G23="","",IF('Cash Flow %s Yr1'!K30="","",'Cash Flow %s Yr1'!K30*'Revenue Input'!$G23))</f>
        <v/>
      </c>
      <c r="L35" s="60" t="str">
        <f>IF('Revenue Input'!$G23="","",IF('Cash Flow %s Yr1'!L30="","",'Cash Flow %s Yr1'!L30*'Revenue Input'!$G23))</f>
        <v/>
      </c>
      <c r="M35" s="60" t="str">
        <f>IF('Revenue Input'!$G23="","",IF('Cash Flow %s Yr1'!M30="","",'Cash Flow %s Yr1'!M30*'Revenue Input'!$G23))</f>
        <v/>
      </c>
      <c r="N35" s="60" t="str">
        <f>IF('Revenue Input'!$G23="","",IF('Cash Flow %s Yr1'!N30="","",'Cash Flow %s Yr1'!N30*'Revenue Input'!$G23))</f>
        <v/>
      </c>
      <c r="O35" s="60" t="str">
        <f>IF('Revenue Input'!$G23="","",IF('Cash Flow %s Yr1'!O30="","",'Cash Flow %s Yr1'!O30*'Revenue Input'!$G23))</f>
        <v/>
      </c>
      <c r="P35" s="60" t="str">
        <f>IF('Revenue Input'!$G23="","",IF('Cash Flow %s Yr1'!P30="","",'Cash Flow %s Yr1'!P30*'Revenue Input'!$G23))</f>
        <v/>
      </c>
      <c r="Q35" s="60" t="str">
        <f>IF('Revenue Input'!$G23="","",IF('Cash Flow %s Yr1'!Q30="","",'Cash Flow %s Yr1'!Q30*'Revenue Input'!$G23))</f>
        <v/>
      </c>
      <c r="R35" s="60" t="str">
        <f>IF('Revenue Input'!$G23="","",IF('Cash Flow %s Yr1'!R30="","",'Cash Flow %s Yr1'!R30*'Revenue Input'!$G23))</f>
        <v/>
      </c>
    </row>
    <row r="36" spans="1:18" s="30" customFormat="1" ht="17.399999999999999" x14ac:dyDescent="0.3">
      <c r="A36" s="45"/>
      <c r="B36" s="61">
        <f>'Revenue Input'!B24</f>
        <v>8294</v>
      </c>
      <c r="C36" s="61" t="str">
        <f>'Revenue Input'!C24</f>
        <v>Title IV</v>
      </c>
      <c r="D36" s="60" t="str">
        <f>IF('Revenue Input'!$G24="","",IF('Cash Flow %s Yr1'!D31="","",'Cash Flow %s Yr1'!D31*'Revenue Input'!$G24))</f>
        <v/>
      </c>
      <c r="E36" s="60" t="str">
        <f>IF('Revenue Input'!$G24="","",IF('Cash Flow %s Yr1'!E31="","",'Cash Flow %s Yr1'!E31*'Revenue Input'!$G24))</f>
        <v/>
      </c>
      <c r="F36" s="60" t="str">
        <f>IF('Revenue Input'!$G24="","",IF('Cash Flow %s Yr1'!F31="","",'Cash Flow %s Yr1'!F31*'Revenue Input'!$G24))</f>
        <v/>
      </c>
      <c r="G36" s="60" t="str">
        <f>IF('Revenue Input'!$G24="","",IF('Cash Flow %s Yr1'!G31="","",'Cash Flow %s Yr1'!G31*'Revenue Input'!$G24))</f>
        <v/>
      </c>
      <c r="H36" s="60" t="str">
        <f>IF('Revenue Input'!$G24="","",IF('Cash Flow %s Yr1'!H31="","",'Cash Flow %s Yr1'!H31*'Revenue Input'!$G24))</f>
        <v/>
      </c>
      <c r="I36" s="60" t="str">
        <f>IF('Revenue Input'!$G24="","",IF('Cash Flow %s Yr1'!I31="","",'Cash Flow %s Yr1'!I31*'Revenue Input'!$G24))</f>
        <v/>
      </c>
      <c r="J36" s="60">
        <f>IF('Revenue Input'!$G24="","",IF('Cash Flow %s Yr1'!J31="","",'Cash Flow %s Yr1'!J31*'Revenue Input'!$G24))</f>
        <v>2500</v>
      </c>
      <c r="K36" s="60" t="str">
        <f>IF('Revenue Input'!$G24="","",IF('Cash Flow %s Yr1'!K31="","",'Cash Flow %s Yr1'!K31*'Revenue Input'!$G24))</f>
        <v/>
      </c>
      <c r="L36" s="60" t="str">
        <f>IF('Revenue Input'!$G24="","",IF('Cash Flow %s Yr1'!L31="","",'Cash Flow %s Yr1'!L31*'Revenue Input'!$G24))</f>
        <v/>
      </c>
      <c r="M36" s="60">
        <f>IF('Revenue Input'!$G24="","",IF('Cash Flow %s Yr1'!M31="","",'Cash Flow %s Yr1'!M31*'Revenue Input'!$G24))</f>
        <v>5000</v>
      </c>
      <c r="N36" s="60" t="str">
        <f>IF('Revenue Input'!$G24="","",IF('Cash Flow %s Yr1'!N31="","",'Cash Flow %s Yr1'!N31*'Revenue Input'!$G24))</f>
        <v/>
      </c>
      <c r="O36" s="60">
        <f>IF('Revenue Input'!$G24="","",IF('Cash Flow %s Yr1'!O31="","",'Cash Flow %s Yr1'!O31*'Revenue Input'!$G24))</f>
        <v>2500</v>
      </c>
      <c r="P36" s="60" t="str">
        <f>IF('Revenue Input'!$G24="","",IF('Cash Flow %s Yr1'!P31="","",'Cash Flow %s Yr1'!P31*'Revenue Input'!$G24))</f>
        <v/>
      </c>
      <c r="Q36" s="60" t="str">
        <f>IF('Revenue Input'!$G24="","",IF('Cash Flow %s Yr1'!Q31="","",'Cash Flow %s Yr1'!Q31*'Revenue Input'!$G24))</f>
        <v/>
      </c>
      <c r="R36" s="60" t="str">
        <f>IF('Revenue Input'!$G24="","",IF('Cash Flow %s Yr1'!R31="","",'Cash Flow %s Yr1'!R31*'Revenue Input'!$G24))</f>
        <v/>
      </c>
    </row>
    <row r="37" spans="1:18" s="30" customFormat="1" ht="17.399999999999999" x14ac:dyDescent="0.3">
      <c r="A37" s="45"/>
      <c r="B37" s="61">
        <f>'Revenue Input'!B25</f>
        <v>8295</v>
      </c>
      <c r="C37" s="61" t="str">
        <f>'Revenue Input'!C25</f>
        <v>Title V</v>
      </c>
      <c r="D37" s="60" t="str">
        <f>IF('Revenue Input'!$G25="","",IF('Cash Flow %s Yr1'!D32="","",'Cash Flow %s Yr1'!D32*'Revenue Input'!$G25))</f>
        <v/>
      </c>
      <c r="E37" s="60" t="str">
        <f>IF('Revenue Input'!$G25="","",IF('Cash Flow %s Yr1'!E32="","",'Cash Flow %s Yr1'!E32*'Revenue Input'!$G25))</f>
        <v/>
      </c>
      <c r="F37" s="60" t="str">
        <f>IF('Revenue Input'!$G25="","",IF('Cash Flow %s Yr1'!F32="","",'Cash Flow %s Yr1'!F32*'Revenue Input'!$G25))</f>
        <v/>
      </c>
      <c r="G37" s="60" t="str">
        <f>IF('Revenue Input'!$G25="","",IF('Cash Flow %s Yr1'!G32="","",'Cash Flow %s Yr1'!G32*'Revenue Input'!$G25))</f>
        <v/>
      </c>
      <c r="H37" s="60" t="str">
        <f>IF('Revenue Input'!$G25="","",IF('Cash Flow %s Yr1'!H32="","",'Cash Flow %s Yr1'!H32*'Revenue Input'!$G25))</f>
        <v/>
      </c>
      <c r="I37" s="60" t="str">
        <f>IF('Revenue Input'!$G25="","",IF('Cash Flow %s Yr1'!I32="","",'Cash Flow %s Yr1'!I32*'Revenue Input'!$G25))</f>
        <v/>
      </c>
      <c r="J37" s="60" t="str">
        <f>IF('Revenue Input'!$G25="","",IF('Cash Flow %s Yr1'!J32="","",'Cash Flow %s Yr1'!J32*'Revenue Input'!$G25))</f>
        <v/>
      </c>
      <c r="K37" s="60" t="str">
        <f>IF('Revenue Input'!$G25="","",IF('Cash Flow %s Yr1'!K32="","",'Cash Flow %s Yr1'!K32*'Revenue Input'!$G25))</f>
        <v/>
      </c>
      <c r="L37" s="60" t="str">
        <f>IF('Revenue Input'!$G25="","",IF('Cash Flow %s Yr1'!L32="","",'Cash Flow %s Yr1'!L32*'Revenue Input'!$G25))</f>
        <v/>
      </c>
      <c r="M37" s="60" t="str">
        <f>IF('Revenue Input'!$G25="","",IF('Cash Flow %s Yr1'!M32="","",'Cash Flow %s Yr1'!M32*'Revenue Input'!$G25))</f>
        <v/>
      </c>
      <c r="N37" s="60" t="str">
        <f>IF('Revenue Input'!$G25="","",IF('Cash Flow %s Yr1'!N32="","",'Cash Flow %s Yr1'!N32*'Revenue Input'!$G25))</f>
        <v/>
      </c>
      <c r="O37" s="60" t="str">
        <f>IF('Revenue Input'!$G25="","",IF('Cash Flow %s Yr1'!O32="","",'Cash Flow %s Yr1'!O32*'Revenue Input'!$G25))</f>
        <v/>
      </c>
      <c r="P37" s="60" t="str">
        <f>IF('Revenue Input'!$G25="","",IF('Cash Flow %s Yr1'!P32="","",'Cash Flow %s Yr1'!P32*'Revenue Input'!$G25))</f>
        <v/>
      </c>
      <c r="Q37" s="60" t="str">
        <f>IF('Revenue Input'!$G25="","",IF('Cash Flow %s Yr1'!Q32="","",'Cash Flow %s Yr1'!Q32*'Revenue Input'!$G25))</f>
        <v/>
      </c>
      <c r="R37" s="60" t="str">
        <f>IF('Revenue Input'!$G25="","",IF('Cash Flow %s Yr1'!R32="","",'Cash Flow %s Yr1'!R32*'Revenue Input'!$G25))</f>
        <v/>
      </c>
    </row>
    <row r="38" spans="1:18" s="30" customFormat="1" ht="17.399999999999999" x14ac:dyDescent="0.3">
      <c r="A38" s="45"/>
      <c r="B38" s="61">
        <f>'Revenue Input'!B26</f>
        <v>8299</v>
      </c>
      <c r="C38" s="61" t="str">
        <f>'Revenue Input'!C26</f>
        <v>Prior Year Federal Revenue</v>
      </c>
      <c r="D38" s="60" t="str">
        <f>IF('Revenue Input'!$G26="","",IF('Cash Flow %s Yr1'!D33="","",'Cash Flow %s Yr1'!D33*'Revenue Input'!$G26))</f>
        <v/>
      </c>
      <c r="E38" s="60" t="str">
        <f>IF('Revenue Input'!$G26="","",IF('Cash Flow %s Yr1'!E33="","",'Cash Flow %s Yr1'!E33*'Revenue Input'!$G26))</f>
        <v/>
      </c>
      <c r="F38" s="60" t="str">
        <f>IF('Revenue Input'!$G26="","",IF('Cash Flow %s Yr1'!F33="","",'Cash Flow %s Yr1'!F33*'Revenue Input'!$G26))</f>
        <v/>
      </c>
      <c r="G38" s="60" t="str">
        <f>IF('Revenue Input'!$G26="","",IF('Cash Flow %s Yr1'!G33="","",'Cash Flow %s Yr1'!G33*'Revenue Input'!$G26))</f>
        <v/>
      </c>
      <c r="H38" s="60" t="str">
        <f>IF('Revenue Input'!$G26="","",IF('Cash Flow %s Yr1'!H33="","",'Cash Flow %s Yr1'!H33*'Revenue Input'!$G26))</f>
        <v/>
      </c>
      <c r="I38" s="60" t="str">
        <f>IF('Revenue Input'!$G26="","",IF('Cash Flow %s Yr1'!I33="","",'Cash Flow %s Yr1'!I33*'Revenue Input'!$G26))</f>
        <v/>
      </c>
      <c r="J38" s="60" t="str">
        <f>IF('Revenue Input'!$G26="","",IF('Cash Flow %s Yr1'!J33="","",'Cash Flow %s Yr1'!J33*'Revenue Input'!$G26))</f>
        <v/>
      </c>
      <c r="K38" s="60" t="str">
        <f>IF('Revenue Input'!$G26="","",IF('Cash Flow %s Yr1'!K33="","",'Cash Flow %s Yr1'!K33*'Revenue Input'!$G26))</f>
        <v/>
      </c>
      <c r="L38" s="60" t="str">
        <f>IF('Revenue Input'!$G26="","",IF('Cash Flow %s Yr1'!L33="","",'Cash Flow %s Yr1'!L33*'Revenue Input'!$G26))</f>
        <v/>
      </c>
      <c r="M38" s="60" t="str">
        <f>IF('Revenue Input'!$G26="","",IF('Cash Flow %s Yr1'!M33="","",'Cash Flow %s Yr1'!M33*'Revenue Input'!$G26))</f>
        <v/>
      </c>
      <c r="N38" s="60" t="str">
        <f>IF('Revenue Input'!$G26="","",IF('Cash Flow %s Yr1'!N33="","",'Cash Flow %s Yr1'!N33*'Revenue Input'!$G26))</f>
        <v/>
      </c>
      <c r="O38" s="60" t="str">
        <f>IF('Revenue Input'!$G26="","",IF('Cash Flow %s Yr1'!O33="","",'Cash Flow %s Yr1'!O33*'Revenue Input'!$G26))</f>
        <v/>
      </c>
      <c r="P38" s="60" t="str">
        <f>IF('Revenue Input'!$G26="","",IF('Cash Flow %s Yr1'!P33="","",'Cash Flow %s Yr1'!P33*'Revenue Input'!$G26))</f>
        <v/>
      </c>
      <c r="Q38" s="60" t="str">
        <f>IF('Revenue Input'!$G26="","",IF('Cash Flow %s Yr1'!Q33="","",'Cash Flow %s Yr1'!Q33*'Revenue Input'!$G26))</f>
        <v/>
      </c>
      <c r="R38" s="60" t="str">
        <f>IF('Revenue Input'!$G26="","",IF('Cash Flow %s Yr1'!R33="","",'Cash Flow %s Yr1'!R33*'Revenue Input'!$G26))</f>
        <v/>
      </c>
    </row>
    <row r="39" spans="1:18" s="30" customFormat="1" ht="17.399999999999999" x14ac:dyDescent="0.3">
      <c r="A39" s="45"/>
      <c r="B39" s="69"/>
      <c r="C39" s="33" t="s">
        <v>1258</v>
      </c>
      <c r="D39" s="165">
        <f t="shared" ref="D39:R39" si="1">SUM(D31:D38)</f>
        <v>0</v>
      </c>
      <c r="E39" s="165">
        <f t="shared" si="1"/>
        <v>0</v>
      </c>
      <c r="F39" s="165">
        <f t="shared" si="1"/>
        <v>0</v>
      </c>
      <c r="G39" s="165">
        <f t="shared" si="1"/>
        <v>0</v>
      </c>
      <c r="H39" s="165">
        <f t="shared" si="1"/>
        <v>0</v>
      </c>
      <c r="I39" s="165">
        <f t="shared" si="1"/>
        <v>0</v>
      </c>
      <c r="J39" s="165">
        <f t="shared" si="1"/>
        <v>11611.75</v>
      </c>
      <c r="K39" s="165">
        <f t="shared" si="1"/>
        <v>0</v>
      </c>
      <c r="L39" s="165">
        <f t="shared" si="1"/>
        <v>0</v>
      </c>
      <c r="M39" s="165">
        <f t="shared" si="1"/>
        <v>23223.5</v>
      </c>
      <c r="N39" s="165">
        <f t="shared" si="1"/>
        <v>0</v>
      </c>
      <c r="O39" s="165">
        <f t="shared" si="1"/>
        <v>11611.75</v>
      </c>
      <c r="P39" s="165">
        <f t="shared" si="1"/>
        <v>0</v>
      </c>
      <c r="Q39" s="165">
        <f t="shared" si="1"/>
        <v>0</v>
      </c>
      <c r="R39" s="165">
        <f t="shared" si="1"/>
        <v>0</v>
      </c>
    </row>
    <row r="40" spans="1:18" s="30" customFormat="1" ht="17.399999999999999" x14ac:dyDescent="0.3">
      <c r="A40" s="45"/>
      <c r="B40" s="68"/>
      <c r="C40" s="48"/>
      <c r="D40" s="120"/>
      <c r="E40" s="120"/>
      <c r="F40" s="120"/>
      <c r="G40" s="120"/>
      <c r="H40" s="120"/>
      <c r="I40" s="120"/>
      <c r="J40" s="120"/>
      <c r="K40" s="120"/>
      <c r="L40" s="120"/>
      <c r="M40" s="120"/>
      <c r="N40" s="120"/>
      <c r="O40" s="120"/>
      <c r="P40" s="120"/>
      <c r="Q40" s="120"/>
      <c r="R40" s="120"/>
    </row>
    <row r="41" spans="1:18" s="30" customFormat="1" ht="17.399999999999999" x14ac:dyDescent="0.3">
      <c r="B41" s="45" t="s">
        <v>790</v>
      </c>
      <c r="C41" s="48"/>
      <c r="D41" s="120"/>
      <c r="E41" s="120"/>
      <c r="F41" s="120"/>
      <c r="G41" s="120"/>
      <c r="H41" s="120"/>
      <c r="I41" s="120"/>
      <c r="J41" s="120"/>
      <c r="K41" s="120"/>
      <c r="L41" s="120"/>
      <c r="M41" s="120"/>
      <c r="N41" s="120"/>
      <c r="O41" s="120"/>
      <c r="P41" s="120"/>
      <c r="Q41" s="120"/>
      <c r="R41" s="120"/>
    </row>
    <row r="42" spans="1:18" s="30" customFormat="1" ht="17.399999999999999" x14ac:dyDescent="0.3">
      <c r="A42" s="45"/>
      <c r="B42" s="61">
        <f>'Revenue Input'!B44</f>
        <v>8660</v>
      </c>
      <c r="C42" s="61" t="str">
        <f>'Revenue Input'!C44</f>
        <v>Interest</v>
      </c>
      <c r="D42" s="60">
        <f>IF('Revenue Input'!$G44="","",IF('Cash Flow %s Yr1'!D37="","",'Cash Flow %s Yr1'!D37*'Revenue Input'!$G44))</f>
        <v>890.00900000000001</v>
      </c>
      <c r="E42" s="60">
        <f>IF('Revenue Input'!$G44="","",IF('Cash Flow %s Yr1'!E37="","",'Cash Flow %s Yr1'!E37*'Revenue Input'!$G44))</f>
        <v>890.00900000000001</v>
      </c>
      <c r="F42" s="60">
        <f>IF('Revenue Input'!$G44="","",IF('Cash Flow %s Yr1'!F37="","",'Cash Flow %s Yr1'!F37*'Revenue Input'!$G44))</f>
        <v>890.00900000000001</v>
      </c>
      <c r="G42" s="60">
        <f>IF('Revenue Input'!$G44="","",IF('Cash Flow %s Yr1'!G37="","",'Cash Flow %s Yr1'!G37*'Revenue Input'!$G44))</f>
        <v>890.00900000000001</v>
      </c>
      <c r="H42" s="60">
        <f>IF('Revenue Input'!$G44="","",IF('Cash Flow %s Yr1'!H37="","",'Cash Flow %s Yr1'!H37*'Revenue Input'!$G44))</f>
        <v>890.00900000000001</v>
      </c>
      <c r="I42" s="60">
        <f>IF('Revenue Input'!$G44="","",IF('Cash Flow %s Yr1'!I37="","",'Cash Flow %s Yr1'!I37*'Revenue Input'!$G44))</f>
        <v>890.00900000000001</v>
      </c>
      <c r="J42" s="60">
        <f>IF('Revenue Input'!$G44="","",IF('Cash Flow %s Yr1'!J37="","",'Cash Flow %s Yr1'!J37*'Revenue Input'!$G44))</f>
        <v>890.00900000000001</v>
      </c>
      <c r="K42" s="60">
        <f>IF('Revenue Input'!$G44="","",IF('Cash Flow %s Yr1'!K37="","",'Cash Flow %s Yr1'!K37*'Revenue Input'!$G44))</f>
        <v>890.00900000000001</v>
      </c>
      <c r="L42" s="60">
        <f>IF('Revenue Input'!$G44="","",IF('Cash Flow %s Yr1'!L37="","",'Cash Flow %s Yr1'!L37*'Revenue Input'!$G44))</f>
        <v>900.73200000000008</v>
      </c>
      <c r="M42" s="60">
        <f>IF('Revenue Input'!$G44="","",IF('Cash Flow %s Yr1'!M37="","",'Cash Flow %s Yr1'!M37*'Revenue Input'!$G44))</f>
        <v>900.73200000000008</v>
      </c>
      <c r="N42" s="60">
        <f>IF('Revenue Input'!$G44="","",IF('Cash Flow %s Yr1'!N37="","",'Cash Flow %s Yr1'!N37*'Revenue Input'!$G44))</f>
        <v>900.73200000000008</v>
      </c>
      <c r="O42" s="60">
        <f>IF('Revenue Input'!$G44="","",IF('Cash Flow %s Yr1'!O37="","",'Cash Flow %s Yr1'!O37*'Revenue Input'!$G44))</f>
        <v>900.73200000000008</v>
      </c>
      <c r="P42" s="60" t="str">
        <f>IF('Revenue Input'!$G44="","",IF('Cash Flow %s Yr1'!P37="","",'Cash Flow %s Yr1'!P37*'Revenue Input'!$G44))</f>
        <v/>
      </c>
      <c r="Q42" s="60" t="str">
        <f>IF('Revenue Input'!$G44="","",IF('Cash Flow %s Yr1'!Q37="","",'Cash Flow %s Yr1'!Q37*'Revenue Input'!$G44))</f>
        <v/>
      </c>
      <c r="R42" s="60" t="str">
        <f>IF('Revenue Input'!$G44="","",IF('Cash Flow %s Yr1'!R37="","",'Cash Flow %s Yr1'!R37*'Revenue Input'!$G44))</f>
        <v/>
      </c>
    </row>
    <row r="43" spans="1:18" s="30" customFormat="1" ht="17.399999999999999" x14ac:dyDescent="0.3">
      <c r="A43" s="45"/>
      <c r="B43" s="61">
        <f>'Revenue Input'!B45</f>
        <v>8682</v>
      </c>
      <c r="C43" s="61" t="str">
        <f>'Revenue Input'!C45</f>
        <v>Foundation Grants / Donations</v>
      </c>
      <c r="D43" s="60">
        <f>IF('Revenue Input'!$G45="","",IF('Cash Flow %s Yr1'!D38="","",'Cash Flow %s Yr1'!D38*'Revenue Input'!$G45))</f>
        <v>0</v>
      </c>
      <c r="E43" s="60">
        <f>IF('Revenue Input'!$G45="","",IF('Cash Flow %s Yr1'!E38="","",'Cash Flow %s Yr1'!E38*'Revenue Input'!$G45))</f>
        <v>0</v>
      </c>
      <c r="F43" s="60">
        <f>IF('Revenue Input'!$G45="","",IF('Cash Flow %s Yr1'!F38="","",'Cash Flow %s Yr1'!F38*'Revenue Input'!$G45))</f>
        <v>303.60000000000002</v>
      </c>
      <c r="G43" s="60">
        <f>IF('Revenue Input'!$G45="","",IF('Cash Flow %s Yr1'!G38="","",'Cash Flow %s Yr1'!G38*'Revenue Input'!$G45))</f>
        <v>303.60000000000002</v>
      </c>
      <c r="H43" s="60">
        <f>IF('Revenue Input'!$G45="","",IF('Cash Flow %s Yr1'!H38="","",'Cash Flow %s Yr1'!H38*'Revenue Input'!$G45))</f>
        <v>303.60000000000002</v>
      </c>
      <c r="I43" s="60">
        <f>IF('Revenue Input'!$G45="","",IF('Cash Flow %s Yr1'!I38="","",'Cash Flow %s Yr1'!I38*'Revenue Input'!$G45))</f>
        <v>303.60000000000002</v>
      </c>
      <c r="J43" s="60">
        <f>IF('Revenue Input'!$G45="","",IF('Cash Flow %s Yr1'!J38="","",'Cash Flow %s Yr1'!J38*'Revenue Input'!$G45))</f>
        <v>303.60000000000002</v>
      </c>
      <c r="K43" s="60">
        <f>IF('Revenue Input'!$G45="","",IF('Cash Flow %s Yr1'!K38="","",'Cash Flow %s Yr1'!K38*'Revenue Input'!$G45))</f>
        <v>303.60000000000002</v>
      </c>
      <c r="L43" s="60">
        <f>IF('Revenue Input'!$G45="","",IF('Cash Flow %s Yr1'!L38="","",'Cash Flow %s Yr1'!L38*'Revenue Input'!$G45))</f>
        <v>303.60000000000002</v>
      </c>
      <c r="M43" s="60">
        <f>IF('Revenue Input'!$G45="","",IF('Cash Flow %s Yr1'!M38="","",'Cash Flow %s Yr1'!M38*'Revenue Input'!$G45))</f>
        <v>303.60000000000002</v>
      </c>
      <c r="N43" s="60">
        <f>IF('Revenue Input'!$G45="","",IF('Cash Flow %s Yr1'!N38="","",'Cash Flow %s Yr1'!N38*'Revenue Input'!$G45))</f>
        <v>303.60000000000002</v>
      </c>
      <c r="O43" s="60">
        <f>IF('Revenue Input'!$G45="","",IF('Cash Flow %s Yr1'!O38="","",'Cash Flow %s Yr1'!O38*'Revenue Input'!$G45))</f>
        <v>303.60000000000002</v>
      </c>
      <c r="P43" s="60" t="str">
        <f>IF('Revenue Input'!$G45="","",IF('Cash Flow %s Yr1'!P38="","",'Cash Flow %s Yr1'!P38*'Revenue Input'!$G45))</f>
        <v/>
      </c>
      <c r="Q43" s="60" t="str">
        <f>IF('Revenue Input'!$G45="","",IF('Cash Flow %s Yr1'!Q38="","",'Cash Flow %s Yr1'!Q38*'Revenue Input'!$G45))</f>
        <v/>
      </c>
      <c r="R43" s="60" t="str">
        <f>IF('Revenue Input'!$G45="","",IF('Cash Flow %s Yr1'!R38="","",'Cash Flow %s Yr1'!R38*'Revenue Input'!$G45))</f>
        <v/>
      </c>
    </row>
    <row r="44" spans="1:18" s="30" customFormat="1" ht="17.399999999999999" x14ac:dyDescent="0.3">
      <c r="A44" s="45"/>
      <c r="B44" s="61">
        <f>'Revenue Input'!B46</f>
        <v>8684</v>
      </c>
      <c r="C44" s="61" t="str">
        <f>'Revenue Input'!C46</f>
        <v>Student  Body (ASB) Fundraising Revenue</v>
      </c>
      <c r="D44" s="60" t="str">
        <f>IF('Revenue Input'!$G46="","",IF('Cash Flow %s Yr1'!D39="","",'Cash Flow %s Yr1'!D39*'Revenue Input'!$G46))</f>
        <v/>
      </c>
      <c r="E44" s="60" t="str">
        <f>IF('Revenue Input'!$G46="","",IF('Cash Flow %s Yr1'!E39="","",'Cash Flow %s Yr1'!E39*'Revenue Input'!$G46))</f>
        <v/>
      </c>
      <c r="F44" s="60" t="str">
        <f>IF('Revenue Input'!$G46="","",IF('Cash Flow %s Yr1'!F39="","",'Cash Flow %s Yr1'!F39*'Revenue Input'!$G46))</f>
        <v/>
      </c>
      <c r="G44" s="60" t="str">
        <f>IF('Revenue Input'!$G46="","",IF('Cash Flow %s Yr1'!G39="","",'Cash Flow %s Yr1'!G39*'Revenue Input'!$G46))</f>
        <v/>
      </c>
      <c r="H44" s="60" t="str">
        <f>IF('Revenue Input'!$G46="","",IF('Cash Flow %s Yr1'!H39="","",'Cash Flow %s Yr1'!H39*'Revenue Input'!$G46))</f>
        <v/>
      </c>
      <c r="I44" s="60" t="str">
        <f>IF('Revenue Input'!$G46="","",IF('Cash Flow %s Yr1'!I39="","",'Cash Flow %s Yr1'!I39*'Revenue Input'!$G46))</f>
        <v/>
      </c>
      <c r="J44" s="60" t="str">
        <f>IF('Revenue Input'!$G46="","",IF('Cash Flow %s Yr1'!J39="","",'Cash Flow %s Yr1'!J39*'Revenue Input'!$G46))</f>
        <v/>
      </c>
      <c r="K44" s="60" t="str">
        <f>IF('Revenue Input'!$G46="","",IF('Cash Flow %s Yr1'!K39="","",'Cash Flow %s Yr1'!K39*'Revenue Input'!$G46))</f>
        <v/>
      </c>
      <c r="L44" s="60" t="str">
        <f>IF('Revenue Input'!$G46="","",IF('Cash Flow %s Yr1'!L39="","",'Cash Flow %s Yr1'!L39*'Revenue Input'!$G46))</f>
        <v/>
      </c>
      <c r="M44" s="60" t="str">
        <f>IF('Revenue Input'!$G46="","",IF('Cash Flow %s Yr1'!M39="","",'Cash Flow %s Yr1'!M39*'Revenue Input'!$G46))</f>
        <v/>
      </c>
      <c r="N44" s="60" t="str">
        <f>IF('Revenue Input'!$G46="","",IF('Cash Flow %s Yr1'!N39="","",'Cash Flow %s Yr1'!N39*'Revenue Input'!$G46))</f>
        <v/>
      </c>
      <c r="O44" s="60" t="str">
        <f>IF('Revenue Input'!$G46="","",IF('Cash Flow %s Yr1'!O39="","",'Cash Flow %s Yr1'!O39*'Revenue Input'!$G46))</f>
        <v/>
      </c>
      <c r="P44" s="60" t="str">
        <f>IF('Revenue Input'!$G46="","",IF('Cash Flow %s Yr1'!P39="","",'Cash Flow %s Yr1'!P39*'Revenue Input'!$G46))</f>
        <v/>
      </c>
      <c r="Q44" s="60" t="str">
        <f>IF('Revenue Input'!$G46="","",IF('Cash Flow %s Yr1'!Q39="","",'Cash Flow %s Yr1'!Q39*'Revenue Input'!$G46))</f>
        <v/>
      </c>
      <c r="R44" s="60" t="str">
        <f>IF('Revenue Input'!$G46="","",IF('Cash Flow %s Yr1'!R39="","",'Cash Flow %s Yr1'!R39*'Revenue Input'!$G46))</f>
        <v/>
      </c>
    </row>
    <row r="45" spans="1:18" s="30" customFormat="1" x14ac:dyDescent="0.3">
      <c r="A45" s="47"/>
      <c r="B45" s="61">
        <f>'Revenue Input'!B47</f>
        <v>8685</v>
      </c>
      <c r="C45" s="61" t="str">
        <f>'Revenue Input'!C47</f>
        <v>School Site Fundraising</v>
      </c>
      <c r="D45" s="60">
        <f>IF('Revenue Input'!$G47="","",IF('Cash Flow %s Yr1'!D40="","",'Cash Flow %s Yr1'!D40*'Revenue Input'!$G47))</f>
        <v>0</v>
      </c>
      <c r="E45" s="60">
        <f>IF('Revenue Input'!$G47="","",IF('Cash Flow %s Yr1'!E40="","",'Cash Flow %s Yr1'!E40*'Revenue Input'!$G47))</f>
        <v>0</v>
      </c>
      <c r="F45" s="60">
        <f>IF('Revenue Input'!$G47="","",IF('Cash Flow %s Yr1'!F40="","",'Cash Flow %s Yr1'!F40*'Revenue Input'!$G47))</f>
        <v>1793.9</v>
      </c>
      <c r="G45" s="60">
        <f>IF('Revenue Input'!$G47="","",IF('Cash Flow %s Yr1'!G40="","",'Cash Flow %s Yr1'!G40*'Revenue Input'!$G47))</f>
        <v>1793.9</v>
      </c>
      <c r="H45" s="60">
        <f>IF('Revenue Input'!$G47="","",IF('Cash Flow %s Yr1'!H40="","",'Cash Flow %s Yr1'!H40*'Revenue Input'!$G47))</f>
        <v>1793.9</v>
      </c>
      <c r="I45" s="60">
        <f>IF('Revenue Input'!$G47="","",IF('Cash Flow %s Yr1'!I40="","",'Cash Flow %s Yr1'!I40*'Revenue Input'!$G47))</f>
        <v>1793.9</v>
      </c>
      <c r="J45" s="60">
        <f>IF('Revenue Input'!$G47="","",IF('Cash Flow %s Yr1'!J40="","",'Cash Flow %s Yr1'!J40*'Revenue Input'!$G47))</f>
        <v>1793.9</v>
      </c>
      <c r="K45" s="60">
        <f>IF('Revenue Input'!$G47="","",IF('Cash Flow %s Yr1'!K40="","",'Cash Flow %s Yr1'!K40*'Revenue Input'!$G47))</f>
        <v>1793.9</v>
      </c>
      <c r="L45" s="60">
        <f>IF('Revenue Input'!$G47="","",IF('Cash Flow %s Yr1'!L40="","",'Cash Flow %s Yr1'!L40*'Revenue Input'!$G47))</f>
        <v>1793.9</v>
      </c>
      <c r="M45" s="60">
        <f>IF('Revenue Input'!$G47="","",IF('Cash Flow %s Yr1'!M40="","",'Cash Flow %s Yr1'!M40*'Revenue Input'!$G47))</f>
        <v>1793.9</v>
      </c>
      <c r="N45" s="60">
        <f>IF('Revenue Input'!$G47="","",IF('Cash Flow %s Yr1'!N40="","",'Cash Flow %s Yr1'!N40*'Revenue Input'!$G47))</f>
        <v>1793.9</v>
      </c>
      <c r="O45" s="60">
        <f>IF('Revenue Input'!$G47="","",IF('Cash Flow %s Yr1'!O40="","",'Cash Flow %s Yr1'!O40*'Revenue Input'!$G47))</f>
        <v>1793.9</v>
      </c>
      <c r="P45" s="60" t="str">
        <f>IF('Revenue Input'!$G47="","",IF('Cash Flow %s Yr1'!P40="","",'Cash Flow %s Yr1'!P40*'Revenue Input'!$G47))</f>
        <v/>
      </c>
      <c r="Q45" s="60" t="str">
        <f>IF('Revenue Input'!$G47="","",IF('Cash Flow %s Yr1'!Q40="","",'Cash Flow %s Yr1'!Q40*'Revenue Input'!$G47))</f>
        <v/>
      </c>
      <c r="R45" s="60" t="str">
        <f>IF('Revenue Input'!$G47="","",IF('Cash Flow %s Yr1'!R40="","",'Cash Flow %s Yr1'!R40*'Revenue Input'!$G47))</f>
        <v/>
      </c>
    </row>
    <row r="46" spans="1:18" s="30" customFormat="1" x14ac:dyDescent="0.3">
      <c r="A46" s="48"/>
      <c r="B46" s="61">
        <f>'Revenue Input'!B48</f>
        <v>8686</v>
      </c>
      <c r="C46" s="61" t="str">
        <f>'Revenue Input'!C48</f>
        <v>Donations</v>
      </c>
      <c r="D46" s="60" t="str">
        <f>IF('Revenue Input'!$G48="","",IF('Cash Flow %s Yr1'!D41="","",'Cash Flow %s Yr1'!D41*'Revenue Input'!$G48))</f>
        <v/>
      </c>
      <c r="E46" s="60" t="str">
        <f>IF('Revenue Input'!$G48="","",IF('Cash Flow %s Yr1'!E41="","",'Cash Flow %s Yr1'!E41*'Revenue Input'!$G48))</f>
        <v/>
      </c>
      <c r="F46" s="60" t="str">
        <f>IF('Revenue Input'!$G48="","",IF('Cash Flow %s Yr1'!F41="","",'Cash Flow %s Yr1'!F41*'Revenue Input'!$G48))</f>
        <v/>
      </c>
      <c r="G46" s="60" t="str">
        <f>IF('Revenue Input'!$G48="","",IF('Cash Flow %s Yr1'!G41="","",'Cash Flow %s Yr1'!G41*'Revenue Input'!$G48))</f>
        <v/>
      </c>
      <c r="H46" s="60" t="str">
        <f>IF('Revenue Input'!$G48="","",IF('Cash Flow %s Yr1'!H41="","",'Cash Flow %s Yr1'!H41*'Revenue Input'!$G48))</f>
        <v/>
      </c>
      <c r="I46" s="60" t="str">
        <f>IF('Revenue Input'!$G48="","",IF('Cash Flow %s Yr1'!I41="","",'Cash Flow %s Yr1'!I41*'Revenue Input'!$G48))</f>
        <v/>
      </c>
      <c r="J46" s="60" t="str">
        <f>IF('Revenue Input'!$G48="","",IF('Cash Flow %s Yr1'!J41="","",'Cash Flow %s Yr1'!J41*'Revenue Input'!$G48))</f>
        <v/>
      </c>
      <c r="K46" s="60" t="str">
        <f>IF('Revenue Input'!$G48="","",IF('Cash Flow %s Yr1'!K41="","",'Cash Flow %s Yr1'!K41*'Revenue Input'!$G48))</f>
        <v/>
      </c>
      <c r="L46" s="60" t="str">
        <f>IF('Revenue Input'!$G48="","",IF('Cash Flow %s Yr1'!L41="","",'Cash Flow %s Yr1'!L41*'Revenue Input'!$G48))</f>
        <v/>
      </c>
      <c r="M46" s="60" t="str">
        <f>IF('Revenue Input'!$G48="","",IF('Cash Flow %s Yr1'!M41="","",'Cash Flow %s Yr1'!M41*'Revenue Input'!$G48))</f>
        <v/>
      </c>
      <c r="N46" s="60" t="str">
        <f>IF('Revenue Input'!$G48="","",IF('Cash Flow %s Yr1'!N41="","",'Cash Flow %s Yr1'!N41*'Revenue Input'!$G48))</f>
        <v/>
      </c>
      <c r="O46" s="60" t="str">
        <f>IF('Revenue Input'!$G48="","",IF('Cash Flow %s Yr1'!O41="","",'Cash Flow %s Yr1'!O41*'Revenue Input'!$G48))</f>
        <v/>
      </c>
      <c r="P46" s="60" t="str">
        <f>IF('Revenue Input'!$G48="","",IF('Cash Flow %s Yr1'!P41="","",'Cash Flow %s Yr1'!P41*'Revenue Input'!$G48))</f>
        <v/>
      </c>
      <c r="Q46" s="60" t="str">
        <f>IF('Revenue Input'!$G48="","",IF('Cash Flow %s Yr1'!Q41="","",'Cash Flow %s Yr1'!Q41*'Revenue Input'!$G48))</f>
        <v/>
      </c>
      <c r="R46" s="60" t="str">
        <f>IF('Revenue Input'!$G48="","",IF('Cash Flow %s Yr1'!R41="","",'Cash Flow %s Yr1'!R41*'Revenue Input'!$G48))</f>
        <v/>
      </c>
    </row>
    <row r="47" spans="1:18" s="30" customFormat="1" ht="17.399999999999999" x14ac:dyDescent="0.3">
      <c r="A47" s="45"/>
      <c r="B47" s="61">
        <f>'Revenue Input'!B49</f>
        <v>8687</v>
      </c>
      <c r="C47" s="61" t="str">
        <f>'Revenue Input'!C49</f>
        <v>Fund Development</v>
      </c>
      <c r="D47" s="60" t="str">
        <f>IF('Revenue Input'!$G49="","",IF('Cash Flow %s Yr1'!D42="","",'Cash Flow %s Yr1'!D42*'Revenue Input'!$G49))</f>
        <v/>
      </c>
      <c r="E47" s="60" t="str">
        <f>IF('Revenue Input'!$G49="","",IF('Cash Flow %s Yr1'!E42="","",'Cash Flow %s Yr1'!E42*'Revenue Input'!$G49))</f>
        <v/>
      </c>
      <c r="F47" s="60" t="str">
        <f>IF('Revenue Input'!$G49="","",IF('Cash Flow %s Yr1'!F42="","",'Cash Flow %s Yr1'!F42*'Revenue Input'!$G49))</f>
        <v/>
      </c>
      <c r="G47" s="60" t="str">
        <f>IF('Revenue Input'!$G49="","",IF('Cash Flow %s Yr1'!G42="","",'Cash Flow %s Yr1'!G42*'Revenue Input'!$G49))</f>
        <v/>
      </c>
      <c r="H47" s="60" t="str">
        <f>IF('Revenue Input'!$G49="","",IF('Cash Flow %s Yr1'!H42="","",'Cash Flow %s Yr1'!H42*'Revenue Input'!$G49))</f>
        <v/>
      </c>
      <c r="I47" s="60" t="str">
        <f>IF('Revenue Input'!$G49="","",IF('Cash Flow %s Yr1'!I42="","",'Cash Flow %s Yr1'!I42*'Revenue Input'!$G49))</f>
        <v/>
      </c>
      <c r="J47" s="60" t="str">
        <f>IF('Revenue Input'!$G49="","",IF('Cash Flow %s Yr1'!J42="","",'Cash Flow %s Yr1'!J42*'Revenue Input'!$G49))</f>
        <v/>
      </c>
      <c r="K47" s="60" t="str">
        <f>IF('Revenue Input'!$G49="","",IF('Cash Flow %s Yr1'!K42="","",'Cash Flow %s Yr1'!K42*'Revenue Input'!$G49))</f>
        <v/>
      </c>
      <c r="L47" s="60" t="str">
        <f>IF('Revenue Input'!$G49="","",IF('Cash Flow %s Yr1'!L42="","",'Cash Flow %s Yr1'!L42*'Revenue Input'!$G49))</f>
        <v/>
      </c>
      <c r="M47" s="60" t="str">
        <f>IF('Revenue Input'!$G49="","",IF('Cash Flow %s Yr1'!M42="","",'Cash Flow %s Yr1'!M42*'Revenue Input'!$G49))</f>
        <v/>
      </c>
      <c r="N47" s="60" t="str">
        <f>IF('Revenue Input'!$G49="","",IF('Cash Flow %s Yr1'!N42="","",'Cash Flow %s Yr1'!N42*'Revenue Input'!$G49))</f>
        <v/>
      </c>
      <c r="O47" s="60" t="str">
        <f>IF('Revenue Input'!$G49="","",IF('Cash Flow %s Yr1'!O42="","",'Cash Flow %s Yr1'!O42*'Revenue Input'!$G49))</f>
        <v/>
      </c>
      <c r="P47" s="60" t="str">
        <f>IF('Revenue Input'!$G49="","",IF('Cash Flow %s Yr1'!P42="","",'Cash Flow %s Yr1'!P42*'Revenue Input'!$G49))</f>
        <v/>
      </c>
      <c r="Q47" s="60" t="str">
        <f>IF('Revenue Input'!$G49="","",IF('Cash Flow %s Yr1'!Q42="","",'Cash Flow %s Yr1'!Q42*'Revenue Input'!$G49))</f>
        <v/>
      </c>
      <c r="R47" s="60" t="str">
        <f>IF('Revenue Input'!$G49="","",IF('Cash Flow %s Yr1'!R42="","",'Cash Flow %s Yr1'!R42*'Revenue Input'!$G49))</f>
        <v/>
      </c>
    </row>
    <row r="48" spans="1:18" s="30" customFormat="1" ht="17.399999999999999" x14ac:dyDescent="0.3">
      <c r="A48" s="45"/>
      <c r="B48" s="61">
        <f>'Revenue Input'!B50</f>
        <v>8688</v>
      </c>
      <c r="C48" s="61" t="str">
        <f>'Revenue Input'!C50</f>
        <v>In Kind Contributions</v>
      </c>
      <c r="D48" s="60" t="str">
        <f>IF('Revenue Input'!$G50="","",IF('Cash Flow %s Yr1'!D43="","",'Cash Flow %s Yr1'!D43*'Revenue Input'!$G50))</f>
        <v/>
      </c>
      <c r="E48" s="60" t="str">
        <f>IF('Revenue Input'!$G50="","",IF('Cash Flow %s Yr1'!E43="","",'Cash Flow %s Yr1'!E43*'Revenue Input'!$G50))</f>
        <v/>
      </c>
      <c r="F48" s="60" t="str">
        <f>IF('Revenue Input'!$G50="","",IF('Cash Flow %s Yr1'!F43="","",'Cash Flow %s Yr1'!F43*'Revenue Input'!$G50))</f>
        <v/>
      </c>
      <c r="G48" s="60" t="str">
        <f>IF('Revenue Input'!$G50="","",IF('Cash Flow %s Yr1'!G43="","",'Cash Flow %s Yr1'!G43*'Revenue Input'!$G50))</f>
        <v/>
      </c>
      <c r="H48" s="60" t="str">
        <f>IF('Revenue Input'!$G50="","",IF('Cash Flow %s Yr1'!H43="","",'Cash Flow %s Yr1'!H43*'Revenue Input'!$G50))</f>
        <v/>
      </c>
      <c r="I48" s="60" t="str">
        <f>IF('Revenue Input'!$G50="","",IF('Cash Flow %s Yr1'!I43="","",'Cash Flow %s Yr1'!I43*'Revenue Input'!$G50))</f>
        <v/>
      </c>
      <c r="J48" s="60" t="str">
        <f>IF('Revenue Input'!$G50="","",IF('Cash Flow %s Yr1'!J43="","",'Cash Flow %s Yr1'!J43*'Revenue Input'!$G50))</f>
        <v/>
      </c>
      <c r="K48" s="60" t="str">
        <f>IF('Revenue Input'!$G50="","",IF('Cash Flow %s Yr1'!K43="","",'Cash Flow %s Yr1'!K43*'Revenue Input'!$G50))</f>
        <v/>
      </c>
      <c r="L48" s="60" t="str">
        <f>IF('Revenue Input'!$G50="","",IF('Cash Flow %s Yr1'!L43="","",'Cash Flow %s Yr1'!L43*'Revenue Input'!$G50))</f>
        <v/>
      </c>
      <c r="M48" s="60" t="str">
        <f>IF('Revenue Input'!$G50="","",IF('Cash Flow %s Yr1'!M43="","",'Cash Flow %s Yr1'!M43*'Revenue Input'!$G50))</f>
        <v/>
      </c>
      <c r="N48" s="60" t="str">
        <f>IF('Revenue Input'!$G50="","",IF('Cash Flow %s Yr1'!N43="","",'Cash Flow %s Yr1'!N43*'Revenue Input'!$G50))</f>
        <v/>
      </c>
      <c r="O48" s="60" t="str">
        <f>IF('Revenue Input'!$G50="","",IF('Cash Flow %s Yr1'!O43="","",'Cash Flow %s Yr1'!O43*'Revenue Input'!$G50))</f>
        <v/>
      </c>
      <c r="P48" s="60" t="str">
        <f>IF('Revenue Input'!$G50="","",IF('Cash Flow %s Yr1'!P43="","",'Cash Flow %s Yr1'!P43*'Revenue Input'!$G50))</f>
        <v/>
      </c>
      <c r="Q48" s="60" t="str">
        <f>IF('Revenue Input'!$G50="","",IF('Cash Flow %s Yr1'!Q43="","",'Cash Flow %s Yr1'!Q43*'Revenue Input'!$G50))</f>
        <v/>
      </c>
      <c r="R48" s="60" t="str">
        <f>IF('Revenue Input'!$G50="","",IF('Cash Flow %s Yr1'!R43="","",'Cash Flow %s Yr1'!R43*'Revenue Input'!$G50))</f>
        <v/>
      </c>
    </row>
    <row r="49" spans="1:18" s="30" customFormat="1" ht="17.399999999999999" x14ac:dyDescent="0.3">
      <c r="A49" s="45"/>
      <c r="B49" s="61">
        <f>'Revenue Input'!B51</f>
        <v>8689</v>
      </c>
      <c r="C49" s="61" t="str">
        <f>'Revenue Input'!C51</f>
        <v xml:space="preserve">All Other Local Revenue </v>
      </c>
      <c r="D49" s="60" t="str">
        <f>IF('Revenue Input'!$G51="","",IF('Cash Flow %s Yr1'!D44="","",'Cash Flow %s Yr1'!D44*'Revenue Input'!$G51))</f>
        <v/>
      </c>
      <c r="E49" s="60" t="str">
        <f>IF('Revenue Input'!$G51="","",IF('Cash Flow %s Yr1'!E44="","",'Cash Flow %s Yr1'!E44*'Revenue Input'!$G51))</f>
        <v/>
      </c>
      <c r="F49" s="60" t="str">
        <f>IF('Revenue Input'!$G51="","",IF('Cash Flow %s Yr1'!F44="","",'Cash Flow %s Yr1'!F44*'Revenue Input'!$G51))</f>
        <v/>
      </c>
      <c r="G49" s="60" t="str">
        <f>IF('Revenue Input'!$G51="","",IF('Cash Flow %s Yr1'!G44="","",'Cash Flow %s Yr1'!G44*'Revenue Input'!$G51))</f>
        <v/>
      </c>
      <c r="H49" s="60" t="str">
        <f>IF('Revenue Input'!$G51="","",IF('Cash Flow %s Yr1'!H44="","",'Cash Flow %s Yr1'!H44*'Revenue Input'!$G51))</f>
        <v/>
      </c>
      <c r="I49" s="60" t="str">
        <f>IF('Revenue Input'!$G51="","",IF('Cash Flow %s Yr1'!I44="","",'Cash Flow %s Yr1'!I44*'Revenue Input'!$G51))</f>
        <v/>
      </c>
      <c r="J49" s="60" t="str">
        <f>IF('Revenue Input'!$G51="","",IF('Cash Flow %s Yr1'!J44="","",'Cash Flow %s Yr1'!J44*'Revenue Input'!$G51))</f>
        <v/>
      </c>
      <c r="K49" s="60" t="str">
        <f>IF('Revenue Input'!$G51="","",IF('Cash Flow %s Yr1'!K44="","",'Cash Flow %s Yr1'!K44*'Revenue Input'!$G51))</f>
        <v/>
      </c>
      <c r="L49" s="60" t="str">
        <f>IF('Revenue Input'!$G51="","",IF('Cash Flow %s Yr1'!L44="","",'Cash Flow %s Yr1'!L44*'Revenue Input'!$G51))</f>
        <v/>
      </c>
      <c r="M49" s="60" t="str">
        <f>IF('Revenue Input'!$G51="","",IF('Cash Flow %s Yr1'!M44="","",'Cash Flow %s Yr1'!M44*'Revenue Input'!$G51))</f>
        <v/>
      </c>
      <c r="N49" s="60" t="str">
        <f>IF('Revenue Input'!$G51="","",IF('Cash Flow %s Yr1'!N44="","",'Cash Flow %s Yr1'!N44*'Revenue Input'!$G51))</f>
        <v/>
      </c>
      <c r="O49" s="60" t="str">
        <f>IF('Revenue Input'!$G51="","",IF('Cash Flow %s Yr1'!O44="","",'Cash Flow %s Yr1'!O44*'Revenue Input'!$G51))</f>
        <v/>
      </c>
      <c r="P49" s="60" t="str">
        <f>IF('Revenue Input'!$G51="","",IF('Cash Flow %s Yr1'!P44="","",'Cash Flow %s Yr1'!P44*'Revenue Input'!$G51))</f>
        <v/>
      </c>
      <c r="Q49" s="60" t="str">
        <f>IF('Revenue Input'!$G51="","",IF('Cash Flow %s Yr1'!Q44="","",'Cash Flow %s Yr1'!Q44*'Revenue Input'!$G51))</f>
        <v/>
      </c>
      <c r="R49" s="60" t="str">
        <f>IF('Revenue Input'!$G51="","",IF('Cash Flow %s Yr1'!R44="","",'Cash Flow %s Yr1'!R44*'Revenue Input'!$G51))</f>
        <v/>
      </c>
    </row>
    <row r="50" spans="1:18" s="30" customFormat="1" ht="17.399999999999999" x14ac:dyDescent="0.3">
      <c r="A50" s="45"/>
      <c r="B50" s="61">
        <f>'Revenue Input'!B52</f>
        <v>8699</v>
      </c>
      <c r="C50" s="61" t="str">
        <f>'Revenue Input'!C52</f>
        <v xml:space="preserve">All Other Local Revenue </v>
      </c>
      <c r="D50" s="60">
        <f>IF('Revenue Input'!$G52="","",IF('Cash Flow %s Yr1'!D45="","",'Cash Flow %s Yr1'!D45*'Revenue Input'!$G52))</f>
        <v>0</v>
      </c>
      <c r="E50" s="60">
        <f>IF('Revenue Input'!$G52="","",IF('Cash Flow %s Yr1'!E45="","",'Cash Flow %s Yr1'!E45*'Revenue Input'!$G52))</f>
        <v>0</v>
      </c>
      <c r="F50" s="60">
        <f>IF('Revenue Input'!$G52="","",IF('Cash Flow %s Yr1'!F45="","",'Cash Flow %s Yr1'!F45*'Revenue Input'!$G52))</f>
        <v>140</v>
      </c>
      <c r="G50" s="60">
        <f>IF('Revenue Input'!$G52="","",IF('Cash Flow %s Yr1'!G45="","",'Cash Flow %s Yr1'!G45*'Revenue Input'!$G52))</f>
        <v>140</v>
      </c>
      <c r="H50" s="60">
        <f>IF('Revenue Input'!$G52="","",IF('Cash Flow %s Yr1'!H45="","",'Cash Flow %s Yr1'!H45*'Revenue Input'!$G52))</f>
        <v>140</v>
      </c>
      <c r="I50" s="60">
        <f>IF('Revenue Input'!$G52="","",IF('Cash Flow %s Yr1'!I45="","",'Cash Flow %s Yr1'!I45*'Revenue Input'!$G52))</f>
        <v>140</v>
      </c>
      <c r="J50" s="60">
        <f>IF('Revenue Input'!$G52="","",IF('Cash Flow %s Yr1'!J45="","",'Cash Flow %s Yr1'!J45*'Revenue Input'!$G52))</f>
        <v>140</v>
      </c>
      <c r="K50" s="60">
        <f>IF('Revenue Input'!$G52="","",IF('Cash Flow %s Yr1'!K45="","",'Cash Flow %s Yr1'!K45*'Revenue Input'!$G52))</f>
        <v>140</v>
      </c>
      <c r="L50" s="60">
        <f>IF('Revenue Input'!$G52="","",IF('Cash Flow %s Yr1'!L45="","",'Cash Flow %s Yr1'!L45*'Revenue Input'!$G52))</f>
        <v>140</v>
      </c>
      <c r="M50" s="60">
        <f>IF('Revenue Input'!$G52="","",IF('Cash Flow %s Yr1'!M45="","",'Cash Flow %s Yr1'!M45*'Revenue Input'!$G52))</f>
        <v>140</v>
      </c>
      <c r="N50" s="60">
        <f>IF('Revenue Input'!$G52="","",IF('Cash Flow %s Yr1'!N45="","",'Cash Flow %s Yr1'!N45*'Revenue Input'!$G52))</f>
        <v>140</v>
      </c>
      <c r="O50" s="60">
        <f>IF('Revenue Input'!$G52="","",IF('Cash Flow %s Yr1'!O45="","",'Cash Flow %s Yr1'!O45*'Revenue Input'!$G52))</f>
        <v>140</v>
      </c>
      <c r="P50" s="60" t="str">
        <f>IF('Revenue Input'!$G52="","",IF('Cash Flow %s Yr1'!P45="","",'Cash Flow %s Yr1'!P45*'Revenue Input'!$G52))</f>
        <v/>
      </c>
      <c r="Q50" s="60" t="str">
        <f>IF('Revenue Input'!$G52="","",IF('Cash Flow %s Yr1'!Q45="","",'Cash Flow %s Yr1'!Q45*'Revenue Input'!$G52))</f>
        <v/>
      </c>
      <c r="R50" s="60" t="str">
        <f>IF('Revenue Input'!$G52="","",IF('Cash Flow %s Yr1'!R45="","",'Cash Flow %s Yr1'!R45*'Revenue Input'!$G52))</f>
        <v/>
      </c>
    </row>
    <row r="51" spans="1:18" s="30" customFormat="1" ht="17.399999999999999" x14ac:dyDescent="0.3">
      <c r="A51" s="45"/>
      <c r="B51" s="61">
        <f>'Revenue Input'!B53</f>
        <v>8792</v>
      </c>
      <c r="C51" s="61" t="str">
        <f>'Revenue Input'!C53</f>
        <v>SPED State/Other Transfers of Apportionments from County</v>
      </c>
      <c r="D51" s="60" t="str">
        <f>IF('Revenue Input'!$G53="","",IF('Cash Flow %s Yr1'!D46="","",'Cash Flow %s Yr1'!D46*'Revenue Input'!$G53))</f>
        <v/>
      </c>
      <c r="E51" s="60" t="str">
        <f>IF('Revenue Input'!$G53="","",IF('Cash Flow %s Yr1'!E46="","",'Cash Flow %s Yr1'!E46*'Revenue Input'!$G53))</f>
        <v/>
      </c>
      <c r="F51" s="60" t="str">
        <f>IF('Revenue Input'!$G53="","",IF('Cash Flow %s Yr1'!F46="","",'Cash Flow %s Yr1'!F46*'Revenue Input'!$G53))</f>
        <v/>
      </c>
      <c r="G51" s="60" t="str">
        <f>IF('Revenue Input'!$G53="","",IF('Cash Flow %s Yr1'!G46="","",'Cash Flow %s Yr1'!G46*'Revenue Input'!$G53))</f>
        <v/>
      </c>
      <c r="H51" s="60" t="str">
        <f>IF('Revenue Input'!$G53="","",IF('Cash Flow %s Yr1'!H46="","",'Cash Flow %s Yr1'!H46*'Revenue Input'!$G53))</f>
        <v/>
      </c>
      <c r="I51" s="60" t="str">
        <f>IF('Revenue Input'!$G53="","",IF('Cash Flow %s Yr1'!I46="","",'Cash Flow %s Yr1'!I46*'Revenue Input'!$G53))</f>
        <v/>
      </c>
      <c r="J51" s="60" t="str">
        <f>IF('Revenue Input'!$G53="","",IF('Cash Flow %s Yr1'!J46="","",'Cash Flow %s Yr1'!J46*'Revenue Input'!$G53))</f>
        <v/>
      </c>
      <c r="K51" s="60" t="str">
        <f>IF('Revenue Input'!$G53="","",IF('Cash Flow %s Yr1'!K46="","",'Cash Flow %s Yr1'!K46*'Revenue Input'!$G53))</f>
        <v/>
      </c>
      <c r="L51" s="60" t="str">
        <f>IF('Revenue Input'!$G53="","",IF('Cash Flow %s Yr1'!L46="","",'Cash Flow %s Yr1'!L46*'Revenue Input'!$G53))</f>
        <v/>
      </c>
      <c r="M51" s="60" t="str">
        <f>IF('Revenue Input'!$G53="","",IF('Cash Flow %s Yr1'!M46="","",'Cash Flow %s Yr1'!M46*'Revenue Input'!$G53))</f>
        <v/>
      </c>
      <c r="N51" s="60" t="str">
        <f>IF('Revenue Input'!$G53="","",IF('Cash Flow %s Yr1'!N46="","",'Cash Flow %s Yr1'!N46*'Revenue Input'!$G53))</f>
        <v/>
      </c>
      <c r="O51" s="60" t="str">
        <f>IF('Revenue Input'!$G53="","",IF('Cash Flow %s Yr1'!O46="","",'Cash Flow %s Yr1'!O46*'Revenue Input'!$G53))</f>
        <v/>
      </c>
      <c r="P51" s="60" t="str">
        <f>IF('Revenue Input'!$G53="","",IF('Cash Flow %s Yr1'!P46="","",'Cash Flow %s Yr1'!P46*'Revenue Input'!$G53))</f>
        <v/>
      </c>
      <c r="Q51" s="60" t="str">
        <f>IF('Revenue Input'!$G53="","",IF('Cash Flow %s Yr1'!Q46="","",'Cash Flow %s Yr1'!Q46*'Revenue Input'!$G53))</f>
        <v/>
      </c>
      <c r="R51" s="60" t="str">
        <f>IF('Revenue Input'!$G53="","",IF('Cash Flow %s Yr1'!R46="","",'Cash Flow %s Yr1'!R46*'Revenue Input'!$G53))</f>
        <v/>
      </c>
    </row>
    <row r="52" spans="1:18" s="30" customFormat="1" ht="17.399999999999999" x14ac:dyDescent="0.3">
      <c r="A52" s="45"/>
      <c r="B52" s="61">
        <f>'Revenue Input'!B55</f>
        <v>8984</v>
      </c>
      <c r="C52" s="61" t="str">
        <f>'Revenue Input'!C55</f>
        <v>Student Body (ASB Fundraising)</v>
      </c>
      <c r="D52" s="60" t="str">
        <f>IF('Revenue Input'!$G55="","",IF('Cash Flow %s Yr1'!D47="","",'Cash Flow %s Yr1'!D47*'Revenue Input'!$G55))</f>
        <v/>
      </c>
      <c r="E52" s="60" t="str">
        <f>IF('Revenue Input'!$G55="","",IF('Cash Flow %s Yr1'!E47="","",'Cash Flow %s Yr1'!E47*'Revenue Input'!$G55))</f>
        <v/>
      </c>
      <c r="F52" s="60" t="str">
        <f>IF('Revenue Input'!$G55="","",IF('Cash Flow %s Yr1'!F47="","",'Cash Flow %s Yr1'!F47*'Revenue Input'!$G55))</f>
        <v/>
      </c>
      <c r="G52" s="60" t="str">
        <f>IF('Revenue Input'!$G55="","",IF('Cash Flow %s Yr1'!G47="","",'Cash Flow %s Yr1'!G47*'Revenue Input'!$G55))</f>
        <v/>
      </c>
      <c r="H52" s="60" t="str">
        <f>IF('Revenue Input'!$G55="","",IF('Cash Flow %s Yr1'!H47="","",'Cash Flow %s Yr1'!H47*'Revenue Input'!$G55))</f>
        <v/>
      </c>
      <c r="I52" s="60" t="str">
        <f>IF('Revenue Input'!$G55="","",IF('Cash Flow %s Yr1'!I47="","",'Cash Flow %s Yr1'!I47*'Revenue Input'!$G55))</f>
        <v/>
      </c>
      <c r="J52" s="60" t="str">
        <f>IF('Revenue Input'!$G55="","",IF('Cash Flow %s Yr1'!J47="","",'Cash Flow %s Yr1'!J47*'Revenue Input'!$G55))</f>
        <v/>
      </c>
      <c r="K52" s="60" t="str">
        <f>IF('Revenue Input'!$G55="","",IF('Cash Flow %s Yr1'!K47="","",'Cash Flow %s Yr1'!K47*'Revenue Input'!$G55))</f>
        <v/>
      </c>
      <c r="L52" s="60" t="str">
        <f>IF('Revenue Input'!$G55="","",IF('Cash Flow %s Yr1'!L47="","",'Cash Flow %s Yr1'!L47*'Revenue Input'!$G55))</f>
        <v/>
      </c>
      <c r="M52" s="60" t="str">
        <f>IF('Revenue Input'!$G55="","",IF('Cash Flow %s Yr1'!M47="","",'Cash Flow %s Yr1'!M47*'Revenue Input'!$G55))</f>
        <v/>
      </c>
      <c r="N52" s="60" t="str">
        <f>IF('Revenue Input'!$G55="","",IF('Cash Flow %s Yr1'!N47="","",'Cash Flow %s Yr1'!N47*'Revenue Input'!$G55))</f>
        <v/>
      </c>
      <c r="O52" s="60" t="str">
        <f>IF('Revenue Input'!$G55="","",IF('Cash Flow %s Yr1'!O47="","",'Cash Flow %s Yr1'!O47*'Revenue Input'!$G55))</f>
        <v/>
      </c>
      <c r="P52" s="60" t="str">
        <f>IF('Revenue Input'!$G55="","",IF('Cash Flow %s Yr1'!P47="","",'Cash Flow %s Yr1'!P47*'Revenue Input'!$G55))</f>
        <v/>
      </c>
      <c r="Q52" s="60" t="str">
        <f>IF('Revenue Input'!$G55="","",IF('Cash Flow %s Yr1'!Q47="","",'Cash Flow %s Yr1'!Q47*'Revenue Input'!$G55))</f>
        <v/>
      </c>
      <c r="R52" s="60" t="str">
        <f>IF('Revenue Input'!$G55="","",IF('Cash Flow %s Yr1'!R47="","",'Cash Flow %s Yr1'!R47*'Revenue Input'!$G55))</f>
        <v/>
      </c>
    </row>
    <row r="53" spans="1:18" s="30" customFormat="1" ht="17.399999999999999" x14ac:dyDescent="0.3">
      <c r="A53" s="45"/>
      <c r="B53" s="61"/>
      <c r="C53" s="61"/>
      <c r="D53" s="60"/>
      <c r="E53" s="60"/>
      <c r="F53" s="60"/>
      <c r="G53" s="60"/>
      <c r="H53" s="60"/>
      <c r="I53" s="60"/>
      <c r="J53" s="60"/>
      <c r="K53" s="60"/>
      <c r="L53" s="60"/>
      <c r="M53" s="60"/>
      <c r="N53" s="60"/>
      <c r="O53" s="60"/>
      <c r="P53" s="60"/>
      <c r="Q53" s="60"/>
      <c r="R53" s="60"/>
    </row>
    <row r="54" spans="1:18" s="30" customFormat="1" ht="17.399999999999999" x14ac:dyDescent="0.3">
      <c r="A54" s="45"/>
      <c r="B54" s="61"/>
      <c r="C54" s="61"/>
      <c r="D54" s="60"/>
      <c r="E54" s="60"/>
      <c r="F54" s="60"/>
      <c r="G54" s="60"/>
      <c r="H54" s="60"/>
      <c r="I54" s="60"/>
      <c r="J54" s="60"/>
      <c r="K54" s="60"/>
      <c r="L54" s="60"/>
      <c r="M54" s="60"/>
      <c r="N54" s="60"/>
      <c r="O54" s="60"/>
      <c r="P54" s="60"/>
      <c r="Q54" s="60"/>
      <c r="R54" s="60"/>
    </row>
    <row r="55" spans="1:18" s="30" customFormat="1" ht="17.399999999999999" x14ac:dyDescent="0.3">
      <c r="A55" s="45"/>
      <c r="B55" s="68"/>
      <c r="C55" s="33" t="s">
        <v>1259</v>
      </c>
      <c r="D55" s="183">
        <f t="shared" ref="D55:R55" si="2">SUM(D42:D54)</f>
        <v>890.00900000000001</v>
      </c>
      <c r="E55" s="183">
        <f t="shared" si="2"/>
        <v>890.00900000000001</v>
      </c>
      <c r="F55" s="183">
        <f t="shared" si="2"/>
        <v>3127.509</v>
      </c>
      <c r="G55" s="183">
        <f>SUM(G42:G54)</f>
        <v>3127.509</v>
      </c>
      <c r="H55" s="183">
        <f t="shared" si="2"/>
        <v>3127.509</v>
      </c>
      <c r="I55" s="183">
        <f t="shared" si="2"/>
        <v>3127.509</v>
      </c>
      <c r="J55" s="183">
        <f t="shared" si="2"/>
        <v>3127.509</v>
      </c>
      <c r="K55" s="183">
        <f t="shared" si="2"/>
        <v>3127.509</v>
      </c>
      <c r="L55" s="183">
        <f t="shared" si="2"/>
        <v>3138.232</v>
      </c>
      <c r="M55" s="183">
        <f t="shared" si="2"/>
        <v>3138.232</v>
      </c>
      <c r="N55" s="183">
        <f t="shared" si="2"/>
        <v>3138.232</v>
      </c>
      <c r="O55" s="183">
        <f t="shared" si="2"/>
        <v>3138.232</v>
      </c>
      <c r="P55" s="183">
        <f t="shared" si="2"/>
        <v>0</v>
      </c>
      <c r="Q55" s="183">
        <f t="shared" si="2"/>
        <v>0</v>
      </c>
      <c r="R55" s="183">
        <f t="shared" si="2"/>
        <v>0</v>
      </c>
    </row>
    <row r="56" spans="1:18" s="30" customFormat="1" ht="17.399999999999999" x14ac:dyDescent="0.3">
      <c r="A56" s="45"/>
      <c r="B56" s="47" t="s">
        <v>676</v>
      </c>
      <c r="C56" s="48"/>
      <c r="D56" s="184">
        <f t="shared" ref="D56:R56" si="3">SUM(D55,D39,D28)</f>
        <v>24609.409</v>
      </c>
      <c r="E56" s="184">
        <f t="shared" si="3"/>
        <v>47710.609000000004</v>
      </c>
      <c r="F56" s="184">
        <f t="shared" si="3"/>
        <v>112209.82900000001</v>
      </c>
      <c r="G56" s="184">
        <f>SUM(G55,G39,G28)</f>
        <v>76624.02900000001</v>
      </c>
      <c r="H56" s="184">
        <f t="shared" si="3"/>
        <v>83292.536840000015</v>
      </c>
      <c r="I56" s="184">
        <f t="shared" si="3"/>
        <v>97215.485640000014</v>
      </c>
      <c r="J56" s="184">
        <f t="shared" si="3"/>
        <v>102502.23564000001</v>
      </c>
      <c r="K56" s="184">
        <f t="shared" si="3"/>
        <v>80564.32564000001</v>
      </c>
      <c r="L56" s="184">
        <f t="shared" si="3"/>
        <v>120327.40864000001</v>
      </c>
      <c r="M56" s="184">
        <f t="shared" si="3"/>
        <v>110274.50864000001</v>
      </c>
      <c r="N56" s="184">
        <f t="shared" si="3"/>
        <v>76724.848640000011</v>
      </c>
      <c r="O56" s="184">
        <f t="shared" si="3"/>
        <v>144684.94871999999</v>
      </c>
      <c r="P56" s="184">
        <f t="shared" si="3"/>
        <v>0</v>
      </c>
      <c r="Q56" s="184">
        <f t="shared" si="3"/>
        <v>0</v>
      </c>
      <c r="R56" s="184">
        <f t="shared" si="3"/>
        <v>0</v>
      </c>
    </row>
    <row r="57" spans="1:18" s="30" customFormat="1" ht="17.399999999999999" x14ac:dyDescent="0.3">
      <c r="A57" s="45"/>
      <c r="B57" s="68"/>
      <c r="C57" s="48"/>
      <c r="D57" s="121"/>
      <c r="E57" s="121"/>
      <c r="F57" s="121"/>
      <c r="G57" s="121"/>
      <c r="H57" s="121"/>
      <c r="I57" s="121"/>
      <c r="J57" s="121"/>
      <c r="K57" s="121"/>
      <c r="L57" s="121"/>
      <c r="M57" s="121"/>
      <c r="N57" s="121"/>
      <c r="O57" s="121"/>
      <c r="P57" s="121"/>
      <c r="Q57" s="121"/>
      <c r="R57" s="121"/>
    </row>
    <row r="58" spans="1:18" s="30" customFormat="1" ht="17.399999999999999" x14ac:dyDescent="0.3">
      <c r="A58" s="45" t="s">
        <v>796</v>
      </c>
      <c r="B58" s="69"/>
      <c r="C58" s="33"/>
      <c r="D58" s="122"/>
      <c r="E58" s="122"/>
      <c r="F58" s="122"/>
      <c r="G58" s="122"/>
      <c r="H58" s="122"/>
      <c r="I58" s="122"/>
      <c r="J58" s="122"/>
      <c r="K58" s="122"/>
      <c r="L58" s="122"/>
      <c r="M58" s="122"/>
      <c r="N58" s="122"/>
      <c r="O58" s="122"/>
      <c r="P58" s="122"/>
      <c r="Q58" s="122"/>
      <c r="R58" s="122"/>
    </row>
    <row r="59" spans="1:18" x14ac:dyDescent="0.3">
      <c r="A59" s="1"/>
      <c r="B59" s="33" t="s">
        <v>732</v>
      </c>
      <c r="C59" s="3"/>
      <c r="D59" s="101"/>
      <c r="E59" s="101"/>
      <c r="F59" s="101"/>
      <c r="G59" s="101"/>
      <c r="H59" s="101"/>
      <c r="I59" s="101"/>
      <c r="J59" s="101"/>
      <c r="K59" s="101"/>
      <c r="L59" s="101"/>
      <c r="M59" s="101"/>
      <c r="N59" s="101"/>
      <c r="O59" s="101"/>
      <c r="P59" s="101"/>
      <c r="Q59" s="101"/>
      <c r="R59" s="101"/>
    </row>
    <row r="60" spans="1:18" x14ac:dyDescent="0.3">
      <c r="A60" s="35"/>
      <c r="B60" s="63" t="str">
        <f>'Expenses Summary'!B8</f>
        <v>1100</v>
      </c>
      <c r="C60" s="63" t="str">
        <f>'Expenses Summary'!C8</f>
        <v>Teachers'  Salaries</v>
      </c>
      <c r="D60" s="60">
        <f>IF('Expenses Summary'!$T8="","",IF('Cash Flow %s Yr1'!D55="","",'Cash Flow %s Yr1'!D55*'Expenses Summary'!$T8))</f>
        <v>4279.7735999999995</v>
      </c>
      <c r="E60" s="60">
        <f>IF('Expenses Summary'!$T8="","",IF('Cash Flow %s Yr1'!E55="","",'Cash Flow %s Yr1'!E55*'Expenses Summary'!$T8))</f>
        <v>10699.434000000001</v>
      </c>
      <c r="F60" s="60">
        <f>IF('Expenses Summary'!$T8="","",IF('Cash Flow %s Yr1'!F55="","",'Cash Flow %s Yr1'!F55*'Expenses Summary'!$T8))</f>
        <v>21398.868000000002</v>
      </c>
      <c r="G60" s="60">
        <f>IF('Expenses Summary'!$T8="","",IF('Cash Flow %s Yr1'!G55="","",'Cash Flow %s Yr1'!G55*'Expenses Summary'!$T8))</f>
        <v>21398.868000000002</v>
      </c>
      <c r="H60" s="60">
        <f>IF('Expenses Summary'!$T8="","",IF('Cash Flow %s Yr1'!H55="","",'Cash Flow %s Yr1'!H55*'Expenses Summary'!$T8))</f>
        <v>21398.868000000002</v>
      </c>
      <c r="I60" s="60">
        <f>IF('Expenses Summary'!$T8="","",IF('Cash Flow %s Yr1'!I55="","",'Cash Flow %s Yr1'!I55*'Expenses Summary'!$T8))</f>
        <v>21398.868000000002</v>
      </c>
      <c r="J60" s="60">
        <f>IF('Expenses Summary'!$T8="","",IF('Cash Flow %s Yr1'!J55="","",'Cash Flow %s Yr1'!J55*'Expenses Summary'!$T8))</f>
        <v>21398.868000000002</v>
      </c>
      <c r="K60" s="60">
        <f>IF('Expenses Summary'!$T8="","",IF('Cash Flow %s Yr1'!K55="","",'Cash Flow %s Yr1'!K55*'Expenses Summary'!$T8))</f>
        <v>21398.868000000002</v>
      </c>
      <c r="L60" s="60">
        <f>IF('Expenses Summary'!$T8="","",IF('Cash Flow %s Yr1'!L55="","",'Cash Flow %s Yr1'!L55*'Expenses Summary'!$T8))</f>
        <v>21398.868000000002</v>
      </c>
      <c r="M60" s="60">
        <f>IF('Expenses Summary'!$T8="","",IF('Cash Flow %s Yr1'!M55="","",'Cash Flow %s Yr1'!M55*'Expenses Summary'!$T8))</f>
        <v>21398.868000000002</v>
      </c>
      <c r="N60" s="60">
        <f>IF('Expenses Summary'!$T8="","",IF('Cash Flow %s Yr1'!N55="","",'Cash Flow %s Yr1'!N55*'Expenses Summary'!$T8))</f>
        <v>21398.868000000002</v>
      </c>
      <c r="O60" s="60">
        <f>IF('Expenses Summary'!$T8="","",IF('Cash Flow %s Yr1'!O55="","",'Cash Flow %s Yr1'!O55*'Expenses Summary'!$T8))</f>
        <v>6419.6603999999998</v>
      </c>
      <c r="P60" s="60" t="str">
        <f>IF('Expenses Summary'!$T8="","",IF('Cash Flow %s Yr1'!P55="","",'Cash Flow %s Yr1'!P55*'Expenses Summary'!$T8))</f>
        <v/>
      </c>
      <c r="Q60" s="123"/>
      <c r="R60" s="123"/>
    </row>
    <row r="61" spans="1:18" x14ac:dyDescent="0.3">
      <c r="A61" s="35"/>
      <c r="B61" s="63" t="str">
        <f>'Expenses Summary'!B9</f>
        <v>1105</v>
      </c>
      <c r="C61" s="63" t="str">
        <f>'Expenses Summary'!C9</f>
        <v>Teachers'  Stipend</v>
      </c>
      <c r="D61" s="60">
        <f>IF('Expenses Summary'!$T9="","",IF('Cash Flow %s Yr1'!D56="","",'Cash Flow %s Yr1'!D56*'Expenses Summary'!$T9))</f>
        <v>0</v>
      </c>
      <c r="E61" s="60">
        <f>IF('Expenses Summary'!$T9="","",IF('Cash Flow %s Yr1'!E56="","",'Cash Flow %s Yr1'!E56*'Expenses Summary'!$T9))</f>
        <v>0</v>
      </c>
      <c r="F61" s="60">
        <f>IF('Expenses Summary'!$T9="","",IF('Cash Flow %s Yr1'!F56="","",'Cash Flow %s Yr1'!F56*'Expenses Summary'!$T9))</f>
        <v>0</v>
      </c>
      <c r="G61" s="60">
        <f>IF('Expenses Summary'!$T9="","",IF('Cash Flow %s Yr1'!G56="","",'Cash Flow %s Yr1'!G56*'Expenses Summary'!$T9))</f>
        <v>0</v>
      </c>
      <c r="H61" s="60">
        <f>IF('Expenses Summary'!$T9="","",IF('Cash Flow %s Yr1'!H56="","",'Cash Flow %s Yr1'!H56*'Expenses Summary'!$T9))</f>
        <v>0</v>
      </c>
      <c r="I61" s="60">
        <f>IF('Expenses Summary'!$T9="","",IF('Cash Flow %s Yr1'!I56="","",'Cash Flow %s Yr1'!I56*'Expenses Summary'!$T9))</f>
        <v>5225</v>
      </c>
      <c r="J61" s="60">
        <f>IF('Expenses Summary'!$T9="","",IF('Cash Flow %s Yr1'!J56="","",'Cash Flow %s Yr1'!J56*'Expenses Summary'!$T9))</f>
        <v>0</v>
      </c>
      <c r="K61" s="60">
        <f>IF('Expenses Summary'!$T9="","",IF('Cash Flow %s Yr1'!K56="","",'Cash Flow %s Yr1'!K56*'Expenses Summary'!$T9))</f>
        <v>0</v>
      </c>
      <c r="L61" s="60">
        <f>IF('Expenses Summary'!$T9="","",IF('Cash Flow %s Yr1'!L56="","",'Cash Flow %s Yr1'!L56*'Expenses Summary'!$T9))</f>
        <v>0</v>
      </c>
      <c r="M61" s="60">
        <f>IF('Expenses Summary'!$T9="","",IF('Cash Flow %s Yr1'!M56="","",'Cash Flow %s Yr1'!M56*'Expenses Summary'!$T9))</f>
        <v>0</v>
      </c>
      <c r="N61" s="60">
        <f>IF('Expenses Summary'!$T9="","",IF('Cash Flow %s Yr1'!N56="","",'Cash Flow %s Yr1'!N56*'Expenses Summary'!$T9))</f>
        <v>0</v>
      </c>
      <c r="O61" s="60">
        <f>IF('Expenses Summary'!$T9="","",IF('Cash Flow %s Yr1'!O56="","",'Cash Flow %s Yr1'!O56*'Expenses Summary'!$T9))</f>
        <v>5225</v>
      </c>
      <c r="P61" s="123"/>
      <c r="Q61" s="123"/>
      <c r="R61" s="123"/>
    </row>
    <row r="62" spans="1:18" x14ac:dyDescent="0.3">
      <c r="A62" s="35"/>
      <c r="B62" s="63" t="str">
        <f>'Expenses Summary'!B10</f>
        <v>1120</v>
      </c>
      <c r="C62" s="63" t="str">
        <f>'Expenses Summary'!C10</f>
        <v>Substitute Expense</v>
      </c>
      <c r="D62" s="60">
        <f>IF('Expenses Summary'!$T10="","",IF('Cash Flow %s Yr1'!D57="","",'Cash Flow %s Yr1'!D57*'Expenses Summary'!$T10))</f>
        <v>0</v>
      </c>
      <c r="E62" s="60">
        <f>IF('Expenses Summary'!$T10="","",IF('Cash Flow %s Yr1'!E57="","",'Cash Flow %s Yr1'!E57*'Expenses Summary'!$T10))</f>
        <v>0</v>
      </c>
      <c r="F62" s="60">
        <f>IF('Expenses Summary'!$T10="","",IF('Cash Flow %s Yr1'!F57="","",'Cash Flow %s Yr1'!F57*'Expenses Summary'!$T10))</f>
        <v>0</v>
      </c>
      <c r="G62" s="60">
        <f>IF('Expenses Summary'!$T10="","",IF('Cash Flow %s Yr1'!G57="","",'Cash Flow %s Yr1'!G57*'Expenses Summary'!$T10))</f>
        <v>0</v>
      </c>
      <c r="H62" s="60">
        <f>IF('Expenses Summary'!$T10="","",IF('Cash Flow %s Yr1'!H57="","",'Cash Flow %s Yr1'!H57*'Expenses Summary'!$T10))</f>
        <v>0</v>
      </c>
      <c r="I62" s="60">
        <f>IF('Expenses Summary'!$T10="","",IF('Cash Flow %s Yr1'!I57="","",'Cash Flow %s Yr1'!I57*'Expenses Summary'!$T10))</f>
        <v>0</v>
      </c>
      <c r="J62" s="60">
        <f>IF('Expenses Summary'!$T10="","",IF('Cash Flow %s Yr1'!J57="","",'Cash Flow %s Yr1'!J57*'Expenses Summary'!$T10))</f>
        <v>0</v>
      </c>
      <c r="K62" s="60">
        <f>IF('Expenses Summary'!$T10="","",IF('Cash Flow %s Yr1'!K57="","",'Cash Flow %s Yr1'!K57*'Expenses Summary'!$T10))</f>
        <v>0</v>
      </c>
      <c r="L62" s="60">
        <f>IF('Expenses Summary'!$T10="","",IF('Cash Flow %s Yr1'!L57="","",'Cash Flow %s Yr1'!L57*'Expenses Summary'!$T10))</f>
        <v>0</v>
      </c>
      <c r="M62" s="60">
        <f>IF('Expenses Summary'!$T10="","",IF('Cash Flow %s Yr1'!M57="","",'Cash Flow %s Yr1'!M57*'Expenses Summary'!$T10))</f>
        <v>0</v>
      </c>
      <c r="N62" s="60">
        <f>IF('Expenses Summary'!$T10="","",IF('Cash Flow %s Yr1'!N57="","",'Cash Flow %s Yr1'!N57*'Expenses Summary'!$T10))</f>
        <v>0</v>
      </c>
      <c r="O62" s="60">
        <f>IF('Expenses Summary'!$T10="","",IF('Cash Flow %s Yr1'!O57="","",'Cash Flow %s Yr1'!O57*'Expenses Summary'!$T10))</f>
        <v>0</v>
      </c>
      <c r="P62" s="123"/>
      <c r="Q62" s="123"/>
      <c r="R62" s="123"/>
    </row>
    <row r="63" spans="1:18" x14ac:dyDescent="0.3">
      <c r="A63" s="35"/>
      <c r="B63" s="63" t="str">
        <f>'Expenses Summary'!B11</f>
        <v>1200</v>
      </c>
      <c r="C63" s="63" t="str">
        <f>'Expenses Summary'!C11</f>
        <v>Certificated Pupil Support Salaries</v>
      </c>
      <c r="D63" s="60">
        <f>IF('Expenses Summary'!$T11="","",IF('Cash Flow %s Yr1'!D58="","",'Cash Flow %s Yr1'!D58*'Expenses Summary'!$T11))+'Expenses Summary'!D12*'Cash Flow %s Yr1'!D58</f>
        <v>0</v>
      </c>
      <c r="E63" s="60">
        <f>IF('Expenses Summary'!$T11="","",IF('Cash Flow %s Yr1'!E58="","",'Cash Flow %s Yr1'!E58*'Expenses Summary'!$T11))+'Expenses Summary'!R12*'Cash Flow %s Yr1'!E58</f>
        <v>0</v>
      </c>
      <c r="F63" s="60">
        <f>IF('Expenses Summary'!$T11="","",IF('Cash Flow %s Yr1'!F58="","",'Cash Flow %s Yr1'!F58*'Expenses Summary'!$T11))+'Expenses Summary'!$T$12*'Cash Flow %s Yr1'!F58</f>
        <v>0</v>
      </c>
      <c r="G63" s="60">
        <f>IF('Expenses Summary'!$T11="","",IF('Cash Flow %s Yr1'!G58="","",'Cash Flow %s Yr1'!G58*'Expenses Summary'!$T11))+'Expenses Summary'!$T$12*'Cash Flow %s Yr1'!G58</f>
        <v>0</v>
      </c>
      <c r="H63" s="60">
        <f>IF('Expenses Summary'!$T11="","",IF('Cash Flow %s Yr1'!H58="","",'Cash Flow %s Yr1'!H58*'Expenses Summary'!$T11))+'Expenses Summary'!$T$12*'Cash Flow %s Yr1'!H58</f>
        <v>0</v>
      </c>
      <c r="I63" s="60">
        <f>IF('Expenses Summary'!$T11="","",IF('Cash Flow %s Yr1'!I58="","",'Cash Flow %s Yr1'!I58*'Expenses Summary'!$T11))+'Expenses Summary'!$T$12*'Cash Flow %s Yr1'!I58</f>
        <v>0</v>
      </c>
      <c r="J63" s="60">
        <f>IF('Expenses Summary'!$T11="","",IF('Cash Flow %s Yr1'!J58="","",'Cash Flow %s Yr1'!J58*'Expenses Summary'!$T11))+'Expenses Summary'!$T$12*'Cash Flow %s Yr1'!J58</f>
        <v>0</v>
      </c>
      <c r="K63" s="60">
        <f>IF('Expenses Summary'!$T11="","",IF('Cash Flow %s Yr1'!K58="","",'Cash Flow %s Yr1'!K58*'Expenses Summary'!$T11))+'Expenses Summary'!$T$12*'Cash Flow %s Yr1'!K58</f>
        <v>0</v>
      </c>
      <c r="L63" s="60">
        <f>IF('Expenses Summary'!$T11="","",IF('Cash Flow %s Yr1'!L58="","",'Cash Flow %s Yr1'!L58*'Expenses Summary'!$T11))+'Expenses Summary'!$T$12*'Cash Flow %s Yr1'!L58</f>
        <v>0</v>
      </c>
      <c r="M63" s="60">
        <f>IF('Expenses Summary'!$T11="","",IF('Cash Flow %s Yr1'!M58="","",'Cash Flow %s Yr1'!M58*'Expenses Summary'!$T11))+'Expenses Summary'!$T$12*'Cash Flow %s Yr1'!M58</f>
        <v>0</v>
      </c>
      <c r="N63" s="60">
        <f>IF('Expenses Summary'!$T11="","",IF('Cash Flow %s Yr1'!N58="","",'Cash Flow %s Yr1'!N58*'Expenses Summary'!$T11))+'Expenses Summary'!$T$12*'Cash Flow %s Yr1'!N58</f>
        <v>0</v>
      </c>
      <c r="O63" s="60">
        <f>IF('Expenses Summary'!$T11="","",IF('Cash Flow %s Yr1'!O58="","",'Cash Flow %s Yr1'!O58*'Expenses Summary'!$T11))+'Expenses Summary'!$T$12*'Cash Flow %s Yr1'!O58</f>
        <v>0</v>
      </c>
      <c r="P63" s="123"/>
      <c r="Q63" s="123"/>
      <c r="R63" s="123"/>
    </row>
    <row r="64" spans="1:18" x14ac:dyDescent="0.3">
      <c r="A64" s="35"/>
      <c r="B64" s="63" t="str">
        <f>'Expenses Summary'!B13</f>
        <v>1300</v>
      </c>
      <c r="C64" s="63" t="str">
        <f>'Expenses Summary'!C13</f>
        <v>Certificated Supervisor and Administrator Salaries</v>
      </c>
      <c r="D64" s="60">
        <f>IF('Expenses Summary'!$T13="","",IF('Cash Flow %s Yr1'!D59="","",'Cash Flow %s Yr1'!D59*'Expenses Summary'!$T13))</f>
        <v>5770.5750000000007</v>
      </c>
      <c r="E64" s="60">
        <f>IF('Expenses Summary'!$T13="","",IF('Cash Flow %s Yr1'!E59="","",'Cash Flow %s Yr1'!E59*'Expenses Summary'!$T13))</f>
        <v>5770.5750000000007</v>
      </c>
      <c r="F64" s="60">
        <f>IF('Expenses Summary'!$T13="","",IF('Cash Flow %s Yr1'!F59="","",'Cash Flow %s Yr1'!F59*'Expenses Summary'!$T13))</f>
        <v>5770.5750000000007</v>
      </c>
      <c r="G64" s="60">
        <f>IF('Expenses Summary'!$T13="","",IF('Cash Flow %s Yr1'!G59="","",'Cash Flow %s Yr1'!G59*'Expenses Summary'!$T13))</f>
        <v>5770.5750000000007</v>
      </c>
      <c r="H64" s="60">
        <f>IF('Expenses Summary'!$T13="","",IF('Cash Flow %s Yr1'!H59="","",'Cash Flow %s Yr1'!H59*'Expenses Summary'!$T13))</f>
        <v>5770.5750000000007</v>
      </c>
      <c r="I64" s="60">
        <f>IF('Expenses Summary'!$T13="","",IF('Cash Flow %s Yr1'!I59="","",'Cash Flow %s Yr1'!I59*'Expenses Summary'!$T13))</f>
        <v>5770.5750000000007</v>
      </c>
      <c r="J64" s="60">
        <f>IF('Expenses Summary'!$T13="","",IF('Cash Flow %s Yr1'!J59="","",'Cash Flow %s Yr1'!J59*'Expenses Summary'!$T13))</f>
        <v>5770.5750000000007</v>
      </c>
      <c r="K64" s="60">
        <f>IF('Expenses Summary'!$T13="","",IF('Cash Flow %s Yr1'!K59="","",'Cash Flow %s Yr1'!K59*'Expenses Summary'!$T13))</f>
        <v>5770.5750000000007</v>
      </c>
      <c r="L64" s="60">
        <f>IF('Expenses Summary'!$T13="","",IF('Cash Flow %s Yr1'!L59="","",'Cash Flow %s Yr1'!L59*'Expenses Summary'!$T13))</f>
        <v>5840.1</v>
      </c>
      <c r="M64" s="60">
        <f>IF('Expenses Summary'!$T13="","",IF('Cash Flow %s Yr1'!M59="","",'Cash Flow %s Yr1'!M59*'Expenses Summary'!$T13))</f>
        <v>5840.1</v>
      </c>
      <c r="N64" s="60">
        <f>IF('Expenses Summary'!$T13="","",IF('Cash Flow %s Yr1'!N59="","",'Cash Flow %s Yr1'!N59*'Expenses Summary'!$T13))</f>
        <v>5840.1</v>
      </c>
      <c r="O64" s="60">
        <f>IF('Expenses Summary'!$T13="","",IF('Cash Flow %s Yr1'!O59="","",'Cash Flow %s Yr1'!O59*'Expenses Summary'!$T13))</f>
        <v>5840.1</v>
      </c>
      <c r="P64" s="123"/>
      <c r="Q64" s="123"/>
      <c r="R64" s="123"/>
    </row>
    <row r="65" spans="1:18" x14ac:dyDescent="0.3">
      <c r="A65" s="35"/>
      <c r="B65" s="63" t="str">
        <f>'Expenses Summary'!B14</f>
        <v>1305</v>
      </c>
      <c r="C65" s="63" t="str">
        <f>'Expenses Summary'!C14</f>
        <v>Certificated Supervisor and Administrator Bonuses</v>
      </c>
      <c r="D65" s="60">
        <f>IF('Expenses Summary'!$T14="","",IF('Cash Flow %s Yr1'!D60="","",'Cash Flow %s Yr1'!D60*'Expenses Summary'!$T14))</f>
        <v>0</v>
      </c>
      <c r="E65" s="60">
        <f>IF('Expenses Summary'!$T14="","",IF('Cash Flow %s Yr1'!E60="","",'Cash Flow %s Yr1'!E60*'Expenses Summary'!$T14))</f>
        <v>0</v>
      </c>
      <c r="F65" s="60">
        <f>IF('Expenses Summary'!$T14="","",IF('Cash Flow %s Yr1'!F60="","",'Cash Flow %s Yr1'!F60*'Expenses Summary'!$T14))</f>
        <v>0</v>
      </c>
      <c r="G65" s="60">
        <f>IF('Expenses Summary'!$T14="","",IF('Cash Flow %s Yr1'!G60="","",'Cash Flow %s Yr1'!G60*'Expenses Summary'!$T14))</f>
        <v>0</v>
      </c>
      <c r="H65" s="60">
        <f>IF('Expenses Summary'!$T14="","",IF('Cash Flow %s Yr1'!H60="","",'Cash Flow %s Yr1'!H60*'Expenses Summary'!$T14))</f>
        <v>0</v>
      </c>
      <c r="I65" s="60">
        <f>IF('Expenses Summary'!$T14="","",IF('Cash Flow %s Yr1'!I60="","",'Cash Flow %s Yr1'!I60*'Expenses Summary'!$T14))</f>
        <v>0</v>
      </c>
      <c r="J65" s="60">
        <f>IF('Expenses Summary'!$T14="","",IF('Cash Flow %s Yr1'!J60="","",'Cash Flow %s Yr1'!J60*'Expenses Summary'!$T14))</f>
        <v>0</v>
      </c>
      <c r="K65" s="60">
        <f>IF('Expenses Summary'!$T14="","",IF('Cash Flow %s Yr1'!K60="","",'Cash Flow %s Yr1'!K60*'Expenses Summary'!$T14))</f>
        <v>0</v>
      </c>
      <c r="L65" s="60">
        <f>IF('Expenses Summary'!$T14="","",IF('Cash Flow %s Yr1'!L60="","",'Cash Flow %s Yr1'!L60*'Expenses Summary'!$T14))</f>
        <v>0</v>
      </c>
      <c r="M65" s="60">
        <f>IF('Expenses Summary'!$T14="","",IF('Cash Flow %s Yr1'!M60="","",'Cash Flow %s Yr1'!M60*'Expenses Summary'!$T14))</f>
        <v>0</v>
      </c>
      <c r="N65" s="60">
        <f>IF('Expenses Summary'!$T14="","",IF('Cash Flow %s Yr1'!N60="","",'Cash Flow %s Yr1'!N60*'Expenses Summary'!$T14))</f>
        <v>0</v>
      </c>
      <c r="O65" s="60">
        <f>IF('Expenses Summary'!$T14="","",IF('Cash Flow %s Yr1'!O60="","",'Cash Flow %s Yr1'!O60*'Expenses Summary'!$T14))</f>
        <v>0</v>
      </c>
      <c r="P65" s="123"/>
      <c r="Q65" s="123"/>
      <c r="R65" s="123"/>
    </row>
    <row r="66" spans="1:18" x14ac:dyDescent="0.3">
      <c r="A66" s="35"/>
      <c r="B66" s="63" t="str">
        <f>'Expenses Summary'!B15</f>
        <v>1900</v>
      </c>
      <c r="C66" s="63" t="str">
        <f>'Expenses Summary'!C15</f>
        <v>Other Certificated Salaries</v>
      </c>
      <c r="D66" s="60">
        <f>IF('Expenses Summary'!$T15="","",IF('Cash Flow %s Yr1'!D61="","",'Cash Flow %s Yr1'!D61*'Expenses Summary'!$T15))</f>
        <v>0</v>
      </c>
      <c r="E66" s="60">
        <f>IF('Expenses Summary'!$T15="","",IF('Cash Flow %s Yr1'!E61="","",'Cash Flow %s Yr1'!E61*'Expenses Summary'!$T15))</f>
        <v>0</v>
      </c>
      <c r="F66" s="60">
        <f>IF('Expenses Summary'!$T15="","",IF('Cash Flow %s Yr1'!F61="","",'Cash Flow %s Yr1'!F61*'Expenses Summary'!$T15))</f>
        <v>0</v>
      </c>
      <c r="G66" s="60">
        <f>IF('Expenses Summary'!$T15="","",IF('Cash Flow %s Yr1'!G61="","",'Cash Flow %s Yr1'!G61*'Expenses Summary'!$T15))</f>
        <v>0</v>
      </c>
      <c r="H66" s="60">
        <f>IF('Expenses Summary'!$T15="","",IF('Cash Flow %s Yr1'!H61="","",'Cash Flow %s Yr1'!H61*'Expenses Summary'!$T15))</f>
        <v>0</v>
      </c>
      <c r="I66" s="60">
        <f>IF('Expenses Summary'!$T15="","",IF('Cash Flow %s Yr1'!I61="","",'Cash Flow %s Yr1'!I61*'Expenses Summary'!$T15))</f>
        <v>0</v>
      </c>
      <c r="J66" s="60">
        <f>IF('Expenses Summary'!$T15="","",IF('Cash Flow %s Yr1'!J61="","",'Cash Flow %s Yr1'!J61*'Expenses Summary'!$T15))</f>
        <v>0</v>
      </c>
      <c r="K66" s="60">
        <f>IF('Expenses Summary'!$T15="","",IF('Cash Flow %s Yr1'!K61="","",'Cash Flow %s Yr1'!K61*'Expenses Summary'!$T15))</f>
        <v>0</v>
      </c>
      <c r="L66" s="60">
        <f>IF('Expenses Summary'!$T15="","",IF('Cash Flow %s Yr1'!L61="","",'Cash Flow %s Yr1'!L61*'Expenses Summary'!$T15))</f>
        <v>0</v>
      </c>
      <c r="M66" s="60">
        <f>IF('Expenses Summary'!$T15="","",IF('Cash Flow %s Yr1'!M61="","",'Cash Flow %s Yr1'!M61*'Expenses Summary'!$T15))</f>
        <v>0</v>
      </c>
      <c r="N66" s="60">
        <f>IF('Expenses Summary'!$T15="","",IF('Cash Flow %s Yr1'!N61="","",'Cash Flow %s Yr1'!N61*'Expenses Summary'!$T15))</f>
        <v>0</v>
      </c>
      <c r="O66" s="60">
        <f>IF('Expenses Summary'!$T15="","",IF('Cash Flow %s Yr1'!O61="","",'Cash Flow %s Yr1'!O61*'Expenses Summary'!$T15))</f>
        <v>0</v>
      </c>
      <c r="P66" s="123"/>
      <c r="Q66" s="123"/>
      <c r="R66" s="123"/>
    </row>
    <row r="67" spans="1:18" x14ac:dyDescent="0.3">
      <c r="A67" s="35"/>
      <c r="B67" s="63" t="str">
        <f>'Expenses Summary'!B16</f>
        <v>1910</v>
      </c>
      <c r="C67" s="63" t="str">
        <f>'Expenses Summary'!C16</f>
        <v>Other Certificated Overtime</v>
      </c>
      <c r="D67" s="60">
        <f>IF('Expenses Summary'!$T16="","",IF('Cash Flow %s Yr1'!D62="","",'Cash Flow %s Yr1'!D62*'Expenses Summary'!$T16))</f>
        <v>0</v>
      </c>
      <c r="E67" s="60">
        <f>IF('Expenses Summary'!$T16="","",IF('Cash Flow %s Yr1'!E62="","",'Cash Flow %s Yr1'!E62*'Expenses Summary'!$T16))</f>
        <v>0</v>
      </c>
      <c r="F67" s="60">
        <f>IF('Expenses Summary'!$T16="","",IF('Cash Flow %s Yr1'!F62="","",'Cash Flow %s Yr1'!F62*'Expenses Summary'!$T16))</f>
        <v>0</v>
      </c>
      <c r="G67" s="60">
        <f>IF('Expenses Summary'!$T16="","",IF('Cash Flow %s Yr1'!G62="","",'Cash Flow %s Yr1'!G62*'Expenses Summary'!$T16))</f>
        <v>0</v>
      </c>
      <c r="H67" s="60">
        <f>IF('Expenses Summary'!$T16="","",IF('Cash Flow %s Yr1'!H62="","",'Cash Flow %s Yr1'!H62*'Expenses Summary'!$T16))</f>
        <v>0</v>
      </c>
      <c r="I67" s="60">
        <f>IF('Expenses Summary'!$T16="","",IF('Cash Flow %s Yr1'!I62="","",'Cash Flow %s Yr1'!I62*'Expenses Summary'!$T16))</f>
        <v>0</v>
      </c>
      <c r="J67" s="60">
        <f>IF('Expenses Summary'!$T16="","",IF('Cash Flow %s Yr1'!J62="","",'Cash Flow %s Yr1'!J62*'Expenses Summary'!$T16))</f>
        <v>0</v>
      </c>
      <c r="K67" s="60">
        <f>IF('Expenses Summary'!$T16="","",IF('Cash Flow %s Yr1'!K62="","",'Cash Flow %s Yr1'!K62*'Expenses Summary'!$T16))</f>
        <v>0</v>
      </c>
      <c r="L67" s="60">
        <f>IF('Expenses Summary'!$T16="","",IF('Cash Flow %s Yr1'!L62="","",'Cash Flow %s Yr1'!L62*'Expenses Summary'!$T16))</f>
        <v>0</v>
      </c>
      <c r="M67" s="60">
        <f>IF('Expenses Summary'!$T16="","",IF('Cash Flow %s Yr1'!M62="","",'Cash Flow %s Yr1'!M62*'Expenses Summary'!$T16))</f>
        <v>0</v>
      </c>
      <c r="N67" s="60">
        <f>IF('Expenses Summary'!$T16="","",IF('Cash Flow %s Yr1'!N62="","",'Cash Flow %s Yr1'!N62*'Expenses Summary'!$T16))</f>
        <v>0</v>
      </c>
      <c r="O67" s="60">
        <f>IF('Expenses Summary'!$T16="","",IF('Cash Flow %s Yr1'!O62="","",'Cash Flow %s Yr1'!O62*'Expenses Summary'!$T16))</f>
        <v>0</v>
      </c>
      <c r="P67" s="123"/>
      <c r="Q67" s="123"/>
      <c r="R67" s="123"/>
    </row>
    <row r="68" spans="1:18" x14ac:dyDescent="0.3">
      <c r="A68" s="35"/>
      <c r="B68" s="35" t="s">
        <v>555</v>
      </c>
      <c r="C68" s="33" t="s">
        <v>720</v>
      </c>
      <c r="D68" s="165">
        <f t="shared" ref="D68:I68" si="4">IF(SUM(D59:D67)&gt;0,SUM(D59:D67),"")</f>
        <v>10050.348600000001</v>
      </c>
      <c r="E68" s="165">
        <f t="shared" si="4"/>
        <v>16470.009000000002</v>
      </c>
      <c r="F68" s="165">
        <f t="shared" si="4"/>
        <v>27169.443000000003</v>
      </c>
      <c r="G68" s="165">
        <f t="shared" si="4"/>
        <v>27169.443000000003</v>
      </c>
      <c r="H68" s="165">
        <f t="shared" si="4"/>
        <v>27169.443000000003</v>
      </c>
      <c r="I68" s="165">
        <f t="shared" si="4"/>
        <v>32394.443000000003</v>
      </c>
      <c r="J68" s="165">
        <f t="shared" ref="J68:P68" si="5">IF(SUM(J59:J67)&gt;0,SUM(J59:J67),"")</f>
        <v>27169.443000000003</v>
      </c>
      <c r="K68" s="165">
        <f t="shared" si="5"/>
        <v>27169.443000000003</v>
      </c>
      <c r="L68" s="165">
        <f t="shared" si="5"/>
        <v>27238.968000000001</v>
      </c>
      <c r="M68" s="165">
        <f t="shared" si="5"/>
        <v>27238.968000000001</v>
      </c>
      <c r="N68" s="165">
        <f t="shared" si="5"/>
        <v>27238.968000000001</v>
      </c>
      <c r="O68" s="165">
        <f t="shared" si="5"/>
        <v>17484.760399999999</v>
      </c>
      <c r="P68" s="165" t="str">
        <f t="shared" si="5"/>
        <v/>
      </c>
      <c r="Q68" s="121"/>
      <c r="R68" s="121"/>
    </row>
    <row r="69" spans="1:18" s="30" customFormat="1" x14ac:dyDescent="0.3">
      <c r="A69" s="35"/>
      <c r="B69" s="39"/>
      <c r="C69" s="3"/>
      <c r="D69" s="124"/>
      <c r="E69" s="124"/>
      <c r="F69" s="124"/>
      <c r="G69" s="124"/>
      <c r="H69" s="124"/>
      <c r="I69" s="124"/>
      <c r="J69" s="124"/>
      <c r="K69" s="124"/>
      <c r="L69" s="124"/>
      <c r="M69" s="124"/>
      <c r="N69" s="124"/>
      <c r="O69" s="124"/>
      <c r="P69" s="124"/>
      <c r="Q69" s="124"/>
      <c r="R69" s="124"/>
    </row>
    <row r="70" spans="1:18" s="30" customFormat="1" x14ac:dyDescent="0.3">
      <c r="B70" s="5" t="s">
        <v>733</v>
      </c>
      <c r="C70" s="3"/>
      <c r="D70" s="124"/>
      <c r="E70" s="124"/>
      <c r="F70" s="124"/>
      <c r="G70" s="124"/>
      <c r="H70" s="124"/>
      <c r="I70" s="124"/>
      <c r="J70" s="124"/>
      <c r="K70" s="124"/>
      <c r="L70" s="124"/>
      <c r="M70" s="124"/>
      <c r="N70" s="124"/>
      <c r="O70" s="124"/>
      <c r="P70" s="124"/>
      <c r="Q70" s="124"/>
      <c r="R70" s="124"/>
    </row>
    <row r="71" spans="1:18" s="30" customFormat="1" x14ac:dyDescent="0.3">
      <c r="A71" s="35"/>
      <c r="B71" s="63" t="str">
        <f>'Expenses Summary'!B20</f>
        <v>2100</v>
      </c>
      <c r="C71" s="63" t="str">
        <f>'Expenses Summary'!C20</f>
        <v>Instructional Aide Salaries</v>
      </c>
      <c r="D71" s="60">
        <f>IF('Expenses Summary'!$T20="","",IF('Cash Flow %s Yr1'!D66="","",'Cash Flow %s Yr1'!D66*'Expenses Summary'!$T20))</f>
        <v>0</v>
      </c>
      <c r="E71" s="60">
        <f>IF('Expenses Summary'!$T20="","",IF('Cash Flow %s Yr1'!E66="","",'Cash Flow %s Yr1'!E66*'Expenses Summary'!$T20))</f>
        <v>6335.5815000000002</v>
      </c>
      <c r="F71" s="60">
        <f>IF('Expenses Summary'!$T20="","",IF('Cash Flow %s Yr1'!F66="","",'Cash Flow %s Yr1'!F66*'Expenses Summary'!$T20))</f>
        <v>12671.163</v>
      </c>
      <c r="G71" s="60">
        <f>IF('Expenses Summary'!$T20="","",IF('Cash Flow %s Yr1'!G66="","",'Cash Flow %s Yr1'!G66*'Expenses Summary'!$T20))</f>
        <v>12671.163</v>
      </c>
      <c r="H71" s="60">
        <f>IF('Expenses Summary'!$T20="","",IF('Cash Flow %s Yr1'!H66="","",'Cash Flow %s Yr1'!H66*'Expenses Summary'!$T20))</f>
        <v>12671.163</v>
      </c>
      <c r="I71" s="60">
        <f>IF('Expenses Summary'!$T20="","",IF('Cash Flow %s Yr1'!I66="","",'Cash Flow %s Yr1'!I66*'Expenses Summary'!$T20))</f>
        <v>12671.163</v>
      </c>
      <c r="J71" s="60">
        <f>IF('Expenses Summary'!$T20="","",IF('Cash Flow %s Yr1'!J66="","",'Cash Flow %s Yr1'!J66*'Expenses Summary'!$T20))</f>
        <v>12671.163</v>
      </c>
      <c r="K71" s="60">
        <f>IF('Expenses Summary'!$T20="","",IF('Cash Flow %s Yr1'!K66="","",'Cash Flow %s Yr1'!K66*'Expenses Summary'!$T20))</f>
        <v>12671.163</v>
      </c>
      <c r="L71" s="60">
        <f>IF('Expenses Summary'!$T20="","",IF('Cash Flow %s Yr1'!L66="","",'Cash Flow %s Yr1'!L66*'Expenses Summary'!$T20))</f>
        <v>12671.163</v>
      </c>
      <c r="M71" s="60">
        <f>IF('Expenses Summary'!$T20="","",IF('Cash Flow %s Yr1'!M66="","",'Cash Flow %s Yr1'!M66*'Expenses Summary'!$T20))</f>
        <v>12671.163</v>
      </c>
      <c r="N71" s="60">
        <f>IF('Expenses Summary'!$T20="","",IF('Cash Flow %s Yr1'!N66="","",'Cash Flow %s Yr1'!N66*'Expenses Summary'!$T20))</f>
        <v>12671.163</v>
      </c>
      <c r="O71" s="60">
        <f>IF('Expenses Summary'!$T20="","",IF('Cash Flow %s Yr1'!O66="","",'Cash Flow %s Yr1'!O66*'Expenses Summary'!$T20))</f>
        <v>6335.5815000000002</v>
      </c>
      <c r="P71" s="123"/>
      <c r="Q71" s="123"/>
      <c r="R71" s="123"/>
    </row>
    <row r="72" spans="1:18" s="30" customFormat="1" x14ac:dyDescent="0.3">
      <c r="A72" s="35"/>
      <c r="B72" s="63" t="str">
        <f>'Expenses Summary'!B21</f>
        <v>2110</v>
      </c>
      <c r="C72" s="63" t="str">
        <f>'Expenses Summary'!C21</f>
        <v>Instructional Aide Overtime</v>
      </c>
      <c r="D72" s="60">
        <f>IF('Expenses Summary'!$T21="","",IF('Cash Flow %s Yr1'!D67="","",'Cash Flow %s Yr1'!D67*'Expenses Summary'!$T21))</f>
        <v>0</v>
      </c>
      <c r="E72" s="60">
        <f>IF('Expenses Summary'!$T21="","",IF('Cash Flow %s Yr1'!E67="","",'Cash Flow %s Yr1'!E67*'Expenses Summary'!$T21))</f>
        <v>0</v>
      </c>
      <c r="F72" s="60">
        <f>IF('Expenses Summary'!$T21="","",IF('Cash Flow %s Yr1'!F67="","",'Cash Flow %s Yr1'!F67*'Expenses Summary'!$T21))</f>
        <v>69.3</v>
      </c>
      <c r="G72" s="60">
        <f>IF('Expenses Summary'!$T21="","",IF('Cash Flow %s Yr1'!G67="","",'Cash Flow %s Yr1'!G67*'Expenses Summary'!$T21))</f>
        <v>69.3</v>
      </c>
      <c r="H72" s="60">
        <f>IF('Expenses Summary'!$T21="","",IF('Cash Flow %s Yr1'!H67="","",'Cash Flow %s Yr1'!H67*'Expenses Summary'!$T21))</f>
        <v>69.3</v>
      </c>
      <c r="I72" s="60">
        <f>IF('Expenses Summary'!$T21="","",IF('Cash Flow %s Yr1'!I67="","",'Cash Flow %s Yr1'!I67*'Expenses Summary'!$T21))</f>
        <v>69.3</v>
      </c>
      <c r="J72" s="60">
        <f>IF('Expenses Summary'!$T21="","",IF('Cash Flow %s Yr1'!J67="","",'Cash Flow %s Yr1'!J67*'Expenses Summary'!$T21))</f>
        <v>69.3</v>
      </c>
      <c r="K72" s="60">
        <f>IF('Expenses Summary'!$T21="","",IF('Cash Flow %s Yr1'!K67="","",'Cash Flow %s Yr1'!K67*'Expenses Summary'!$T21))</f>
        <v>69.3</v>
      </c>
      <c r="L72" s="60">
        <f>IF('Expenses Summary'!$T21="","",IF('Cash Flow %s Yr1'!L67="","",'Cash Flow %s Yr1'!L67*'Expenses Summary'!$T21))</f>
        <v>69.3</v>
      </c>
      <c r="M72" s="60">
        <f>IF('Expenses Summary'!$T21="","",IF('Cash Flow %s Yr1'!M67="","",'Cash Flow %s Yr1'!M67*'Expenses Summary'!$T21))</f>
        <v>69.3</v>
      </c>
      <c r="N72" s="60">
        <f>IF('Expenses Summary'!$T21="","",IF('Cash Flow %s Yr1'!N67="","",'Cash Flow %s Yr1'!N67*'Expenses Summary'!$T21))</f>
        <v>69.3</v>
      </c>
      <c r="O72" s="60">
        <f>IF('Expenses Summary'!$T21="","",IF('Cash Flow %s Yr1'!O67="","",'Cash Flow %s Yr1'!O67*'Expenses Summary'!$T21))</f>
        <v>69.3</v>
      </c>
      <c r="P72" s="123"/>
      <c r="Q72" s="123"/>
      <c r="R72" s="123"/>
    </row>
    <row r="73" spans="1:18" s="30" customFormat="1" x14ac:dyDescent="0.3">
      <c r="A73" s="35"/>
      <c r="B73" s="63" t="str">
        <f>'Expenses Summary'!B22</f>
        <v>2200</v>
      </c>
      <c r="C73" s="63" t="str">
        <f>'Expenses Summary'!C22</f>
        <v>Classified Support Salaries</v>
      </c>
      <c r="D73" s="60">
        <f>IF('Expenses Summary'!$T22="","",IF('Cash Flow %s Yr1'!D68="","",'Cash Flow %s Yr1'!D68*'Expenses Summary'!$T22))</f>
        <v>0</v>
      </c>
      <c r="E73" s="60">
        <f>IF('Expenses Summary'!$T22="","",IF('Cash Flow %s Yr1'!E68="","",'Cash Flow %s Yr1'!E68*'Expenses Summary'!$T22))</f>
        <v>1384.5775000000001</v>
      </c>
      <c r="F73" s="60">
        <f>IF('Expenses Summary'!$T22="","",IF('Cash Flow %s Yr1'!F68="","",'Cash Flow %s Yr1'!F68*'Expenses Summary'!$T22))</f>
        <v>2769.1550000000002</v>
      </c>
      <c r="G73" s="60">
        <f>IF('Expenses Summary'!$T22="","",IF('Cash Flow %s Yr1'!G68="","",'Cash Flow %s Yr1'!G68*'Expenses Summary'!$T22))</f>
        <v>2769.1550000000002</v>
      </c>
      <c r="H73" s="60">
        <f>IF('Expenses Summary'!$T22="","",IF('Cash Flow %s Yr1'!H68="","",'Cash Flow %s Yr1'!H68*'Expenses Summary'!$T22))</f>
        <v>2769.1550000000002</v>
      </c>
      <c r="I73" s="60">
        <f>IF('Expenses Summary'!$T22="","",IF('Cash Flow %s Yr1'!I68="","",'Cash Flow %s Yr1'!I68*'Expenses Summary'!$T22))</f>
        <v>2769.1550000000002</v>
      </c>
      <c r="J73" s="60">
        <f>IF('Expenses Summary'!$T22="","",IF('Cash Flow %s Yr1'!J68="","",'Cash Flow %s Yr1'!J68*'Expenses Summary'!$T22))</f>
        <v>2769.1550000000002</v>
      </c>
      <c r="K73" s="60">
        <f>IF('Expenses Summary'!$T22="","",IF('Cash Flow %s Yr1'!K68="","",'Cash Flow %s Yr1'!K68*'Expenses Summary'!$T22))</f>
        <v>2769.1550000000002</v>
      </c>
      <c r="L73" s="60">
        <f>IF('Expenses Summary'!$T22="","",IF('Cash Flow %s Yr1'!L68="","",'Cash Flow %s Yr1'!L68*'Expenses Summary'!$T22))</f>
        <v>2769.1550000000002</v>
      </c>
      <c r="M73" s="60">
        <f>IF('Expenses Summary'!$T22="","",IF('Cash Flow %s Yr1'!M68="","",'Cash Flow %s Yr1'!M68*'Expenses Summary'!$T22))</f>
        <v>2769.1550000000002</v>
      </c>
      <c r="N73" s="60">
        <f>IF('Expenses Summary'!$T22="","",IF('Cash Flow %s Yr1'!N68="","",'Cash Flow %s Yr1'!N68*'Expenses Summary'!$T22))</f>
        <v>2769.1550000000002</v>
      </c>
      <c r="O73" s="60">
        <f>IF('Expenses Summary'!$T22="","",IF('Cash Flow %s Yr1'!O68="","",'Cash Flow %s Yr1'!O68*'Expenses Summary'!$T22))</f>
        <v>1384.5775000000001</v>
      </c>
      <c r="P73" s="123"/>
      <c r="Q73" s="123"/>
      <c r="R73" s="123"/>
    </row>
    <row r="74" spans="1:18" s="30" customFormat="1" x14ac:dyDescent="0.3">
      <c r="A74" s="35"/>
      <c r="B74" s="63" t="str">
        <f>'Expenses Summary'!B23</f>
        <v>2210</v>
      </c>
      <c r="C74" s="63" t="str">
        <f>'Expenses Summary'!C23</f>
        <v>Classified Support Overtime</v>
      </c>
      <c r="D74" s="60">
        <f>IF('Expenses Summary'!$T23="","",IF('Cash Flow %s Yr1'!D69="","",'Cash Flow %s Yr1'!D69*'Expenses Summary'!$T23))</f>
        <v>0</v>
      </c>
      <c r="E74" s="60">
        <f>IF('Expenses Summary'!$T23="","",IF('Cash Flow %s Yr1'!E69="","",'Cash Flow %s Yr1'!E69*'Expenses Summary'!$T23))</f>
        <v>0</v>
      </c>
      <c r="F74" s="60">
        <f>IF('Expenses Summary'!$T23="","",IF('Cash Flow %s Yr1'!F69="","",'Cash Flow %s Yr1'!F69*'Expenses Summary'!$T23))</f>
        <v>0</v>
      </c>
      <c r="G74" s="60">
        <f>IF('Expenses Summary'!$T23="","",IF('Cash Flow %s Yr1'!G69="","",'Cash Flow %s Yr1'!G69*'Expenses Summary'!$T23))</f>
        <v>0</v>
      </c>
      <c r="H74" s="60">
        <f>IF('Expenses Summary'!$T23="","",IF('Cash Flow %s Yr1'!H69="","",'Cash Flow %s Yr1'!H69*'Expenses Summary'!$T23))</f>
        <v>0</v>
      </c>
      <c r="I74" s="60">
        <f>IF('Expenses Summary'!$T23="","",IF('Cash Flow %s Yr1'!I69="","",'Cash Flow %s Yr1'!I69*'Expenses Summary'!$T23))</f>
        <v>0</v>
      </c>
      <c r="J74" s="60">
        <f>IF('Expenses Summary'!$T23="","",IF('Cash Flow %s Yr1'!J69="","",'Cash Flow %s Yr1'!J69*'Expenses Summary'!$T23))</f>
        <v>0</v>
      </c>
      <c r="K74" s="60">
        <f>IF('Expenses Summary'!$T23="","",IF('Cash Flow %s Yr1'!K69="","",'Cash Flow %s Yr1'!K69*'Expenses Summary'!$T23))</f>
        <v>0</v>
      </c>
      <c r="L74" s="60">
        <f>IF('Expenses Summary'!$T23="","",IF('Cash Flow %s Yr1'!L69="","",'Cash Flow %s Yr1'!L69*'Expenses Summary'!$T23))</f>
        <v>0</v>
      </c>
      <c r="M74" s="60">
        <f>IF('Expenses Summary'!$T23="","",IF('Cash Flow %s Yr1'!M69="","",'Cash Flow %s Yr1'!M69*'Expenses Summary'!$T23))</f>
        <v>0</v>
      </c>
      <c r="N74" s="60">
        <f>IF('Expenses Summary'!$T23="","",IF('Cash Flow %s Yr1'!N69="","",'Cash Flow %s Yr1'!N69*'Expenses Summary'!$T23))</f>
        <v>0</v>
      </c>
      <c r="O74" s="60">
        <f>IF('Expenses Summary'!$T23="","",IF('Cash Flow %s Yr1'!O69="","",'Cash Flow %s Yr1'!O69*'Expenses Summary'!$T23))</f>
        <v>0</v>
      </c>
      <c r="P74" s="123"/>
      <c r="Q74" s="123"/>
      <c r="R74" s="123"/>
    </row>
    <row r="75" spans="1:18" s="30" customFormat="1" x14ac:dyDescent="0.3">
      <c r="A75" s="35"/>
      <c r="B75" s="63" t="str">
        <f>'Expenses Summary'!B24</f>
        <v>2300</v>
      </c>
      <c r="C75" s="63" t="str">
        <f>'Expenses Summary'!C24</f>
        <v>Classified Supervisor and Administrator Salaries</v>
      </c>
      <c r="D75" s="60">
        <f>IF('Expenses Summary'!$T24="","",IF('Cash Flow %s Yr1'!D70="","",'Cash Flow %s Yr1'!D70*'Expenses Summary'!$T24))</f>
        <v>0</v>
      </c>
      <c r="E75" s="60">
        <f>IF('Expenses Summary'!$T24="","",IF('Cash Flow %s Yr1'!E70="","",'Cash Flow %s Yr1'!E70*'Expenses Summary'!$T24))</f>
        <v>0</v>
      </c>
      <c r="F75" s="60">
        <f>IF('Expenses Summary'!$T24="","",IF('Cash Flow %s Yr1'!F70="","",'Cash Flow %s Yr1'!F70*'Expenses Summary'!$T24))</f>
        <v>0</v>
      </c>
      <c r="G75" s="60">
        <f>IF('Expenses Summary'!$T24="","",IF('Cash Flow %s Yr1'!G70="","",'Cash Flow %s Yr1'!G70*'Expenses Summary'!$T24))</f>
        <v>0</v>
      </c>
      <c r="H75" s="60">
        <f>IF('Expenses Summary'!$T24="","",IF('Cash Flow %s Yr1'!H70="","",'Cash Flow %s Yr1'!H70*'Expenses Summary'!$T24))</f>
        <v>0</v>
      </c>
      <c r="I75" s="60">
        <f>IF('Expenses Summary'!$T24="","",IF('Cash Flow %s Yr1'!I70="","",'Cash Flow %s Yr1'!I70*'Expenses Summary'!$T24))</f>
        <v>0</v>
      </c>
      <c r="J75" s="60">
        <f>IF('Expenses Summary'!$T24="","",IF('Cash Flow %s Yr1'!J70="","",'Cash Flow %s Yr1'!J70*'Expenses Summary'!$T24))</f>
        <v>0</v>
      </c>
      <c r="K75" s="60">
        <f>IF('Expenses Summary'!$T24="","",IF('Cash Flow %s Yr1'!K70="","",'Cash Flow %s Yr1'!K70*'Expenses Summary'!$T24))</f>
        <v>0</v>
      </c>
      <c r="L75" s="60">
        <f>IF('Expenses Summary'!$T24="","",IF('Cash Flow %s Yr1'!L70="","",'Cash Flow %s Yr1'!L70*'Expenses Summary'!$T24))</f>
        <v>0</v>
      </c>
      <c r="M75" s="60">
        <f>IF('Expenses Summary'!$T24="","",IF('Cash Flow %s Yr1'!M70="","",'Cash Flow %s Yr1'!M70*'Expenses Summary'!$T24))</f>
        <v>0</v>
      </c>
      <c r="N75" s="60">
        <f>IF('Expenses Summary'!$T24="","",IF('Cash Flow %s Yr1'!N70="","",'Cash Flow %s Yr1'!N70*'Expenses Summary'!$T24))</f>
        <v>0</v>
      </c>
      <c r="O75" s="60">
        <f>IF('Expenses Summary'!$T24="","",IF('Cash Flow %s Yr1'!O70="","",'Cash Flow %s Yr1'!O70*'Expenses Summary'!$T24))</f>
        <v>0</v>
      </c>
      <c r="P75" s="123"/>
      <c r="Q75" s="123"/>
      <c r="R75" s="123"/>
    </row>
    <row r="76" spans="1:18" s="30" customFormat="1" x14ac:dyDescent="0.3">
      <c r="A76" s="35"/>
      <c r="B76" s="63" t="str">
        <f>'Expenses Summary'!B25</f>
        <v>2400</v>
      </c>
      <c r="C76" s="63" t="str">
        <f>'Expenses Summary'!C25</f>
        <v>Clerical, Technical, and Office Staff Salaries</v>
      </c>
      <c r="D76" s="60">
        <f>IF('Expenses Summary'!$T25="","",IF('Cash Flow %s Yr1'!D71="","",'Cash Flow %s Yr1'!D71*'Expenses Summary'!$T25))</f>
        <v>2289.9522380000003</v>
      </c>
      <c r="E76" s="60">
        <f>IF('Expenses Summary'!$T25="","",IF('Cash Flow %s Yr1'!E71="","",'Cash Flow %s Yr1'!E71*'Expenses Summary'!$T25))</f>
        <v>2289.9522380000003</v>
      </c>
      <c r="F76" s="60">
        <f>IF('Expenses Summary'!$T25="","",IF('Cash Flow %s Yr1'!F71="","",'Cash Flow %s Yr1'!F71*'Expenses Summary'!$T25))</f>
        <v>2289.9522380000003</v>
      </c>
      <c r="G76" s="60">
        <f>IF('Expenses Summary'!$T25="","",IF('Cash Flow %s Yr1'!G71="","",'Cash Flow %s Yr1'!G71*'Expenses Summary'!$T25))</f>
        <v>2289.9522380000003</v>
      </c>
      <c r="H76" s="60">
        <f>IF('Expenses Summary'!$T25="","",IF('Cash Flow %s Yr1'!H71="","",'Cash Flow %s Yr1'!H71*'Expenses Summary'!$T25))</f>
        <v>2289.9522380000003</v>
      </c>
      <c r="I76" s="60">
        <f>IF('Expenses Summary'!$T25="","",IF('Cash Flow %s Yr1'!I71="","",'Cash Flow %s Yr1'!I71*'Expenses Summary'!$T25))</f>
        <v>2289.9522380000003</v>
      </c>
      <c r="J76" s="60">
        <f>IF('Expenses Summary'!$T25="","",IF('Cash Flow %s Yr1'!J71="","",'Cash Flow %s Yr1'!J71*'Expenses Summary'!$T25))</f>
        <v>2289.9522380000003</v>
      </c>
      <c r="K76" s="60">
        <f>IF('Expenses Summary'!$T25="","",IF('Cash Flow %s Yr1'!K71="","",'Cash Flow %s Yr1'!K71*'Expenses Summary'!$T25))</f>
        <v>2289.9522380000003</v>
      </c>
      <c r="L76" s="60">
        <f>IF('Expenses Summary'!$T25="","",IF('Cash Flow %s Yr1'!L71="","",'Cash Flow %s Yr1'!L71*'Expenses Summary'!$T25))</f>
        <v>2317.5420240000003</v>
      </c>
      <c r="M76" s="60">
        <f>IF('Expenses Summary'!$T25="","",IF('Cash Flow %s Yr1'!M71="","",'Cash Flow %s Yr1'!M71*'Expenses Summary'!$T25))</f>
        <v>2317.5420240000003</v>
      </c>
      <c r="N76" s="60">
        <f>IF('Expenses Summary'!$T25="","",IF('Cash Flow %s Yr1'!N71="","",'Cash Flow %s Yr1'!N71*'Expenses Summary'!$T25))</f>
        <v>2317.5420240000003</v>
      </c>
      <c r="O76" s="60">
        <f>IF('Expenses Summary'!$T25="","",IF('Cash Flow %s Yr1'!O71="","",'Cash Flow %s Yr1'!O71*'Expenses Summary'!$T25))</f>
        <v>2317.5420240000003</v>
      </c>
      <c r="P76" s="123"/>
      <c r="Q76" s="123"/>
      <c r="R76" s="123"/>
    </row>
    <row r="77" spans="1:18" s="30" customFormat="1" x14ac:dyDescent="0.3">
      <c r="A77" s="35"/>
      <c r="B77" s="63" t="str">
        <f>'Expenses Summary'!B26</f>
        <v>2410</v>
      </c>
      <c r="C77" s="63" t="str">
        <f>'Expenses Summary'!C26</f>
        <v>Clerical, Technical, and Office Staff Overtime</v>
      </c>
      <c r="D77" s="60">
        <f>IF('Expenses Summary'!$T26="","",IF('Cash Flow %s Yr1'!D72="","",'Cash Flow %s Yr1'!D72*'Expenses Summary'!$T26))</f>
        <v>0</v>
      </c>
      <c r="E77" s="60">
        <f>IF('Expenses Summary'!$T26="","",IF('Cash Flow %s Yr1'!E72="","",'Cash Flow %s Yr1'!E72*'Expenses Summary'!$T26))</f>
        <v>0</v>
      </c>
      <c r="F77" s="60">
        <f>IF('Expenses Summary'!$T26="","",IF('Cash Flow %s Yr1'!F72="","",'Cash Flow %s Yr1'!F72*'Expenses Summary'!$T26))</f>
        <v>0</v>
      </c>
      <c r="G77" s="60">
        <f>IF('Expenses Summary'!$T26="","",IF('Cash Flow %s Yr1'!G72="","",'Cash Flow %s Yr1'!G72*'Expenses Summary'!$T26))</f>
        <v>0</v>
      </c>
      <c r="H77" s="60">
        <f>IF('Expenses Summary'!$T26="","",IF('Cash Flow %s Yr1'!H72="","",'Cash Flow %s Yr1'!H72*'Expenses Summary'!$T26))</f>
        <v>0</v>
      </c>
      <c r="I77" s="60">
        <f>IF('Expenses Summary'!$T26="","",IF('Cash Flow %s Yr1'!I72="","",'Cash Flow %s Yr1'!I72*'Expenses Summary'!$T26))</f>
        <v>0</v>
      </c>
      <c r="J77" s="60">
        <f>IF('Expenses Summary'!$T26="","",IF('Cash Flow %s Yr1'!J72="","",'Cash Flow %s Yr1'!J72*'Expenses Summary'!$T26))</f>
        <v>0</v>
      </c>
      <c r="K77" s="60">
        <f>IF('Expenses Summary'!$T26="","",IF('Cash Flow %s Yr1'!K72="","",'Cash Flow %s Yr1'!K72*'Expenses Summary'!$T26))</f>
        <v>0</v>
      </c>
      <c r="L77" s="60">
        <f>IF('Expenses Summary'!$T26="","",IF('Cash Flow %s Yr1'!L72="","",'Cash Flow %s Yr1'!L72*'Expenses Summary'!$T26))</f>
        <v>0</v>
      </c>
      <c r="M77" s="60">
        <f>IF('Expenses Summary'!$T26="","",IF('Cash Flow %s Yr1'!M72="","",'Cash Flow %s Yr1'!M72*'Expenses Summary'!$T26))</f>
        <v>0</v>
      </c>
      <c r="N77" s="60">
        <f>IF('Expenses Summary'!$T26="","",IF('Cash Flow %s Yr1'!N72="","",'Cash Flow %s Yr1'!N72*'Expenses Summary'!$T26))</f>
        <v>0</v>
      </c>
      <c r="O77" s="60">
        <f>IF('Expenses Summary'!$T26="","",IF('Cash Flow %s Yr1'!O72="","",'Cash Flow %s Yr1'!O72*'Expenses Summary'!$T26))</f>
        <v>0</v>
      </c>
      <c r="P77" s="123"/>
      <c r="Q77" s="123"/>
      <c r="R77" s="123"/>
    </row>
    <row r="78" spans="1:18" s="30" customFormat="1" x14ac:dyDescent="0.3">
      <c r="A78" s="35"/>
      <c r="B78" s="63" t="str">
        <f>'Expenses Summary'!B27</f>
        <v>2900</v>
      </c>
      <c r="C78" s="63" t="str">
        <f>'Expenses Summary'!C27</f>
        <v>Other Classified Salaries</v>
      </c>
      <c r="D78" s="60">
        <f>IF('Expenses Summary'!$T27="","",IF('Cash Flow %s Yr1'!D73="","",'Cash Flow %s Yr1'!D73*'Expenses Summary'!$T27))</f>
        <v>0</v>
      </c>
      <c r="E78" s="60">
        <f>IF('Expenses Summary'!$T27="","",IF('Cash Flow %s Yr1'!E73="","",'Cash Flow %s Yr1'!E73*'Expenses Summary'!$T27))</f>
        <v>0</v>
      </c>
      <c r="F78" s="60">
        <f>IF('Expenses Summary'!$T27="","",IF('Cash Flow %s Yr1'!F73="","",'Cash Flow %s Yr1'!F73*'Expenses Summary'!$T27))</f>
        <v>0</v>
      </c>
      <c r="G78" s="60">
        <f>IF('Expenses Summary'!$T27="","",IF('Cash Flow %s Yr1'!G73="","",'Cash Flow %s Yr1'!G73*'Expenses Summary'!$T27))</f>
        <v>0</v>
      </c>
      <c r="H78" s="60">
        <f>IF('Expenses Summary'!$T27="","",IF('Cash Flow %s Yr1'!H73="","",'Cash Flow %s Yr1'!H73*'Expenses Summary'!$T27))</f>
        <v>0</v>
      </c>
      <c r="I78" s="60">
        <f>IF('Expenses Summary'!$T27="","",IF('Cash Flow %s Yr1'!I73="","",'Cash Flow %s Yr1'!I73*'Expenses Summary'!$T27))</f>
        <v>0</v>
      </c>
      <c r="J78" s="60">
        <f>IF('Expenses Summary'!$T27="","",IF('Cash Flow %s Yr1'!J73="","",'Cash Flow %s Yr1'!J73*'Expenses Summary'!$T27))</f>
        <v>0</v>
      </c>
      <c r="K78" s="60">
        <f>IF('Expenses Summary'!$T27="","",IF('Cash Flow %s Yr1'!K73="","",'Cash Flow %s Yr1'!K73*'Expenses Summary'!$T27))</f>
        <v>0</v>
      </c>
      <c r="L78" s="60">
        <f>IF('Expenses Summary'!$T27="","",IF('Cash Flow %s Yr1'!L73="","",'Cash Flow %s Yr1'!L73*'Expenses Summary'!$T27))</f>
        <v>0</v>
      </c>
      <c r="M78" s="60">
        <f>IF('Expenses Summary'!$T27="","",IF('Cash Flow %s Yr1'!M73="","",'Cash Flow %s Yr1'!M73*'Expenses Summary'!$T27))</f>
        <v>0</v>
      </c>
      <c r="N78" s="60">
        <f>IF('Expenses Summary'!$T27="","",IF('Cash Flow %s Yr1'!N73="","",'Cash Flow %s Yr1'!N73*'Expenses Summary'!$T27))</f>
        <v>0</v>
      </c>
      <c r="O78" s="60">
        <f>IF('Expenses Summary'!$T27="","",IF('Cash Flow %s Yr1'!O73="","",'Cash Flow %s Yr1'!O73*'Expenses Summary'!$T27))</f>
        <v>0</v>
      </c>
      <c r="P78" s="123"/>
      <c r="Q78" s="123"/>
      <c r="R78" s="123"/>
    </row>
    <row r="79" spans="1:18" s="30" customFormat="1" x14ac:dyDescent="0.3">
      <c r="A79" s="35"/>
      <c r="B79" s="63" t="str">
        <f>'Expenses Summary'!B28</f>
        <v>2905</v>
      </c>
      <c r="C79" s="63" t="str">
        <f>'Expenses Summary'!C28</f>
        <v>Other Stipends</v>
      </c>
      <c r="D79" s="60">
        <f>IF('Expenses Summary'!$T28="","",IF('Cash Flow %s Yr1'!D74="","",'Cash Flow %s Yr1'!D74*'Expenses Summary'!$T28))</f>
        <v>0</v>
      </c>
      <c r="E79" s="60">
        <f>IF('Expenses Summary'!$T28="","",IF('Cash Flow %s Yr1'!E74="","",'Cash Flow %s Yr1'!E74*'Expenses Summary'!$T28))</f>
        <v>0</v>
      </c>
      <c r="F79" s="60">
        <f>IF('Expenses Summary'!$T28="","",IF('Cash Flow %s Yr1'!F74="","",'Cash Flow %s Yr1'!F74*'Expenses Summary'!$T28))</f>
        <v>0</v>
      </c>
      <c r="G79" s="60">
        <f>IF('Expenses Summary'!$T28="","",IF('Cash Flow %s Yr1'!G74="","",'Cash Flow %s Yr1'!G74*'Expenses Summary'!$T28))</f>
        <v>0</v>
      </c>
      <c r="H79" s="60">
        <f>IF('Expenses Summary'!$T28="","",IF('Cash Flow %s Yr1'!H74="","",'Cash Flow %s Yr1'!H74*'Expenses Summary'!$T28))</f>
        <v>0</v>
      </c>
      <c r="I79" s="60">
        <f>IF('Expenses Summary'!$T28="","",IF('Cash Flow %s Yr1'!I74="","",'Cash Flow %s Yr1'!I74*'Expenses Summary'!$T28))</f>
        <v>0</v>
      </c>
      <c r="J79" s="60">
        <f>IF('Expenses Summary'!$T28="","",IF('Cash Flow %s Yr1'!J74="","",'Cash Flow %s Yr1'!J74*'Expenses Summary'!$T28))</f>
        <v>0</v>
      </c>
      <c r="K79" s="60">
        <f>IF('Expenses Summary'!$T28="","",IF('Cash Flow %s Yr1'!K74="","",'Cash Flow %s Yr1'!K74*'Expenses Summary'!$T28))</f>
        <v>0</v>
      </c>
      <c r="L79" s="60">
        <f>IF('Expenses Summary'!$T28="","",IF('Cash Flow %s Yr1'!L74="","",'Cash Flow %s Yr1'!L74*'Expenses Summary'!$T28))</f>
        <v>0</v>
      </c>
      <c r="M79" s="60">
        <f>IF('Expenses Summary'!$T28="","",IF('Cash Flow %s Yr1'!M74="","",'Cash Flow %s Yr1'!M74*'Expenses Summary'!$T28))</f>
        <v>0</v>
      </c>
      <c r="N79" s="60">
        <f>IF('Expenses Summary'!$T28="","",IF('Cash Flow %s Yr1'!N74="","",'Cash Flow %s Yr1'!N74*'Expenses Summary'!$T28))</f>
        <v>0</v>
      </c>
      <c r="O79" s="60">
        <f>IF('Expenses Summary'!$T28="","",IF('Cash Flow %s Yr1'!O74="","",'Cash Flow %s Yr1'!O74*'Expenses Summary'!$T28))</f>
        <v>0</v>
      </c>
      <c r="P79" s="123"/>
      <c r="Q79" s="123"/>
      <c r="R79" s="123"/>
    </row>
    <row r="80" spans="1:18" s="30" customFormat="1" x14ac:dyDescent="0.3">
      <c r="A80" s="35"/>
      <c r="B80" s="63" t="str">
        <f>'Expenses Summary'!B29</f>
        <v>2910</v>
      </c>
      <c r="C80" s="63" t="str">
        <f>'Expenses Summary'!C29</f>
        <v>Other Classified Overtime</v>
      </c>
      <c r="D80" s="60">
        <f>IF('Expenses Summary'!$T29="","",IF('Cash Flow %s Yr1'!D75="","",'Cash Flow %s Yr1'!D75*'Expenses Summary'!$T29))</f>
        <v>0</v>
      </c>
      <c r="E80" s="60">
        <f>IF('Expenses Summary'!$T29="","",IF('Cash Flow %s Yr1'!E75="","",'Cash Flow %s Yr1'!E75*'Expenses Summary'!$T29))</f>
        <v>0</v>
      </c>
      <c r="F80" s="60">
        <f>IF('Expenses Summary'!$T29="","",IF('Cash Flow %s Yr1'!F75="","",'Cash Flow %s Yr1'!F75*'Expenses Summary'!$T29))</f>
        <v>0</v>
      </c>
      <c r="G80" s="60">
        <f>IF('Expenses Summary'!$T29="","",IF('Cash Flow %s Yr1'!G75="","",'Cash Flow %s Yr1'!G75*'Expenses Summary'!$T29))</f>
        <v>0</v>
      </c>
      <c r="H80" s="60">
        <f>IF('Expenses Summary'!$T29="","",IF('Cash Flow %s Yr1'!H75="","",'Cash Flow %s Yr1'!H75*'Expenses Summary'!$T29))</f>
        <v>0</v>
      </c>
      <c r="I80" s="60">
        <f>IF('Expenses Summary'!$T29="","",IF('Cash Flow %s Yr1'!I75="","",'Cash Flow %s Yr1'!I75*'Expenses Summary'!$T29))</f>
        <v>0</v>
      </c>
      <c r="J80" s="60">
        <f>IF('Expenses Summary'!$T29="","",IF('Cash Flow %s Yr1'!J75="","",'Cash Flow %s Yr1'!J75*'Expenses Summary'!$T29))</f>
        <v>0</v>
      </c>
      <c r="K80" s="60">
        <f>IF('Expenses Summary'!$T29="","",IF('Cash Flow %s Yr1'!K75="","",'Cash Flow %s Yr1'!K75*'Expenses Summary'!$T29))</f>
        <v>0</v>
      </c>
      <c r="L80" s="60">
        <f>IF('Expenses Summary'!$T29="","",IF('Cash Flow %s Yr1'!L75="","",'Cash Flow %s Yr1'!L75*'Expenses Summary'!$T29))</f>
        <v>0</v>
      </c>
      <c r="M80" s="60">
        <f>IF('Expenses Summary'!$T29="","",IF('Cash Flow %s Yr1'!M75="","",'Cash Flow %s Yr1'!M75*'Expenses Summary'!$T29))</f>
        <v>0</v>
      </c>
      <c r="N80" s="60">
        <f>IF('Expenses Summary'!$T29="","",IF('Cash Flow %s Yr1'!N75="","",'Cash Flow %s Yr1'!N75*'Expenses Summary'!$T29))</f>
        <v>0</v>
      </c>
      <c r="O80" s="60">
        <f>IF('Expenses Summary'!$T29="","",IF('Cash Flow %s Yr1'!O75="","",'Cash Flow %s Yr1'!O75*'Expenses Summary'!$T29))</f>
        <v>0</v>
      </c>
      <c r="P80" s="123"/>
      <c r="Q80" s="123"/>
      <c r="R80" s="123"/>
    </row>
    <row r="81" spans="1:18" s="30" customFormat="1" x14ac:dyDescent="0.3">
      <c r="A81" s="35"/>
      <c r="B81" s="42" t="s">
        <v>737</v>
      </c>
      <c r="C81" s="33" t="s">
        <v>720</v>
      </c>
      <c r="D81" s="165">
        <f t="shared" ref="D81:I81" si="6">IF(SUM(D70:D80)&gt;0,SUM(D70:D80),"")</f>
        <v>2289.9522380000003</v>
      </c>
      <c r="E81" s="165">
        <f t="shared" si="6"/>
        <v>10010.111238000001</v>
      </c>
      <c r="F81" s="165">
        <f t="shared" si="6"/>
        <v>17799.570238</v>
      </c>
      <c r="G81" s="165">
        <f t="shared" si="6"/>
        <v>17799.570238</v>
      </c>
      <c r="H81" s="165">
        <f t="shared" si="6"/>
        <v>17799.570238</v>
      </c>
      <c r="I81" s="165">
        <f t="shared" si="6"/>
        <v>17799.570238</v>
      </c>
      <c r="J81" s="165">
        <f t="shared" ref="J81:O81" si="7">IF(SUM(J70:J80)&gt;0,SUM(J70:J80),"")</f>
        <v>17799.570238</v>
      </c>
      <c r="K81" s="165">
        <f t="shared" si="7"/>
        <v>17799.570238</v>
      </c>
      <c r="L81" s="165">
        <f t="shared" si="7"/>
        <v>17827.160024000001</v>
      </c>
      <c r="M81" s="165">
        <f t="shared" si="7"/>
        <v>17827.160024000001</v>
      </c>
      <c r="N81" s="165">
        <f t="shared" si="7"/>
        <v>17827.160024000001</v>
      </c>
      <c r="O81" s="165">
        <f t="shared" si="7"/>
        <v>10107.001024000001</v>
      </c>
      <c r="P81" s="94"/>
      <c r="Q81" s="94"/>
      <c r="R81" s="94"/>
    </row>
    <row r="82" spans="1:18" s="30" customFormat="1" x14ac:dyDescent="0.3">
      <c r="A82" s="35"/>
      <c r="B82" s="39"/>
      <c r="C82" s="3"/>
      <c r="D82" s="96"/>
      <c r="E82" s="96"/>
      <c r="F82" s="96"/>
      <c r="G82" s="96"/>
      <c r="H82" s="96"/>
      <c r="I82" s="96"/>
      <c r="J82" s="96"/>
      <c r="K82" s="96"/>
      <c r="L82" s="96"/>
      <c r="M82" s="96"/>
      <c r="N82" s="96"/>
      <c r="O82" s="96"/>
      <c r="P82" s="96"/>
      <c r="Q82" s="96"/>
      <c r="R82" s="96"/>
    </row>
    <row r="83" spans="1:18" s="30" customFormat="1" x14ac:dyDescent="0.3">
      <c r="B83" s="33" t="s">
        <v>734</v>
      </c>
      <c r="C83" s="3"/>
      <c r="D83" s="96"/>
      <c r="E83" s="96"/>
      <c r="F83" s="96"/>
      <c r="G83" s="96"/>
      <c r="H83" s="96"/>
      <c r="I83" s="96"/>
      <c r="J83" s="96"/>
      <c r="K83" s="96"/>
      <c r="L83" s="96"/>
      <c r="M83" s="96"/>
      <c r="N83" s="96"/>
      <c r="O83" s="96"/>
      <c r="P83" s="96"/>
      <c r="Q83" s="96"/>
      <c r="R83" s="96"/>
    </row>
    <row r="84" spans="1:18" s="30" customFormat="1" x14ac:dyDescent="0.3">
      <c r="A84" s="35"/>
      <c r="B84" s="63" t="str">
        <f>'Expenses Summary'!B33</f>
        <v>3101</v>
      </c>
      <c r="C84" s="63" t="str">
        <f>'Expenses Summary'!C33</f>
        <v>State Teachers' Retirement System, certificated positions</v>
      </c>
      <c r="D84" s="60">
        <f>IF('Expenses Summary'!$T33="","",IF('Cash Flow %s Yr1'!D79="","",'Cash Flow %s Yr1'!D79*'Expenses Summary'!$T33))</f>
        <v>1012.0489496000001</v>
      </c>
      <c r="E84" s="60">
        <f>IF('Expenses Summary'!$T33="","",IF('Cash Flow %s Yr1'!E79="","",'Cash Flow %s Yr1'!E79*'Expenses Summary'!$T33))</f>
        <v>2530.1223740000005</v>
      </c>
      <c r="F84" s="60">
        <f>IF('Expenses Summary'!$T33="","",IF('Cash Flow %s Yr1'!F79="","",'Cash Flow %s Yr1'!F79*'Expenses Summary'!$T33))</f>
        <v>5060.244748000001</v>
      </c>
      <c r="G84" s="60">
        <f>IF('Expenses Summary'!$T33="","",IF('Cash Flow %s Yr1'!G79="","",'Cash Flow %s Yr1'!G79*'Expenses Summary'!$T33))</f>
        <v>5060.244748000001</v>
      </c>
      <c r="H84" s="60">
        <f>IF('Expenses Summary'!$T33="","",IF('Cash Flow %s Yr1'!H79="","",'Cash Flow %s Yr1'!H79*'Expenses Summary'!$T33))</f>
        <v>5060.244748000001</v>
      </c>
      <c r="I84" s="60">
        <f>IF('Expenses Summary'!$T33="","",IF('Cash Flow %s Yr1'!I79="","",'Cash Flow %s Yr1'!I79*'Expenses Summary'!$T33))</f>
        <v>5060.244748000001</v>
      </c>
      <c r="J84" s="60">
        <f>IF('Expenses Summary'!$T33="","",IF('Cash Flow %s Yr1'!J79="","",'Cash Flow %s Yr1'!J79*'Expenses Summary'!$T33))</f>
        <v>5060.244748000001</v>
      </c>
      <c r="K84" s="60">
        <f>IF('Expenses Summary'!$T33="","",IF('Cash Flow %s Yr1'!K79="","",'Cash Flow %s Yr1'!K79*'Expenses Summary'!$T33))</f>
        <v>5060.244748000001</v>
      </c>
      <c r="L84" s="60">
        <f>IF('Expenses Summary'!$T33="","",IF('Cash Flow %s Yr1'!L79="","",'Cash Flow %s Yr1'!L79*'Expenses Summary'!$T33))</f>
        <v>5060.244748000001</v>
      </c>
      <c r="M84" s="60">
        <f>IF('Expenses Summary'!$T33="","",IF('Cash Flow %s Yr1'!M79="","",'Cash Flow %s Yr1'!M79*'Expenses Summary'!$T33))</f>
        <v>5060.244748000001</v>
      </c>
      <c r="N84" s="60">
        <f>IF('Expenses Summary'!$T33="","",IF('Cash Flow %s Yr1'!N79="","",'Cash Flow %s Yr1'!N79*'Expenses Summary'!$T33))</f>
        <v>5060.244748000001</v>
      </c>
      <c r="O84" s="60">
        <f>IF('Expenses Summary'!$T33="","",IF('Cash Flow %s Yr1'!O79="","",'Cash Flow %s Yr1'!O79*'Expenses Summary'!$T33))</f>
        <v>1518.0734244</v>
      </c>
      <c r="P84" s="123"/>
      <c r="Q84" s="123"/>
      <c r="R84" s="123"/>
    </row>
    <row r="85" spans="1:18" s="30" customFormat="1" x14ac:dyDescent="0.3">
      <c r="A85" s="35"/>
      <c r="B85" s="63" t="str">
        <f>'Expenses Summary'!B34</f>
        <v>3202</v>
      </c>
      <c r="C85" s="63" t="str">
        <f>'Expenses Summary'!C34</f>
        <v>Public Employees' Retirement System, classified positions</v>
      </c>
      <c r="D85" s="60">
        <f>IF('Expenses Summary'!$T34="","",IF('Cash Flow %s Yr1'!D80="","",'Cash Flow %s Yr1'!D80*'Expenses Summary'!$T34))</f>
        <v>0</v>
      </c>
      <c r="E85" s="60">
        <f>IF('Expenses Summary'!$T34="","",IF('Cash Flow %s Yr1'!E80="","",'Cash Flow %s Yr1'!E80*'Expenses Summary'!$T34))</f>
        <v>0</v>
      </c>
      <c r="F85" s="60">
        <f>IF('Expenses Summary'!$T34="","",IF('Cash Flow %s Yr1'!F80="","",'Cash Flow %s Yr1'!F80*'Expenses Summary'!$T34))</f>
        <v>0</v>
      </c>
      <c r="G85" s="60">
        <f>IF('Expenses Summary'!$T34="","",IF('Cash Flow %s Yr1'!G80="","",'Cash Flow %s Yr1'!G80*'Expenses Summary'!$T34))</f>
        <v>0</v>
      </c>
      <c r="H85" s="60">
        <f>IF('Expenses Summary'!$T34="","",IF('Cash Flow %s Yr1'!H80="","",'Cash Flow %s Yr1'!H80*'Expenses Summary'!$T34))</f>
        <v>0</v>
      </c>
      <c r="I85" s="60">
        <f>IF('Expenses Summary'!$T34="","",IF('Cash Flow %s Yr1'!I80="","",'Cash Flow %s Yr1'!I80*'Expenses Summary'!$T34))</f>
        <v>0</v>
      </c>
      <c r="J85" s="60">
        <f>IF('Expenses Summary'!$T34="","",IF('Cash Flow %s Yr1'!J80="","",'Cash Flow %s Yr1'!J80*'Expenses Summary'!$T34))</f>
        <v>0</v>
      </c>
      <c r="K85" s="60">
        <f>IF('Expenses Summary'!$T34="","",IF('Cash Flow %s Yr1'!K80="","",'Cash Flow %s Yr1'!K80*'Expenses Summary'!$T34))</f>
        <v>0</v>
      </c>
      <c r="L85" s="60">
        <f>IF('Expenses Summary'!$T34="","",IF('Cash Flow %s Yr1'!L80="","",'Cash Flow %s Yr1'!L80*'Expenses Summary'!$T34))</f>
        <v>0</v>
      </c>
      <c r="M85" s="60">
        <f>IF('Expenses Summary'!$T34="","",IF('Cash Flow %s Yr1'!M80="","",'Cash Flow %s Yr1'!M80*'Expenses Summary'!$T34))</f>
        <v>0</v>
      </c>
      <c r="N85" s="60">
        <f>IF('Expenses Summary'!$T34="","",IF('Cash Flow %s Yr1'!N80="","",'Cash Flow %s Yr1'!N80*'Expenses Summary'!$T34))</f>
        <v>0</v>
      </c>
      <c r="O85" s="60">
        <f>IF('Expenses Summary'!$T34="","",IF('Cash Flow %s Yr1'!O80="","",'Cash Flow %s Yr1'!O80*'Expenses Summary'!$T34))</f>
        <v>0</v>
      </c>
      <c r="P85" s="123"/>
      <c r="Q85" s="123"/>
      <c r="R85" s="123"/>
    </row>
    <row r="86" spans="1:18" s="30" customFormat="1" x14ac:dyDescent="0.3">
      <c r="A86" s="35"/>
      <c r="B86" s="63" t="str">
        <f>'Expenses Summary'!B35</f>
        <v>3313</v>
      </c>
      <c r="C86" s="63" t="str">
        <f>'Expenses Summary'!C35</f>
        <v>OASDI</v>
      </c>
      <c r="D86" s="60">
        <f>IF('Expenses Summary'!$T35="","",IF('Cash Flow %s Yr1'!D81="","",'Cash Flow %s Yr1'!D81*'Expenses Summary'!$T35))</f>
        <v>1054.4390861249999</v>
      </c>
      <c r="E86" s="60">
        <f>IF('Expenses Summary'!$T35="","",IF('Cash Flow %s Yr1'!E81="","",'Cash Flow %s Yr1'!E81*'Expenses Summary'!$T35))</f>
        <v>1054.4390861249999</v>
      </c>
      <c r="F86" s="60">
        <f>IF('Expenses Summary'!$T35="","",IF('Cash Flow %s Yr1'!F81="","",'Cash Flow %s Yr1'!F81*'Expenses Summary'!$T35))</f>
        <v>1054.4390861249999</v>
      </c>
      <c r="G86" s="60">
        <f>IF('Expenses Summary'!$T35="","",IF('Cash Flow %s Yr1'!G81="","",'Cash Flow %s Yr1'!G81*'Expenses Summary'!$T35))</f>
        <v>1054.4390861249999</v>
      </c>
      <c r="H86" s="60">
        <f>IF('Expenses Summary'!$T35="","",IF('Cash Flow %s Yr1'!H81="","",'Cash Flow %s Yr1'!H81*'Expenses Summary'!$T35))</f>
        <v>1054.4390861249999</v>
      </c>
      <c r="I86" s="60">
        <f>IF('Expenses Summary'!$T35="","",IF('Cash Flow %s Yr1'!I81="","",'Cash Flow %s Yr1'!I81*'Expenses Summary'!$T35))</f>
        <v>1054.4390861249999</v>
      </c>
      <c r="J86" s="60">
        <f>IF('Expenses Summary'!$T35="","",IF('Cash Flow %s Yr1'!J81="","",'Cash Flow %s Yr1'!J81*'Expenses Summary'!$T35))</f>
        <v>1054.4390861249999</v>
      </c>
      <c r="K86" s="60">
        <f>IF('Expenses Summary'!$T35="","",IF('Cash Flow %s Yr1'!K81="","",'Cash Flow %s Yr1'!K81*'Expenses Summary'!$T35))</f>
        <v>1054.4390861249999</v>
      </c>
      <c r="L86" s="60">
        <f>IF('Expenses Summary'!$T35="","",IF('Cash Flow %s Yr1'!L81="","",'Cash Flow %s Yr1'!L81*'Expenses Summary'!$T35))</f>
        <v>1067.1431714999999</v>
      </c>
      <c r="M86" s="60">
        <f>IF('Expenses Summary'!$T35="","",IF('Cash Flow %s Yr1'!M81="","",'Cash Flow %s Yr1'!M81*'Expenses Summary'!$T35))</f>
        <v>1067.1431714999999</v>
      </c>
      <c r="N86" s="60">
        <f>IF('Expenses Summary'!$T35="","",IF('Cash Flow %s Yr1'!N81="","",'Cash Flow %s Yr1'!N81*'Expenses Summary'!$T35))</f>
        <v>1067.1431714999999</v>
      </c>
      <c r="O86" s="60">
        <f>IF('Expenses Summary'!$T35="","",IF('Cash Flow %s Yr1'!O81="","",'Cash Flow %s Yr1'!O81*'Expenses Summary'!$T35))</f>
        <v>1067.1431714999999</v>
      </c>
      <c r="P86" s="123"/>
      <c r="Q86" s="123"/>
      <c r="R86" s="123"/>
    </row>
    <row r="87" spans="1:18" s="30" customFormat="1" x14ac:dyDescent="0.3">
      <c r="A87" s="35"/>
      <c r="B87" s="63" t="str">
        <f>'Expenses Summary'!B36</f>
        <v>3323</v>
      </c>
      <c r="C87" s="63" t="str">
        <f>'Expenses Summary'!C36</f>
        <v>Medicare</v>
      </c>
      <c r="D87" s="60">
        <f>IF('Expenses Summary'!$T36="","",IF('Cash Flow %s Yr1'!D82="","",'Cash Flow %s Yr1'!D82*'Expenses Summary'!$T36))</f>
        <v>563.47827396100013</v>
      </c>
      <c r="E87" s="60">
        <f>IF('Expenses Summary'!$T36="","",IF('Cash Flow %s Yr1'!E82="","",'Cash Flow %s Yr1'!E82*'Expenses Summary'!$T36))</f>
        <v>563.47827396100013</v>
      </c>
      <c r="F87" s="60">
        <f>IF('Expenses Summary'!$T36="","",IF('Cash Flow %s Yr1'!F82="","",'Cash Flow %s Yr1'!F82*'Expenses Summary'!$T36))</f>
        <v>563.47827396100013</v>
      </c>
      <c r="G87" s="60">
        <f>IF('Expenses Summary'!$T36="","",IF('Cash Flow %s Yr1'!G82="","",'Cash Flow %s Yr1'!G82*'Expenses Summary'!$T36))</f>
        <v>563.47827396100013</v>
      </c>
      <c r="H87" s="60">
        <f>IF('Expenses Summary'!$T36="","",IF('Cash Flow %s Yr1'!H82="","",'Cash Flow %s Yr1'!H82*'Expenses Summary'!$T36))</f>
        <v>563.47827396100013</v>
      </c>
      <c r="I87" s="60">
        <f>IF('Expenses Summary'!$T36="","",IF('Cash Flow %s Yr1'!I82="","",'Cash Flow %s Yr1'!I82*'Expenses Summary'!$T36))</f>
        <v>563.47827396100013</v>
      </c>
      <c r="J87" s="60">
        <f>IF('Expenses Summary'!$T36="","",IF('Cash Flow %s Yr1'!J82="","",'Cash Flow %s Yr1'!J82*'Expenses Summary'!$T36))</f>
        <v>563.47827396100013</v>
      </c>
      <c r="K87" s="60">
        <f>IF('Expenses Summary'!$T36="","",IF('Cash Flow %s Yr1'!K82="","",'Cash Flow %s Yr1'!K82*'Expenses Summary'!$T36))</f>
        <v>563.47827396100013</v>
      </c>
      <c r="L87" s="60">
        <f>IF('Expenses Summary'!$T36="","",IF('Cash Flow %s Yr1'!L82="","",'Cash Flow %s Yr1'!L82*'Expenses Summary'!$T36))</f>
        <v>570.26716882800019</v>
      </c>
      <c r="M87" s="60">
        <f>IF('Expenses Summary'!$T36="","",IF('Cash Flow %s Yr1'!M82="","",'Cash Flow %s Yr1'!M82*'Expenses Summary'!$T36))</f>
        <v>570.26716882800019</v>
      </c>
      <c r="N87" s="60">
        <f>IF('Expenses Summary'!$T36="","",IF('Cash Flow %s Yr1'!N82="","",'Cash Flow %s Yr1'!N82*'Expenses Summary'!$T36))</f>
        <v>570.26716882800019</v>
      </c>
      <c r="O87" s="60">
        <f>IF('Expenses Summary'!$T36="","",IF('Cash Flow %s Yr1'!O82="","",'Cash Flow %s Yr1'!O82*'Expenses Summary'!$T36))</f>
        <v>570.26716882800019</v>
      </c>
      <c r="P87" s="123"/>
      <c r="Q87" s="123"/>
      <c r="R87" s="123"/>
    </row>
    <row r="88" spans="1:18" s="30" customFormat="1" x14ac:dyDescent="0.3">
      <c r="A88" s="35"/>
      <c r="B88" s="63" t="str">
        <f>'Expenses Summary'!B37</f>
        <v>3403</v>
      </c>
      <c r="C88" s="63" t="str">
        <f>'Expenses Summary'!C37</f>
        <v>Health &amp; Welfare Benefits</v>
      </c>
      <c r="D88" s="60">
        <f>IF('Expenses Summary'!$T37="","",IF('Cash Flow %s Yr1'!D83="","",'Cash Flow %s Yr1'!D83*'Expenses Summary'!$T37))</f>
        <v>4433.8600000000006</v>
      </c>
      <c r="E88" s="60">
        <f>IF('Expenses Summary'!$T37="","",IF('Cash Flow %s Yr1'!E83="","",'Cash Flow %s Yr1'!E83*'Expenses Summary'!$T37))</f>
        <v>4433.8600000000006</v>
      </c>
      <c r="F88" s="60">
        <f>IF('Expenses Summary'!$T37="","",IF('Cash Flow %s Yr1'!F83="","",'Cash Flow %s Yr1'!F83*'Expenses Summary'!$T37))</f>
        <v>4433.8600000000006</v>
      </c>
      <c r="G88" s="60">
        <f>IF('Expenses Summary'!$T37="","",IF('Cash Flow %s Yr1'!G83="","",'Cash Flow %s Yr1'!G83*'Expenses Summary'!$T37))</f>
        <v>4433.8600000000006</v>
      </c>
      <c r="H88" s="60">
        <f>IF('Expenses Summary'!$T37="","",IF('Cash Flow %s Yr1'!H83="","",'Cash Flow %s Yr1'!H83*'Expenses Summary'!$T37))</f>
        <v>4433.8600000000006</v>
      </c>
      <c r="I88" s="60">
        <f>IF('Expenses Summary'!$T37="","",IF('Cash Flow %s Yr1'!I83="","",'Cash Flow %s Yr1'!I83*'Expenses Summary'!$T37))</f>
        <v>4433.8600000000006</v>
      </c>
      <c r="J88" s="60">
        <f>IF('Expenses Summary'!$T37="","",IF('Cash Flow %s Yr1'!J83="","",'Cash Flow %s Yr1'!J83*'Expenses Summary'!$T37))</f>
        <v>4433.8600000000006</v>
      </c>
      <c r="K88" s="60">
        <f>IF('Expenses Summary'!$T37="","",IF('Cash Flow %s Yr1'!K83="","",'Cash Flow %s Yr1'!K83*'Expenses Summary'!$T37))</f>
        <v>4433.8600000000006</v>
      </c>
      <c r="L88" s="60">
        <f>IF('Expenses Summary'!$T37="","",IF('Cash Flow %s Yr1'!L83="","",'Cash Flow %s Yr1'!L83*'Expenses Summary'!$T37))</f>
        <v>4487.2800000000007</v>
      </c>
      <c r="M88" s="60">
        <f>IF('Expenses Summary'!$T37="","",IF('Cash Flow %s Yr1'!M83="","",'Cash Flow %s Yr1'!M83*'Expenses Summary'!$T37))</f>
        <v>4487.2800000000007</v>
      </c>
      <c r="N88" s="60">
        <f>IF('Expenses Summary'!$T37="","",IF('Cash Flow %s Yr1'!N83="","",'Cash Flow %s Yr1'!N83*'Expenses Summary'!$T37))</f>
        <v>4487.2800000000007</v>
      </c>
      <c r="O88" s="60">
        <f>IF('Expenses Summary'!$T37="","",IF('Cash Flow %s Yr1'!O83="","",'Cash Flow %s Yr1'!O83*'Expenses Summary'!$T37))</f>
        <v>4487.2800000000007</v>
      </c>
      <c r="P88" s="123"/>
      <c r="Q88" s="123"/>
      <c r="R88" s="123"/>
    </row>
    <row r="89" spans="1:18" s="30" customFormat="1" x14ac:dyDescent="0.3">
      <c r="A89" s="35"/>
      <c r="B89" s="63" t="str">
        <f>'Expenses Summary'!B38</f>
        <v>3503</v>
      </c>
      <c r="C89" s="63" t="str">
        <f>'Expenses Summary'!C38</f>
        <v>State Unemployment Insurance</v>
      </c>
      <c r="D89" s="60">
        <f>IF('Expenses Summary'!$T38="","",IF('Cash Flow %s Yr1'!D84="","",'Cash Flow %s Yr1'!D84*'Expenses Summary'!$T38))</f>
        <v>531.20000000000005</v>
      </c>
      <c r="E89" s="60">
        <f>IF('Expenses Summary'!$T38="","",IF('Cash Flow %s Yr1'!E84="","",'Cash Flow %s Yr1'!E84*'Expenses Summary'!$T38))</f>
        <v>531.20000000000005</v>
      </c>
      <c r="F89" s="60">
        <f>IF('Expenses Summary'!$T38="","",IF('Cash Flow %s Yr1'!F84="","",'Cash Flow %s Yr1'!F84*'Expenses Summary'!$T38))</f>
        <v>531.20000000000005</v>
      </c>
      <c r="G89" s="60">
        <f>IF('Expenses Summary'!$T38="","",IF('Cash Flow %s Yr1'!G84="","",'Cash Flow %s Yr1'!G84*'Expenses Summary'!$T38))</f>
        <v>531.20000000000005</v>
      </c>
      <c r="H89" s="60">
        <f>IF('Expenses Summary'!$T38="","",IF('Cash Flow %s Yr1'!H84="","",'Cash Flow %s Yr1'!H84*'Expenses Summary'!$T38))</f>
        <v>531.20000000000005</v>
      </c>
      <c r="I89" s="60">
        <f>IF('Expenses Summary'!$T38="","",IF('Cash Flow %s Yr1'!I84="","",'Cash Flow %s Yr1'!I84*'Expenses Summary'!$T38))</f>
        <v>531.20000000000005</v>
      </c>
      <c r="J89" s="60">
        <f>IF('Expenses Summary'!$T38="","",IF('Cash Flow %s Yr1'!J84="","",'Cash Flow %s Yr1'!J84*'Expenses Summary'!$T38))</f>
        <v>531.20000000000005</v>
      </c>
      <c r="K89" s="60">
        <f>IF('Expenses Summary'!$T38="","",IF('Cash Flow %s Yr1'!K84="","",'Cash Flow %s Yr1'!K84*'Expenses Summary'!$T38))</f>
        <v>531.20000000000005</v>
      </c>
      <c r="L89" s="60">
        <f>IF('Expenses Summary'!$T38="","",IF('Cash Flow %s Yr1'!L84="","",'Cash Flow %s Yr1'!L84*'Expenses Summary'!$T38))</f>
        <v>537.6</v>
      </c>
      <c r="M89" s="60">
        <f>IF('Expenses Summary'!$T38="","",IF('Cash Flow %s Yr1'!M84="","",'Cash Flow %s Yr1'!M84*'Expenses Summary'!$T38))</f>
        <v>537.6</v>
      </c>
      <c r="N89" s="60">
        <f>IF('Expenses Summary'!$T38="","",IF('Cash Flow %s Yr1'!N84="","",'Cash Flow %s Yr1'!N84*'Expenses Summary'!$T38))</f>
        <v>537.6</v>
      </c>
      <c r="O89" s="60">
        <f>IF('Expenses Summary'!$T38="","",IF('Cash Flow %s Yr1'!O84="","",'Cash Flow %s Yr1'!O84*'Expenses Summary'!$T38))</f>
        <v>537.6</v>
      </c>
      <c r="P89" s="123"/>
      <c r="Q89" s="123"/>
      <c r="R89" s="123"/>
    </row>
    <row r="90" spans="1:18" s="30" customFormat="1" x14ac:dyDescent="0.3">
      <c r="A90" s="35"/>
      <c r="B90" s="63" t="str">
        <f>'Expenses Summary'!B39</f>
        <v>3603</v>
      </c>
      <c r="C90" s="63" t="str">
        <f>'Expenses Summary'!C39</f>
        <v>Worker Compensation Insurance</v>
      </c>
      <c r="D90" s="60">
        <f>IF('Expenses Summary'!$T39="","",IF('Cash Flow %s Yr1'!D85="","",'Cash Flow %s Yr1'!D85*'Expenses Summary'!$T39))</f>
        <v>822.53000000000009</v>
      </c>
      <c r="E90" s="60">
        <f>IF('Expenses Summary'!$T39="","",IF('Cash Flow %s Yr1'!E85="","",'Cash Flow %s Yr1'!E85*'Expenses Summary'!$T39))</f>
        <v>822.53000000000009</v>
      </c>
      <c r="F90" s="60">
        <f>IF('Expenses Summary'!$T39="","",IF('Cash Flow %s Yr1'!F85="","",'Cash Flow %s Yr1'!F85*'Expenses Summary'!$T39))</f>
        <v>822.53000000000009</v>
      </c>
      <c r="G90" s="60">
        <f>IF('Expenses Summary'!$T39="","",IF('Cash Flow %s Yr1'!G85="","",'Cash Flow %s Yr1'!G85*'Expenses Summary'!$T39))</f>
        <v>822.53000000000009</v>
      </c>
      <c r="H90" s="60">
        <f>IF('Expenses Summary'!$T39="","",IF('Cash Flow %s Yr1'!H85="","",'Cash Flow %s Yr1'!H85*'Expenses Summary'!$T39))</f>
        <v>822.53000000000009</v>
      </c>
      <c r="I90" s="60">
        <f>IF('Expenses Summary'!$T39="","",IF('Cash Flow %s Yr1'!I85="","",'Cash Flow %s Yr1'!I85*'Expenses Summary'!$T39))</f>
        <v>822.53000000000009</v>
      </c>
      <c r="J90" s="60">
        <f>IF('Expenses Summary'!$T39="","",IF('Cash Flow %s Yr1'!J85="","",'Cash Flow %s Yr1'!J85*'Expenses Summary'!$T39))</f>
        <v>822.53000000000009</v>
      </c>
      <c r="K90" s="60">
        <f>IF('Expenses Summary'!$T39="","",IF('Cash Flow %s Yr1'!K85="","",'Cash Flow %s Yr1'!K85*'Expenses Summary'!$T39))</f>
        <v>822.53000000000009</v>
      </c>
      <c r="L90" s="60">
        <f>IF('Expenses Summary'!$T39="","",IF('Cash Flow %s Yr1'!L85="","",'Cash Flow %s Yr1'!L85*'Expenses Summary'!$T39))</f>
        <v>832.44</v>
      </c>
      <c r="M90" s="60">
        <f>IF('Expenses Summary'!$T39="","",IF('Cash Flow %s Yr1'!M85="","",'Cash Flow %s Yr1'!M85*'Expenses Summary'!$T39))</f>
        <v>832.44</v>
      </c>
      <c r="N90" s="60">
        <f>IF('Expenses Summary'!$T39="","",IF('Cash Flow %s Yr1'!N85="","",'Cash Flow %s Yr1'!N85*'Expenses Summary'!$T39))</f>
        <v>832.44</v>
      </c>
      <c r="O90" s="60">
        <f>IF('Expenses Summary'!$T39="","",IF('Cash Flow %s Yr1'!O85="","",'Cash Flow %s Yr1'!O85*'Expenses Summary'!$T39))</f>
        <v>832.44</v>
      </c>
      <c r="P90" s="123"/>
      <c r="Q90" s="123"/>
      <c r="R90" s="123"/>
    </row>
    <row r="91" spans="1:18" s="30" customFormat="1" x14ac:dyDescent="0.3">
      <c r="A91" s="35"/>
      <c r="B91" s="63" t="str">
        <f>'Expenses Summary'!B40</f>
        <v>3703</v>
      </c>
      <c r="C91" s="63" t="str">
        <f>'Expenses Summary'!C40</f>
        <v>Other Post Employement Benefits</v>
      </c>
      <c r="D91" s="60">
        <f>IF('Expenses Summary'!$T40="","",IF('Cash Flow %s Yr1'!D86="","",'Cash Flow %s Yr1'!D86*'Expenses Summary'!$T40))</f>
        <v>0</v>
      </c>
      <c r="E91" s="60">
        <f>IF('Expenses Summary'!$T40="","",IF('Cash Flow %s Yr1'!E86="","",'Cash Flow %s Yr1'!E86*'Expenses Summary'!$T40))</f>
        <v>0</v>
      </c>
      <c r="F91" s="60">
        <f>IF('Expenses Summary'!$T40="","",IF('Cash Flow %s Yr1'!F86="","",'Cash Flow %s Yr1'!F86*'Expenses Summary'!$T40))</f>
        <v>0</v>
      </c>
      <c r="G91" s="60">
        <f>IF('Expenses Summary'!$T40="","",IF('Cash Flow %s Yr1'!G86="","",'Cash Flow %s Yr1'!G86*'Expenses Summary'!$T40))</f>
        <v>0</v>
      </c>
      <c r="H91" s="60">
        <f>IF('Expenses Summary'!$T40="","",IF('Cash Flow %s Yr1'!H86="","",'Cash Flow %s Yr1'!H86*'Expenses Summary'!$T40))</f>
        <v>0</v>
      </c>
      <c r="I91" s="60">
        <f>IF('Expenses Summary'!$T40="","",IF('Cash Flow %s Yr1'!I86="","",'Cash Flow %s Yr1'!I86*'Expenses Summary'!$T40))</f>
        <v>0</v>
      </c>
      <c r="J91" s="60">
        <f>IF('Expenses Summary'!$T40="","",IF('Cash Flow %s Yr1'!J86="","",'Cash Flow %s Yr1'!J86*'Expenses Summary'!$T40))</f>
        <v>0</v>
      </c>
      <c r="K91" s="60">
        <f>IF('Expenses Summary'!$T40="","",IF('Cash Flow %s Yr1'!K86="","",'Cash Flow %s Yr1'!K86*'Expenses Summary'!$T40))</f>
        <v>0</v>
      </c>
      <c r="L91" s="60">
        <f>IF('Expenses Summary'!$T40="","",IF('Cash Flow %s Yr1'!L86="","",'Cash Flow %s Yr1'!L86*'Expenses Summary'!$T40))</f>
        <v>0</v>
      </c>
      <c r="M91" s="60">
        <f>IF('Expenses Summary'!$T40="","",IF('Cash Flow %s Yr1'!M86="","",'Cash Flow %s Yr1'!M86*'Expenses Summary'!$T40))</f>
        <v>0</v>
      </c>
      <c r="N91" s="60">
        <f>IF('Expenses Summary'!$T40="","",IF('Cash Flow %s Yr1'!N86="","",'Cash Flow %s Yr1'!N86*'Expenses Summary'!$T40))</f>
        <v>0</v>
      </c>
      <c r="O91" s="60">
        <f>IF('Expenses Summary'!$T40="","",IF('Cash Flow %s Yr1'!O86="","",'Cash Flow %s Yr1'!O86*'Expenses Summary'!$T40))</f>
        <v>0</v>
      </c>
      <c r="P91" s="123"/>
      <c r="Q91" s="123"/>
      <c r="R91" s="123"/>
    </row>
    <row r="92" spans="1:18" s="30" customFormat="1" x14ac:dyDescent="0.3">
      <c r="A92" s="35"/>
      <c r="B92" s="63" t="str">
        <f>'Expenses Summary'!B41</f>
        <v>3903</v>
      </c>
      <c r="C92" s="63" t="str">
        <f>'Expenses Summary'!C41</f>
        <v>Other Benefits</v>
      </c>
      <c r="D92" s="60">
        <f>IF('Expenses Summary'!$T41="","",IF('Cash Flow %s Yr1'!D87="","",'Cash Flow %s Yr1'!D87*'Expenses Summary'!$T41))</f>
        <v>0</v>
      </c>
      <c r="E92" s="60">
        <f>IF('Expenses Summary'!$T41="","",IF('Cash Flow %s Yr1'!E87="","",'Cash Flow %s Yr1'!E87*'Expenses Summary'!$T41))</f>
        <v>0</v>
      </c>
      <c r="F92" s="60">
        <f>IF('Expenses Summary'!$T41="","",IF('Cash Flow %s Yr1'!F87="","",'Cash Flow %s Yr1'!F87*'Expenses Summary'!$T41))</f>
        <v>0</v>
      </c>
      <c r="G92" s="60">
        <f>IF('Expenses Summary'!$T41="","",IF('Cash Flow %s Yr1'!G87="","",'Cash Flow %s Yr1'!G87*'Expenses Summary'!$T41))</f>
        <v>0</v>
      </c>
      <c r="H92" s="60">
        <f>IF('Expenses Summary'!$T41="","",IF('Cash Flow %s Yr1'!H87="","",'Cash Flow %s Yr1'!H87*'Expenses Summary'!$T41))</f>
        <v>0</v>
      </c>
      <c r="I92" s="60">
        <f>IF('Expenses Summary'!$T41="","",IF('Cash Flow %s Yr1'!I87="","",'Cash Flow %s Yr1'!I87*'Expenses Summary'!$T41))</f>
        <v>0</v>
      </c>
      <c r="J92" s="60">
        <f>IF('Expenses Summary'!$T41="","",IF('Cash Flow %s Yr1'!J87="","",'Cash Flow %s Yr1'!J87*'Expenses Summary'!$T41))</f>
        <v>0</v>
      </c>
      <c r="K92" s="60">
        <f>IF('Expenses Summary'!$T41="","",IF('Cash Flow %s Yr1'!K87="","",'Cash Flow %s Yr1'!K87*'Expenses Summary'!$T41))</f>
        <v>0</v>
      </c>
      <c r="L92" s="60">
        <f>IF('Expenses Summary'!$T41="","",IF('Cash Flow %s Yr1'!L87="","",'Cash Flow %s Yr1'!L87*'Expenses Summary'!$T41))</f>
        <v>0</v>
      </c>
      <c r="M92" s="60">
        <f>IF('Expenses Summary'!$T41="","",IF('Cash Flow %s Yr1'!M87="","",'Cash Flow %s Yr1'!M87*'Expenses Summary'!$T41))</f>
        <v>0</v>
      </c>
      <c r="N92" s="60">
        <f>IF('Expenses Summary'!$T41="","",IF('Cash Flow %s Yr1'!N87="","",'Cash Flow %s Yr1'!N87*'Expenses Summary'!$T41))</f>
        <v>0</v>
      </c>
      <c r="O92" s="60">
        <f>IF('Expenses Summary'!$T41="","",IF('Cash Flow %s Yr1'!O87="","",'Cash Flow %s Yr1'!O87*'Expenses Summary'!$T41))</f>
        <v>0</v>
      </c>
      <c r="P92" s="123"/>
      <c r="Q92" s="123"/>
      <c r="R92" s="123"/>
    </row>
    <row r="93" spans="1:18" s="30" customFormat="1" x14ac:dyDescent="0.3">
      <c r="A93" s="35"/>
      <c r="B93" s="42" t="s">
        <v>738</v>
      </c>
      <c r="C93" s="33" t="s">
        <v>720</v>
      </c>
      <c r="D93" s="165">
        <f t="shared" ref="D93:O93" si="8">IF(SUM(D83:D92)&gt;0,SUM(D83:D92),"")</f>
        <v>8417.5563096860005</v>
      </c>
      <c r="E93" s="165">
        <f t="shared" si="8"/>
        <v>9935.6297340860019</v>
      </c>
      <c r="F93" s="165">
        <f t="shared" si="8"/>
        <v>12465.752108086002</v>
      </c>
      <c r="G93" s="165">
        <f t="shared" si="8"/>
        <v>12465.752108086002</v>
      </c>
      <c r="H93" s="165">
        <f t="shared" si="8"/>
        <v>12465.752108086002</v>
      </c>
      <c r="I93" s="165">
        <f t="shared" si="8"/>
        <v>12465.752108086002</v>
      </c>
      <c r="J93" s="165">
        <f t="shared" si="8"/>
        <v>12465.752108086002</v>
      </c>
      <c r="K93" s="165">
        <f t="shared" si="8"/>
        <v>12465.752108086002</v>
      </c>
      <c r="L93" s="165">
        <f t="shared" si="8"/>
        <v>12554.975088328003</v>
      </c>
      <c r="M93" s="165">
        <f t="shared" si="8"/>
        <v>12554.975088328003</v>
      </c>
      <c r="N93" s="165">
        <f t="shared" si="8"/>
        <v>12554.975088328003</v>
      </c>
      <c r="O93" s="165">
        <f t="shared" si="8"/>
        <v>9012.8037647280016</v>
      </c>
      <c r="P93" s="94"/>
      <c r="Q93" s="94"/>
      <c r="R93" s="94"/>
    </row>
    <row r="94" spans="1:18" s="30" customFormat="1" x14ac:dyDescent="0.3">
      <c r="A94" s="35"/>
      <c r="B94" s="39"/>
      <c r="C94" s="1"/>
      <c r="D94" s="89"/>
      <c r="E94" s="89"/>
      <c r="F94" s="89"/>
      <c r="G94" s="89"/>
      <c r="H94" s="89"/>
      <c r="I94" s="89"/>
      <c r="J94" s="89"/>
      <c r="K94" s="89"/>
      <c r="L94" s="89"/>
      <c r="M94" s="89"/>
      <c r="N94" s="89"/>
      <c r="O94" s="89"/>
      <c r="P94" s="89"/>
      <c r="Q94" s="89"/>
      <c r="R94" s="89"/>
    </row>
    <row r="95" spans="1:18" s="30" customFormat="1" x14ac:dyDescent="0.3">
      <c r="B95" s="33" t="s">
        <v>677</v>
      </c>
      <c r="C95" s="3"/>
      <c r="D95" s="89"/>
      <c r="E95" s="89"/>
      <c r="F95" s="89"/>
      <c r="G95" s="89"/>
      <c r="H95" s="89"/>
      <c r="I95" s="89"/>
      <c r="J95" s="89"/>
      <c r="K95" s="89"/>
      <c r="L95" s="89"/>
      <c r="M95" s="89"/>
      <c r="N95" s="89"/>
      <c r="O95" s="89"/>
      <c r="P95" s="89"/>
      <c r="Q95" s="89"/>
      <c r="R95" s="89"/>
    </row>
    <row r="96" spans="1:18" s="30" customFormat="1" x14ac:dyDescent="0.3">
      <c r="A96" s="35"/>
      <c r="B96" s="133" t="str">
        <f>'Expenses Summary'!B47</f>
        <v>4100</v>
      </c>
      <c r="C96" s="133" t="str">
        <f>'Expenses Summary'!C47</f>
        <v>Approved Textbooks and Core Curricula Materials</v>
      </c>
      <c r="D96" s="60">
        <f>IF('Expenses Summary'!$T47="","",IF('Cash Flow %s Yr1'!D91="","",'Cash Flow %s Yr1'!D91*'Expenses Summary'!$T47))</f>
        <v>2063.2000000000003</v>
      </c>
      <c r="E96" s="60">
        <f>IF('Expenses Summary'!$T47="","",IF('Cash Flow %s Yr1'!E91="","",'Cash Flow %s Yr1'!E91*'Expenses Summary'!$T47))</f>
        <v>2063.2000000000003</v>
      </c>
      <c r="F96" s="60">
        <f>IF('Expenses Summary'!$T47="","",IF('Cash Flow %s Yr1'!F91="","",'Cash Flow %s Yr1'!F91*'Expenses Summary'!$T47))</f>
        <v>2063.2000000000003</v>
      </c>
      <c r="G96" s="60">
        <f>IF('Expenses Summary'!$T47="","",IF('Cash Flow %s Yr1'!G91="","",'Cash Flow %s Yr1'!G91*'Expenses Summary'!$T47))</f>
        <v>2063.2000000000003</v>
      </c>
      <c r="H96" s="60">
        <f>IF('Expenses Summary'!$T47="","",IF('Cash Flow %s Yr1'!H91="","",'Cash Flow %s Yr1'!H91*'Expenses Summary'!$T47))</f>
        <v>2063.2000000000003</v>
      </c>
      <c r="I96" s="60">
        <f>IF('Expenses Summary'!$T47="","",IF('Cash Flow %s Yr1'!I91="","",'Cash Flow %s Yr1'!I91*'Expenses Summary'!$T47))</f>
        <v>2063.2000000000003</v>
      </c>
      <c r="J96" s="60">
        <f>IF('Expenses Summary'!$T47="","",IF('Cash Flow %s Yr1'!J91="","",'Cash Flow %s Yr1'!J91*'Expenses Summary'!$T47))</f>
        <v>2063.2000000000003</v>
      </c>
      <c r="K96" s="60">
        <f>IF('Expenses Summary'!$T47="","",IF('Cash Flow %s Yr1'!K91="","",'Cash Flow %s Yr1'!K91*'Expenses Summary'!$T47))</f>
        <v>2063.2000000000003</v>
      </c>
      <c r="L96" s="60">
        <f>IF('Expenses Summary'!$T47="","",IF('Cash Flow %s Yr1'!L91="","",'Cash Flow %s Yr1'!L91*'Expenses Summary'!$T47))</f>
        <v>2063.2000000000003</v>
      </c>
      <c r="M96" s="60">
        <f>IF('Expenses Summary'!$T47="","",IF('Cash Flow %s Yr1'!M91="","",'Cash Flow %s Yr1'!M91*'Expenses Summary'!$T47))</f>
        <v>2063.2000000000003</v>
      </c>
      <c r="N96" s="60">
        <f>IF('Expenses Summary'!$T47="","",IF('Cash Flow %s Yr1'!N91="","",'Cash Flow %s Yr1'!N91*'Expenses Summary'!$T47))</f>
        <v>0</v>
      </c>
      <c r="O96" s="60">
        <f>IF('Expenses Summary'!$T47="","",IF('Cash Flow %s Yr1'!O91="","",'Cash Flow %s Yr1'!O91*'Expenses Summary'!$T47))</f>
        <v>0</v>
      </c>
      <c r="P96" s="123"/>
      <c r="Q96" s="123"/>
      <c r="R96" s="123"/>
    </row>
    <row r="97" spans="1:18" x14ac:dyDescent="0.3">
      <c r="A97" s="35"/>
      <c r="B97" s="133" t="str">
        <f>'Expenses Summary'!B48</f>
        <v>4200</v>
      </c>
      <c r="C97" s="133" t="str">
        <f>'Expenses Summary'!C48</f>
        <v>Books and Other Reference Materials</v>
      </c>
      <c r="D97" s="60">
        <f>IF('Expenses Summary'!$T48="","",IF('Cash Flow %s Yr1'!D92="","",'Cash Flow %s Yr1'!D92*'Expenses Summary'!$T48))</f>
        <v>92.844000000000008</v>
      </c>
      <c r="E97" s="60">
        <f>IF('Expenses Summary'!$T48="","",IF('Cash Flow %s Yr1'!E92="","",'Cash Flow %s Yr1'!E92*'Expenses Summary'!$T48))</f>
        <v>185.68800000000002</v>
      </c>
      <c r="F97" s="60">
        <f>IF('Expenses Summary'!$T48="","",IF('Cash Flow %s Yr1'!F92="","",'Cash Flow %s Yr1'!F92*'Expenses Summary'!$T48))</f>
        <v>185.68800000000002</v>
      </c>
      <c r="G97" s="60">
        <f>IF('Expenses Summary'!$T48="","",IF('Cash Flow %s Yr1'!G92="","",'Cash Flow %s Yr1'!G92*'Expenses Summary'!$T48))</f>
        <v>185.68800000000002</v>
      </c>
      <c r="H97" s="60">
        <f>IF('Expenses Summary'!$T48="","",IF('Cash Flow %s Yr1'!H92="","",'Cash Flow %s Yr1'!H92*'Expenses Summary'!$T48))</f>
        <v>185.68800000000002</v>
      </c>
      <c r="I97" s="60">
        <f>IF('Expenses Summary'!$T48="","",IF('Cash Flow %s Yr1'!I92="","",'Cash Flow %s Yr1'!I92*'Expenses Summary'!$T48))</f>
        <v>185.68800000000002</v>
      </c>
      <c r="J97" s="60">
        <f>IF('Expenses Summary'!$T48="","",IF('Cash Flow %s Yr1'!J92="","",'Cash Flow %s Yr1'!J92*'Expenses Summary'!$T48))</f>
        <v>185.68800000000002</v>
      </c>
      <c r="K97" s="60">
        <f>IF('Expenses Summary'!$T48="","",IF('Cash Flow %s Yr1'!K92="","",'Cash Flow %s Yr1'!K92*'Expenses Summary'!$T48))</f>
        <v>185.68800000000002</v>
      </c>
      <c r="L97" s="60">
        <f>IF('Expenses Summary'!$T48="","",IF('Cash Flow %s Yr1'!L92="","",'Cash Flow %s Yr1'!L92*'Expenses Summary'!$T48))</f>
        <v>185.68800000000002</v>
      </c>
      <c r="M97" s="60">
        <f>IF('Expenses Summary'!$T48="","",IF('Cash Flow %s Yr1'!M92="","",'Cash Flow %s Yr1'!M92*'Expenses Summary'!$T48))</f>
        <v>185.68800000000002</v>
      </c>
      <c r="N97" s="60">
        <f>IF('Expenses Summary'!$T48="","",IF('Cash Flow %s Yr1'!N92="","",'Cash Flow %s Yr1'!N92*'Expenses Summary'!$T48))</f>
        <v>92.844000000000008</v>
      </c>
      <c r="O97" s="60">
        <f>IF('Expenses Summary'!$T48="","",IF('Cash Flow %s Yr1'!O92="","",'Cash Flow %s Yr1'!O92*'Expenses Summary'!$T48))</f>
        <v>0</v>
      </c>
      <c r="P97" s="123"/>
      <c r="Q97" s="123"/>
      <c r="R97" s="123"/>
    </row>
    <row r="98" spans="1:18" x14ac:dyDescent="0.3">
      <c r="A98" s="35"/>
      <c r="B98" s="133" t="str">
        <f>'Expenses Summary'!B49</f>
        <v>4300</v>
      </c>
      <c r="C98" s="133" t="str">
        <f>'Expenses Summary'!C49</f>
        <v>Materials and Supplies</v>
      </c>
      <c r="D98" s="60">
        <f>IF('Expenses Summary'!$T49="","",IF('Cash Flow %s Yr1'!D93="","",'Cash Flow %s Yr1'!D93*'Expenses Summary'!$T49))</f>
        <v>534.28627200000005</v>
      </c>
      <c r="E98" s="60">
        <f>IF('Expenses Summary'!$T49="","",IF('Cash Flow %s Yr1'!E93="","",'Cash Flow %s Yr1'!E93*'Expenses Summary'!$T49))</f>
        <v>534.28627200000005</v>
      </c>
      <c r="F98" s="60">
        <f>IF('Expenses Summary'!$T49="","",IF('Cash Flow %s Yr1'!F93="","",'Cash Flow %s Yr1'!F93*'Expenses Summary'!$T49))</f>
        <v>534.28627200000005</v>
      </c>
      <c r="G98" s="60">
        <f>IF('Expenses Summary'!$T49="","",IF('Cash Flow %s Yr1'!G93="","",'Cash Flow %s Yr1'!G93*'Expenses Summary'!$T49))</f>
        <v>534.28627200000005</v>
      </c>
      <c r="H98" s="60">
        <f>IF('Expenses Summary'!$T49="","",IF('Cash Flow %s Yr1'!H93="","",'Cash Flow %s Yr1'!H93*'Expenses Summary'!$T49))</f>
        <v>534.28627200000005</v>
      </c>
      <c r="I98" s="60">
        <f>IF('Expenses Summary'!$T49="","",IF('Cash Flow %s Yr1'!I93="","",'Cash Flow %s Yr1'!I93*'Expenses Summary'!$T49))</f>
        <v>534.28627200000005</v>
      </c>
      <c r="J98" s="60">
        <f>IF('Expenses Summary'!$T49="","",IF('Cash Flow %s Yr1'!J93="","",'Cash Flow %s Yr1'!J93*'Expenses Summary'!$T49))</f>
        <v>534.28627200000005</v>
      </c>
      <c r="K98" s="60">
        <f>IF('Expenses Summary'!$T49="","",IF('Cash Flow %s Yr1'!K93="","",'Cash Flow %s Yr1'!K93*'Expenses Summary'!$T49))</f>
        <v>534.28627200000005</v>
      </c>
      <c r="L98" s="60">
        <f>IF('Expenses Summary'!$T49="","",IF('Cash Flow %s Yr1'!L93="","",'Cash Flow %s Yr1'!L93*'Expenses Summary'!$T49))</f>
        <v>540.72345600000006</v>
      </c>
      <c r="M98" s="60">
        <f>IF('Expenses Summary'!$T49="","",IF('Cash Flow %s Yr1'!M93="","",'Cash Flow %s Yr1'!M93*'Expenses Summary'!$T49))</f>
        <v>540.72345600000006</v>
      </c>
      <c r="N98" s="60">
        <f>IF('Expenses Summary'!$T49="","",IF('Cash Flow %s Yr1'!N93="","",'Cash Flow %s Yr1'!N93*'Expenses Summary'!$T49))</f>
        <v>540.72345600000006</v>
      </c>
      <c r="O98" s="60">
        <f>IF('Expenses Summary'!$T49="","",IF('Cash Flow %s Yr1'!O93="","",'Cash Flow %s Yr1'!O93*'Expenses Summary'!$T49))</f>
        <v>540.72345600000006</v>
      </c>
      <c r="P98" s="123"/>
      <c r="Q98" s="123"/>
      <c r="R98" s="123"/>
    </row>
    <row r="99" spans="1:18" x14ac:dyDescent="0.3">
      <c r="A99" s="35"/>
      <c r="B99" s="133" t="str">
        <f>'Expenses Summary'!B50</f>
        <v>4315</v>
      </c>
      <c r="C99" s="133" t="str">
        <f>'Expenses Summary'!C50</f>
        <v>Classroom Materials and Supplies</v>
      </c>
      <c r="D99" s="60">
        <f>IF('Expenses Summary'!$T50="","",IF('Cash Flow %s Yr1'!D94="","",'Cash Flow %s Yr1'!D94*'Expenses Summary'!$T50))</f>
        <v>513.73680000000002</v>
      </c>
      <c r="E99" s="60">
        <f>IF('Expenses Summary'!$T50="","",IF('Cash Flow %s Yr1'!E94="","",'Cash Flow %s Yr1'!E94*'Expenses Summary'!$T50))</f>
        <v>513.73680000000002</v>
      </c>
      <c r="F99" s="60">
        <f>IF('Expenses Summary'!$T50="","",IF('Cash Flow %s Yr1'!F94="","",'Cash Flow %s Yr1'!F94*'Expenses Summary'!$T50))</f>
        <v>513.73680000000002</v>
      </c>
      <c r="G99" s="60">
        <f>IF('Expenses Summary'!$T50="","",IF('Cash Flow %s Yr1'!G94="","",'Cash Flow %s Yr1'!G94*'Expenses Summary'!$T50))</f>
        <v>513.73680000000002</v>
      </c>
      <c r="H99" s="60">
        <f>IF('Expenses Summary'!$T50="","",IF('Cash Flow %s Yr1'!H94="","",'Cash Flow %s Yr1'!H94*'Expenses Summary'!$T50))</f>
        <v>513.73680000000002</v>
      </c>
      <c r="I99" s="60">
        <f>IF('Expenses Summary'!$T50="","",IF('Cash Flow %s Yr1'!I94="","",'Cash Flow %s Yr1'!I94*'Expenses Summary'!$T50))</f>
        <v>513.73680000000002</v>
      </c>
      <c r="J99" s="60">
        <f>IF('Expenses Summary'!$T50="","",IF('Cash Flow %s Yr1'!J94="","",'Cash Flow %s Yr1'!J94*'Expenses Summary'!$T50))</f>
        <v>513.73680000000002</v>
      </c>
      <c r="K99" s="60">
        <f>IF('Expenses Summary'!$T50="","",IF('Cash Flow %s Yr1'!K94="","",'Cash Flow %s Yr1'!K94*'Expenses Summary'!$T50))</f>
        <v>513.73680000000002</v>
      </c>
      <c r="L99" s="60">
        <f>IF('Expenses Summary'!$T50="","",IF('Cash Flow %s Yr1'!L94="","",'Cash Flow %s Yr1'!L94*'Expenses Summary'!$T50))</f>
        <v>513.73680000000002</v>
      </c>
      <c r="M99" s="60">
        <f>IF('Expenses Summary'!$T50="","",IF('Cash Flow %s Yr1'!M94="","",'Cash Flow %s Yr1'!M94*'Expenses Summary'!$T50))</f>
        <v>513.73680000000002</v>
      </c>
      <c r="N99" s="60">
        <f>IF('Expenses Summary'!$T50="","",IF('Cash Flow %s Yr1'!N94="","",'Cash Flow %s Yr1'!N94*'Expenses Summary'!$T50))</f>
        <v>513.73680000000002</v>
      </c>
      <c r="O99" s="60">
        <f>IF('Expenses Summary'!$T50="","",IF('Cash Flow %s Yr1'!O94="","",'Cash Flow %s Yr1'!O94*'Expenses Summary'!$T50))</f>
        <v>513.73680000000002</v>
      </c>
      <c r="P99" s="123"/>
      <c r="Q99" s="123"/>
      <c r="R99" s="123"/>
    </row>
    <row r="100" spans="1:18" x14ac:dyDescent="0.3">
      <c r="A100" s="35"/>
      <c r="B100" s="133" t="str">
        <f>'Expenses Summary'!B51</f>
        <v>4342</v>
      </c>
      <c r="C100" s="133" t="str">
        <f>'Expenses Summary'!C51</f>
        <v>Materials for Athletics</v>
      </c>
      <c r="D100" s="60">
        <f>IF('Expenses Summary'!$T51="","",IF('Cash Flow %s Yr1'!D95="","",'Cash Flow %s Yr1'!D95*'Expenses Summary'!$T51))</f>
        <v>428.11400000000003</v>
      </c>
      <c r="E100" s="60">
        <f>IF('Expenses Summary'!$T51="","",IF('Cash Flow %s Yr1'!E95="","",'Cash Flow %s Yr1'!E95*'Expenses Summary'!$T51))</f>
        <v>428.11400000000003</v>
      </c>
      <c r="F100" s="60">
        <f>IF('Expenses Summary'!$T51="","",IF('Cash Flow %s Yr1'!F95="","",'Cash Flow %s Yr1'!F95*'Expenses Summary'!$T51))</f>
        <v>428.11400000000003</v>
      </c>
      <c r="G100" s="60">
        <f>IF('Expenses Summary'!$T51="","",IF('Cash Flow %s Yr1'!G95="","",'Cash Flow %s Yr1'!G95*'Expenses Summary'!$T51))</f>
        <v>428.11400000000003</v>
      </c>
      <c r="H100" s="60">
        <f>IF('Expenses Summary'!$T51="","",IF('Cash Flow %s Yr1'!H95="","",'Cash Flow %s Yr1'!H95*'Expenses Summary'!$T51))</f>
        <v>428.11400000000003</v>
      </c>
      <c r="I100" s="60">
        <f>IF('Expenses Summary'!$T51="","",IF('Cash Flow %s Yr1'!I95="","",'Cash Flow %s Yr1'!I95*'Expenses Summary'!$T51))</f>
        <v>428.11400000000003</v>
      </c>
      <c r="J100" s="60">
        <f>IF('Expenses Summary'!$T51="","",IF('Cash Flow %s Yr1'!J95="","",'Cash Flow %s Yr1'!J95*'Expenses Summary'!$T51))</f>
        <v>428.11400000000003</v>
      </c>
      <c r="K100" s="60">
        <f>IF('Expenses Summary'!$T51="","",IF('Cash Flow %s Yr1'!K95="","",'Cash Flow %s Yr1'!K95*'Expenses Summary'!$T51))</f>
        <v>428.11400000000003</v>
      </c>
      <c r="L100" s="60">
        <f>IF('Expenses Summary'!$T51="","",IF('Cash Flow %s Yr1'!L95="","",'Cash Flow %s Yr1'!L95*'Expenses Summary'!$T51))</f>
        <v>433.27200000000005</v>
      </c>
      <c r="M100" s="60">
        <f>IF('Expenses Summary'!$T51="","",IF('Cash Flow %s Yr1'!M95="","",'Cash Flow %s Yr1'!M95*'Expenses Summary'!$T51))</f>
        <v>433.27200000000005</v>
      </c>
      <c r="N100" s="60">
        <f>IF('Expenses Summary'!$T51="","",IF('Cash Flow %s Yr1'!N95="","",'Cash Flow %s Yr1'!N95*'Expenses Summary'!$T51))</f>
        <v>433.27200000000005</v>
      </c>
      <c r="O100" s="60">
        <f>IF('Expenses Summary'!$T51="","",IF('Cash Flow %s Yr1'!O95="","",'Cash Flow %s Yr1'!O95*'Expenses Summary'!$T51))</f>
        <v>433.27200000000005</v>
      </c>
      <c r="P100" s="123"/>
      <c r="Q100" s="123"/>
      <c r="R100" s="123"/>
    </row>
    <row r="101" spans="1:18" x14ac:dyDescent="0.3">
      <c r="A101" s="35"/>
      <c r="B101" s="133" t="str">
        <f>'Expenses Summary'!B52</f>
        <v>4381</v>
      </c>
      <c r="C101" s="133" t="str">
        <f>'Expenses Summary'!C52</f>
        <v>Materials for Plant Maintenance</v>
      </c>
      <c r="D101" s="60">
        <f>IF('Expenses Summary'!$T52="","",IF('Cash Flow %s Yr1'!D96="","",'Cash Flow %s Yr1'!D96*'Expenses Summary'!$T52))</f>
        <v>85.622800000000012</v>
      </c>
      <c r="E101" s="60">
        <f>IF('Expenses Summary'!$T52="","",IF('Cash Flow %s Yr1'!E96="","",'Cash Flow %s Yr1'!E96*'Expenses Summary'!$T52))</f>
        <v>85.622800000000012</v>
      </c>
      <c r="F101" s="60">
        <f>IF('Expenses Summary'!$T52="","",IF('Cash Flow %s Yr1'!F96="","",'Cash Flow %s Yr1'!F96*'Expenses Summary'!$T52))</f>
        <v>85.622800000000012</v>
      </c>
      <c r="G101" s="60">
        <f>IF('Expenses Summary'!$T52="","",IF('Cash Flow %s Yr1'!G96="","",'Cash Flow %s Yr1'!G96*'Expenses Summary'!$T52))</f>
        <v>85.622800000000012</v>
      </c>
      <c r="H101" s="60">
        <f>IF('Expenses Summary'!$T52="","",IF('Cash Flow %s Yr1'!H96="","",'Cash Flow %s Yr1'!H96*'Expenses Summary'!$T52))</f>
        <v>85.622800000000012</v>
      </c>
      <c r="I101" s="60">
        <f>IF('Expenses Summary'!$T52="","",IF('Cash Flow %s Yr1'!I96="","",'Cash Flow %s Yr1'!I96*'Expenses Summary'!$T52))</f>
        <v>85.622800000000012</v>
      </c>
      <c r="J101" s="60">
        <f>IF('Expenses Summary'!$T52="","",IF('Cash Flow %s Yr1'!J96="","",'Cash Flow %s Yr1'!J96*'Expenses Summary'!$T52))</f>
        <v>85.622800000000012</v>
      </c>
      <c r="K101" s="60">
        <f>IF('Expenses Summary'!$T52="","",IF('Cash Flow %s Yr1'!K96="","",'Cash Flow %s Yr1'!K96*'Expenses Summary'!$T52))</f>
        <v>85.622800000000012</v>
      </c>
      <c r="L101" s="60">
        <f>IF('Expenses Summary'!$T52="","",IF('Cash Flow %s Yr1'!L96="","",'Cash Flow %s Yr1'!L96*'Expenses Summary'!$T52))</f>
        <v>85.622800000000012</v>
      </c>
      <c r="M101" s="60">
        <f>IF('Expenses Summary'!$T52="","",IF('Cash Flow %s Yr1'!M96="","",'Cash Flow %s Yr1'!M96*'Expenses Summary'!$T52))</f>
        <v>85.622800000000012</v>
      </c>
      <c r="N101" s="60">
        <f>IF('Expenses Summary'!$T52="","",IF('Cash Flow %s Yr1'!N96="","",'Cash Flow %s Yr1'!N96*'Expenses Summary'!$T52))</f>
        <v>85.622800000000012</v>
      </c>
      <c r="O101" s="60">
        <f>IF('Expenses Summary'!$T52="","",IF('Cash Flow %s Yr1'!O96="","",'Cash Flow %s Yr1'!O96*'Expenses Summary'!$T52))</f>
        <v>85.622800000000012</v>
      </c>
      <c r="P101" s="123"/>
      <c r="Q101" s="123"/>
      <c r="R101" s="123"/>
    </row>
    <row r="102" spans="1:18" hidden="1" outlineLevel="1" x14ac:dyDescent="0.3">
      <c r="A102" s="35"/>
      <c r="B102" s="133" t="str">
        <f>'Expenses Summary'!B53</f>
        <v>4400</v>
      </c>
      <c r="C102" s="133" t="str">
        <f>'Expenses Summary'!C53</f>
        <v>Noncapitalized Equipment</v>
      </c>
      <c r="D102" s="60" t="str">
        <f>IF('Expenses Summary'!$T53="","",IF('Cash Flow %s Yr1'!D97="","",'Cash Flow %s Yr1'!D97*'Expenses Summary'!$T53))</f>
        <v/>
      </c>
      <c r="E102" s="60" t="str">
        <f>IF('Expenses Summary'!$T53="","",IF('Cash Flow %s Yr1'!E97="","",'Cash Flow %s Yr1'!E97*'Expenses Summary'!$T53))</f>
        <v/>
      </c>
      <c r="F102" s="60">
        <f>IF('Expenses Summary'!$T53="","",IF('Cash Flow %s Yr1'!F97="","",'Cash Flow %s Yr1'!F97*'Expenses Summary'!$T53))</f>
        <v>515.80000000000007</v>
      </c>
      <c r="G102" s="60">
        <f>IF('Expenses Summary'!$T53="","",IF('Cash Flow %s Yr1'!G97="","",'Cash Flow %s Yr1'!G97*'Expenses Summary'!$T53))</f>
        <v>515.80000000000007</v>
      </c>
      <c r="H102" s="60">
        <f>IF('Expenses Summary'!$T53="","",IF('Cash Flow %s Yr1'!H97="","",'Cash Flow %s Yr1'!H97*'Expenses Summary'!$T53))</f>
        <v>515.80000000000007</v>
      </c>
      <c r="I102" s="60">
        <f>IF('Expenses Summary'!$T53="","",IF('Cash Flow %s Yr1'!I97="","",'Cash Flow %s Yr1'!I97*'Expenses Summary'!$T53))</f>
        <v>515.80000000000007</v>
      </c>
      <c r="J102" s="60">
        <f>IF('Expenses Summary'!$T53="","",IF('Cash Flow %s Yr1'!J97="","",'Cash Flow %s Yr1'!J97*'Expenses Summary'!$T53))</f>
        <v>515.80000000000007</v>
      </c>
      <c r="K102" s="60">
        <f>IF('Expenses Summary'!$T53="","",IF('Cash Flow %s Yr1'!K97="","",'Cash Flow %s Yr1'!K97*'Expenses Summary'!$T53))</f>
        <v>515.80000000000007</v>
      </c>
      <c r="L102" s="60">
        <f>IF('Expenses Summary'!$T53="","",IF('Cash Flow %s Yr1'!L97="","",'Cash Flow %s Yr1'!L97*'Expenses Summary'!$T53))</f>
        <v>515.80000000000007</v>
      </c>
      <c r="M102" s="60">
        <f>IF('Expenses Summary'!$T53="","",IF('Cash Flow %s Yr1'!M97="","",'Cash Flow %s Yr1'!M97*'Expenses Summary'!$T53))</f>
        <v>515.80000000000007</v>
      </c>
      <c r="N102" s="60">
        <f>IF('Expenses Summary'!$T53="","",IF('Cash Flow %s Yr1'!N97="","",'Cash Flow %s Yr1'!N97*'Expenses Summary'!$T53))</f>
        <v>515.80000000000007</v>
      </c>
      <c r="O102" s="60">
        <f>IF('Expenses Summary'!$T53="","",IF('Cash Flow %s Yr1'!O97="","",'Cash Flow %s Yr1'!O97*'Expenses Summary'!$T53))</f>
        <v>515.80000000000007</v>
      </c>
      <c r="P102" s="123"/>
      <c r="Q102" s="123"/>
      <c r="R102" s="123"/>
    </row>
    <row r="103" spans="1:18" hidden="1" outlineLevel="1" x14ac:dyDescent="0.3">
      <c r="A103" s="35"/>
      <c r="B103" s="133" t="str">
        <f>'Expenses Summary'!B55</f>
        <v>4430</v>
      </c>
      <c r="C103" s="133" t="str">
        <f>'Expenses Summary'!C55</f>
        <v>General Student Equipment</v>
      </c>
      <c r="D103" s="60" t="str">
        <f>IF('Expenses Summary'!$T55="","",IF('Cash Flow %s Yr1'!D99="","",'Cash Flow %s Yr1'!D99*'Expenses Summary'!$T55))</f>
        <v/>
      </c>
      <c r="E103" s="60" t="str">
        <f>IF('Expenses Summary'!$T55="","",IF('Cash Flow %s Yr1'!E99="","",'Cash Flow %s Yr1'!E99*'Expenses Summary'!$T55))</f>
        <v/>
      </c>
      <c r="F103" s="60">
        <f>IF('Expenses Summary'!$T55="","",IF('Cash Flow %s Yr1'!F99="","",'Cash Flow %s Yr1'!F99*'Expenses Summary'!$T55))</f>
        <v>618.96</v>
      </c>
      <c r="G103" s="60">
        <f>IF('Expenses Summary'!$T55="","",IF('Cash Flow %s Yr1'!G99="","",'Cash Flow %s Yr1'!G99*'Expenses Summary'!$T55))</f>
        <v>618.96</v>
      </c>
      <c r="H103" s="60">
        <f>IF('Expenses Summary'!$T55="","",IF('Cash Flow %s Yr1'!H99="","",'Cash Flow %s Yr1'!H99*'Expenses Summary'!$T55))</f>
        <v>618.96</v>
      </c>
      <c r="I103" s="60">
        <f>IF('Expenses Summary'!$T55="","",IF('Cash Flow %s Yr1'!I99="","",'Cash Flow %s Yr1'!I99*'Expenses Summary'!$T55))</f>
        <v>618.96</v>
      </c>
      <c r="J103" s="60">
        <f>IF('Expenses Summary'!$T55="","",IF('Cash Flow %s Yr1'!J99="","",'Cash Flow %s Yr1'!J99*'Expenses Summary'!$T55))</f>
        <v>618.96</v>
      </c>
      <c r="K103" s="60">
        <f>IF('Expenses Summary'!$T55="","",IF('Cash Flow %s Yr1'!K99="","",'Cash Flow %s Yr1'!K99*'Expenses Summary'!$T55))</f>
        <v>618.96</v>
      </c>
      <c r="L103" s="60">
        <f>IF('Expenses Summary'!$T55="","",IF('Cash Flow %s Yr1'!L99="","",'Cash Flow %s Yr1'!L99*'Expenses Summary'!$T55))</f>
        <v>618.96</v>
      </c>
      <c r="M103" s="60">
        <f>IF('Expenses Summary'!$T55="","",IF('Cash Flow %s Yr1'!M99="","",'Cash Flow %s Yr1'!M99*'Expenses Summary'!$T55))</f>
        <v>618.96</v>
      </c>
      <c r="N103" s="60">
        <f>IF('Expenses Summary'!$T55="","",IF('Cash Flow %s Yr1'!N99="","",'Cash Flow %s Yr1'!N99*'Expenses Summary'!$T55))</f>
        <v>618.96</v>
      </c>
      <c r="O103" s="60">
        <f>IF('Expenses Summary'!$T55="","",IF('Cash Flow %s Yr1'!O99="","",'Cash Flow %s Yr1'!O99*'Expenses Summary'!$T55))</f>
        <v>618.96</v>
      </c>
      <c r="P103" s="123"/>
      <c r="Q103" s="123"/>
      <c r="R103" s="123"/>
    </row>
    <row r="104" spans="1:18" hidden="1" outlineLevel="1" x14ac:dyDescent="0.3">
      <c r="A104" s="35"/>
      <c r="B104" s="133">
        <f>'Expenses Summary'!B56</f>
        <v>0</v>
      </c>
      <c r="C104" s="133">
        <f>'Expenses Summary'!C56</f>
        <v>0</v>
      </c>
      <c r="D104" s="60" t="str">
        <f>IF('Expenses Summary'!$T56="","",IF('Cash Flow %s Yr1'!D100="","",'Cash Flow %s Yr1'!D100*'Expenses Summary'!$T56))</f>
        <v/>
      </c>
      <c r="E104" s="60" t="str">
        <f>IF('Expenses Summary'!$T56="","",IF('Cash Flow %s Yr1'!E100="","",'Cash Flow %s Yr1'!E100*'Expenses Summary'!$T56))</f>
        <v/>
      </c>
      <c r="F104" s="60">
        <f>IF('Expenses Summary'!$T56="","",IF('Cash Flow %s Yr1'!F100="","",'Cash Flow %s Yr1'!F100*'Expenses Summary'!$T56))</f>
        <v>0</v>
      </c>
      <c r="G104" s="60">
        <f>IF('Expenses Summary'!$T56="","",IF('Cash Flow %s Yr1'!G100="","",'Cash Flow %s Yr1'!G100*'Expenses Summary'!$T56))</f>
        <v>0</v>
      </c>
      <c r="H104" s="60">
        <f>IF('Expenses Summary'!$T56="","",IF('Cash Flow %s Yr1'!H100="","",'Cash Flow %s Yr1'!H100*'Expenses Summary'!$T56))</f>
        <v>0</v>
      </c>
      <c r="I104" s="60">
        <f>IF('Expenses Summary'!$T56="","",IF('Cash Flow %s Yr1'!I100="","",'Cash Flow %s Yr1'!I100*'Expenses Summary'!$T56))</f>
        <v>0</v>
      </c>
      <c r="J104" s="60">
        <f>IF('Expenses Summary'!$T56="","",IF('Cash Flow %s Yr1'!J100="","",'Cash Flow %s Yr1'!J100*'Expenses Summary'!$T56))</f>
        <v>0</v>
      </c>
      <c r="K104" s="60">
        <f>IF('Expenses Summary'!$T56="","",IF('Cash Flow %s Yr1'!K100="","",'Cash Flow %s Yr1'!K100*'Expenses Summary'!$T56))</f>
        <v>0</v>
      </c>
      <c r="L104" s="60">
        <f>IF('Expenses Summary'!$T56="","",IF('Cash Flow %s Yr1'!L100="","",'Cash Flow %s Yr1'!L100*'Expenses Summary'!$T56))</f>
        <v>0</v>
      </c>
      <c r="M104" s="60">
        <f>IF('Expenses Summary'!$T56="","",IF('Cash Flow %s Yr1'!M100="","",'Cash Flow %s Yr1'!M100*'Expenses Summary'!$T56))</f>
        <v>0</v>
      </c>
      <c r="N104" s="60">
        <f>IF('Expenses Summary'!$T56="","",IF('Cash Flow %s Yr1'!N100="","",'Cash Flow %s Yr1'!N100*'Expenses Summary'!$T56))</f>
        <v>0</v>
      </c>
      <c r="O104" s="60">
        <f>IF('Expenses Summary'!$T56="","",IF('Cash Flow %s Yr1'!O100="","",'Cash Flow %s Yr1'!O100*'Expenses Summary'!$T56))</f>
        <v>0</v>
      </c>
      <c r="P104" s="123"/>
      <c r="Q104" s="123"/>
      <c r="R104" s="123"/>
    </row>
    <row r="105" spans="1:18" hidden="1" outlineLevel="1" x14ac:dyDescent="0.3">
      <c r="A105" s="35"/>
      <c r="B105" s="133">
        <f>'Expenses Summary'!B57</f>
        <v>0</v>
      </c>
      <c r="C105" s="133">
        <f>'Expenses Summary'!C57</f>
        <v>0</v>
      </c>
      <c r="D105" s="60" t="str">
        <f>IF('Expenses Summary'!$T57="","",IF('Cash Flow %s Yr1'!D101="","",'Cash Flow %s Yr1'!D101*'Expenses Summary'!$T57))</f>
        <v/>
      </c>
      <c r="E105" s="60" t="str">
        <f>IF('Expenses Summary'!$T57="","",IF('Cash Flow %s Yr1'!E101="","",'Cash Flow %s Yr1'!E101*'Expenses Summary'!$T57))</f>
        <v/>
      </c>
      <c r="F105" s="60">
        <f>IF('Expenses Summary'!$T57="","",IF('Cash Flow %s Yr1'!F101="","",'Cash Flow %s Yr1'!F101*'Expenses Summary'!$T57))</f>
        <v>0</v>
      </c>
      <c r="G105" s="60">
        <f>IF('Expenses Summary'!$T57="","",IF('Cash Flow %s Yr1'!G101="","",'Cash Flow %s Yr1'!G101*'Expenses Summary'!$T57))</f>
        <v>0</v>
      </c>
      <c r="H105" s="60">
        <f>IF('Expenses Summary'!$T57="","",IF('Cash Flow %s Yr1'!H101="","",'Cash Flow %s Yr1'!H101*'Expenses Summary'!$T57))</f>
        <v>0</v>
      </c>
      <c r="I105" s="60">
        <f>IF('Expenses Summary'!$T57="","",IF('Cash Flow %s Yr1'!I101="","",'Cash Flow %s Yr1'!I101*'Expenses Summary'!$T57))</f>
        <v>0</v>
      </c>
      <c r="J105" s="60">
        <f>IF('Expenses Summary'!$T57="","",IF('Cash Flow %s Yr1'!J101="","",'Cash Flow %s Yr1'!J101*'Expenses Summary'!$T57))</f>
        <v>0</v>
      </c>
      <c r="K105" s="60">
        <f>IF('Expenses Summary'!$T57="","",IF('Cash Flow %s Yr1'!K101="","",'Cash Flow %s Yr1'!K101*'Expenses Summary'!$T57))</f>
        <v>0</v>
      </c>
      <c r="L105" s="60">
        <f>IF('Expenses Summary'!$T57="","",IF('Cash Flow %s Yr1'!L101="","",'Cash Flow %s Yr1'!L101*'Expenses Summary'!$T57))</f>
        <v>0</v>
      </c>
      <c r="M105" s="60">
        <f>IF('Expenses Summary'!$T57="","",IF('Cash Flow %s Yr1'!M101="","",'Cash Flow %s Yr1'!M101*'Expenses Summary'!$T57))</f>
        <v>0</v>
      </c>
      <c r="N105" s="60">
        <f>IF('Expenses Summary'!$T57="","",IF('Cash Flow %s Yr1'!N101="","",'Cash Flow %s Yr1'!N101*'Expenses Summary'!$T57))</f>
        <v>0</v>
      </c>
      <c r="O105" s="60">
        <f>IF('Expenses Summary'!$T57="","",IF('Cash Flow %s Yr1'!O101="","",'Cash Flow %s Yr1'!O101*'Expenses Summary'!$T57))</f>
        <v>0</v>
      </c>
      <c r="P105" s="123"/>
      <c r="Q105" s="123"/>
      <c r="R105" s="123"/>
    </row>
    <row r="106" spans="1:18" hidden="1" outlineLevel="1" x14ac:dyDescent="0.3">
      <c r="A106" s="35"/>
      <c r="B106" s="133">
        <f>'Expenses Summary'!B58</f>
        <v>0</v>
      </c>
      <c r="C106" s="133">
        <f>'Expenses Summary'!C58</f>
        <v>0</v>
      </c>
      <c r="D106" s="60" t="str">
        <f>IF('Expenses Summary'!$T58="","",IF('Cash Flow %s Yr1'!D102="","",'Cash Flow %s Yr1'!D102*'Expenses Summary'!$T58))</f>
        <v/>
      </c>
      <c r="E106" s="60" t="str">
        <f>IF('Expenses Summary'!$T58="","",IF('Cash Flow %s Yr1'!E102="","",'Cash Flow %s Yr1'!E102*'Expenses Summary'!$T58))</f>
        <v/>
      </c>
      <c r="F106" s="60">
        <f>IF('Expenses Summary'!$T58="","",IF('Cash Flow %s Yr1'!F102="","",'Cash Flow %s Yr1'!F102*'Expenses Summary'!$T58))</f>
        <v>0</v>
      </c>
      <c r="G106" s="60">
        <f>IF('Expenses Summary'!$T58="","",IF('Cash Flow %s Yr1'!G102="","",'Cash Flow %s Yr1'!G102*'Expenses Summary'!$T58))</f>
        <v>0</v>
      </c>
      <c r="H106" s="60">
        <f>IF('Expenses Summary'!$T58="","",IF('Cash Flow %s Yr1'!H102="","",'Cash Flow %s Yr1'!H102*'Expenses Summary'!$T58))</f>
        <v>0</v>
      </c>
      <c r="I106" s="60">
        <f>IF('Expenses Summary'!$T58="","",IF('Cash Flow %s Yr1'!I102="","",'Cash Flow %s Yr1'!I102*'Expenses Summary'!$T58))</f>
        <v>0</v>
      </c>
      <c r="J106" s="60">
        <f>IF('Expenses Summary'!$T58="","",IF('Cash Flow %s Yr1'!J102="","",'Cash Flow %s Yr1'!J102*'Expenses Summary'!$T58))</f>
        <v>0</v>
      </c>
      <c r="K106" s="60">
        <f>IF('Expenses Summary'!$T58="","",IF('Cash Flow %s Yr1'!K102="","",'Cash Flow %s Yr1'!K102*'Expenses Summary'!$T58))</f>
        <v>0</v>
      </c>
      <c r="L106" s="60">
        <f>IF('Expenses Summary'!$T58="","",IF('Cash Flow %s Yr1'!L102="","",'Cash Flow %s Yr1'!L102*'Expenses Summary'!$T58))</f>
        <v>0</v>
      </c>
      <c r="M106" s="60">
        <f>IF('Expenses Summary'!$T58="","",IF('Cash Flow %s Yr1'!M102="","",'Cash Flow %s Yr1'!M102*'Expenses Summary'!$T58))</f>
        <v>0</v>
      </c>
      <c r="N106" s="60">
        <f>IF('Expenses Summary'!$T58="","",IF('Cash Flow %s Yr1'!N102="","",'Cash Flow %s Yr1'!N102*'Expenses Summary'!$T58))</f>
        <v>0</v>
      </c>
      <c r="O106" s="60">
        <f>IF('Expenses Summary'!$T58="","",IF('Cash Flow %s Yr1'!O102="","",'Cash Flow %s Yr1'!O102*'Expenses Summary'!$T58))</f>
        <v>0</v>
      </c>
      <c r="P106" s="123"/>
      <c r="Q106" s="123"/>
      <c r="R106" s="123"/>
    </row>
    <row r="107" spans="1:18" hidden="1" outlineLevel="1" x14ac:dyDescent="0.3">
      <c r="A107" s="35"/>
      <c r="B107" s="133">
        <f>'Expenses Summary'!B59</f>
        <v>0</v>
      </c>
      <c r="C107" s="133">
        <f>'Expenses Summary'!C59</f>
        <v>0</v>
      </c>
      <c r="D107" s="60" t="str">
        <f>IF('Expenses Summary'!$T59="","",IF('Cash Flow %s Yr1'!D103="","",'Cash Flow %s Yr1'!D103*'Expenses Summary'!$T59))</f>
        <v/>
      </c>
      <c r="E107" s="60" t="str">
        <f>IF('Expenses Summary'!$T59="","",IF('Cash Flow %s Yr1'!E103="","",'Cash Flow %s Yr1'!E103*'Expenses Summary'!$T59))</f>
        <v/>
      </c>
      <c r="F107" s="60">
        <f>IF('Expenses Summary'!$T59="","",IF('Cash Flow %s Yr1'!F103="","",'Cash Flow %s Yr1'!F103*'Expenses Summary'!$T59))</f>
        <v>0</v>
      </c>
      <c r="G107" s="60">
        <f>IF('Expenses Summary'!$T59="","",IF('Cash Flow %s Yr1'!G103="","",'Cash Flow %s Yr1'!G103*'Expenses Summary'!$T59))</f>
        <v>0</v>
      </c>
      <c r="H107" s="60">
        <f>IF('Expenses Summary'!$T59="","",IF('Cash Flow %s Yr1'!H103="","",'Cash Flow %s Yr1'!H103*'Expenses Summary'!$T59))</f>
        <v>0</v>
      </c>
      <c r="I107" s="60">
        <f>IF('Expenses Summary'!$T59="","",IF('Cash Flow %s Yr1'!I103="","",'Cash Flow %s Yr1'!I103*'Expenses Summary'!$T59))</f>
        <v>0</v>
      </c>
      <c r="J107" s="60">
        <f>IF('Expenses Summary'!$T59="","",IF('Cash Flow %s Yr1'!J103="","",'Cash Flow %s Yr1'!J103*'Expenses Summary'!$T59))</f>
        <v>0</v>
      </c>
      <c r="K107" s="60">
        <f>IF('Expenses Summary'!$T59="","",IF('Cash Flow %s Yr1'!K103="","",'Cash Flow %s Yr1'!K103*'Expenses Summary'!$T59))</f>
        <v>0</v>
      </c>
      <c r="L107" s="60">
        <f>IF('Expenses Summary'!$T59="","",IF('Cash Flow %s Yr1'!L103="","",'Cash Flow %s Yr1'!L103*'Expenses Summary'!$T59))</f>
        <v>0</v>
      </c>
      <c r="M107" s="60">
        <f>IF('Expenses Summary'!$T59="","",IF('Cash Flow %s Yr1'!M103="","",'Cash Flow %s Yr1'!M103*'Expenses Summary'!$T59))</f>
        <v>0</v>
      </c>
      <c r="N107" s="60">
        <f>IF('Expenses Summary'!$T59="","",IF('Cash Flow %s Yr1'!N103="","",'Cash Flow %s Yr1'!N103*'Expenses Summary'!$T59))</f>
        <v>0</v>
      </c>
      <c r="O107" s="60">
        <f>IF('Expenses Summary'!$T59="","",IF('Cash Flow %s Yr1'!O103="","",'Cash Flow %s Yr1'!O103*'Expenses Summary'!$T59))</f>
        <v>0</v>
      </c>
      <c r="P107" s="123"/>
      <c r="Q107" s="123"/>
      <c r="R107" s="123"/>
    </row>
    <row r="108" spans="1:18" hidden="1" outlineLevel="1" x14ac:dyDescent="0.3">
      <c r="A108" s="35"/>
      <c r="B108" s="133">
        <f>'Expenses Summary'!B60</f>
        <v>0</v>
      </c>
      <c r="C108" s="133">
        <f>'Expenses Summary'!C60</f>
        <v>0</v>
      </c>
      <c r="D108" s="60" t="str">
        <f>IF('Expenses Summary'!$T60="","",IF('Cash Flow %s Yr1'!D104="","",'Cash Flow %s Yr1'!D104*'Expenses Summary'!$T60))</f>
        <v/>
      </c>
      <c r="E108" s="60" t="str">
        <f>IF('Expenses Summary'!$T60="","",IF('Cash Flow %s Yr1'!E104="","",'Cash Flow %s Yr1'!E104*'Expenses Summary'!$T60))</f>
        <v/>
      </c>
      <c r="F108" s="60">
        <f>IF('Expenses Summary'!$T60="","",IF('Cash Flow %s Yr1'!F104="","",'Cash Flow %s Yr1'!F104*'Expenses Summary'!$T60))</f>
        <v>0</v>
      </c>
      <c r="G108" s="60">
        <f>IF('Expenses Summary'!$T60="","",IF('Cash Flow %s Yr1'!G104="","",'Cash Flow %s Yr1'!G104*'Expenses Summary'!$T60))</f>
        <v>0</v>
      </c>
      <c r="H108" s="60">
        <f>IF('Expenses Summary'!$T60="","",IF('Cash Flow %s Yr1'!H104="","",'Cash Flow %s Yr1'!H104*'Expenses Summary'!$T60))</f>
        <v>0</v>
      </c>
      <c r="I108" s="60">
        <f>IF('Expenses Summary'!$T60="","",IF('Cash Flow %s Yr1'!I104="","",'Cash Flow %s Yr1'!I104*'Expenses Summary'!$T60))</f>
        <v>0</v>
      </c>
      <c r="J108" s="60">
        <f>IF('Expenses Summary'!$T60="","",IF('Cash Flow %s Yr1'!J104="","",'Cash Flow %s Yr1'!J104*'Expenses Summary'!$T60))</f>
        <v>0</v>
      </c>
      <c r="K108" s="60">
        <f>IF('Expenses Summary'!$T60="","",IF('Cash Flow %s Yr1'!K104="","",'Cash Flow %s Yr1'!K104*'Expenses Summary'!$T60))</f>
        <v>0</v>
      </c>
      <c r="L108" s="60">
        <f>IF('Expenses Summary'!$T60="","",IF('Cash Flow %s Yr1'!L104="","",'Cash Flow %s Yr1'!L104*'Expenses Summary'!$T60))</f>
        <v>0</v>
      </c>
      <c r="M108" s="60">
        <f>IF('Expenses Summary'!$T60="","",IF('Cash Flow %s Yr1'!M104="","",'Cash Flow %s Yr1'!M104*'Expenses Summary'!$T60))</f>
        <v>0</v>
      </c>
      <c r="N108" s="60">
        <f>IF('Expenses Summary'!$T60="","",IF('Cash Flow %s Yr1'!N104="","",'Cash Flow %s Yr1'!N104*'Expenses Summary'!$T60))</f>
        <v>0</v>
      </c>
      <c r="O108" s="60">
        <f>IF('Expenses Summary'!$T60="","",IF('Cash Flow %s Yr1'!O104="","",'Cash Flow %s Yr1'!O104*'Expenses Summary'!$T60))</f>
        <v>0</v>
      </c>
      <c r="P108" s="123"/>
      <c r="Q108" s="123"/>
      <c r="R108" s="123"/>
    </row>
    <row r="109" spans="1:18" hidden="1" outlineLevel="1" x14ac:dyDescent="0.3">
      <c r="A109" s="35"/>
      <c r="B109" s="133">
        <f>'Expenses Summary'!B61</f>
        <v>0</v>
      </c>
      <c r="C109" s="133">
        <f>'Expenses Summary'!C61</f>
        <v>0</v>
      </c>
      <c r="D109" s="60" t="str">
        <f>IF('Expenses Summary'!$T61="","",IF('Cash Flow %s Yr1'!D105="","",'Cash Flow %s Yr1'!D105*'Expenses Summary'!$T61))</f>
        <v/>
      </c>
      <c r="E109" s="60" t="str">
        <f>IF('Expenses Summary'!$T61="","",IF('Cash Flow %s Yr1'!E105="","",'Cash Flow %s Yr1'!E105*'Expenses Summary'!$T61))</f>
        <v/>
      </c>
      <c r="F109" s="60">
        <f>IF('Expenses Summary'!$T61="","",IF('Cash Flow %s Yr1'!F105="","",'Cash Flow %s Yr1'!F105*'Expenses Summary'!$T61))</f>
        <v>0</v>
      </c>
      <c r="G109" s="60">
        <f>IF('Expenses Summary'!$T61="","",IF('Cash Flow %s Yr1'!G105="","",'Cash Flow %s Yr1'!G105*'Expenses Summary'!$T61))</f>
        <v>0</v>
      </c>
      <c r="H109" s="60">
        <f>IF('Expenses Summary'!$T61="","",IF('Cash Flow %s Yr1'!H105="","",'Cash Flow %s Yr1'!H105*'Expenses Summary'!$T61))</f>
        <v>0</v>
      </c>
      <c r="I109" s="60">
        <f>IF('Expenses Summary'!$T61="","",IF('Cash Flow %s Yr1'!I105="","",'Cash Flow %s Yr1'!I105*'Expenses Summary'!$T61))</f>
        <v>0</v>
      </c>
      <c r="J109" s="60">
        <f>IF('Expenses Summary'!$T61="","",IF('Cash Flow %s Yr1'!J105="","",'Cash Flow %s Yr1'!J105*'Expenses Summary'!$T61))</f>
        <v>0</v>
      </c>
      <c r="K109" s="60">
        <f>IF('Expenses Summary'!$T61="","",IF('Cash Flow %s Yr1'!K105="","",'Cash Flow %s Yr1'!K105*'Expenses Summary'!$T61))</f>
        <v>0</v>
      </c>
      <c r="L109" s="60">
        <f>IF('Expenses Summary'!$T61="","",IF('Cash Flow %s Yr1'!L105="","",'Cash Flow %s Yr1'!L105*'Expenses Summary'!$T61))</f>
        <v>0</v>
      </c>
      <c r="M109" s="60">
        <f>IF('Expenses Summary'!$T61="","",IF('Cash Flow %s Yr1'!M105="","",'Cash Flow %s Yr1'!M105*'Expenses Summary'!$T61))</f>
        <v>0</v>
      </c>
      <c r="N109" s="60">
        <f>IF('Expenses Summary'!$T61="","",IF('Cash Flow %s Yr1'!N105="","",'Cash Flow %s Yr1'!N105*'Expenses Summary'!$T61))</f>
        <v>0</v>
      </c>
      <c r="O109" s="60">
        <f>IF('Expenses Summary'!$T61="","",IF('Cash Flow %s Yr1'!O105="","",'Cash Flow %s Yr1'!O105*'Expenses Summary'!$T61))</f>
        <v>0</v>
      </c>
      <c r="P109" s="123"/>
      <c r="Q109" s="123"/>
      <c r="R109" s="123"/>
    </row>
    <row r="110" spans="1:18" hidden="1" outlineLevel="1" x14ac:dyDescent="0.3">
      <c r="A110" s="35"/>
      <c r="B110" s="133">
        <f>'Expenses Summary'!B62</f>
        <v>0</v>
      </c>
      <c r="C110" s="133">
        <f>'Expenses Summary'!C62</f>
        <v>0</v>
      </c>
      <c r="D110" s="60" t="str">
        <f>IF('Expenses Summary'!$T62="","",IF('Cash Flow %s Yr1'!D106="","",'Cash Flow %s Yr1'!D106*'Expenses Summary'!$T62))</f>
        <v/>
      </c>
      <c r="E110" s="60" t="str">
        <f>IF('Expenses Summary'!$T62="","",IF('Cash Flow %s Yr1'!E106="","",'Cash Flow %s Yr1'!E106*'Expenses Summary'!$T62))</f>
        <v/>
      </c>
      <c r="F110" s="60">
        <f>IF('Expenses Summary'!$T62="","",IF('Cash Flow %s Yr1'!F106="","",'Cash Flow %s Yr1'!F106*'Expenses Summary'!$T62))</f>
        <v>0</v>
      </c>
      <c r="G110" s="60">
        <f>IF('Expenses Summary'!$T62="","",IF('Cash Flow %s Yr1'!G106="","",'Cash Flow %s Yr1'!G106*'Expenses Summary'!$T62))</f>
        <v>0</v>
      </c>
      <c r="H110" s="60">
        <f>IF('Expenses Summary'!$T62="","",IF('Cash Flow %s Yr1'!H106="","",'Cash Flow %s Yr1'!H106*'Expenses Summary'!$T62))</f>
        <v>0</v>
      </c>
      <c r="I110" s="60">
        <f>IF('Expenses Summary'!$T62="","",IF('Cash Flow %s Yr1'!I106="","",'Cash Flow %s Yr1'!I106*'Expenses Summary'!$T62))</f>
        <v>0</v>
      </c>
      <c r="J110" s="60">
        <f>IF('Expenses Summary'!$T62="","",IF('Cash Flow %s Yr1'!J106="","",'Cash Flow %s Yr1'!J106*'Expenses Summary'!$T62))</f>
        <v>0</v>
      </c>
      <c r="K110" s="60">
        <f>IF('Expenses Summary'!$T62="","",IF('Cash Flow %s Yr1'!K106="","",'Cash Flow %s Yr1'!K106*'Expenses Summary'!$T62))</f>
        <v>0</v>
      </c>
      <c r="L110" s="60">
        <f>IF('Expenses Summary'!$T62="","",IF('Cash Flow %s Yr1'!L106="","",'Cash Flow %s Yr1'!L106*'Expenses Summary'!$T62))</f>
        <v>0</v>
      </c>
      <c r="M110" s="60">
        <f>IF('Expenses Summary'!$T62="","",IF('Cash Flow %s Yr1'!M106="","",'Cash Flow %s Yr1'!M106*'Expenses Summary'!$T62))</f>
        <v>0</v>
      </c>
      <c r="N110" s="60">
        <f>IF('Expenses Summary'!$T62="","",IF('Cash Flow %s Yr1'!N106="","",'Cash Flow %s Yr1'!N106*'Expenses Summary'!$T62))</f>
        <v>0</v>
      </c>
      <c r="O110" s="60">
        <f>IF('Expenses Summary'!$T62="","",IF('Cash Flow %s Yr1'!O106="","",'Cash Flow %s Yr1'!O106*'Expenses Summary'!$T62))</f>
        <v>0</v>
      </c>
      <c r="P110" s="123"/>
      <c r="Q110" s="123"/>
      <c r="R110" s="123"/>
    </row>
    <row r="111" spans="1:18" hidden="1" outlineLevel="1" x14ac:dyDescent="0.3">
      <c r="A111" s="35"/>
      <c r="B111" s="133">
        <f>'Expenses Summary'!B63</f>
        <v>0</v>
      </c>
      <c r="C111" s="133">
        <f>'Expenses Summary'!C63</f>
        <v>0</v>
      </c>
      <c r="D111" s="60" t="str">
        <f>IF('Expenses Summary'!$T63="","",IF('Cash Flow %s Yr1'!D107="","",'Cash Flow %s Yr1'!D107*'Expenses Summary'!$T63))</f>
        <v/>
      </c>
      <c r="E111" s="60" t="str">
        <f>IF('Expenses Summary'!$T63="","",IF('Cash Flow %s Yr1'!E107="","",'Cash Flow %s Yr1'!E107*'Expenses Summary'!$T63))</f>
        <v/>
      </c>
      <c r="F111" s="60">
        <f>IF('Expenses Summary'!$T63="","",IF('Cash Flow %s Yr1'!F107="","",'Cash Flow %s Yr1'!F107*'Expenses Summary'!$T63))</f>
        <v>0</v>
      </c>
      <c r="G111" s="60">
        <f>IF('Expenses Summary'!$T63="","",IF('Cash Flow %s Yr1'!G107="","",'Cash Flow %s Yr1'!G107*'Expenses Summary'!$T63))</f>
        <v>0</v>
      </c>
      <c r="H111" s="60">
        <f>IF('Expenses Summary'!$T63="","",IF('Cash Flow %s Yr1'!H107="","",'Cash Flow %s Yr1'!H107*'Expenses Summary'!$T63))</f>
        <v>0</v>
      </c>
      <c r="I111" s="60">
        <f>IF('Expenses Summary'!$T63="","",IF('Cash Flow %s Yr1'!I107="","",'Cash Flow %s Yr1'!I107*'Expenses Summary'!$T63))</f>
        <v>0</v>
      </c>
      <c r="J111" s="60">
        <f>IF('Expenses Summary'!$T63="","",IF('Cash Flow %s Yr1'!J107="","",'Cash Flow %s Yr1'!J107*'Expenses Summary'!$T63))</f>
        <v>0</v>
      </c>
      <c r="K111" s="60">
        <f>IF('Expenses Summary'!$T63="","",IF('Cash Flow %s Yr1'!K107="","",'Cash Flow %s Yr1'!K107*'Expenses Summary'!$T63))</f>
        <v>0</v>
      </c>
      <c r="L111" s="60">
        <f>IF('Expenses Summary'!$T63="","",IF('Cash Flow %s Yr1'!L107="","",'Cash Flow %s Yr1'!L107*'Expenses Summary'!$T63))</f>
        <v>0</v>
      </c>
      <c r="M111" s="60">
        <f>IF('Expenses Summary'!$T63="","",IF('Cash Flow %s Yr1'!M107="","",'Cash Flow %s Yr1'!M107*'Expenses Summary'!$T63))</f>
        <v>0</v>
      </c>
      <c r="N111" s="60">
        <f>IF('Expenses Summary'!$T63="","",IF('Cash Flow %s Yr1'!N107="","",'Cash Flow %s Yr1'!N107*'Expenses Summary'!$T63))</f>
        <v>0</v>
      </c>
      <c r="O111" s="60">
        <f>IF('Expenses Summary'!$T63="","",IF('Cash Flow %s Yr1'!O107="","",'Cash Flow %s Yr1'!O107*'Expenses Summary'!$T63))</f>
        <v>0</v>
      </c>
      <c r="P111" s="123"/>
      <c r="Q111" s="123"/>
      <c r="R111" s="123"/>
    </row>
    <row r="112" spans="1:18" s="30" customFormat="1" collapsed="1" x14ac:dyDescent="0.3">
      <c r="A112" s="35"/>
      <c r="B112" s="133" t="str">
        <f>'Expenses Summary'!B64</f>
        <v>4700</v>
      </c>
      <c r="C112" s="133" t="str">
        <f>'Expenses Summary'!C64</f>
        <v>Food and Food Supplies</v>
      </c>
      <c r="D112" s="60">
        <f>IF('Expenses Summary'!$T64="","",IF('Cash Flow %s Yr1'!D108="","",'Cash Flow %s Yr1'!D108*'Expenses Summary'!$T64))</f>
        <v>0</v>
      </c>
      <c r="E112" s="60">
        <f>IF('Expenses Summary'!$T64="","",IF('Cash Flow %s Yr1'!E108="","",'Cash Flow %s Yr1'!E108*'Expenses Summary'!$T64))</f>
        <v>0</v>
      </c>
      <c r="F112" s="60">
        <f>IF('Expenses Summary'!$T64="","",IF('Cash Flow %s Yr1'!F108="","",'Cash Flow %s Yr1'!F108*'Expenses Summary'!$T64))</f>
        <v>2682.1600000000003</v>
      </c>
      <c r="G112" s="60">
        <f>IF('Expenses Summary'!$T64="","",IF('Cash Flow %s Yr1'!G108="","",'Cash Flow %s Yr1'!G108*'Expenses Summary'!$T64))</f>
        <v>2682.1600000000003</v>
      </c>
      <c r="H112" s="60">
        <f>IF('Expenses Summary'!$T64="","",IF('Cash Flow %s Yr1'!H108="","",'Cash Flow %s Yr1'!H108*'Expenses Summary'!$T64))</f>
        <v>2682.1600000000003</v>
      </c>
      <c r="I112" s="60">
        <f>IF('Expenses Summary'!$T64="","",IF('Cash Flow %s Yr1'!I108="","",'Cash Flow %s Yr1'!I108*'Expenses Summary'!$T64))</f>
        <v>2682.1600000000003</v>
      </c>
      <c r="J112" s="60">
        <f>IF('Expenses Summary'!$T64="","",IF('Cash Flow %s Yr1'!J108="","",'Cash Flow %s Yr1'!J108*'Expenses Summary'!$T64))</f>
        <v>2682.1600000000003</v>
      </c>
      <c r="K112" s="60">
        <f>IF('Expenses Summary'!$T64="","",IF('Cash Flow %s Yr1'!K108="","",'Cash Flow %s Yr1'!K108*'Expenses Summary'!$T64))</f>
        <v>2682.1600000000003</v>
      </c>
      <c r="L112" s="60">
        <f>IF('Expenses Summary'!$T64="","",IF('Cash Flow %s Yr1'!L108="","",'Cash Flow %s Yr1'!L108*'Expenses Summary'!$T64))</f>
        <v>2682.1600000000003</v>
      </c>
      <c r="M112" s="60">
        <f>IF('Expenses Summary'!$T64="","",IF('Cash Flow %s Yr1'!M108="","",'Cash Flow %s Yr1'!M108*'Expenses Summary'!$T64))</f>
        <v>2682.1600000000003</v>
      </c>
      <c r="N112" s="60">
        <f>IF('Expenses Summary'!$T64="","",IF('Cash Flow %s Yr1'!N108="","",'Cash Flow %s Yr1'!N108*'Expenses Summary'!$T64))</f>
        <v>2682.1600000000003</v>
      </c>
      <c r="O112" s="60">
        <f>IF('Expenses Summary'!$T64="","",IF('Cash Flow %s Yr1'!O108="","",'Cash Flow %s Yr1'!O108*'Expenses Summary'!$T64))</f>
        <v>2682.1600000000003</v>
      </c>
      <c r="P112" s="60">
        <f>IF('Expenses Summary'!$T64="","",IF('Cash Flow %s Yr1'!P108="","",'Cash Flow %s Yr1'!P108*'Expenses Summary'!$T64))</f>
        <v>0</v>
      </c>
      <c r="Q112" s="60">
        <f>IF('Expenses Summary'!$T64="","",IF('Cash Flow %s Yr1'!Q108="","",'Cash Flow %s Yr1'!Q108*'Expenses Summary'!$T64))</f>
        <v>0</v>
      </c>
      <c r="R112" s="60">
        <f>IF('Expenses Summary'!$T64="","",IF('Cash Flow %s Yr1'!R108="","",'Cash Flow %s Yr1'!R108*'Expenses Summary'!$T64))</f>
        <v>0</v>
      </c>
    </row>
    <row r="113" spans="1:18" s="30" customFormat="1" x14ac:dyDescent="0.3">
      <c r="A113" s="35"/>
      <c r="B113" s="32" t="s">
        <v>558</v>
      </c>
      <c r="C113" s="33" t="s">
        <v>720</v>
      </c>
      <c r="D113" s="165">
        <f t="shared" ref="D113:P113" si="9">IF(SUM(D95:D112)&gt;0,SUM(D95:D112),"")</f>
        <v>3717.8038720000004</v>
      </c>
      <c r="E113" s="165">
        <f t="shared" si="9"/>
        <v>3810.6478720000005</v>
      </c>
      <c r="F113" s="165">
        <f t="shared" si="9"/>
        <v>7627.5678720000014</v>
      </c>
      <c r="G113" s="165">
        <f t="shared" si="9"/>
        <v>7627.5678720000014</v>
      </c>
      <c r="H113" s="165">
        <f t="shared" si="9"/>
        <v>7627.5678720000014</v>
      </c>
      <c r="I113" s="165">
        <f t="shared" si="9"/>
        <v>7627.5678720000014</v>
      </c>
      <c r="J113" s="165">
        <f t="shared" si="9"/>
        <v>7627.5678720000014</v>
      </c>
      <c r="K113" s="165">
        <f t="shared" si="9"/>
        <v>7627.5678720000014</v>
      </c>
      <c r="L113" s="165">
        <f t="shared" si="9"/>
        <v>7639.1630560000012</v>
      </c>
      <c r="M113" s="165">
        <f t="shared" si="9"/>
        <v>7639.1630560000012</v>
      </c>
      <c r="N113" s="165">
        <f t="shared" si="9"/>
        <v>5483.1190560000014</v>
      </c>
      <c r="O113" s="165">
        <f t="shared" si="9"/>
        <v>5390.2750560000004</v>
      </c>
      <c r="P113" s="165" t="str">
        <f t="shared" si="9"/>
        <v/>
      </c>
      <c r="Q113" s="165" t="str">
        <f>IF(SUM(Q95:Q112)&gt;0,SUM(Q95:Q112),"")</f>
        <v/>
      </c>
      <c r="R113" s="165" t="str">
        <f>IF(SUM(R95:R112)&gt;0,SUM(R95:R112),"")</f>
        <v/>
      </c>
    </row>
    <row r="114" spans="1:18" s="30" customFormat="1" x14ac:dyDescent="0.3">
      <c r="A114" s="35"/>
      <c r="B114" s="4"/>
      <c r="C114" s="3"/>
      <c r="D114" s="89"/>
      <c r="E114" s="89"/>
      <c r="F114" s="89"/>
      <c r="G114" s="89"/>
      <c r="H114" s="89"/>
      <c r="I114" s="89"/>
      <c r="J114" s="89"/>
      <c r="K114" s="89"/>
      <c r="L114" s="89"/>
      <c r="M114" s="89"/>
      <c r="N114" s="89"/>
      <c r="O114" s="89"/>
      <c r="P114" s="89"/>
      <c r="Q114" s="89"/>
      <c r="R114" s="89"/>
    </row>
    <row r="115" spans="1:18" s="30" customFormat="1" x14ac:dyDescent="0.3">
      <c r="B115" s="5" t="s">
        <v>721</v>
      </c>
      <c r="C115" s="3"/>
      <c r="D115" s="89"/>
      <c r="E115" s="89"/>
      <c r="F115" s="89"/>
      <c r="G115" s="89"/>
      <c r="H115" s="89"/>
      <c r="I115" s="89"/>
      <c r="J115" s="89"/>
      <c r="K115" s="89"/>
      <c r="L115" s="89"/>
      <c r="M115" s="89"/>
      <c r="N115" s="89"/>
      <c r="O115" s="89"/>
      <c r="P115" s="89"/>
      <c r="Q115" s="89"/>
      <c r="R115" s="89"/>
    </row>
    <row r="116" spans="1:18" s="30" customFormat="1" x14ac:dyDescent="0.3">
      <c r="A116" s="35"/>
      <c r="B116" s="133" t="str">
        <f>'Expenses Summary'!B68</f>
        <v>5200</v>
      </c>
      <c r="C116" s="133" t="str">
        <f>'Expenses Summary'!C68</f>
        <v>Travel and Conferences</v>
      </c>
      <c r="D116" s="60">
        <f>IF('Expenses Summary'!$T68="","",IF('Cash Flow %s Yr1'!D112="","",'Cash Flow %s Yr1'!D112*'Expenses Summary'!$T68))</f>
        <v>0</v>
      </c>
      <c r="E116" s="60">
        <f>IF('Expenses Summary'!$T68="","",IF('Cash Flow %s Yr1'!E112="","",'Cash Flow %s Yr1'!E112*'Expenses Summary'!$T68))</f>
        <v>0</v>
      </c>
      <c r="F116" s="60">
        <f>IF('Expenses Summary'!$T68="","",IF('Cash Flow %s Yr1'!F112="","",'Cash Flow %s Yr1'!F112*'Expenses Summary'!$T68))</f>
        <v>477.21816000000001</v>
      </c>
      <c r="G116" s="60">
        <f>IF('Expenses Summary'!$T68="","",IF('Cash Flow %s Yr1'!G112="","",'Cash Flow %s Yr1'!G112*'Expenses Summary'!$T68))</f>
        <v>159.07272</v>
      </c>
      <c r="H116" s="60">
        <f>IF('Expenses Summary'!$T68="","",IF('Cash Flow %s Yr1'!H112="","",'Cash Flow %s Yr1'!H112*'Expenses Summary'!$T68))</f>
        <v>159.07272</v>
      </c>
      <c r="I116" s="60">
        <f>IF('Expenses Summary'!$T68="","",IF('Cash Flow %s Yr1'!I112="","",'Cash Flow %s Yr1'!I112*'Expenses Summary'!$T68))</f>
        <v>159.07272</v>
      </c>
      <c r="J116" s="60">
        <f>IF('Expenses Summary'!$T68="","",IF('Cash Flow %s Yr1'!J112="","",'Cash Flow %s Yr1'!J112*'Expenses Summary'!$T68))</f>
        <v>159.07272</v>
      </c>
      <c r="K116" s="60">
        <f>IF('Expenses Summary'!$T68="","",IF('Cash Flow %s Yr1'!K112="","",'Cash Flow %s Yr1'!K112*'Expenses Summary'!$T68))</f>
        <v>159.07272</v>
      </c>
      <c r="L116" s="60">
        <f>IF('Expenses Summary'!$T68="","",IF('Cash Flow %s Yr1'!L112="","",'Cash Flow %s Yr1'!L112*'Expenses Summary'!$T68))</f>
        <v>159.07272</v>
      </c>
      <c r="M116" s="60">
        <f>IF('Expenses Summary'!$T68="","",IF('Cash Flow %s Yr1'!M112="","",'Cash Flow %s Yr1'!M112*'Expenses Summary'!$T68))</f>
        <v>159.07272</v>
      </c>
      <c r="N116" s="60">
        <f>IF('Expenses Summary'!$T68="","",IF('Cash Flow %s Yr1'!N112="","",'Cash Flow %s Yr1'!N112*'Expenses Summary'!$T68))</f>
        <v>0</v>
      </c>
      <c r="O116" s="60">
        <f>IF('Expenses Summary'!$T68="","",IF('Cash Flow %s Yr1'!O112="","",'Cash Flow %s Yr1'!O112*'Expenses Summary'!$T68))</f>
        <v>0</v>
      </c>
      <c r="P116" s="123"/>
      <c r="Q116" s="123"/>
      <c r="R116" s="123"/>
    </row>
    <row r="117" spans="1:18" s="30" customFormat="1" x14ac:dyDescent="0.3">
      <c r="A117" s="35"/>
      <c r="B117" s="133" t="str">
        <f>'Expenses Summary'!B69</f>
        <v>5210</v>
      </c>
      <c r="C117" s="133" t="str">
        <f>'Expenses Summary'!C69</f>
        <v>Training and Development Expense</v>
      </c>
      <c r="D117" s="60">
        <f>IF('Expenses Summary'!$T69="","",IF('Cash Flow %s Yr1'!D113="","",'Cash Flow %s Yr1'!D113*'Expenses Summary'!$T69))</f>
        <v>0</v>
      </c>
      <c r="E117" s="60">
        <f>IF('Expenses Summary'!$T69="","",IF('Cash Flow %s Yr1'!E113="","",'Cash Flow %s Yr1'!E113*'Expenses Summary'!$T69))</f>
        <v>0</v>
      </c>
      <c r="F117" s="60">
        <f>IF('Expenses Summary'!$T69="","",IF('Cash Flow %s Yr1'!F113="","",'Cash Flow %s Yr1'!F113*'Expenses Summary'!$T69))</f>
        <v>1590.7272</v>
      </c>
      <c r="G117" s="60">
        <f>IF('Expenses Summary'!$T69="","",IF('Cash Flow %s Yr1'!G113="","",'Cash Flow %s Yr1'!G113*'Expenses Summary'!$T69))</f>
        <v>530.24239999999998</v>
      </c>
      <c r="H117" s="60">
        <f>IF('Expenses Summary'!$T69="","",IF('Cash Flow %s Yr1'!H113="","",'Cash Flow %s Yr1'!H113*'Expenses Summary'!$T69))</f>
        <v>530.24239999999998</v>
      </c>
      <c r="I117" s="60">
        <f>IF('Expenses Summary'!$T69="","",IF('Cash Flow %s Yr1'!I113="","",'Cash Flow %s Yr1'!I113*'Expenses Summary'!$T69))</f>
        <v>530.24239999999998</v>
      </c>
      <c r="J117" s="60">
        <f>IF('Expenses Summary'!$T69="","",IF('Cash Flow %s Yr1'!J113="","",'Cash Flow %s Yr1'!J113*'Expenses Summary'!$T69))</f>
        <v>530.24239999999998</v>
      </c>
      <c r="K117" s="60">
        <f>IF('Expenses Summary'!$T69="","",IF('Cash Flow %s Yr1'!K113="","",'Cash Flow %s Yr1'!K113*'Expenses Summary'!$T69))</f>
        <v>530.24239999999998</v>
      </c>
      <c r="L117" s="60">
        <f>IF('Expenses Summary'!$T69="","",IF('Cash Flow %s Yr1'!L113="","",'Cash Flow %s Yr1'!L113*'Expenses Summary'!$T69))</f>
        <v>530.24239999999998</v>
      </c>
      <c r="M117" s="60">
        <f>IF('Expenses Summary'!$T69="","",IF('Cash Flow %s Yr1'!M113="","",'Cash Flow %s Yr1'!M113*'Expenses Summary'!$T69))</f>
        <v>530.24239999999998</v>
      </c>
      <c r="N117" s="60">
        <f>IF('Expenses Summary'!$T69="","",IF('Cash Flow %s Yr1'!N113="","",'Cash Flow %s Yr1'!N113*'Expenses Summary'!$T69))</f>
        <v>0</v>
      </c>
      <c r="O117" s="60">
        <f>IF('Expenses Summary'!$T69="","",IF('Cash Flow %s Yr1'!O113="","",'Cash Flow %s Yr1'!O113*'Expenses Summary'!$T69))</f>
        <v>0</v>
      </c>
      <c r="P117" s="123"/>
      <c r="Q117" s="123"/>
      <c r="R117" s="123"/>
    </row>
    <row r="118" spans="1:18" s="30" customFormat="1" x14ac:dyDescent="0.3">
      <c r="A118" s="35"/>
      <c r="B118" s="133" t="str">
        <f>'Expenses Summary'!B70</f>
        <v>5300</v>
      </c>
      <c r="C118" s="133" t="str">
        <f>'Expenses Summary'!C70</f>
        <v>Dues and Memberships</v>
      </c>
      <c r="D118" s="60">
        <f>IF('Expenses Summary'!$T70="","",IF('Cash Flow %s Yr1'!D114="","",'Cash Flow %s Yr1'!D114*'Expenses Summary'!$T70))</f>
        <v>0</v>
      </c>
      <c r="E118" s="60">
        <f>IF('Expenses Summary'!$T70="","",IF('Cash Flow %s Yr1'!E114="","",'Cash Flow %s Yr1'!E114*'Expenses Summary'!$T70))</f>
        <v>0</v>
      </c>
      <c r="F118" s="60">
        <f>IF('Expenses Summary'!$T70="","",IF('Cash Flow %s Yr1'!F114="","",'Cash Flow %s Yr1'!F114*'Expenses Summary'!$T70))</f>
        <v>3181.4544000000001</v>
      </c>
      <c r="G118" s="60">
        <f>IF('Expenses Summary'!$T70="","",IF('Cash Flow %s Yr1'!G114="","",'Cash Flow %s Yr1'!G114*'Expenses Summary'!$T70))</f>
        <v>1060.4848</v>
      </c>
      <c r="H118" s="60">
        <f>IF('Expenses Summary'!$T70="","",IF('Cash Flow %s Yr1'!H114="","",'Cash Flow %s Yr1'!H114*'Expenses Summary'!$T70))</f>
        <v>1060.4848</v>
      </c>
      <c r="I118" s="60">
        <f>IF('Expenses Summary'!$T70="","",IF('Cash Flow %s Yr1'!I114="","",'Cash Flow %s Yr1'!I114*'Expenses Summary'!$T70))</f>
        <v>1060.4848</v>
      </c>
      <c r="J118" s="60">
        <f>IF('Expenses Summary'!$T70="","",IF('Cash Flow %s Yr1'!J114="","",'Cash Flow %s Yr1'!J114*'Expenses Summary'!$T70))</f>
        <v>1060.4848</v>
      </c>
      <c r="K118" s="60">
        <f>IF('Expenses Summary'!$T70="","",IF('Cash Flow %s Yr1'!K114="","",'Cash Flow %s Yr1'!K114*'Expenses Summary'!$T70))</f>
        <v>1060.4848</v>
      </c>
      <c r="L118" s="60">
        <f>IF('Expenses Summary'!$T70="","",IF('Cash Flow %s Yr1'!L114="","",'Cash Flow %s Yr1'!L114*'Expenses Summary'!$T70))</f>
        <v>1060.4848</v>
      </c>
      <c r="M118" s="60">
        <f>IF('Expenses Summary'!$T70="","",IF('Cash Flow %s Yr1'!M114="","",'Cash Flow %s Yr1'!M114*'Expenses Summary'!$T70))</f>
        <v>1060.4848</v>
      </c>
      <c r="N118" s="60">
        <f>IF('Expenses Summary'!$T70="","",IF('Cash Flow %s Yr1'!N114="","",'Cash Flow %s Yr1'!N114*'Expenses Summary'!$T70))</f>
        <v>0</v>
      </c>
      <c r="O118" s="60">
        <f>IF('Expenses Summary'!$T70="","",IF('Cash Flow %s Yr1'!O114="","",'Cash Flow %s Yr1'!O114*'Expenses Summary'!$T70))</f>
        <v>0</v>
      </c>
      <c r="P118" s="123"/>
      <c r="Q118" s="123"/>
      <c r="R118" s="123"/>
    </row>
    <row r="119" spans="1:18" s="30" customFormat="1" x14ac:dyDescent="0.3">
      <c r="A119" s="35"/>
      <c r="B119" s="133" t="str">
        <f>'Expenses Summary'!B71</f>
        <v>5400</v>
      </c>
      <c r="C119" s="133" t="str">
        <f>'Expenses Summary'!C71</f>
        <v>Insurance</v>
      </c>
      <c r="D119" s="60">
        <f>IF('Expenses Summary'!$T71="","",IF('Cash Flow %s Yr1'!D115="","",'Cash Flow %s Yr1'!D115*'Expenses Summary'!$T71))</f>
        <v>0</v>
      </c>
      <c r="E119" s="60">
        <f>IF('Expenses Summary'!$T71="","",IF('Cash Flow %s Yr1'!E115="","",'Cash Flow %s Yr1'!E115*'Expenses Summary'!$T71))</f>
        <v>0</v>
      </c>
      <c r="F119" s="60">
        <f>IF('Expenses Summary'!$T71="","",IF('Cash Flow %s Yr1'!F115="","",'Cash Flow %s Yr1'!F115*'Expenses Summary'!$T71))</f>
        <v>7427.52</v>
      </c>
      <c r="G119" s="60">
        <f>IF('Expenses Summary'!$T71="","",IF('Cash Flow %s Yr1'!G115="","",'Cash Flow %s Yr1'!G115*'Expenses Summary'!$T71))</f>
        <v>2475.84</v>
      </c>
      <c r="H119" s="60">
        <f>IF('Expenses Summary'!$T71="","",IF('Cash Flow %s Yr1'!H115="","",'Cash Flow %s Yr1'!H115*'Expenses Summary'!$T71))</f>
        <v>2475.84</v>
      </c>
      <c r="I119" s="60">
        <f>IF('Expenses Summary'!$T71="","",IF('Cash Flow %s Yr1'!I115="","",'Cash Flow %s Yr1'!I115*'Expenses Summary'!$T71))</f>
        <v>2475.84</v>
      </c>
      <c r="J119" s="60">
        <f>IF('Expenses Summary'!$T71="","",IF('Cash Flow %s Yr1'!J115="","",'Cash Flow %s Yr1'!J115*'Expenses Summary'!$T71))</f>
        <v>2475.84</v>
      </c>
      <c r="K119" s="60">
        <f>IF('Expenses Summary'!$T71="","",IF('Cash Flow %s Yr1'!K115="","",'Cash Flow %s Yr1'!K115*'Expenses Summary'!$T71))</f>
        <v>2475.84</v>
      </c>
      <c r="L119" s="60">
        <f>IF('Expenses Summary'!$T71="","",IF('Cash Flow %s Yr1'!L115="","",'Cash Flow %s Yr1'!L115*'Expenses Summary'!$T71))</f>
        <v>2475.84</v>
      </c>
      <c r="M119" s="60">
        <f>IF('Expenses Summary'!$T71="","",IF('Cash Flow %s Yr1'!M115="","",'Cash Flow %s Yr1'!M115*'Expenses Summary'!$T71))</f>
        <v>2475.84</v>
      </c>
      <c r="N119" s="60">
        <f>IF('Expenses Summary'!$T71="","",IF('Cash Flow %s Yr1'!N115="","",'Cash Flow %s Yr1'!N115*'Expenses Summary'!$T71))</f>
        <v>0</v>
      </c>
      <c r="O119" s="60">
        <f>IF('Expenses Summary'!$T71="","",IF('Cash Flow %s Yr1'!O115="","",'Cash Flow %s Yr1'!O115*'Expenses Summary'!$T71))</f>
        <v>0</v>
      </c>
      <c r="P119" s="123"/>
      <c r="Q119" s="123"/>
      <c r="R119" s="123"/>
    </row>
    <row r="120" spans="1:18" s="30" customFormat="1" x14ac:dyDescent="0.3">
      <c r="A120" s="35"/>
      <c r="B120" s="133" t="str">
        <f>'Expenses Summary'!B72</f>
        <v>5450</v>
      </c>
      <c r="C120" s="133" t="str">
        <f>'Expenses Summary'!C72</f>
        <v>Property Tax</v>
      </c>
      <c r="D120" s="60">
        <f>IF('Expenses Summary'!$T72="","",IF('Cash Flow %s Yr1'!D116="","",'Cash Flow %s Yr1'!D116*'Expenses Summary'!$T72))</f>
        <v>0</v>
      </c>
      <c r="E120" s="60">
        <f>IF('Expenses Summary'!$T72="","",IF('Cash Flow %s Yr1'!E116="","",'Cash Flow %s Yr1'!E116*'Expenses Summary'!$T72))</f>
        <v>0</v>
      </c>
      <c r="F120" s="60">
        <f>IF('Expenses Summary'!$T72="","",IF('Cash Flow %s Yr1'!F116="","",'Cash Flow %s Yr1'!F116*'Expenses Summary'!$T72))</f>
        <v>0</v>
      </c>
      <c r="G120" s="60">
        <f>IF('Expenses Summary'!$T72="","",IF('Cash Flow %s Yr1'!G116="","",'Cash Flow %s Yr1'!G116*'Expenses Summary'!$T72))</f>
        <v>0</v>
      </c>
      <c r="H120" s="60">
        <f>IF('Expenses Summary'!$T72="","",IF('Cash Flow %s Yr1'!H116="","",'Cash Flow %s Yr1'!H116*'Expenses Summary'!$T72))</f>
        <v>0</v>
      </c>
      <c r="I120" s="60">
        <f>IF('Expenses Summary'!$T72="","",IF('Cash Flow %s Yr1'!I116="","",'Cash Flow %s Yr1'!I116*'Expenses Summary'!$T72))</f>
        <v>0</v>
      </c>
      <c r="J120" s="60">
        <f>IF('Expenses Summary'!$T72="","",IF('Cash Flow %s Yr1'!J116="","",'Cash Flow %s Yr1'!J116*'Expenses Summary'!$T72))</f>
        <v>0</v>
      </c>
      <c r="K120" s="60">
        <f>IF('Expenses Summary'!$T72="","",IF('Cash Flow %s Yr1'!K116="","",'Cash Flow %s Yr1'!K116*'Expenses Summary'!$T72))</f>
        <v>0</v>
      </c>
      <c r="L120" s="60">
        <f>IF('Expenses Summary'!$T72="","",IF('Cash Flow %s Yr1'!L116="","",'Cash Flow %s Yr1'!L116*'Expenses Summary'!$T72))</f>
        <v>0</v>
      </c>
      <c r="M120" s="60">
        <f>IF('Expenses Summary'!$T72="","",IF('Cash Flow %s Yr1'!M116="","",'Cash Flow %s Yr1'!M116*'Expenses Summary'!$T72))</f>
        <v>0</v>
      </c>
      <c r="N120" s="60">
        <f>IF('Expenses Summary'!$T72="","",IF('Cash Flow %s Yr1'!N116="","",'Cash Flow %s Yr1'!N116*'Expenses Summary'!$T72))</f>
        <v>0</v>
      </c>
      <c r="O120" s="60">
        <f>IF('Expenses Summary'!$T72="","",IF('Cash Flow %s Yr1'!O116="","",'Cash Flow %s Yr1'!O116*'Expenses Summary'!$T72))</f>
        <v>0</v>
      </c>
      <c r="P120" s="123"/>
      <c r="Q120" s="123"/>
      <c r="R120" s="123"/>
    </row>
    <row r="121" spans="1:18" s="30" customFormat="1" x14ac:dyDescent="0.3">
      <c r="A121" s="35"/>
      <c r="B121" s="133" t="str">
        <f>'Expenses Summary'!B73</f>
        <v>5500</v>
      </c>
      <c r="C121" s="133" t="str">
        <f>'Expenses Summary'!C73</f>
        <v>Operation and Housekeeping Services/Supplies</v>
      </c>
      <c r="D121" s="60">
        <f>IF('Expenses Summary'!$T73="","",IF('Cash Flow %s Yr1'!D117="","",'Cash Flow %s Yr1'!D117*'Expenses Summary'!$T73))</f>
        <v>1712.4560000000001</v>
      </c>
      <c r="E121" s="60">
        <f>IF('Expenses Summary'!$T73="","",IF('Cash Flow %s Yr1'!E117="","",'Cash Flow %s Yr1'!E117*'Expenses Summary'!$T73))</f>
        <v>1712.4560000000001</v>
      </c>
      <c r="F121" s="60">
        <f>IF('Expenses Summary'!$T73="","",IF('Cash Flow %s Yr1'!F117="","",'Cash Flow %s Yr1'!F117*'Expenses Summary'!$T73))</f>
        <v>1712.4560000000001</v>
      </c>
      <c r="G121" s="60">
        <f>IF('Expenses Summary'!$T73="","",IF('Cash Flow %s Yr1'!G117="","",'Cash Flow %s Yr1'!G117*'Expenses Summary'!$T73))</f>
        <v>1712.4560000000001</v>
      </c>
      <c r="H121" s="60">
        <f>IF('Expenses Summary'!$T73="","",IF('Cash Flow %s Yr1'!H117="","",'Cash Flow %s Yr1'!H117*'Expenses Summary'!$T73))</f>
        <v>1712.4560000000001</v>
      </c>
      <c r="I121" s="60">
        <f>IF('Expenses Summary'!$T73="","",IF('Cash Flow %s Yr1'!I117="","",'Cash Flow %s Yr1'!I117*'Expenses Summary'!$T73))</f>
        <v>1712.4560000000001</v>
      </c>
      <c r="J121" s="60">
        <f>IF('Expenses Summary'!$T73="","",IF('Cash Flow %s Yr1'!J117="","",'Cash Flow %s Yr1'!J117*'Expenses Summary'!$T73))</f>
        <v>1712.4560000000001</v>
      </c>
      <c r="K121" s="60">
        <f>IF('Expenses Summary'!$T73="","",IF('Cash Flow %s Yr1'!K117="","",'Cash Flow %s Yr1'!K117*'Expenses Summary'!$T73))</f>
        <v>1712.4560000000001</v>
      </c>
      <c r="L121" s="60">
        <f>IF('Expenses Summary'!$T73="","",IF('Cash Flow %s Yr1'!L117="","",'Cash Flow %s Yr1'!L117*'Expenses Summary'!$T73))</f>
        <v>1733.0880000000002</v>
      </c>
      <c r="M121" s="60">
        <f>IF('Expenses Summary'!$T73="","",IF('Cash Flow %s Yr1'!M117="","",'Cash Flow %s Yr1'!M117*'Expenses Summary'!$T73))</f>
        <v>1733.0880000000002</v>
      </c>
      <c r="N121" s="60">
        <f>IF('Expenses Summary'!$T73="","",IF('Cash Flow %s Yr1'!N117="","",'Cash Flow %s Yr1'!N117*'Expenses Summary'!$T73))</f>
        <v>1733.0880000000002</v>
      </c>
      <c r="O121" s="60">
        <f>IF('Expenses Summary'!$T73="","",IF('Cash Flow %s Yr1'!O117="","",'Cash Flow %s Yr1'!O117*'Expenses Summary'!$T73))</f>
        <v>1733.0880000000002</v>
      </c>
      <c r="P121" s="123"/>
      <c r="Q121" s="123"/>
      <c r="R121" s="123"/>
    </row>
    <row r="122" spans="1:18" s="30" customFormat="1" x14ac:dyDescent="0.3">
      <c r="A122" s="35"/>
      <c r="B122" s="133" t="str">
        <f>'Expenses Summary'!B74</f>
        <v>5501</v>
      </c>
      <c r="C122" s="133" t="str">
        <f>'Expenses Summary'!C74</f>
        <v>Utilities</v>
      </c>
      <c r="D122" s="60">
        <f>IF('Expenses Summary'!$T74="","",IF('Cash Flow %s Yr1'!D118="","",'Cash Flow %s Yr1'!D118*'Expenses Summary'!$T74))</f>
        <v>0</v>
      </c>
      <c r="E122" s="60">
        <f>IF('Expenses Summary'!$T74="","",IF('Cash Flow %s Yr1'!E118="","",'Cash Flow %s Yr1'!E118*'Expenses Summary'!$T74))</f>
        <v>0</v>
      </c>
      <c r="F122" s="60">
        <f>IF('Expenses Summary'!$T74="","",IF('Cash Flow %s Yr1'!F118="","",'Cash Flow %s Yr1'!F118*'Expenses Summary'!$T74))</f>
        <v>0</v>
      </c>
      <c r="G122" s="60">
        <f>IF('Expenses Summary'!$T74="","",IF('Cash Flow %s Yr1'!G118="","",'Cash Flow %s Yr1'!G118*'Expenses Summary'!$T74))</f>
        <v>0</v>
      </c>
      <c r="H122" s="60">
        <f>IF('Expenses Summary'!$T74="","",IF('Cash Flow %s Yr1'!H118="","",'Cash Flow %s Yr1'!H118*'Expenses Summary'!$T74))</f>
        <v>0</v>
      </c>
      <c r="I122" s="60">
        <f>IF('Expenses Summary'!$T74="","",IF('Cash Flow %s Yr1'!I118="","",'Cash Flow %s Yr1'!I118*'Expenses Summary'!$T74))</f>
        <v>0</v>
      </c>
      <c r="J122" s="60">
        <f>IF('Expenses Summary'!$T74="","",IF('Cash Flow %s Yr1'!J118="","",'Cash Flow %s Yr1'!J118*'Expenses Summary'!$T74))</f>
        <v>0</v>
      </c>
      <c r="K122" s="60">
        <f>IF('Expenses Summary'!$T74="","",IF('Cash Flow %s Yr1'!K118="","",'Cash Flow %s Yr1'!K118*'Expenses Summary'!$T74))</f>
        <v>0</v>
      </c>
      <c r="L122" s="60">
        <f>IF('Expenses Summary'!$T74="","",IF('Cash Flow %s Yr1'!L118="","",'Cash Flow %s Yr1'!L118*'Expenses Summary'!$T74))</f>
        <v>0</v>
      </c>
      <c r="M122" s="60">
        <f>IF('Expenses Summary'!$T74="","",IF('Cash Flow %s Yr1'!M118="","",'Cash Flow %s Yr1'!M118*'Expenses Summary'!$T74))</f>
        <v>0</v>
      </c>
      <c r="N122" s="60">
        <f>IF('Expenses Summary'!$T74="","",IF('Cash Flow %s Yr1'!N118="","",'Cash Flow %s Yr1'!N118*'Expenses Summary'!$T74))</f>
        <v>0</v>
      </c>
      <c r="O122" s="60">
        <f>IF('Expenses Summary'!$T74="","",IF('Cash Flow %s Yr1'!O118="","",'Cash Flow %s Yr1'!O118*'Expenses Summary'!$T74))</f>
        <v>0</v>
      </c>
      <c r="P122" s="123"/>
      <c r="Q122" s="123"/>
      <c r="R122" s="123"/>
    </row>
    <row r="123" spans="1:18" s="30" customFormat="1" x14ac:dyDescent="0.3">
      <c r="A123" s="35"/>
      <c r="B123" s="133" t="str">
        <f>'Expenses Summary'!B75</f>
        <v>5505</v>
      </c>
      <c r="C123" s="133" t="str">
        <f>'Expenses Summary'!C75</f>
        <v>Student Transportation / Field Trips</v>
      </c>
      <c r="D123" s="60">
        <f>IF('Expenses Summary'!$T75="","",IF('Cash Flow %s Yr1'!D119="","",'Cash Flow %s Yr1'!D119*'Expenses Summary'!$T75))</f>
        <v>0</v>
      </c>
      <c r="E123" s="60">
        <f>IF('Expenses Summary'!$T75="","",IF('Cash Flow %s Yr1'!E119="","",'Cash Flow %s Yr1'!E119*'Expenses Summary'!$T75))</f>
        <v>0</v>
      </c>
      <c r="F123" s="60">
        <f>IF('Expenses Summary'!$T75="","",IF('Cash Flow %s Yr1'!F119="","",'Cash Flow %s Yr1'!F119*'Expenses Summary'!$T75))</f>
        <v>0</v>
      </c>
      <c r="G123" s="60">
        <f>IF('Expenses Summary'!$T75="","",IF('Cash Flow %s Yr1'!G119="","",'Cash Flow %s Yr1'!G119*'Expenses Summary'!$T75))</f>
        <v>0</v>
      </c>
      <c r="H123" s="60">
        <f>IF('Expenses Summary'!$T75="","",IF('Cash Flow %s Yr1'!H119="","",'Cash Flow %s Yr1'!H119*'Expenses Summary'!$T75))</f>
        <v>0</v>
      </c>
      <c r="I123" s="60">
        <f>IF('Expenses Summary'!$T75="","",IF('Cash Flow %s Yr1'!I119="","",'Cash Flow %s Yr1'!I119*'Expenses Summary'!$T75))</f>
        <v>0</v>
      </c>
      <c r="J123" s="60">
        <f>IF('Expenses Summary'!$T75="","",IF('Cash Flow %s Yr1'!J119="","",'Cash Flow %s Yr1'!J119*'Expenses Summary'!$T75))</f>
        <v>0</v>
      </c>
      <c r="K123" s="60">
        <f>IF('Expenses Summary'!$T75="","",IF('Cash Flow %s Yr1'!K119="","",'Cash Flow %s Yr1'!K119*'Expenses Summary'!$T75))</f>
        <v>0</v>
      </c>
      <c r="L123" s="60">
        <f>IF('Expenses Summary'!$T75="","",IF('Cash Flow %s Yr1'!L119="","",'Cash Flow %s Yr1'!L119*'Expenses Summary'!$T75))</f>
        <v>0</v>
      </c>
      <c r="M123" s="60">
        <f>IF('Expenses Summary'!$T75="","",IF('Cash Flow %s Yr1'!M119="","",'Cash Flow %s Yr1'!M119*'Expenses Summary'!$T75))</f>
        <v>0</v>
      </c>
      <c r="N123" s="60">
        <f>IF('Expenses Summary'!$T75="","",IF('Cash Flow %s Yr1'!N119="","",'Cash Flow %s Yr1'!N119*'Expenses Summary'!$T75))</f>
        <v>0</v>
      </c>
      <c r="O123" s="60">
        <f>IF('Expenses Summary'!$T75="","",IF('Cash Flow %s Yr1'!O119="","",'Cash Flow %s Yr1'!O119*'Expenses Summary'!$T75))</f>
        <v>0</v>
      </c>
      <c r="P123" s="123"/>
      <c r="Q123" s="123"/>
      <c r="R123" s="123"/>
    </row>
    <row r="124" spans="1:18" s="30" customFormat="1" x14ac:dyDescent="0.3">
      <c r="A124" s="35"/>
      <c r="B124" s="133" t="str">
        <f>'Expenses Summary'!B76</f>
        <v>5600</v>
      </c>
      <c r="C124" s="133" t="str">
        <f>'Expenses Summary'!C76</f>
        <v>Space Rental/Leases Expense</v>
      </c>
      <c r="D124" s="60">
        <f>IF('Expenses Summary'!$T76="","",IF('Cash Flow %s Yr1'!D120="","",'Cash Flow %s Yr1'!D120*'Expenses Summary'!$T76))</f>
        <v>4454.0980560000007</v>
      </c>
      <c r="E124" s="60">
        <f>IF('Expenses Summary'!$T76="","",IF('Cash Flow %s Yr1'!E120="","",'Cash Flow %s Yr1'!E120*'Expenses Summary'!$T76))</f>
        <v>4454.0980560000007</v>
      </c>
      <c r="F124" s="60">
        <f>IF('Expenses Summary'!$T76="","",IF('Cash Flow %s Yr1'!F120="","",'Cash Flow %s Yr1'!F120*'Expenses Summary'!$T76))</f>
        <v>4454.0980560000007</v>
      </c>
      <c r="G124" s="60">
        <f>IF('Expenses Summary'!$T76="","",IF('Cash Flow %s Yr1'!G120="","",'Cash Flow %s Yr1'!G120*'Expenses Summary'!$T76))</f>
        <v>4454.0980560000007</v>
      </c>
      <c r="H124" s="60">
        <f>IF('Expenses Summary'!$T76="","",IF('Cash Flow %s Yr1'!H120="","",'Cash Flow %s Yr1'!H120*'Expenses Summary'!$T76))</f>
        <v>4454.0980560000007</v>
      </c>
      <c r="I124" s="60">
        <f>IF('Expenses Summary'!$T76="","",IF('Cash Flow %s Yr1'!I120="","",'Cash Flow %s Yr1'!I120*'Expenses Summary'!$T76))</f>
        <v>4454.0980560000007</v>
      </c>
      <c r="J124" s="60">
        <f>IF('Expenses Summary'!$T76="","",IF('Cash Flow %s Yr1'!J120="","",'Cash Flow %s Yr1'!J120*'Expenses Summary'!$T76))</f>
        <v>4454.0980560000007</v>
      </c>
      <c r="K124" s="60">
        <f>IF('Expenses Summary'!$T76="","",IF('Cash Flow %s Yr1'!K120="","",'Cash Flow %s Yr1'!K120*'Expenses Summary'!$T76))</f>
        <v>4454.0980560000007</v>
      </c>
      <c r="L124" s="60">
        <f>IF('Expenses Summary'!$T76="","",IF('Cash Flow %s Yr1'!L120="","",'Cash Flow %s Yr1'!L120*'Expenses Summary'!$T76))</f>
        <v>4507.7618880000009</v>
      </c>
      <c r="M124" s="60">
        <f>IF('Expenses Summary'!$T76="","",IF('Cash Flow %s Yr1'!M120="","",'Cash Flow %s Yr1'!M120*'Expenses Summary'!$T76))</f>
        <v>4507.7618880000009</v>
      </c>
      <c r="N124" s="60">
        <f>IF('Expenses Summary'!$T76="","",IF('Cash Flow %s Yr1'!N120="","",'Cash Flow %s Yr1'!N120*'Expenses Summary'!$T76))</f>
        <v>4507.7618880000009</v>
      </c>
      <c r="O124" s="60">
        <f>IF('Expenses Summary'!$T76="","",IF('Cash Flow %s Yr1'!O120="","",'Cash Flow %s Yr1'!O120*'Expenses Summary'!$T76))</f>
        <v>4507.7618880000009</v>
      </c>
      <c r="P124" s="123"/>
      <c r="Q124" s="123"/>
      <c r="R124" s="123"/>
    </row>
    <row r="125" spans="1:18" s="30" customFormat="1" x14ac:dyDescent="0.3">
      <c r="A125" s="35"/>
      <c r="B125" s="133" t="str">
        <f>'Expenses Summary'!B77</f>
        <v>5601</v>
      </c>
      <c r="C125" s="133" t="str">
        <f>'Expenses Summary'!C77</f>
        <v>Building Maintenance</v>
      </c>
      <c r="D125" s="60">
        <f>IF('Expenses Summary'!$T77="","",IF('Cash Flow %s Yr1'!D121="","",'Cash Flow %s Yr1'!D121*'Expenses Summary'!$T77))</f>
        <v>0</v>
      </c>
      <c r="E125" s="60">
        <f>IF('Expenses Summary'!$T77="","",IF('Cash Flow %s Yr1'!E121="","",'Cash Flow %s Yr1'!E121*'Expenses Summary'!$T77))</f>
        <v>0</v>
      </c>
      <c r="F125" s="60">
        <f>IF('Expenses Summary'!$T77="","",IF('Cash Flow %s Yr1'!F121="","",'Cash Flow %s Yr1'!F121*'Expenses Summary'!$T77))</f>
        <v>0</v>
      </c>
      <c r="G125" s="60">
        <f>IF('Expenses Summary'!$T77="","",IF('Cash Flow %s Yr1'!G121="","",'Cash Flow %s Yr1'!G121*'Expenses Summary'!$T77))</f>
        <v>0</v>
      </c>
      <c r="H125" s="60">
        <f>IF('Expenses Summary'!$T77="","",IF('Cash Flow %s Yr1'!H121="","",'Cash Flow %s Yr1'!H121*'Expenses Summary'!$T77))</f>
        <v>0</v>
      </c>
      <c r="I125" s="60">
        <f>IF('Expenses Summary'!$T77="","",IF('Cash Flow %s Yr1'!I121="","",'Cash Flow %s Yr1'!I121*'Expenses Summary'!$T77))</f>
        <v>0</v>
      </c>
      <c r="J125" s="60">
        <f>IF('Expenses Summary'!$T77="","",IF('Cash Flow %s Yr1'!J121="","",'Cash Flow %s Yr1'!J121*'Expenses Summary'!$T77))</f>
        <v>0</v>
      </c>
      <c r="K125" s="60">
        <f>IF('Expenses Summary'!$T77="","",IF('Cash Flow %s Yr1'!K121="","",'Cash Flow %s Yr1'!K121*'Expenses Summary'!$T77))</f>
        <v>0</v>
      </c>
      <c r="L125" s="60">
        <f>IF('Expenses Summary'!$T77="","",IF('Cash Flow %s Yr1'!L121="","",'Cash Flow %s Yr1'!L121*'Expenses Summary'!$T77))</f>
        <v>0</v>
      </c>
      <c r="M125" s="60">
        <f>IF('Expenses Summary'!$T77="","",IF('Cash Flow %s Yr1'!M121="","",'Cash Flow %s Yr1'!M121*'Expenses Summary'!$T77))</f>
        <v>0</v>
      </c>
      <c r="N125" s="60">
        <f>IF('Expenses Summary'!$T77="","",IF('Cash Flow %s Yr1'!N121="","",'Cash Flow %s Yr1'!N121*'Expenses Summary'!$T77))</f>
        <v>0</v>
      </c>
      <c r="O125" s="60">
        <f>IF('Expenses Summary'!$T77="","",IF('Cash Flow %s Yr1'!O121="","",'Cash Flow %s Yr1'!O121*'Expenses Summary'!$T77))</f>
        <v>0</v>
      </c>
      <c r="P125" s="123"/>
      <c r="Q125" s="123"/>
      <c r="R125" s="123"/>
    </row>
    <row r="126" spans="1:18" s="30" customFormat="1" x14ac:dyDescent="0.3">
      <c r="A126" s="35"/>
      <c r="B126" s="133" t="str">
        <f>'Expenses Summary'!B78</f>
        <v>5602</v>
      </c>
      <c r="C126" s="133" t="str">
        <f>'Expenses Summary'!C78</f>
        <v>Other Space Rental</v>
      </c>
      <c r="D126" s="60">
        <f>IF('Expenses Summary'!$T78="","",IF('Cash Flow %s Yr1'!D122="","",'Cash Flow %s Yr1'!D122*'Expenses Summary'!$T78))</f>
        <v>304.55002486400002</v>
      </c>
      <c r="E126" s="60">
        <f>IF('Expenses Summary'!$T78="","",IF('Cash Flow %s Yr1'!E122="","",'Cash Flow %s Yr1'!E122*'Expenses Summary'!$T78))</f>
        <v>304.55002486400002</v>
      </c>
      <c r="F126" s="60">
        <f>IF('Expenses Summary'!$T78="","",IF('Cash Flow %s Yr1'!F122="","",'Cash Flow %s Yr1'!F122*'Expenses Summary'!$T78))</f>
        <v>304.55002486400002</v>
      </c>
      <c r="G126" s="60">
        <f>IF('Expenses Summary'!$T78="","",IF('Cash Flow %s Yr1'!G122="","",'Cash Flow %s Yr1'!G122*'Expenses Summary'!$T78))</f>
        <v>304.55002486400002</v>
      </c>
      <c r="H126" s="60">
        <f>IF('Expenses Summary'!$T78="","",IF('Cash Flow %s Yr1'!H122="","",'Cash Flow %s Yr1'!H122*'Expenses Summary'!$T78))</f>
        <v>304.55002486400002</v>
      </c>
      <c r="I126" s="60">
        <f>IF('Expenses Summary'!$T78="","",IF('Cash Flow %s Yr1'!I122="","",'Cash Flow %s Yr1'!I122*'Expenses Summary'!$T78))</f>
        <v>304.55002486400002</v>
      </c>
      <c r="J126" s="60">
        <f>IF('Expenses Summary'!$T78="","",IF('Cash Flow %s Yr1'!J122="","",'Cash Flow %s Yr1'!J122*'Expenses Summary'!$T78))</f>
        <v>304.55002486400002</v>
      </c>
      <c r="K126" s="60">
        <f>IF('Expenses Summary'!$T78="","",IF('Cash Flow %s Yr1'!K122="","",'Cash Flow %s Yr1'!K122*'Expenses Summary'!$T78))</f>
        <v>304.55002486400002</v>
      </c>
      <c r="L126" s="60">
        <f>IF('Expenses Summary'!$T78="","",IF('Cash Flow %s Yr1'!L122="","",'Cash Flow %s Yr1'!L122*'Expenses Summary'!$T78))</f>
        <v>308.21930227200005</v>
      </c>
      <c r="M126" s="60">
        <f>IF('Expenses Summary'!$T78="","",IF('Cash Flow %s Yr1'!M122="","",'Cash Flow %s Yr1'!M122*'Expenses Summary'!$T78))</f>
        <v>308.21930227200005</v>
      </c>
      <c r="N126" s="60">
        <f>IF('Expenses Summary'!$T78="","",IF('Cash Flow %s Yr1'!N122="","",'Cash Flow %s Yr1'!N122*'Expenses Summary'!$T78))</f>
        <v>308.21930227200005</v>
      </c>
      <c r="O126" s="60">
        <f>IF('Expenses Summary'!$T78="","",IF('Cash Flow %s Yr1'!O122="","",'Cash Flow %s Yr1'!O122*'Expenses Summary'!$T78))</f>
        <v>308.21930227200005</v>
      </c>
      <c r="P126" s="123"/>
      <c r="Q126" s="123"/>
      <c r="R126" s="123"/>
    </row>
    <row r="127" spans="1:18" s="30" customFormat="1" x14ac:dyDescent="0.3">
      <c r="A127" s="35"/>
      <c r="B127" s="133" t="str">
        <f>'Expenses Summary'!B79</f>
        <v>5605</v>
      </c>
      <c r="C127" s="133" t="str">
        <f>'Expenses Summary'!C79</f>
        <v>Equipment Rental/Lease Expense</v>
      </c>
      <c r="D127" s="60">
        <f>IF('Expenses Summary'!$T79="","",IF('Cash Flow %s Yr1'!D123="","",'Cash Flow %s Yr1'!D123*'Expenses Summary'!$T79))</f>
        <v>0</v>
      </c>
      <c r="E127" s="60">
        <f>IF('Expenses Summary'!$T79="","",IF('Cash Flow %s Yr1'!E123="","",'Cash Flow %s Yr1'!E123*'Expenses Summary'!$T79))</f>
        <v>0</v>
      </c>
      <c r="F127" s="60">
        <f>IF('Expenses Summary'!$T79="","",IF('Cash Flow %s Yr1'!F123="","",'Cash Flow %s Yr1'!F123*'Expenses Summary'!$T79))</f>
        <v>0</v>
      </c>
      <c r="G127" s="60">
        <f>IF('Expenses Summary'!$T79="","",IF('Cash Flow %s Yr1'!G123="","",'Cash Flow %s Yr1'!G123*'Expenses Summary'!$T79))</f>
        <v>0</v>
      </c>
      <c r="H127" s="60">
        <f>IF('Expenses Summary'!$T79="","",IF('Cash Flow %s Yr1'!H123="","",'Cash Flow %s Yr1'!H123*'Expenses Summary'!$T79))</f>
        <v>0</v>
      </c>
      <c r="I127" s="60">
        <f>IF('Expenses Summary'!$T79="","",IF('Cash Flow %s Yr1'!I123="","",'Cash Flow %s Yr1'!I123*'Expenses Summary'!$T79))</f>
        <v>0</v>
      </c>
      <c r="J127" s="60">
        <f>IF('Expenses Summary'!$T79="","",IF('Cash Flow %s Yr1'!J123="","",'Cash Flow %s Yr1'!J123*'Expenses Summary'!$T79))</f>
        <v>0</v>
      </c>
      <c r="K127" s="60">
        <f>IF('Expenses Summary'!$T79="","",IF('Cash Flow %s Yr1'!K123="","",'Cash Flow %s Yr1'!K123*'Expenses Summary'!$T79))</f>
        <v>0</v>
      </c>
      <c r="L127" s="60">
        <f>IF('Expenses Summary'!$T79="","",IF('Cash Flow %s Yr1'!L123="","",'Cash Flow %s Yr1'!L123*'Expenses Summary'!$T79))</f>
        <v>0</v>
      </c>
      <c r="M127" s="60">
        <f>IF('Expenses Summary'!$T79="","",IF('Cash Flow %s Yr1'!M123="","",'Cash Flow %s Yr1'!M123*'Expenses Summary'!$T79))</f>
        <v>0</v>
      </c>
      <c r="N127" s="60">
        <f>IF('Expenses Summary'!$T79="","",IF('Cash Flow %s Yr1'!N123="","",'Cash Flow %s Yr1'!N123*'Expenses Summary'!$T79))</f>
        <v>0</v>
      </c>
      <c r="O127" s="60">
        <f>IF('Expenses Summary'!$T79="","",IF('Cash Flow %s Yr1'!O123="","",'Cash Flow %s Yr1'!O123*'Expenses Summary'!$T79))</f>
        <v>0</v>
      </c>
      <c r="P127" s="123"/>
      <c r="Q127" s="123"/>
      <c r="R127" s="123"/>
    </row>
    <row r="128" spans="1:18" s="30" customFormat="1" x14ac:dyDescent="0.3">
      <c r="A128" s="35"/>
      <c r="B128" s="133" t="str">
        <f>'Expenses Summary'!B80</f>
        <v>5610</v>
      </c>
      <c r="C128" s="133" t="str">
        <f>'Expenses Summary'!C80</f>
        <v>Equipment Repair</v>
      </c>
      <c r="D128" s="60">
        <f>IF('Expenses Summary'!$T80="","",IF('Cash Flow %s Yr1'!D124="","",'Cash Flow %s Yr1'!D124*'Expenses Summary'!$T80))</f>
        <v>38.530260000000006</v>
      </c>
      <c r="E128" s="60">
        <f>IF('Expenses Summary'!$T80="","",IF('Cash Flow %s Yr1'!E124="","",'Cash Flow %s Yr1'!E124*'Expenses Summary'!$T80))</f>
        <v>38.530260000000006</v>
      </c>
      <c r="F128" s="60">
        <f>IF('Expenses Summary'!$T80="","",IF('Cash Flow %s Yr1'!F124="","",'Cash Flow %s Yr1'!F124*'Expenses Summary'!$T80))</f>
        <v>38.530260000000006</v>
      </c>
      <c r="G128" s="60">
        <f>IF('Expenses Summary'!$T80="","",IF('Cash Flow %s Yr1'!G124="","",'Cash Flow %s Yr1'!G124*'Expenses Summary'!$T80))</f>
        <v>38.530260000000006</v>
      </c>
      <c r="H128" s="60">
        <f>IF('Expenses Summary'!$T80="","",IF('Cash Flow %s Yr1'!H124="","",'Cash Flow %s Yr1'!H124*'Expenses Summary'!$T80))</f>
        <v>38.530260000000006</v>
      </c>
      <c r="I128" s="60">
        <f>IF('Expenses Summary'!$T80="","",IF('Cash Flow %s Yr1'!I124="","",'Cash Flow %s Yr1'!I124*'Expenses Summary'!$T80))</f>
        <v>38.530260000000006</v>
      </c>
      <c r="J128" s="60">
        <f>IF('Expenses Summary'!$T80="","",IF('Cash Flow %s Yr1'!J124="","",'Cash Flow %s Yr1'!J124*'Expenses Summary'!$T80))</f>
        <v>38.530260000000006</v>
      </c>
      <c r="K128" s="60">
        <f>IF('Expenses Summary'!$T80="","",IF('Cash Flow %s Yr1'!K124="","",'Cash Flow %s Yr1'!K124*'Expenses Summary'!$T80))</f>
        <v>38.530260000000006</v>
      </c>
      <c r="L128" s="60">
        <f>IF('Expenses Summary'!$T80="","",IF('Cash Flow %s Yr1'!L124="","",'Cash Flow %s Yr1'!L124*'Expenses Summary'!$T80))</f>
        <v>38.994480000000003</v>
      </c>
      <c r="M128" s="60">
        <f>IF('Expenses Summary'!$T80="","",IF('Cash Flow %s Yr1'!M124="","",'Cash Flow %s Yr1'!M124*'Expenses Summary'!$T80))</f>
        <v>38.994480000000003</v>
      </c>
      <c r="N128" s="60">
        <f>IF('Expenses Summary'!$T80="","",IF('Cash Flow %s Yr1'!N124="","",'Cash Flow %s Yr1'!N124*'Expenses Summary'!$T80))</f>
        <v>38.994480000000003</v>
      </c>
      <c r="O128" s="60">
        <f>IF('Expenses Summary'!$T80="","",IF('Cash Flow %s Yr1'!O124="","",'Cash Flow %s Yr1'!O124*'Expenses Summary'!$T80))</f>
        <v>38.994480000000003</v>
      </c>
      <c r="P128" s="123"/>
      <c r="Q128" s="123"/>
      <c r="R128" s="123"/>
    </row>
    <row r="129" spans="1:18" s="30" customFormat="1" x14ac:dyDescent="0.3">
      <c r="A129" s="35"/>
      <c r="B129" s="133" t="str">
        <f>'Expenses Summary'!B81</f>
        <v>5800</v>
      </c>
      <c r="C129" s="133" t="str">
        <f>'Expenses Summary'!C81</f>
        <v>Professional/Consulting Services and Operating Expenditures</v>
      </c>
      <c r="D129" s="60">
        <f>IF('Expenses Summary'!$T81="","",IF('Cash Flow %s Yr1'!D125="","",'Cash Flow %s Yr1'!D125*'Expenses Summary'!$T81))</f>
        <v>256.86840000000001</v>
      </c>
      <c r="E129" s="60">
        <f>IF('Expenses Summary'!$T81="","",IF('Cash Flow %s Yr1'!E125="","",'Cash Flow %s Yr1'!E125*'Expenses Summary'!$T81))</f>
        <v>256.86840000000001</v>
      </c>
      <c r="F129" s="60">
        <f>IF('Expenses Summary'!$T81="","",IF('Cash Flow %s Yr1'!F125="","",'Cash Flow %s Yr1'!F125*'Expenses Summary'!$T81))</f>
        <v>256.86840000000001</v>
      </c>
      <c r="G129" s="60">
        <f>IF('Expenses Summary'!$T81="","",IF('Cash Flow %s Yr1'!G125="","",'Cash Flow %s Yr1'!G125*'Expenses Summary'!$T81))</f>
        <v>256.86840000000001</v>
      </c>
      <c r="H129" s="60">
        <f>IF('Expenses Summary'!$T81="","",IF('Cash Flow %s Yr1'!H125="","",'Cash Flow %s Yr1'!H125*'Expenses Summary'!$T81))</f>
        <v>256.86840000000001</v>
      </c>
      <c r="I129" s="60">
        <f>IF('Expenses Summary'!$T81="","",IF('Cash Flow %s Yr1'!I125="","",'Cash Flow %s Yr1'!I125*'Expenses Summary'!$T81))</f>
        <v>256.86840000000001</v>
      </c>
      <c r="J129" s="60">
        <f>IF('Expenses Summary'!$T81="","",IF('Cash Flow %s Yr1'!J125="","",'Cash Flow %s Yr1'!J125*'Expenses Summary'!$T81))</f>
        <v>256.86840000000001</v>
      </c>
      <c r="K129" s="60">
        <f>IF('Expenses Summary'!$T81="","",IF('Cash Flow %s Yr1'!K125="","",'Cash Flow %s Yr1'!K125*'Expenses Summary'!$T81))</f>
        <v>256.86840000000001</v>
      </c>
      <c r="L129" s="60">
        <f>IF('Expenses Summary'!$T81="","",IF('Cash Flow %s Yr1'!L125="","",'Cash Flow %s Yr1'!L125*'Expenses Summary'!$T81))</f>
        <v>259.96320000000003</v>
      </c>
      <c r="M129" s="60">
        <f>IF('Expenses Summary'!$T81="","",IF('Cash Flow %s Yr1'!M125="","",'Cash Flow %s Yr1'!M125*'Expenses Summary'!$T81))</f>
        <v>259.96320000000003</v>
      </c>
      <c r="N129" s="60">
        <f>IF('Expenses Summary'!$T81="","",IF('Cash Flow %s Yr1'!N125="","",'Cash Flow %s Yr1'!N125*'Expenses Summary'!$T81))</f>
        <v>259.96320000000003</v>
      </c>
      <c r="O129" s="60">
        <f>IF('Expenses Summary'!$T81="","",IF('Cash Flow %s Yr1'!O125="","",'Cash Flow %s Yr1'!O125*'Expenses Summary'!$T81))</f>
        <v>259.96320000000003</v>
      </c>
      <c r="P129" s="123"/>
      <c r="Q129" s="123"/>
      <c r="R129" s="123"/>
    </row>
    <row r="130" spans="1:18" s="30" customFormat="1" x14ac:dyDescent="0.3">
      <c r="A130" s="35"/>
      <c r="B130" s="133" t="str">
        <f>'Expenses Summary'!B82</f>
        <v>5803</v>
      </c>
      <c r="C130" s="133" t="str">
        <f>'Expenses Summary'!C82</f>
        <v>Banking and Payroll Service Fees</v>
      </c>
      <c r="D130" s="60">
        <f>IF('Expenses Summary'!$T82="","",IF('Cash Flow %s Yr1'!D126="","",'Cash Flow %s Yr1'!D126*'Expenses Summary'!$T82))</f>
        <v>513.73680000000002</v>
      </c>
      <c r="E130" s="60">
        <f>IF('Expenses Summary'!$T82="","",IF('Cash Flow %s Yr1'!E126="","",'Cash Flow %s Yr1'!E126*'Expenses Summary'!$T82))</f>
        <v>513.73680000000002</v>
      </c>
      <c r="F130" s="60">
        <f>IF('Expenses Summary'!$T82="","",IF('Cash Flow %s Yr1'!F126="","",'Cash Flow %s Yr1'!F126*'Expenses Summary'!$T82))</f>
        <v>513.73680000000002</v>
      </c>
      <c r="G130" s="60">
        <f>IF('Expenses Summary'!$T82="","",IF('Cash Flow %s Yr1'!G126="","",'Cash Flow %s Yr1'!G126*'Expenses Summary'!$T82))</f>
        <v>513.73680000000002</v>
      </c>
      <c r="H130" s="60">
        <f>IF('Expenses Summary'!$T82="","",IF('Cash Flow %s Yr1'!H126="","",'Cash Flow %s Yr1'!H126*'Expenses Summary'!$T82))</f>
        <v>513.73680000000002</v>
      </c>
      <c r="I130" s="60">
        <f>IF('Expenses Summary'!$T82="","",IF('Cash Flow %s Yr1'!I126="","",'Cash Flow %s Yr1'!I126*'Expenses Summary'!$T82))</f>
        <v>513.73680000000002</v>
      </c>
      <c r="J130" s="60">
        <f>IF('Expenses Summary'!$T82="","",IF('Cash Flow %s Yr1'!J126="","",'Cash Flow %s Yr1'!J126*'Expenses Summary'!$T82))</f>
        <v>513.73680000000002</v>
      </c>
      <c r="K130" s="60">
        <f>IF('Expenses Summary'!$T82="","",IF('Cash Flow %s Yr1'!K126="","",'Cash Flow %s Yr1'!K126*'Expenses Summary'!$T82))</f>
        <v>513.73680000000002</v>
      </c>
      <c r="L130" s="60">
        <f>IF('Expenses Summary'!$T82="","",IF('Cash Flow %s Yr1'!L126="","",'Cash Flow %s Yr1'!L126*'Expenses Summary'!$T82))</f>
        <v>519.92640000000006</v>
      </c>
      <c r="M130" s="60">
        <f>IF('Expenses Summary'!$T82="","",IF('Cash Flow %s Yr1'!M126="","",'Cash Flow %s Yr1'!M126*'Expenses Summary'!$T82))</f>
        <v>519.92640000000006</v>
      </c>
      <c r="N130" s="60">
        <f>IF('Expenses Summary'!$T82="","",IF('Cash Flow %s Yr1'!N126="","",'Cash Flow %s Yr1'!N126*'Expenses Summary'!$T82))</f>
        <v>519.92640000000006</v>
      </c>
      <c r="O130" s="60">
        <f>IF('Expenses Summary'!$T82="","",IF('Cash Flow %s Yr1'!O126="","",'Cash Flow %s Yr1'!O126*'Expenses Summary'!$T82))</f>
        <v>519.92640000000006</v>
      </c>
      <c r="P130" s="123"/>
      <c r="Q130" s="123"/>
      <c r="R130" s="123"/>
    </row>
    <row r="131" spans="1:18" s="30" customFormat="1" x14ac:dyDescent="0.3">
      <c r="A131" s="35"/>
      <c r="B131" s="133" t="str">
        <f>'Expenses Summary'!B83</f>
        <v>5805</v>
      </c>
      <c r="C131" s="133" t="str">
        <f>'Expenses Summary'!C83</f>
        <v xml:space="preserve">Legal Services </v>
      </c>
      <c r="D131" s="60">
        <f>IF('Expenses Summary'!$T83="","",IF('Cash Flow %s Yr1'!D127="","",'Cash Flow %s Yr1'!D127*'Expenses Summary'!$T83))</f>
        <v>342.49120000000005</v>
      </c>
      <c r="E131" s="60">
        <f>IF('Expenses Summary'!$T83="","",IF('Cash Flow %s Yr1'!E127="","",'Cash Flow %s Yr1'!E127*'Expenses Summary'!$T83))</f>
        <v>342.49120000000005</v>
      </c>
      <c r="F131" s="60">
        <f>IF('Expenses Summary'!$T83="","",IF('Cash Flow %s Yr1'!F127="","",'Cash Flow %s Yr1'!F127*'Expenses Summary'!$T83))</f>
        <v>342.49120000000005</v>
      </c>
      <c r="G131" s="60">
        <f>IF('Expenses Summary'!$T83="","",IF('Cash Flow %s Yr1'!G127="","",'Cash Flow %s Yr1'!G127*'Expenses Summary'!$T83))</f>
        <v>342.49120000000005</v>
      </c>
      <c r="H131" s="60">
        <f>IF('Expenses Summary'!$T83="","",IF('Cash Flow %s Yr1'!H127="","",'Cash Flow %s Yr1'!H127*'Expenses Summary'!$T83))</f>
        <v>342.49120000000005</v>
      </c>
      <c r="I131" s="60">
        <f>IF('Expenses Summary'!$T83="","",IF('Cash Flow %s Yr1'!I127="","",'Cash Flow %s Yr1'!I127*'Expenses Summary'!$T83))</f>
        <v>342.49120000000005</v>
      </c>
      <c r="J131" s="60">
        <f>IF('Expenses Summary'!$T83="","",IF('Cash Flow %s Yr1'!J127="","",'Cash Flow %s Yr1'!J127*'Expenses Summary'!$T83))</f>
        <v>342.49120000000005</v>
      </c>
      <c r="K131" s="60">
        <f>IF('Expenses Summary'!$T83="","",IF('Cash Flow %s Yr1'!K127="","",'Cash Flow %s Yr1'!K127*'Expenses Summary'!$T83))</f>
        <v>342.49120000000005</v>
      </c>
      <c r="L131" s="60">
        <f>IF('Expenses Summary'!$T83="","",IF('Cash Flow %s Yr1'!L127="","",'Cash Flow %s Yr1'!L127*'Expenses Summary'!$T83))</f>
        <v>346.6176000000001</v>
      </c>
      <c r="M131" s="60">
        <f>IF('Expenses Summary'!$T83="","",IF('Cash Flow %s Yr1'!M127="","",'Cash Flow %s Yr1'!M127*'Expenses Summary'!$T83))</f>
        <v>346.6176000000001</v>
      </c>
      <c r="N131" s="60">
        <f>IF('Expenses Summary'!$T83="","",IF('Cash Flow %s Yr1'!N127="","",'Cash Flow %s Yr1'!N127*'Expenses Summary'!$T83))</f>
        <v>346.6176000000001</v>
      </c>
      <c r="O131" s="60">
        <f>IF('Expenses Summary'!$T83="","",IF('Cash Flow %s Yr1'!O127="","",'Cash Flow %s Yr1'!O127*'Expenses Summary'!$T83))</f>
        <v>346.6176000000001</v>
      </c>
      <c r="P131" s="123"/>
      <c r="Q131" s="123"/>
      <c r="R131" s="123"/>
    </row>
    <row r="132" spans="1:18" s="30" customFormat="1" x14ac:dyDescent="0.3">
      <c r="A132" s="35"/>
      <c r="B132" s="133" t="str">
        <f>'Expenses Summary'!B84</f>
        <v>5806</v>
      </c>
      <c r="C132" s="133" t="str">
        <f>'Expenses Summary'!C84</f>
        <v>Audit Services</v>
      </c>
      <c r="D132" s="60">
        <f>IF('Expenses Summary'!$T84="","",IF('Cash Flow %s Yr1'!D128="","",'Cash Flow %s Yr1'!D128*'Expenses Summary'!$T84))</f>
        <v>0</v>
      </c>
      <c r="E132" s="60">
        <f>IF('Expenses Summary'!$T84="","",IF('Cash Flow %s Yr1'!E128="","",'Cash Flow %s Yr1'!E128*'Expenses Summary'!$T84))</f>
        <v>0</v>
      </c>
      <c r="F132" s="60">
        <f>IF('Expenses Summary'!$T84="","",IF('Cash Flow %s Yr1'!F128="","",'Cash Flow %s Yr1'!F128*'Expenses Summary'!$T84))</f>
        <v>0</v>
      </c>
      <c r="G132" s="60">
        <f>IF('Expenses Summary'!$T84="","",IF('Cash Flow %s Yr1'!G128="","",'Cash Flow %s Yr1'!G128*'Expenses Summary'!$T84))</f>
        <v>0</v>
      </c>
      <c r="H132" s="60">
        <f>IF('Expenses Summary'!$T84="","",IF('Cash Flow %s Yr1'!H128="","",'Cash Flow %s Yr1'!H128*'Expenses Summary'!$T84))</f>
        <v>3094.8</v>
      </c>
      <c r="I132" s="60">
        <f>IF('Expenses Summary'!$T84="","",IF('Cash Flow %s Yr1'!I128="","",'Cash Flow %s Yr1'!I128*'Expenses Summary'!$T84))</f>
        <v>0</v>
      </c>
      <c r="J132" s="60">
        <f>IF('Expenses Summary'!$T84="","",IF('Cash Flow %s Yr1'!J128="","",'Cash Flow %s Yr1'!J128*'Expenses Summary'!$T84))</f>
        <v>0</v>
      </c>
      <c r="K132" s="60">
        <f>IF('Expenses Summary'!$T84="","",IF('Cash Flow %s Yr1'!K128="","",'Cash Flow %s Yr1'!K128*'Expenses Summary'!$T84))</f>
        <v>0</v>
      </c>
      <c r="L132" s="60">
        <f>IF('Expenses Summary'!$T84="","",IF('Cash Flow %s Yr1'!L128="","",'Cash Flow %s Yr1'!L128*'Expenses Summary'!$T84))</f>
        <v>0</v>
      </c>
      <c r="M132" s="60">
        <f>IF('Expenses Summary'!$T84="","",IF('Cash Flow %s Yr1'!M128="","",'Cash Flow %s Yr1'!M128*'Expenses Summary'!$T84))</f>
        <v>0</v>
      </c>
      <c r="N132" s="60">
        <f>IF('Expenses Summary'!$T84="","",IF('Cash Flow %s Yr1'!N128="","",'Cash Flow %s Yr1'!N128*'Expenses Summary'!$T84))</f>
        <v>3094.8</v>
      </c>
      <c r="O132" s="60">
        <f>IF('Expenses Summary'!$T84="","",IF('Cash Flow %s Yr1'!O128="","",'Cash Flow %s Yr1'!O128*'Expenses Summary'!$T84))</f>
        <v>0</v>
      </c>
      <c r="P132" s="123"/>
      <c r="Q132" s="123"/>
      <c r="R132" s="123"/>
    </row>
    <row r="133" spans="1:18" s="30" customFormat="1" x14ac:dyDescent="0.3">
      <c r="A133" s="35"/>
      <c r="B133" s="133" t="str">
        <f>'Expenses Summary'!B85</f>
        <v>5810</v>
      </c>
      <c r="C133" s="133" t="str">
        <f>'Expenses Summary'!C85</f>
        <v>Educational Consultants</v>
      </c>
      <c r="D133" s="60">
        <f>IF('Expenses Summary'!$T85="","",IF('Cash Flow %s Yr1'!D129="","",'Cash Flow %s Yr1'!D129*'Expenses Summary'!$T85))</f>
        <v>321.08550000000008</v>
      </c>
      <c r="E133" s="60">
        <f>IF('Expenses Summary'!$T85="","",IF('Cash Flow %s Yr1'!E129="","",'Cash Flow %s Yr1'!E129*'Expenses Summary'!$T85))</f>
        <v>321.08550000000008</v>
      </c>
      <c r="F133" s="60">
        <f>IF('Expenses Summary'!$T85="","",IF('Cash Flow %s Yr1'!F129="","",'Cash Flow %s Yr1'!F129*'Expenses Summary'!$T85))</f>
        <v>321.08550000000008</v>
      </c>
      <c r="G133" s="60">
        <f>IF('Expenses Summary'!$T85="","",IF('Cash Flow %s Yr1'!G129="","",'Cash Flow %s Yr1'!G129*'Expenses Summary'!$T85))</f>
        <v>321.08550000000008</v>
      </c>
      <c r="H133" s="60">
        <f>IF('Expenses Summary'!$T85="","",IF('Cash Flow %s Yr1'!H129="","",'Cash Flow %s Yr1'!H129*'Expenses Summary'!$T85))</f>
        <v>321.08550000000008</v>
      </c>
      <c r="I133" s="60">
        <f>IF('Expenses Summary'!$T85="","",IF('Cash Flow %s Yr1'!I129="","",'Cash Flow %s Yr1'!I129*'Expenses Summary'!$T85))</f>
        <v>321.08550000000008</v>
      </c>
      <c r="J133" s="60">
        <f>IF('Expenses Summary'!$T85="","",IF('Cash Flow %s Yr1'!J129="","",'Cash Flow %s Yr1'!J129*'Expenses Summary'!$T85))</f>
        <v>321.08550000000008</v>
      </c>
      <c r="K133" s="60">
        <f>IF('Expenses Summary'!$T85="","",IF('Cash Flow %s Yr1'!K129="","",'Cash Flow %s Yr1'!K129*'Expenses Summary'!$T85))</f>
        <v>321.08550000000008</v>
      </c>
      <c r="L133" s="60">
        <f>IF('Expenses Summary'!$T85="","",IF('Cash Flow %s Yr1'!L129="","",'Cash Flow %s Yr1'!L129*'Expenses Summary'!$T85))</f>
        <v>324.95400000000006</v>
      </c>
      <c r="M133" s="60">
        <f>IF('Expenses Summary'!$T85="","",IF('Cash Flow %s Yr1'!M129="","",'Cash Flow %s Yr1'!M129*'Expenses Summary'!$T85))</f>
        <v>324.95400000000006</v>
      </c>
      <c r="N133" s="60">
        <f>IF('Expenses Summary'!$T85="","",IF('Cash Flow %s Yr1'!N129="","",'Cash Flow %s Yr1'!N129*'Expenses Summary'!$T85))</f>
        <v>324.95400000000006</v>
      </c>
      <c r="O133" s="60">
        <f>IF('Expenses Summary'!$T85="","",IF('Cash Flow %s Yr1'!O129="","",'Cash Flow %s Yr1'!O129*'Expenses Summary'!$T85))</f>
        <v>324.95400000000006</v>
      </c>
      <c r="P133" s="123"/>
      <c r="Q133" s="123"/>
      <c r="R133" s="123"/>
    </row>
    <row r="134" spans="1:18" s="30" customFormat="1" x14ac:dyDescent="0.3">
      <c r="A134" s="35"/>
      <c r="B134" s="133" t="str">
        <f>'Expenses Summary'!B86</f>
        <v>5811</v>
      </c>
      <c r="C134" s="133" t="str">
        <f>'Expenses Summary'!C86</f>
        <v>Student Transportation / Events</v>
      </c>
      <c r="D134" s="60">
        <f>IF('Expenses Summary'!$T86="","",IF('Cash Flow %s Yr1'!D130="","",'Cash Flow %s Yr1'!D130*'Expenses Summary'!$T86))</f>
        <v>0</v>
      </c>
      <c r="E134" s="60">
        <f>IF('Expenses Summary'!$T86="","",IF('Cash Flow %s Yr1'!E130="","",'Cash Flow %s Yr1'!E130*'Expenses Summary'!$T86))</f>
        <v>0</v>
      </c>
      <c r="F134" s="60">
        <f>IF('Expenses Summary'!$T86="","",IF('Cash Flow %s Yr1'!F130="","",'Cash Flow %s Yr1'!F130*'Expenses Summary'!$T86))</f>
        <v>0</v>
      </c>
      <c r="G134" s="60">
        <f>IF('Expenses Summary'!$T86="","",IF('Cash Flow %s Yr1'!G130="","",'Cash Flow %s Yr1'!G130*'Expenses Summary'!$T86))</f>
        <v>0</v>
      </c>
      <c r="H134" s="60">
        <f>IF('Expenses Summary'!$T86="","",IF('Cash Flow %s Yr1'!H130="","",'Cash Flow %s Yr1'!H130*'Expenses Summary'!$T86))</f>
        <v>0</v>
      </c>
      <c r="I134" s="60">
        <f>IF('Expenses Summary'!$T86="","",IF('Cash Flow %s Yr1'!I130="","",'Cash Flow %s Yr1'!I130*'Expenses Summary'!$T86))</f>
        <v>0</v>
      </c>
      <c r="J134" s="60">
        <f>IF('Expenses Summary'!$T86="","",IF('Cash Flow %s Yr1'!J130="","",'Cash Flow %s Yr1'!J130*'Expenses Summary'!$T86))</f>
        <v>0</v>
      </c>
      <c r="K134" s="60">
        <f>IF('Expenses Summary'!$T86="","",IF('Cash Flow %s Yr1'!K130="","",'Cash Flow %s Yr1'!K130*'Expenses Summary'!$T86))</f>
        <v>0</v>
      </c>
      <c r="L134" s="60">
        <f>IF('Expenses Summary'!$T86="","",IF('Cash Flow %s Yr1'!L130="","",'Cash Flow %s Yr1'!L130*'Expenses Summary'!$T86))</f>
        <v>0</v>
      </c>
      <c r="M134" s="60">
        <f>IF('Expenses Summary'!$T86="","",IF('Cash Flow %s Yr1'!M130="","",'Cash Flow %s Yr1'!M130*'Expenses Summary'!$T86))</f>
        <v>0</v>
      </c>
      <c r="N134" s="60">
        <f>IF('Expenses Summary'!$T86="","",IF('Cash Flow %s Yr1'!N130="","",'Cash Flow %s Yr1'!N130*'Expenses Summary'!$T86))</f>
        <v>0</v>
      </c>
      <c r="O134" s="60">
        <f>IF('Expenses Summary'!$T86="","",IF('Cash Flow %s Yr1'!O130="","",'Cash Flow %s Yr1'!O130*'Expenses Summary'!$T86))</f>
        <v>0</v>
      </c>
      <c r="P134" s="123"/>
      <c r="Q134" s="123"/>
      <c r="R134" s="123"/>
    </row>
    <row r="135" spans="1:18" s="30" customFormat="1" x14ac:dyDescent="0.3">
      <c r="A135" s="35"/>
      <c r="B135" s="133" t="str">
        <f>'Expenses Summary'!B88</f>
        <v>5815</v>
      </c>
      <c r="C135" s="133" t="str">
        <f>'Expenses Summary'!C88</f>
        <v>Advertising / Recruiting</v>
      </c>
      <c r="D135" s="60">
        <f>IF('Expenses Summary'!$T88="","",IF('Cash Flow %s Yr1'!D131="","",'Cash Flow %s Yr1'!D131*'Expenses Summary'!$T88))</f>
        <v>42.980840300000004</v>
      </c>
      <c r="E135" s="60">
        <f>IF('Expenses Summary'!$T88="","",IF('Cash Flow %s Yr1'!E131="","",'Cash Flow %s Yr1'!E131*'Expenses Summary'!$T88))</f>
        <v>42.980840300000004</v>
      </c>
      <c r="F135" s="60">
        <f>IF('Expenses Summary'!$T88="","",IF('Cash Flow %s Yr1'!F131="","",'Cash Flow %s Yr1'!F131*'Expenses Summary'!$T88))</f>
        <v>42.980840300000004</v>
      </c>
      <c r="G135" s="60">
        <f>IF('Expenses Summary'!$T88="","",IF('Cash Flow %s Yr1'!G131="","",'Cash Flow %s Yr1'!G131*'Expenses Summary'!$T88))</f>
        <v>42.980840300000004</v>
      </c>
      <c r="H135" s="60">
        <f>IF('Expenses Summary'!$T88="","",IF('Cash Flow %s Yr1'!H131="","",'Cash Flow %s Yr1'!H131*'Expenses Summary'!$T88))</f>
        <v>42.980840300000004</v>
      </c>
      <c r="I135" s="60">
        <f>IF('Expenses Summary'!$T88="","",IF('Cash Flow %s Yr1'!I131="","",'Cash Flow %s Yr1'!I131*'Expenses Summary'!$T88))</f>
        <v>42.980840300000004</v>
      </c>
      <c r="J135" s="60">
        <f>IF('Expenses Summary'!$T88="","",IF('Cash Flow %s Yr1'!J131="","",'Cash Flow %s Yr1'!J131*'Expenses Summary'!$T88))</f>
        <v>42.980840300000004</v>
      </c>
      <c r="K135" s="60">
        <f>IF('Expenses Summary'!$T88="","",IF('Cash Flow %s Yr1'!K131="","",'Cash Flow %s Yr1'!K131*'Expenses Summary'!$T88))</f>
        <v>42.980840300000004</v>
      </c>
      <c r="L135" s="60">
        <f>IF('Expenses Summary'!$T88="","",IF('Cash Flow %s Yr1'!L131="","",'Cash Flow %s Yr1'!L131*'Expenses Summary'!$T88))</f>
        <v>42.980840300000004</v>
      </c>
      <c r="M135" s="60">
        <f>IF('Expenses Summary'!$T88="","",IF('Cash Flow %s Yr1'!M131="","",'Cash Flow %s Yr1'!M131*'Expenses Summary'!$T88))</f>
        <v>42.980840300000004</v>
      </c>
      <c r="N135" s="60">
        <f>IF('Expenses Summary'!$T88="","",IF('Cash Flow %s Yr1'!N131="","",'Cash Flow %s Yr1'!N131*'Expenses Summary'!$T88))</f>
        <v>42.980840300000004</v>
      </c>
      <c r="O135" s="60">
        <f>IF('Expenses Summary'!$T88="","",IF('Cash Flow %s Yr1'!O131="","",'Cash Flow %s Yr1'!O131*'Expenses Summary'!$T88))</f>
        <v>43.010498800000008</v>
      </c>
      <c r="P135" s="123"/>
      <c r="Q135" s="123"/>
      <c r="R135" s="123"/>
    </row>
    <row r="136" spans="1:18" s="30" customFormat="1" x14ac:dyDescent="0.3">
      <c r="A136" s="35"/>
      <c r="B136" s="133" t="str">
        <f>'Expenses Summary'!B89</f>
        <v>5820</v>
      </c>
      <c r="C136" s="133" t="str">
        <f>'Expenses Summary'!C89</f>
        <v>Fundraising Expense</v>
      </c>
      <c r="D136" s="60">
        <f>IF('Expenses Summary'!$T89="","",IF('Cash Flow %s Yr1'!D132="","",'Cash Flow %s Yr1'!D132*'Expenses Summary'!$T89))</f>
        <v>859.616806</v>
      </c>
      <c r="E136" s="60">
        <f>IF('Expenses Summary'!$T89="","",IF('Cash Flow %s Yr1'!E132="","",'Cash Flow %s Yr1'!E132*'Expenses Summary'!$T89))</f>
        <v>859.616806</v>
      </c>
      <c r="F136" s="60">
        <f>IF('Expenses Summary'!$T89="","",IF('Cash Flow %s Yr1'!F132="","",'Cash Flow %s Yr1'!F132*'Expenses Summary'!$T89))</f>
        <v>859.616806</v>
      </c>
      <c r="G136" s="60">
        <f>IF('Expenses Summary'!$T89="","",IF('Cash Flow %s Yr1'!G132="","",'Cash Flow %s Yr1'!G132*'Expenses Summary'!$T89))</f>
        <v>859.616806</v>
      </c>
      <c r="H136" s="60">
        <f>IF('Expenses Summary'!$T89="","",IF('Cash Flow %s Yr1'!H132="","",'Cash Flow %s Yr1'!H132*'Expenses Summary'!$T89))</f>
        <v>859.616806</v>
      </c>
      <c r="I136" s="60">
        <f>IF('Expenses Summary'!$T89="","",IF('Cash Flow %s Yr1'!I132="","",'Cash Flow %s Yr1'!I132*'Expenses Summary'!$T89))</f>
        <v>859.616806</v>
      </c>
      <c r="J136" s="60">
        <f>IF('Expenses Summary'!$T89="","",IF('Cash Flow %s Yr1'!J132="","",'Cash Flow %s Yr1'!J132*'Expenses Summary'!$T89))</f>
        <v>859.616806</v>
      </c>
      <c r="K136" s="60">
        <f>IF('Expenses Summary'!$T89="","",IF('Cash Flow %s Yr1'!K132="","",'Cash Flow %s Yr1'!K132*'Expenses Summary'!$T89))</f>
        <v>859.616806</v>
      </c>
      <c r="L136" s="60">
        <f>IF('Expenses Summary'!$T89="","",IF('Cash Flow %s Yr1'!L132="","",'Cash Flow %s Yr1'!L132*'Expenses Summary'!$T89))</f>
        <v>859.616806</v>
      </c>
      <c r="M136" s="60">
        <f>IF('Expenses Summary'!$T89="","",IF('Cash Flow %s Yr1'!M132="","",'Cash Flow %s Yr1'!M132*'Expenses Summary'!$T89))</f>
        <v>859.616806</v>
      </c>
      <c r="N136" s="60">
        <f>IF('Expenses Summary'!$T89="","",IF('Cash Flow %s Yr1'!N132="","",'Cash Flow %s Yr1'!N132*'Expenses Summary'!$T89))</f>
        <v>859.616806</v>
      </c>
      <c r="O136" s="60">
        <f>IF('Expenses Summary'!$T89="","",IF('Cash Flow %s Yr1'!O132="","",'Cash Flow %s Yr1'!O132*'Expenses Summary'!$T89))</f>
        <v>860.20997599999998</v>
      </c>
      <c r="P136" s="123"/>
      <c r="Q136" s="123"/>
      <c r="R136" s="123"/>
    </row>
    <row r="137" spans="1:18" s="30" customFormat="1" x14ac:dyDescent="0.3">
      <c r="A137" s="35"/>
      <c r="B137" s="133" t="str">
        <f>'Expenses Summary'!B91</f>
        <v>5836</v>
      </c>
      <c r="C137" s="133" t="str">
        <f>'Expenses Summary'!C91</f>
        <v>Transportation Services</v>
      </c>
      <c r="D137" s="60" t="str">
        <f>IF('Expenses Summary'!$T91="","",IF('Cash Flow %s Yr1'!D133="","",'Cash Flow %s Yr1'!D133*'Expenses Summary'!$T91))</f>
        <v/>
      </c>
      <c r="E137" s="60" t="str">
        <f>IF('Expenses Summary'!$T91="","",IF('Cash Flow %s Yr1'!E133="","",'Cash Flow %s Yr1'!E133*'Expenses Summary'!$T91))</f>
        <v/>
      </c>
      <c r="F137" s="60" t="str">
        <f>IF('Expenses Summary'!$T91="","",IF('Cash Flow %s Yr1'!F133="","",'Cash Flow %s Yr1'!F133*'Expenses Summary'!$T91))</f>
        <v/>
      </c>
      <c r="G137" s="60" t="str">
        <f>IF('Expenses Summary'!$T91="","",IF('Cash Flow %s Yr1'!G133="","",'Cash Flow %s Yr1'!G133*'Expenses Summary'!$T91))</f>
        <v/>
      </c>
      <c r="H137" s="60" t="str">
        <f>IF('Expenses Summary'!$T91="","",IF('Cash Flow %s Yr1'!H133="","",'Cash Flow %s Yr1'!H133*'Expenses Summary'!$T91))</f>
        <v/>
      </c>
      <c r="I137" s="60" t="str">
        <f>IF('Expenses Summary'!$T91="","",IF('Cash Flow %s Yr1'!I133="","",'Cash Flow %s Yr1'!I133*'Expenses Summary'!$T91))</f>
        <v/>
      </c>
      <c r="J137" s="60" t="str">
        <f>IF('Expenses Summary'!$T91="","",IF('Cash Flow %s Yr1'!J133="","",'Cash Flow %s Yr1'!J133*'Expenses Summary'!$T91))</f>
        <v/>
      </c>
      <c r="K137" s="60" t="str">
        <f>IF('Expenses Summary'!$T91="","",IF('Cash Flow %s Yr1'!K133="","",'Cash Flow %s Yr1'!K133*'Expenses Summary'!$T91))</f>
        <v/>
      </c>
      <c r="L137" s="60" t="str">
        <f>IF('Expenses Summary'!$T91="","",IF('Cash Flow %s Yr1'!L133="","",'Cash Flow %s Yr1'!L133*'Expenses Summary'!$T91))</f>
        <v/>
      </c>
      <c r="M137" s="60" t="str">
        <f>IF('Expenses Summary'!$T91="","",IF('Cash Flow %s Yr1'!M133="","",'Cash Flow %s Yr1'!M133*'Expenses Summary'!$T91))</f>
        <v/>
      </c>
      <c r="N137" s="60" t="str">
        <f>IF('Expenses Summary'!$T91="","",IF('Cash Flow %s Yr1'!N133="","",'Cash Flow %s Yr1'!N133*'Expenses Summary'!$T91))</f>
        <v/>
      </c>
      <c r="O137" s="60" t="str">
        <f>IF('Expenses Summary'!$T91="","",IF('Cash Flow %s Yr1'!O133="","",'Cash Flow %s Yr1'!O133*'Expenses Summary'!$T91))</f>
        <v/>
      </c>
      <c r="P137" s="123"/>
      <c r="Q137" s="123"/>
      <c r="R137" s="123"/>
    </row>
    <row r="138" spans="1:18" s="30" customFormat="1" outlineLevel="1" x14ac:dyDescent="0.3">
      <c r="A138" s="35"/>
      <c r="B138" s="133" t="str">
        <f>'Expenses Summary'!B92</f>
        <v>5842</v>
      </c>
      <c r="C138" s="133" t="str">
        <f>'Expenses Summary'!C92</f>
        <v>Services Student Athletics</v>
      </c>
      <c r="D138" s="60" t="str">
        <f>IF('Expenses Summary'!$T92="","",IF('Cash Flow %s Yr1'!D134="","",'Cash Flow %s Yr1'!D134*'Expenses Summary'!$T92))</f>
        <v/>
      </c>
      <c r="E138" s="60" t="str">
        <f>IF('Expenses Summary'!$T92="","",IF('Cash Flow %s Yr1'!E134="","",'Cash Flow %s Yr1'!E134*'Expenses Summary'!$T92))</f>
        <v/>
      </c>
      <c r="F138" s="60">
        <f>IF('Expenses Summary'!$T92="","",IF('Cash Flow %s Yr1'!F134="","",'Cash Flow %s Yr1'!F134*'Expenses Summary'!$T92))</f>
        <v>0</v>
      </c>
      <c r="G138" s="60">
        <f>IF('Expenses Summary'!$T92="","",IF('Cash Flow %s Yr1'!G134="","",'Cash Flow %s Yr1'!G134*'Expenses Summary'!$T92))</f>
        <v>0</v>
      </c>
      <c r="H138" s="60">
        <f>IF('Expenses Summary'!$T92="","",IF('Cash Flow %s Yr1'!H134="","",'Cash Flow %s Yr1'!H134*'Expenses Summary'!$T92))</f>
        <v>0</v>
      </c>
      <c r="I138" s="60">
        <f>IF('Expenses Summary'!$T92="","",IF('Cash Flow %s Yr1'!I134="","",'Cash Flow %s Yr1'!I134*'Expenses Summary'!$T92))</f>
        <v>0</v>
      </c>
      <c r="J138" s="60">
        <f>IF('Expenses Summary'!$T92="","",IF('Cash Flow %s Yr1'!J134="","",'Cash Flow %s Yr1'!J134*'Expenses Summary'!$T92))</f>
        <v>0</v>
      </c>
      <c r="K138" s="60">
        <f>IF('Expenses Summary'!$T92="","",IF('Cash Flow %s Yr1'!K134="","",'Cash Flow %s Yr1'!K134*'Expenses Summary'!$T92))</f>
        <v>0</v>
      </c>
      <c r="L138" s="60">
        <f>IF('Expenses Summary'!$T92="","",IF('Cash Flow %s Yr1'!L134="","",'Cash Flow %s Yr1'!L134*'Expenses Summary'!$T92))</f>
        <v>0</v>
      </c>
      <c r="M138" s="60">
        <f>IF('Expenses Summary'!$T92="","",IF('Cash Flow %s Yr1'!M134="","",'Cash Flow %s Yr1'!M134*'Expenses Summary'!$T92))</f>
        <v>0</v>
      </c>
      <c r="N138" s="60">
        <f>IF('Expenses Summary'!$T92="","",IF('Cash Flow %s Yr1'!N134="","",'Cash Flow %s Yr1'!N134*'Expenses Summary'!$T92))</f>
        <v>0</v>
      </c>
      <c r="O138" s="60">
        <f>IF('Expenses Summary'!$T92="","",IF('Cash Flow %s Yr1'!O134="","",'Cash Flow %s Yr1'!O134*'Expenses Summary'!$T92))</f>
        <v>0</v>
      </c>
      <c r="P138" s="123"/>
      <c r="Q138" s="123"/>
      <c r="R138" s="123"/>
    </row>
    <row r="139" spans="1:18" s="30" customFormat="1" outlineLevel="1" x14ac:dyDescent="0.3">
      <c r="A139" s="35"/>
      <c r="B139" s="133" t="str">
        <f>'Expenses Summary'!B93</f>
        <v>5850</v>
      </c>
      <c r="C139" s="133" t="str">
        <f>'Expenses Summary'!C93</f>
        <v>Scholarships</v>
      </c>
      <c r="D139" s="60" t="str">
        <f>IF('Expenses Summary'!$T93="","",IF('Cash Flow %s Yr1'!D135="","",'Cash Flow %s Yr1'!D135*'Expenses Summary'!$T93))</f>
        <v/>
      </c>
      <c r="E139" s="60" t="str">
        <f>IF('Expenses Summary'!$T93="","",IF('Cash Flow %s Yr1'!E135="","",'Cash Flow %s Yr1'!E135*'Expenses Summary'!$T93))</f>
        <v/>
      </c>
      <c r="F139" s="60" t="str">
        <f>IF('Expenses Summary'!$T93="","",IF('Cash Flow %s Yr1'!F135="","",'Cash Flow %s Yr1'!F135*'Expenses Summary'!$T93))</f>
        <v/>
      </c>
      <c r="G139" s="60" t="str">
        <f>IF('Expenses Summary'!$T93="","",IF('Cash Flow %s Yr1'!G135="","",'Cash Flow %s Yr1'!G135*'Expenses Summary'!$T93))</f>
        <v/>
      </c>
      <c r="H139" s="60" t="str">
        <f>IF('Expenses Summary'!$T93="","",IF('Cash Flow %s Yr1'!H135="","",'Cash Flow %s Yr1'!H135*'Expenses Summary'!$T93))</f>
        <v/>
      </c>
      <c r="I139" s="60" t="str">
        <f>IF('Expenses Summary'!$T93="","",IF('Cash Flow %s Yr1'!I135="","",'Cash Flow %s Yr1'!I135*'Expenses Summary'!$T93))</f>
        <v/>
      </c>
      <c r="J139" s="60" t="str">
        <f>IF('Expenses Summary'!$T93="","",IF('Cash Flow %s Yr1'!J135="","",'Cash Flow %s Yr1'!J135*'Expenses Summary'!$T93))</f>
        <v/>
      </c>
      <c r="K139" s="60" t="str">
        <f>IF('Expenses Summary'!$T93="","",IF('Cash Flow %s Yr1'!K135="","",'Cash Flow %s Yr1'!K135*'Expenses Summary'!$T93))</f>
        <v/>
      </c>
      <c r="L139" s="60" t="str">
        <f>IF('Expenses Summary'!$T93="","",IF('Cash Flow %s Yr1'!L135="","",'Cash Flow %s Yr1'!L135*'Expenses Summary'!$T93))</f>
        <v/>
      </c>
      <c r="M139" s="60" t="str">
        <f>IF('Expenses Summary'!$T93="","",IF('Cash Flow %s Yr1'!M135="","",'Cash Flow %s Yr1'!M135*'Expenses Summary'!$T93))</f>
        <v/>
      </c>
      <c r="N139" s="60" t="str">
        <f>IF('Expenses Summary'!$T93="","",IF('Cash Flow %s Yr1'!N135="","",'Cash Flow %s Yr1'!N135*'Expenses Summary'!$T93))</f>
        <v/>
      </c>
      <c r="O139" s="60" t="str">
        <f>IF('Expenses Summary'!$T93="","",IF('Cash Flow %s Yr1'!O135="","",'Cash Flow %s Yr1'!O135*'Expenses Summary'!$T93))</f>
        <v/>
      </c>
      <c r="P139" s="123"/>
      <c r="Q139" s="123"/>
      <c r="R139" s="123"/>
    </row>
    <row r="140" spans="1:18" s="30" customFormat="1" outlineLevel="1" x14ac:dyDescent="0.3">
      <c r="A140" s="35"/>
      <c r="B140" s="133" t="str">
        <f>'Expenses Summary'!B94</f>
        <v>5873</v>
      </c>
      <c r="C140" s="133" t="str">
        <f>'Expenses Summary'!C94</f>
        <v>Financial Services</v>
      </c>
      <c r="D140" s="60" t="str">
        <f>IF('Expenses Summary'!$T94="","",IF('Cash Flow %s Yr1'!D136="","",'Cash Flow %s Yr1'!D136*'Expenses Summary'!$T94))</f>
        <v/>
      </c>
      <c r="E140" s="60" t="str">
        <f>IF('Expenses Summary'!$T94="","",IF('Cash Flow %s Yr1'!E136="","",'Cash Flow %s Yr1'!E136*'Expenses Summary'!$T94))</f>
        <v/>
      </c>
      <c r="F140" s="60">
        <f>IF('Expenses Summary'!$T94="","",IF('Cash Flow %s Yr1'!F136="","",'Cash Flow %s Yr1'!F136*'Expenses Summary'!$T94))</f>
        <v>4800</v>
      </c>
      <c r="G140" s="60">
        <f>IF('Expenses Summary'!$T94="","",IF('Cash Flow %s Yr1'!G136="","",'Cash Flow %s Yr1'!G136*'Expenses Summary'!$T94))</f>
        <v>4800</v>
      </c>
      <c r="H140" s="60">
        <f>IF('Expenses Summary'!$T94="","",IF('Cash Flow %s Yr1'!H136="","",'Cash Flow %s Yr1'!H136*'Expenses Summary'!$T94))</f>
        <v>4800</v>
      </c>
      <c r="I140" s="60">
        <f>IF('Expenses Summary'!$T94="","",IF('Cash Flow %s Yr1'!I136="","",'Cash Flow %s Yr1'!I136*'Expenses Summary'!$T94))</f>
        <v>4800</v>
      </c>
      <c r="J140" s="60">
        <f>IF('Expenses Summary'!$T94="","",IF('Cash Flow %s Yr1'!J136="","",'Cash Flow %s Yr1'!J136*'Expenses Summary'!$T94))</f>
        <v>4800</v>
      </c>
      <c r="K140" s="60">
        <f>IF('Expenses Summary'!$T94="","",IF('Cash Flow %s Yr1'!K136="","",'Cash Flow %s Yr1'!K136*'Expenses Summary'!$T94))</f>
        <v>4800</v>
      </c>
      <c r="L140" s="60">
        <f>IF('Expenses Summary'!$T94="","",IF('Cash Flow %s Yr1'!L136="","",'Cash Flow %s Yr1'!L136*'Expenses Summary'!$T94))</f>
        <v>4800</v>
      </c>
      <c r="M140" s="60">
        <f>IF('Expenses Summary'!$T94="","",IF('Cash Flow %s Yr1'!M136="","",'Cash Flow %s Yr1'!M136*'Expenses Summary'!$T94))</f>
        <v>4800</v>
      </c>
      <c r="N140" s="60">
        <f>IF('Expenses Summary'!$T94="","",IF('Cash Flow %s Yr1'!N136="","",'Cash Flow %s Yr1'!N136*'Expenses Summary'!$T94))</f>
        <v>4800</v>
      </c>
      <c r="O140" s="60">
        <f>IF('Expenses Summary'!$T94="","",IF('Cash Flow %s Yr1'!O136="","",'Cash Flow %s Yr1'!O136*'Expenses Summary'!$T94))</f>
        <v>4800</v>
      </c>
      <c r="P140" s="123"/>
      <c r="Q140" s="123"/>
      <c r="R140" s="123"/>
    </row>
    <row r="141" spans="1:18" s="30" customFormat="1" outlineLevel="1" x14ac:dyDescent="0.3">
      <c r="A141" s="35"/>
      <c r="B141" s="133" t="str">
        <f>'Expenses Summary'!B96</f>
        <v>5875</v>
      </c>
      <c r="C141" s="133" t="str">
        <f>'Expenses Summary'!C96</f>
        <v>District Oversight Fee</v>
      </c>
      <c r="D141" s="60" t="str">
        <f>IF('Expenses Summary'!$T96="","",IF('Cash Flow %s Yr1'!D137="","",'Cash Flow %s Yr1'!D137*'Expenses Summary'!$T96))</f>
        <v/>
      </c>
      <c r="E141" s="60" t="str">
        <f>IF('Expenses Summary'!$T96="","",IF('Cash Flow %s Yr1'!E137="","",'Cash Flow %s Yr1'!E137*'Expenses Summary'!$T96))</f>
        <v/>
      </c>
      <c r="F141" s="60">
        <f>IF('Expenses Summary'!$T96="","",IF('Cash Flow %s Yr1'!F137="","",'Cash Flow %s Yr1'!F137*'Expenses Summary'!$T96))</f>
        <v>940.14800000000002</v>
      </c>
      <c r="G141" s="60">
        <f>IF('Expenses Summary'!$T96="","",IF('Cash Flow %s Yr1'!G137="","",'Cash Flow %s Yr1'!G137*'Expenses Summary'!$T96))</f>
        <v>940.14800000000002</v>
      </c>
      <c r="H141" s="60">
        <f>IF('Expenses Summary'!$T96="","",IF('Cash Flow %s Yr1'!H137="","",'Cash Flow %s Yr1'!H137*'Expenses Summary'!$T96))</f>
        <v>940.14800000000002</v>
      </c>
      <c r="I141" s="60">
        <f>IF('Expenses Summary'!$T96="","",IF('Cash Flow %s Yr1'!I137="","",'Cash Flow %s Yr1'!I137*'Expenses Summary'!$T96))</f>
        <v>940.14800000000002</v>
      </c>
      <c r="J141" s="60">
        <f>IF('Expenses Summary'!$T96="","",IF('Cash Flow %s Yr1'!J137="","",'Cash Flow %s Yr1'!J137*'Expenses Summary'!$T96))</f>
        <v>940.14800000000002</v>
      </c>
      <c r="K141" s="60">
        <f>IF('Expenses Summary'!$T96="","",IF('Cash Flow %s Yr1'!K137="","",'Cash Flow %s Yr1'!K137*'Expenses Summary'!$T96))</f>
        <v>940.14800000000002</v>
      </c>
      <c r="L141" s="60">
        <f>IF('Expenses Summary'!$T96="","",IF('Cash Flow %s Yr1'!L137="","",'Cash Flow %s Yr1'!L137*'Expenses Summary'!$T96))</f>
        <v>940.14800000000002</v>
      </c>
      <c r="M141" s="60">
        <f>IF('Expenses Summary'!$T96="","",IF('Cash Flow %s Yr1'!M137="","",'Cash Flow %s Yr1'!M137*'Expenses Summary'!$T96))</f>
        <v>940.14800000000002</v>
      </c>
      <c r="N141" s="60">
        <f>IF('Expenses Summary'!$T96="","",IF('Cash Flow %s Yr1'!N137="","",'Cash Flow %s Yr1'!N137*'Expenses Summary'!$T96))</f>
        <v>940.14800000000002</v>
      </c>
      <c r="O141" s="60">
        <f>IF('Expenses Summary'!$T96="","",IF('Cash Flow %s Yr1'!O137="","",'Cash Flow %s Yr1'!O137*'Expenses Summary'!$T96))</f>
        <v>940.14800000000002</v>
      </c>
      <c r="P141" s="123"/>
      <c r="Q141" s="123"/>
      <c r="R141" s="123"/>
    </row>
    <row r="142" spans="1:18" s="30" customFormat="1" outlineLevel="1" x14ac:dyDescent="0.3">
      <c r="A142" s="35"/>
      <c r="B142" s="133" t="str">
        <f>'Expenses Summary'!B97</f>
        <v>5877</v>
      </c>
      <c r="C142" s="133" t="str">
        <f>'Expenses Summary'!C97</f>
        <v>IT Services</v>
      </c>
      <c r="D142" s="60" t="str">
        <f>IF('Expenses Summary'!$T97="","",IF('Cash Flow %s Yr1'!D138="","",'Cash Flow %s Yr1'!D138*'Expenses Summary'!$T97))</f>
        <v/>
      </c>
      <c r="E142" s="60" t="str">
        <f>IF('Expenses Summary'!$T97="","",IF('Cash Flow %s Yr1'!E138="","",'Cash Flow %s Yr1'!E138*'Expenses Summary'!$T97))</f>
        <v/>
      </c>
      <c r="F142" s="60">
        <f>IF('Expenses Summary'!$T97="","",IF('Cash Flow %s Yr1'!F138="","",'Cash Flow %s Yr1'!F138*'Expenses Summary'!$T97))</f>
        <v>103.16000000000003</v>
      </c>
      <c r="G142" s="60">
        <f>IF('Expenses Summary'!$T97="","",IF('Cash Flow %s Yr1'!G138="","",'Cash Flow %s Yr1'!G138*'Expenses Summary'!$T97))</f>
        <v>103.16000000000003</v>
      </c>
      <c r="H142" s="60">
        <f>IF('Expenses Summary'!$T97="","",IF('Cash Flow %s Yr1'!H138="","",'Cash Flow %s Yr1'!H138*'Expenses Summary'!$T97))</f>
        <v>103.16000000000003</v>
      </c>
      <c r="I142" s="60">
        <f>IF('Expenses Summary'!$T97="","",IF('Cash Flow %s Yr1'!I138="","",'Cash Flow %s Yr1'!I138*'Expenses Summary'!$T97))</f>
        <v>103.16000000000003</v>
      </c>
      <c r="J142" s="60">
        <f>IF('Expenses Summary'!$T97="","",IF('Cash Flow %s Yr1'!J138="","",'Cash Flow %s Yr1'!J138*'Expenses Summary'!$T97))</f>
        <v>103.16000000000003</v>
      </c>
      <c r="K142" s="60">
        <f>IF('Expenses Summary'!$T97="","",IF('Cash Flow %s Yr1'!K138="","",'Cash Flow %s Yr1'!K138*'Expenses Summary'!$T97))</f>
        <v>103.16000000000003</v>
      </c>
      <c r="L142" s="60">
        <f>IF('Expenses Summary'!$T97="","",IF('Cash Flow %s Yr1'!L138="","",'Cash Flow %s Yr1'!L138*'Expenses Summary'!$T97))</f>
        <v>103.16000000000003</v>
      </c>
      <c r="M142" s="60">
        <f>IF('Expenses Summary'!$T97="","",IF('Cash Flow %s Yr1'!M138="","",'Cash Flow %s Yr1'!M138*'Expenses Summary'!$T97))</f>
        <v>103.16000000000003</v>
      </c>
      <c r="N142" s="60">
        <f>IF('Expenses Summary'!$T97="","",IF('Cash Flow %s Yr1'!N138="","",'Cash Flow %s Yr1'!N138*'Expenses Summary'!$T97))</f>
        <v>103.16000000000003</v>
      </c>
      <c r="O142" s="60">
        <f>IF('Expenses Summary'!$T97="","",IF('Cash Flow %s Yr1'!O138="","",'Cash Flow %s Yr1'!O138*'Expenses Summary'!$T97))</f>
        <v>103.16000000000003</v>
      </c>
      <c r="P142" s="123"/>
      <c r="Q142" s="123"/>
      <c r="R142" s="123"/>
    </row>
    <row r="143" spans="1:18" s="30" customFormat="1" outlineLevel="1" x14ac:dyDescent="0.3">
      <c r="A143" s="35"/>
      <c r="B143" s="133" t="str">
        <f>'Expenses Summary'!B98</f>
        <v>5885</v>
      </c>
      <c r="C143" s="133" t="str">
        <f>'Expenses Summary'!C98</f>
        <v>Summer School Program</v>
      </c>
      <c r="D143" s="60" t="str">
        <f>IF('Expenses Summary'!$T98="","",IF('Cash Flow %s Yr1'!D139="","",'Cash Flow %s Yr1'!D139*'Expenses Summary'!$T98))</f>
        <v/>
      </c>
      <c r="E143" s="60" t="str">
        <f>IF('Expenses Summary'!$T98="","",IF('Cash Flow %s Yr1'!E139="","",'Cash Flow %s Yr1'!E139*'Expenses Summary'!$T98))</f>
        <v/>
      </c>
      <c r="F143" s="60" t="str">
        <f>IF('Expenses Summary'!$T98="","",IF('Cash Flow %s Yr1'!F139="","",'Cash Flow %s Yr1'!F139*'Expenses Summary'!$T98))</f>
        <v/>
      </c>
      <c r="G143" s="60" t="str">
        <f>IF('Expenses Summary'!$T98="","",IF('Cash Flow %s Yr1'!G139="","",'Cash Flow %s Yr1'!G139*'Expenses Summary'!$T98))</f>
        <v/>
      </c>
      <c r="H143" s="60" t="str">
        <f>IF('Expenses Summary'!$T98="","",IF('Cash Flow %s Yr1'!H139="","",'Cash Flow %s Yr1'!H139*'Expenses Summary'!$T98))</f>
        <v/>
      </c>
      <c r="I143" s="60" t="str">
        <f>IF('Expenses Summary'!$T98="","",IF('Cash Flow %s Yr1'!I139="","",'Cash Flow %s Yr1'!I139*'Expenses Summary'!$T98))</f>
        <v/>
      </c>
      <c r="J143" s="60" t="str">
        <f>IF('Expenses Summary'!$T98="","",IF('Cash Flow %s Yr1'!J139="","",'Cash Flow %s Yr1'!J139*'Expenses Summary'!$T98))</f>
        <v/>
      </c>
      <c r="K143" s="60" t="str">
        <f>IF('Expenses Summary'!$T98="","",IF('Cash Flow %s Yr1'!K139="","",'Cash Flow %s Yr1'!K139*'Expenses Summary'!$T98))</f>
        <v/>
      </c>
      <c r="L143" s="60" t="str">
        <f>IF('Expenses Summary'!$T98="","",IF('Cash Flow %s Yr1'!L139="","",'Cash Flow %s Yr1'!L139*'Expenses Summary'!$T98))</f>
        <v/>
      </c>
      <c r="M143" s="60" t="str">
        <f>IF('Expenses Summary'!$T98="","",IF('Cash Flow %s Yr1'!M139="","",'Cash Flow %s Yr1'!M139*'Expenses Summary'!$T98))</f>
        <v/>
      </c>
      <c r="N143" s="60" t="str">
        <f>IF('Expenses Summary'!$T98="","",IF('Cash Flow %s Yr1'!N139="","",'Cash Flow %s Yr1'!N139*'Expenses Summary'!$T98))</f>
        <v/>
      </c>
      <c r="O143" s="60" t="str">
        <f>IF('Expenses Summary'!$T98="","",IF('Cash Flow %s Yr1'!O139="","",'Cash Flow %s Yr1'!O139*'Expenses Summary'!$T98))</f>
        <v/>
      </c>
      <c r="P143" s="123"/>
      <c r="Q143" s="123"/>
      <c r="R143" s="123"/>
    </row>
    <row r="144" spans="1:18" s="30" customFormat="1" outlineLevel="1" x14ac:dyDescent="0.3">
      <c r="A144" s="35"/>
      <c r="B144" s="133" t="str">
        <f>'Expenses Summary'!B99</f>
        <v>5890</v>
      </c>
      <c r="C144" s="133" t="str">
        <f>'Expenses Summary'!C99</f>
        <v>Interest Expense / Misc. Fees</v>
      </c>
      <c r="D144" s="60" t="str">
        <f>IF('Expenses Summary'!$T99="","",IF('Cash Flow %s Yr1'!D140="","",'Cash Flow %s Yr1'!D140*'Expenses Summary'!$T99))</f>
        <v/>
      </c>
      <c r="E144" s="60" t="str">
        <f>IF('Expenses Summary'!$T99="","",IF('Cash Flow %s Yr1'!E140="","",'Cash Flow %s Yr1'!E140*'Expenses Summary'!$T99))</f>
        <v/>
      </c>
      <c r="F144" s="60">
        <f>IF('Expenses Summary'!$T99="","",IF('Cash Flow %s Yr1'!F140="","",'Cash Flow %s Yr1'!F140*'Expenses Summary'!$T99))</f>
        <v>0</v>
      </c>
      <c r="G144" s="60">
        <f>IF('Expenses Summary'!$T99="","",IF('Cash Flow %s Yr1'!G140="","",'Cash Flow %s Yr1'!G140*'Expenses Summary'!$T99))</f>
        <v>0</v>
      </c>
      <c r="H144" s="60">
        <f>IF('Expenses Summary'!$T99="","",IF('Cash Flow %s Yr1'!H140="","",'Cash Flow %s Yr1'!H140*'Expenses Summary'!$T99))</f>
        <v>0</v>
      </c>
      <c r="I144" s="60">
        <f>IF('Expenses Summary'!$T99="","",IF('Cash Flow %s Yr1'!I140="","",'Cash Flow %s Yr1'!I140*'Expenses Summary'!$T99))</f>
        <v>0</v>
      </c>
      <c r="J144" s="60">
        <f>IF('Expenses Summary'!$T99="","",IF('Cash Flow %s Yr1'!J140="","",'Cash Flow %s Yr1'!J140*'Expenses Summary'!$T99))</f>
        <v>0</v>
      </c>
      <c r="K144" s="60">
        <f>IF('Expenses Summary'!$T99="","",IF('Cash Flow %s Yr1'!K140="","",'Cash Flow %s Yr1'!K140*'Expenses Summary'!$T99))</f>
        <v>0</v>
      </c>
      <c r="L144" s="60">
        <f>IF('Expenses Summary'!$T99="","",IF('Cash Flow %s Yr1'!L140="","",'Cash Flow %s Yr1'!L140*'Expenses Summary'!$T99))</f>
        <v>0</v>
      </c>
      <c r="M144" s="60">
        <f>IF('Expenses Summary'!$T99="","",IF('Cash Flow %s Yr1'!M140="","",'Cash Flow %s Yr1'!M140*'Expenses Summary'!$T99))</f>
        <v>0</v>
      </c>
      <c r="N144" s="60">
        <f>IF('Expenses Summary'!$T99="","",IF('Cash Flow %s Yr1'!N140="","",'Cash Flow %s Yr1'!N140*'Expenses Summary'!$T99))</f>
        <v>0</v>
      </c>
      <c r="O144" s="60">
        <f>IF('Expenses Summary'!$T99="","",IF('Cash Flow %s Yr1'!O140="","",'Cash Flow %s Yr1'!O140*'Expenses Summary'!$T99))</f>
        <v>0</v>
      </c>
      <c r="P144" s="123"/>
      <c r="Q144" s="123"/>
      <c r="R144" s="123"/>
    </row>
    <row r="145" spans="1:18" s="30" customFormat="1" outlineLevel="1" x14ac:dyDescent="0.3">
      <c r="A145" s="35"/>
      <c r="B145" s="133" t="str">
        <f>'Expenses Summary'!B100</f>
        <v>5900</v>
      </c>
      <c r="C145" s="133" t="str">
        <f>'Expenses Summary'!C100</f>
        <v>Communications</v>
      </c>
      <c r="D145" s="60" t="str">
        <f>IF('Expenses Summary'!$T100="","",IF('Cash Flow %s Yr1'!D141="","",'Cash Flow %s Yr1'!D141*'Expenses Summary'!$T100))</f>
        <v/>
      </c>
      <c r="E145" s="60" t="str">
        <f>IF('Expenses Summary'!$T100="","",IF('Cash Flow %s Yr1'!E141="","",'Cash Flow %s Yr1'!E141*'Expenses Summary'!$T100))</f>
        <v/>
      </c>
      <c r="F145" s="60">
        <f>IF('Expenses Summary'!$T100="","",IF('Cash Flow %s Yr1'!F141="","",'Cash Flow %s Yr1'!F141*'Expenses Summary'!$T100))</f>
        <v>583.26664000000005</v>
      </c>
      <c r="G145" s="60">
        <f>IF('Expenses Summary'!$T100="","",IF('Cash Flow %s Yr1'!G141="","",'Cash Flow %s Yr1'!G141*'Expenses Summary'!$T100))</f>
        <v>583.26664000000005</v>
      </c>
      <c r="H145" s="60">
        <f>IF('Expenses Summary'!$T100="","",IF('Cash Flow %s Yr1'!H141="","",'Cash Flow %s Yr1'!H141*'Expenses Summary'!$T100))</f>
        <v>583.26664000000005</v>
      </c>
      <c r="I145" s="60">
        <f>IF('Expenses Summary'!$T100="","",IF('Cash Flow %s Yr1'!I141="","",'Cash Flow %s Yr1'!I141*'Expenses Summary'!$T100))</f>
        <v>583.26664000000005</v>
      </c>
      <c r="J145" s="60">
        <f>IF('Expenses Summary'!$T100="","",IF('Cash Flow %s Yr1'!J141="","",'Cash Flow %s Yr1'!J141*'Expenses Summary'!$T100))</f>
        <v>583.26664000000005</v>
      </c>
      <c r="K145" s="60">
        <f>IF('Expenses Summary'!$T100="","",IF('Cash Flow %s Yr1'!K141="","",'Cash Flow %s Yr1'!K141*'Expenses Summary'!$T100))</f>
        <v>583.26664000000005</v>
      </c>
      <c r="L145" s="60">
        <f>IF('Expenses Summary'!$T100="","",IF('Cash Flow %s Yr1'!L141="","",'Cash Flow %s Yr1'!L141*'Expenses Summary'!$T100))</f>
        <v>583.26664000000005</v>
      </c>
      <c r="M145" s="60">
        <f>IF('Expenses Summary'!$T100="","",IF('Cash Flow %s Yr1'!M141="","",'Cash Flow %s Yr1'!M141*'Expenses Summary'!$T100))</f>
        <v>583.26664000000005</v>
      </c>
      <c r="N145" s="60">
        <f>IF('Expenses Summary'!$T100="","",IF('Cash Flow %s Yr1'!N141="","",'Cash Flow %s Yr1'!N141*'Expenses Summary'!$T100))</f>
        <v>583.26664000000005</v>
      </c>
      <c r="O145" s="60">
        <f>IF('Expenses Summary'!$T100="","",IF('Cash Flow %s Yr1'!O141="","",'Cash Flow %s Yr1'!O141*'Expenses Summary'!$T100))</f>
        <v>583.26664000000005</v>
      </c>
      <c r="P145" s="123"/>
      <c r="Q145" s="123"/>
      <c r="R145" s="123"/>
    </row>
    <row r="146" spans="1:18" s="30" customFormat="1" outlineLevel="1" x14ac:dyDescent="0.3">
      <c r="A146" s="35"/>
      <c r="B146" s="133" t="str">
        <f>'Expenses Summary'!B101</f>
        <v>7010</v>
      </c>
      <c r="C146" s="133" t="str">
        <f>'Expenses Summary'!C101</f>
        <v>Special Education Encroachment</v>
      </c>
      <c r="D146" s="60" t="str">
        <f>IF('Expenses Summary'!$T101="","",IF('Cash Flow %s Yr1'!D142="","",'Cash Flow %s Yr1'!D142*'Expenses Summary'!$T101))</f>
        <v/>
      </c>
      <c r="E146" s="60" t="str">
        <f>IF('Expenses Summary'!$T101="","",IF('Cash Flow %s Yr1'!E142="","",'Cash Flow %s Yr1'!E142*'Expenses Summary'!$T101))</f>
        <v/>
      </c>
      <c r="F146" s="60">
        <f>IF('Expenses Summary'!$T101="","",IF('Cash Flow %s Yr1'!F142="","",'Cash Flow %s Yr1'!F142*'Expenses Summary'!$T101))</f>
        <v>11000</v>
      </c>
      <c r="G146" s="60">
        <f>IF('Expenses Summary'!$T101="","",IF('Cash Flow %s Yr1'!G142="","",'Cash Flow %s Yr1'!G142*'Expenses Summary'!$T101))</f>
        <v>11000</v>
      </c>
      <c r="H146" s="60">
        <f>IF('Expenses Summary'!$T101="","",IF('Cash Flow %s Yr1'!H142="","",'Cash Flow %s Yr1'!H142*'Expenses Summary'!$T101))</f>
        <v>11000</v>
      </c>
      <c r="I146" s="60">
        <f>IF('Expenses Summary'!$T101="","",IF('Cash Flow %s Yr1'!I142="","",'Cash Flow %s Yr1'!I142*'Expenses Summary'!$T101))</f>
        <v>11000</v>
      </c>
      <c r="J146" s="60">
        <f>IF('Expenses Summary'!$T101="","",IF('Cash Flow %s Yr1'!J142="","",'Cash Flow %s Yr1'!J142*'Expenses Summary'!$T101))</f>
        <v>11000</v>
      </c>
      <c r="K146" s="60">
        <f>IF('Expenses Summary'!$T101="","",IF('Cash Flow %s Yr1'!K142="","",'Cash Flow %s Yr1'!K142*'Expenses Summary'!$T101))</f>
        <v>11000</v>
      </c>
      <c r="L146" s="60">
        <f>IF('Expenses Summary'!$T101="","",IF('Cash Flow %s Yr1'!L142="","",'Cash Flow %s Yr1'!L142*'Expenses Summary'!$T101))</f>
        <v>11000</v>
      </c>
      <c r="M146" s="60">
        <f>IF('Expenses Summary'!$T101="","",IF('Cash Flow %s Yr1'!M142="","",'Cash Flow %s Yr1'!M142*'Expenses Summary'!$T101))</f>
        <v>11000</v>
      </c>
      <c r="N146" s="60">
        <f>IF('Expenses Summary'!$T101="","",IF('Cash Flow %s Yr1'!N142="","",'Cash Flow %s Yr1'!N142*'Expenses Summary'!$T101))</f>
        <v>11000</v>
      </c>
      <c r="O146" s="60">
        <f>IF('Expenses Summary'!$T101="","",IF('Cash Flow %s Yr1'!O142="","",'Cash Flow %s Yr1'!O142*'Expenses Summary'!$T101))</f>
        <v>11000</v>
      </c>
      <c r="P146" s="123"/>
      <c r="Q146" s="123"/>
      <c r="R146" s="123"/>
    </row>
    <row r="147" spans="1:18" s="30" customFormat="1" hidden="1" outlineLevel="1" x14ac:dyDescent="0.3">
      <c r="A147" s="35"/>
      <c r="B147" s="133" t="e">
        <f>'Expenses Summary'!#REF!</f>
        <v>#REF!</v>
      </c>
      <c r="C147" s="133" t="e">
        <f>'Expenses Summary'!#REF!</f>
        <v>#REF!</v>
      </c>
      <c r="D147" s="60" t="e">
        <f>IF('Expenses Summary'!#REF!="","",IF('Cash Flow %s Yr1'!D143="","",'Cash Flow %s Yr1'!D143*'Expenses Summary'!#REF!))</f>
        <v>#REF!</v>
      </c>
      <c r="E147" s="60" t="e">
        <f>IF('Expenses Summary'!#REF!="","",IF('Cash Flow %s Yr1'!E143="","",'Cash Flow %s Yr1'!E143*'Expenses Summary'!#REF!))</f>
        <v>#REF!</v>
      </c>
      <c r="F147" s="60" t="e">
        <f>IF('Expenses Summary'!#REF!="","",IF('Cash Flow %s Yr1'!F143="","",'Cash Flow %s Yr1'!F143*'Expenses Summary'!#REF!))</f>
        <v>#REF!</v>
      </c>
      <c r="G147" s="60" t="e">
        <f>IF('Expenses Summary'!#REF!="","",IF('Cash Flow %s Yr1'!G143="","",'Cash Flow %s Yr1'!G143*'Expenses Summary'!#REF!))</f>
        <v>#REF!</v>
      </c>
      <c r="H147" s="60" t="e">
        <f>IF('Expenses Summary'!#REF!="","",IF('Cash Flow %s Yr1'!H143="","",'Cash Flow %s Yr1'!H143*'Expenses Summary'!#REF!))</f>
        <v>#REF!</v>
      </c>
      <c r="I147" s="60" t="e">
        <f>IF('Expenses Summary'!#REF!="","",IF('Cash Flow %s Yr1'!I143="","",'Cash Flow %s Yr1'!I143*'Expenses Summary'!#REF!))</f>
        <v>#REF!</v>
      </c>
      <c r="J147" s="60" t="e">
        <f>IF('Expenses Summary'!#REF!="","",IF('Cash Flow %s Yr1'!J143="","",'Cash Flow %s Yr1'!J143*'Expenses Summary'!#REF!))</f>
        <v>#REF!</v>
      </c>
      <c r="K147" s="60" t="e">
        <f>IF('Expenses Summary'!#REF!="","",IF('Cash Flow %s Yr1'!K143="","",'Cash Flow %s Yr1'!K143*'Expenses Summary'!#REF!))</f>
        <v>#REF!</v>
      </c>
      <c r="L147" s="60" t="e">
        <f>IF('Expenses Summary'!#REF!="","",IF('Cash Flow %s Yr1'!L143="","",'Cash Flow %s Yr1'!L143*'Expenses Summary'!#REF!))</f>
        <v>#REF!</v>
      </c>
      <c r="M147" s="60" t="e">
        <f>IF('Expenses Summary'!#REF!="","",IF('Cash Flow %s Yr1'!M143="","",'Cash Flow %s Yr1'!M143*'Expenses Summary'!#REF!))</f>
        <v>#REF!</v>
      </c>
      <c r="N147" s="60" t="e">
        <f>IF('Expenses Summary'!#REF!="","",IF('Cash Flow %s Yr1'!N143="","",'Cash Flow %s Yr1'!N143*'Expenses Summary'!#REF!))</f>
        <v>#REF!</v>
      </c>
      <c r="O147" s="60" t="e">
        <f>IF('Expenses Summary'!#REF!="","",IF('Cash Flow %s Yr1'!O143="","",'Cash Flow %s Yr1'!O143*'Expenses Summary'!#REF!))</f>
        <v>#REF!</v>
      </c>
      <c r="P147" s="123"/>
      <c r="Q147" s="123"/>
      <c r="R147" s="123"/>
    </row>
    <row r="148" spans="1:18" s="30" customFormat="1" x14ac:dyDescent="0.3">
      <c r="A148" s="35"/>
      <c r="B148" s="133" t="str">
        <f>'Expenses Summary'!B102</f>
        <v>5999</v>
      </c>
      <c r="C148" s="133" t="str">
        <f>'Expenses Summary'!C102</f>
        <v>Expense Suspense</v>
      </c>
      <c r="D148" s="60" t="str">
        <f>IF('Expenses Summary'!$T102="","",IF('Cash Flow %s Yr1'!D144="","",'Cash Flow %s Yr1'!D144*'Expenses Summary'!$T102))</f>
        <v/>
      </c>
      <c r="E148" s="60" t="str">
        <f>IF('Expenses Summary'!$T102="","",IF('Cash Flow %s Yr1'!E144="","",'Cash Flow %s Yr1'!E144*'Expenses Summary'!$T102))</f>
        <v/>
      </c>
      <c r="F148" s="60" t="str">
        <f>IF('Expenses Summary'!$T102="","",IF('Cash Flow %s Yr1'!F144="","",'Cash Flow %s Yr1'!F144*'Expenses Summary'!$T102))</f>
        <v/>
      </c>
      <c r="G148" s="60" t="str">
        <f>IF('Expenses Summary'!$T102="","",IF('Cash Flow %s Yr1'!G144="","",'Cash Flow %s Yr1'!G144*'Expenses Summary'!$T102))</f>
        <v/>
      </c>
      <c r="H148" s="60" t="str">
        <f>IF('Expenses Summary'!$T102="","",IF('Cash Flow %s Yr1'!H144="","",'Cash Flow %s Yr1'!H144*'Expenses Summary'!$T102))</f>
        <v/>
      </c>
      <c r="I148" s="60" t="str">
        <f>IF('Expenses Summary'!$T102="","",IF('Cash Flow %s Yr1'!I144="","",'Cash Flow %s Yr1'!I144*'Expenses Summary'!$T102))</f>
        <v/>
      </c>
      <c r="J148" s="60" t="str">
        <f>IF('Expenses Summary'!$T102="","",IF('Cash Flow %s Yr1'!J144="","",'Cash Flow %s Yr1'!J144*'Expenses Summary'!$T102))</f>
        <v/>
      </c>
      <c r="K148" s="60" t="str">
        <f>IF('Expenses Summary'!$T102="","",IF('Cash Flow %s Yr1'!K144="","",'Cash Flow %s Yr1'!K144*'Expenses Summary'!$T102))</f>
        <v/>
      </c>
      <c r="L148" s="60" t="str">
        <f>IF('Expenses Summary'!$T102="","",IF('Cash Flow %s Yr1'!L144="","",'Cash Flow %s Yr1'!L144*'Expenses Summary'!$T102))</f>
        <v/>
      </c>
      <c r="M148" s="60" t="str">
        <f>IF('Expenses Summary'!$T102="","",IF('Cash Flow %s Yr1'!M144="","",'Cash Flow %s Yr1'!M144*'Expenses Summary'!$T102))</f>
        <v/>
      </c>
      <c r="N148" s="60" t="str">
        <f>IF('Expenses Summary'!$T102="","",IF('Cash Flow %s Yr1'!N144="","",'Cash Flow %s Yr1'!N144*'Expenses Summary'!$T102))</f>
        <v/>
      </c>
      <c r="O148" s="60" t="str">
        <f>IF('Expenses Summary'!$T102="","",IF('Cash Flow %s Yr1'!O144="","",'Cash Flow %s Yr1'!O144*'Expenses Summary'!$T102))</f>
        <v/>
      </c>
      <c r="P148" s="123"/>
      <c r="Q148" s="123"/>
      <c r="R148" s="123"/>
    </row>
    <row r="149" spans="1:18" s="30" customFormat="1" x14ac:dyDescent="0.3">
      <c r="A149" s="35"/>
      <c r="B149" s="32" t="s">
        <v>559</v>
      </c>
      <c r="C149" s="33" t="s">
        <v>720</v>
      </c>
      <c r="D149" s="165" t="e">
        <f>IF(SUM(D115:D148)&gt;0,SUM(D115:D148),"")</f>
        <v>#REF!</v>
      </c>
      <c r="E149" s="165" t="e">
        <f t="shared" ref="E149:O149" si="10">IF(SUM(E115:E148)&gt;0,SUM(E115:E148),"")</f>
        <v>#REF!</v>
      </c>
      <c r="F149" s="165" t="e">
        <f t="shared" si="10"/>
        <v>#REF!</v>
      </c>
      <c r="G149" s="165" t="e">
        <f t="shared" si="10"/>
        <v>#REF!</v>
      </c>
      <c r="H149" s="165" t="e">
        <f t="shared" si="10"/>
        <v>#REF!</v>
      </c>
      <c r="I149" s="165" t="e">
        <f t="shared" si="10"/>
        <v>#REF!</v>
      </c>
      <c r="J149" s="165" t="e">
        <f t="shared" si="10"/>
        <v>#REF!</v>
      </c>
      <c r="K149" s="165" t="e">
        <f t="shared" si="10"/>
        <v>#REF!</v>
      </c>
      <c r="L149" s="165" t="e">
        <f t="shared" si="10"/>
        <v>#REF!</v>
      </c>
      <c r="M149" s="165" t="e">
        <f t="shared" si="10"/>
        <v>#REF!</v>
      </c>
      <c r="N149" s="165" t="e">
        <f t="shared" si="10"/>
        <v>#REF!</v>
      </c>
      <c r="O149" s="165" t="e">
        <f t="shared" si="10"/>
        <v>#REF!</v>
      </c>
      <c r="P149" s="102"/>
      <c r="Q149" s="102"/>
      <c r="R149" s="102"/>
    </row>
    <row r="150" spans="1:18" s="30" customFormat="1" x14ac:dyDescent="0.3">
      <c r="A150" s="35"/>
      <c r="B150" s="4"/>
      <c r="C150" s="3"/>
      <c r="D150" s="89"/>
      <c r="E150" s="89"/>
      <c r="F150" s="89"/>
      <c r="G150" s="89"/>
      <c r="H150" s="89"/>
      <c r="I150" s="89"/>
      <c r="J150" s="89"/>
      <c r="K150" s="89"/>
      <c r="L150" s="89"/>
      <c r="M150" s="89"/>
      <c r="N150" s="89"/>
      <c r="O150" s="89"/>
      <c r="P150" s="89"/>
      <c r="Q150" s="89"/>
      <c r="R150" s="89"/>
    </row>
    <row r="151" spans="1:18" s="30" customFormat="1" x14ac:dyDescent="0.3">
      <c r="B151" s="33" t="s">
        <v>722</v>
      </c>
      <c r="C151" s="3"/>
      <c r="D151" s="89"/>
      <c r="E151" s="89"/>
      <c r="F151" s="89"/>
      <c r="G151" s="89"/>
      <c r="H151" s="89"/>
      <c r="I151" s="89"/>
      <c r="J151" s="89"/>
      <c r="K151" s="89"/>
      <c r="L151" s="89"/>
      <c r="M151" s="89"/>
      <c r="N151" s="89"/>
      <c r="O151" s="89"/>
      <c r="P151" s="89"/>
      <c r="Q151" s="89"/>
      <c r="R151" s="89"/>
    </row>
    <row r="152" spans="1:18" s="30" customFormat="1" x14ac:dyDescent="0.3">
      <c r="A152" s="35"/>
      <c r="B152" s="133" t="str">
        <f>'Expenses Summary'!B106</f>
        <v>6900</v>
      </c>
      <c r="C152" s="133" t="str">
        <f>'Expenses Summary'!C106</f>
        <v xml:space="preserve">Depreciation Expense      </v>
      </c>
      <c r="D152" s="60">
        <f>IF('Expenses Summary'!$T106="","",IF('Cash Flow %s Yr1'!D148="","",'Cash Flow %s Yr1'!D148*'Expenses Summary'!$T106))</f>
        <v>0</v>
      </c>
      <c r="E152" s="60">
        <f>IF('Expenses Summary'!$T106="","",IF('Cash Flow %s Yr1'!E148="","",'Cash Flow %s Yr1'!E148*'Expenses Summary'!$T106))</f>
        <v>0</v>
      </c>
      <c r="F152" s="60">
        <f>IF('Expenses Summary'!$T106="","",IF('Cash Flow %s Yr1'!F148="","",'Cash Flow %s Yr1'!F148*'Expenses Summary'!$T106))</f>
        <v>0</v>
      </c>
      <c r="G152" s="60">
        <f>IF('Expenses Summary'!$T106="","",IF('Cash Flow %s Yr1'!G148="","",'Cash Flow %s Yr1'!G148*'Expenses Summary'!$T106))</f>
        <v>0</v>
      </c>
      <c r="H152" s="60">
        <f>IF('Expenses Summary'!$T106="","",IF('Cash Flow %s Yr1'!H148="","",'Cash Flow %s Yr1'!H148*'Expenses Summary'!$T106))</f>
        <v>0</v>
      </c>
      <c r="I152" s="60">
        <f>IF('Expenses Summary'!$T106="","",IF('Cash Flow %s Yr1'!I148="","",'Cash Flow %s Yr1'!I148*'Expenses Summary'!$T106))</f>
        <v>0</v>
      </c>
      <c r="J152" s="60">
        <f>IF('Expenses Summary'!$T106="","",IF('Cash Flow %s Yr1'!J148="","",'Cash Flow %s Yr1'!J148*'Expenses Summary'!$T106))</f>
        <v>0</v>
      </c>
      <c r="K152" s="60">
        <f>IF('Expenses Summary'!$T106="","",IF('Cash Flow %s Yr1'!K148="","",'Cash Flow %s Yr1'!K148*'Expenses Summary'!$T106))</f>
        <v>0</v>
      </c>
      <c r="L152" s="60">
        <f>IF('Expenses Summary'!$T106="","",IF('Cash Flow %s Yr1'!L148="","",'Cash Flow %s Yr1'!L148*'Expenses Summary'!$T106))</f>
        <v>0</v>
      </c>
      <c r="M152" s="60">
        <f>IF('Expenses Summary'!$T106="","",IF('Cash Flow %s Yr1'!M148="","",'Cash Flow %s Yr1'!M148*'Expenses Summary'!$T106))</f>
        <v>0</v>
      </c>
      <c r="N152" s="60">
        <f>IF('Expenses Summary'!$T106="","",IF('Cash Flow %s Yr1'!N148="","",'Cash Flow %s Yr1'!N148*'Expenses Summary'!$T106))</f>
        <v>0</v>
      </c>
      <c r="O152" s="60">
        <f>IF('Expenses Summary'!$T106="","",IF('Cash Flow %s Yr1'!O148="","",'Cash Flow %s Yr1'!O148*'Expenses Summary'!$T106))</f>
        <v>2908.72</v>
      </c>
      <c r="P152" s="123"/>
      <c r="Q152" s="123"/>
      <c r="R152" s="123"/>
    </row>
    <row r="153" spans="1:18" s="30" customFormat="1" x14ac:dyDescent="0.3">
      <c r="A153" s="35"/>
      <c r="B153" s="32" t="s">
        <v>560</v>
      </c>
      <c r="C153" s="33" t="s">
        <v>720</v>
      </c>
      <c r="D153" s="165" t="str">
        <f t="shared" ref="D153:O153" si="11">IF(SUM(D151:D152)&gt;0,SUM(D151:D152),"")</f>
        <v/>
      </c>
      <c r="E153" s="165" t="str">
        <f t="shared" si="11"/>
        <v/>
      </c>
      <c r="F153" s="165" t="str">
        <f t="shared" si="11"/>
        <v/>
      </c>
      <c r="G153" s="165" t="str">
        <f t="shared" si="11"/>
        <v/>
      </c>
      <c r="H153" s="165" t="str">
        <f t="shared" si="11"/>
        <v/>
      </c>
      <c r="I153" s="165" t="str">
        <f t="shared" si="11"/>
        <v/>
      </c>
      <c r="J153" s="165" t="str">
        <f t="shared" si="11"/>
        <v/>
      </c>
      <c r="K153" s="165" t="str">
        <f t="shared" si="11"/>
        <v/>
      </c>
      <c r="L153" s="165" t="str">
        <f t="shared" si="11"/>
        <v/>
      </c>
      <c r="M153" s="165" t="str">
        <f t="shared" si="11"/>
        <v/>
      </c>
      <c r="N153" s="165" t="str">
        <f t="shared" si="11"/>
        <v/>
      </c>
      <c r="O153" s="165">
        <f t="shared" si="11"/>
        <v>2908.72</v>
      </c>
      <c r="P153" s="102"/>
      <c r="Q153" s="102"/>
      <c r="R153" s="102"/>
    </row>
    <row r="154" spans="1:18" s="30" customFormat="1" x14ac:dyDescent="0.3">
      <c r="A154" s="35"/>
      <c r="B154" s="4"/>
      <c r="C154" s="3"/>
      <c r="D154" s="89"/>
      <c r="E154" s="98"/>
      <c r="F154" s="98"/>
      <c r="G154" s="89"/>
      <c r="H154" s="89"/>
      <c r="I154" s="89"/>
      <c r="J154" s="89"/>
      <c r="K154" s="89"/>
      <c r="L154" s="89"/>
      <c r="M154" s="89"/>
      <c r="N154" s="89"/>
      <c r="O154" s="89"/>
      <c r="P154" s="89"/>
      <c r="Q154" s="89"/>
      <c r="R154" s="89"/>
    </row>
    <row r="155" spans="1:18" s="30" customFormat="1" x14ac:dyDescent="0.3">
      <c r="B155" s="33" t="s">
        <v>723</v>
      </c>
      <c r="C155" s="3"/>
      <c r="D155" s="89"/>
      <c r="E155" s="98"/>
      <c r="F155" s="98"/>
      <c r="G155" s="89"/>
      <c r="H155" s="89"/>
      <c r="I155" s="89"/>
      <c r="J155" s="89"/>
      <c r="K155" s="89"/>
      <c r="L155" s="89"/>
      <c r="M155" s="89"/>
      <c r="N155" s="89"/>
      <c r="O155" s="89"/>
      <c r="P155" s="89"/>
      <c r="Q155" s="89"/>
      <c r="R155" s="89"/>
    </row>
    <row r="156" spans="1:18" s="30" customFormat="1" x14ac:dyDescent="0.3">
      <c r="A156" s="35"/>
      <c r="B156" s="133" t="str">
        <f>'Expenses Summary'!B110</f>
        <v>7000</v>
      </c>
      <c r="C156" s="133" t="str">
        <f>'Expenses Summary'!C110</f>
        <v>Miscellaneous Expense</v>
      </c>
      <c r="D156" s="60">
        <f>IF('Expenses Summary'!$T110="","",IF('Cash Flow %s Yr1'!D152="","",'Cash Flow %s Yr1'!D152*'Expenses Summary'!$T110))</f>
        <v>0</v>
      </c>
      <c r="E156" s="60">
        <f>IF('Expenses Summary'!$T110="","",IF('Cash Flow %s Yr1'!E152="","",'Cash Flow %s Yr1'!E152*'Expenses Summary'!$T110))</f>
        <v>0</v>
      </c>
      <c r="F156" s="60">
        <f>IF('Expenses Summary'!$T110="","",IF('Cash Flow %s Yr1'!F152="","",'Cash Flow %s Yr1'!F152*'Expenses Summary'!$T110))</f>
        <v>0</v>
      </c>
      <c r="G156" s="60">
        <f>IF('Expenses Summary'!$T110="","",IF('Cash Flow %s Yr1'!G152="","",'Cash Flow %s Yr1'!G152*'Expenses Summary'!$T110))</f>
        <v>0</v>
      </c>
      <c r="H156" s="60">
        <f>IF('Expenses Summary'!$T110="","",IF('Cash Flow %s Yr1'!H152="","",'Cash Flow %s Yr1'!H152*'Expenses Summary'!$T110))</f>
        <v>0</v>
      </c>
      <c r="I156" s="60">
        <f>IF('Expenses Summary'!$T110="","",IF('Cash Flow %s Yr1'!I152="","",'Cash Flow %s Yr1'!I152*'Expenses Summary'!$T110))</f>
        <v>0</v>
      </c>
      <c r="J156" s="60">
        <f>IF('Expenses Summary'!$T110="","",IF('Cash Flow %s Yr1'!J152="","",'Cash Flow %s Yr1'!J152*'Expenses Summary'!$T110))</f>
        <v>0</v>
      </c>
      <c r="K156" s="60">
        <f>IF('Expenses Summary'!$T110="","",IF('Cash Flow %s Yr1'!K152="","",'Cash Flow %s Yr1'!K152*'Expenses Summary'!$T110))</f>
        <v>0</v>
      </c>
      <c r="L156" s="60">
        <f>IF('Expenses Summary'!$T110="","",IF('Cash Flow %s Yr1'!L152="","",'Cash Flow %s Yr1'!L152*'Expenses Summary'!$T110))</f>
        <v>0</v>
      </c>
      <c r="M156" s="60">
        <f>IF('Expenses Summary'!$T110="","",IF('Cash Flow %s Yr1'!M152="","",'Cash Flow %s Yr1'!M152*'Expenses Summary'!$T110))</f>
        <v>0</v>
      </c>
      <c r="N156" s="60">
        <f>IF('Expenses Summary'!$T110="","",IF('Cash Flow %s Yr1'!N152="","",'Cash Flow %s Yr1'!N152*'Expenses Summary'!$T110))</f>
        <v>0</v>
      </c>
      <c r="O156" s="60">
        <f>IF('Expenses Summary'!$T110="","",IF('Cash Flow %s Yr1'!O152="","",'Cash Flow %s Yr1'!O152*'Expenses Summary'!$T110))</f>
        <v>0</v>
      </c>
      <c r="P156" s="123"/>
      <c r="Q156" s="123"/>
      <c r="R156" s="123"/>
    </row>
    <row r="157" spans="1:18" s="30" customFormat="1" x14ac:dyDescent="0.3">
      <c r="A157" s="35"/>
      <c r="B157" s="133" t="str">
        <f>'Expenses Summary'!B111</f>
        <v>7438</v>
      </c>
      <c r="C157" s="133" t="str">
        <f>'Expenses Summary'!C111</f>
        <v xml:space="preserve">Debt </v>
      </c>
      <c r="D157" s="60">
        <f>IF('Expenses Summary'!$T111="","",IF('Cash Flow %s Yr1'!D154="","",'Cash Flow %s Yr1'!D154*'Expenses Summary'!$T111))</f>
        <v>0</v>
      </c>
      <c r="E157" s="60">
        <f>IF('Expenses Summary'!$T111="","",IF('Cash Flow %s Yr1'!E154="","",'Cash Flow %s Yr1'!E154*'Expenses Summary'!$T111))</f>
        <v>0</v>
      </c>
      <c r="F157" s="60">
        <f>IF('Expenses Summary'!$T111="","",IF('Cash Flow %s Yr1'!F154="","",'Cash Flow %s Yr1'!F154*'Expenses Summary'!$T111))</f>
        <v>0</v>
      </c>
      <c r="G157" s="60">
        <f>IF('Expenses Summary'!$T111="","",IF('Cash Flow %s Yr1'!G154="","",'Cash Flow %s Yr1'!G154*'Expenses Summary'!$T111))</f>
        <v>0</v>
      </c>
      <c r="H157" s="60">
        <f>IF('Expenses Summary'!$T111="","",IF('Cash Flow %s Yr1'!H154="","",'Cash Flow %s Yr1'!H154*'Expenses Summary'!$T111))</f>
        <v>0</v>
      </c>
      <c r="I157" s="60">
        <f>IF('Expenses Summary'!$T111="","",IF('Cash Flow %s Yr1'!I154="","",'Cash Flow %s Yr1'!I154*'Expenses Summary'!$T111))</f>
        <v>0</v>
      </c>
      <c r="J157" s="60">
        <f>IF('Expenses Summary'!$T111="","",IF('Cash Flow %s Yr1'!J154="","",'Cash Flow %s Yr1'!J154*'Expenses Summary'!$T111))</f>
        <v>0</v>
      </c>
      <c r="K157" s="60">
        <f>IF('Expenses Summary'!$T111="","",IF('Cash Flow %s Yr1'!K154="","",'Cash Flow %s Yr1'!K154*'Expenses Summary'!$T111))</f>
        <v>0</v>
      </c>
      <c r="L157" s="60">
        <f>IF('Expenses Summary'!$T111="","",IF('Cash Flow %s Yr1'!L154="","",'Cash Flow %s Yr1'!L154*'Expenses Summary'!$T111))</f>
        <v>0</v>
      </c>
      <c r="M157" s="60">
        <f>IF('Expenses Summary'!$T111="","",IF('Cash Flow %s Yr1'!M154="","",'Cash Flow %s Yr1'!M154*'Expenses Summary'!$T111))</f>
        <v>0</v>
      </c>
      <c r="N157" s="60">
        <f>IF('Expenses Summary'!$T111="","",IF('Cash Flow %s Yr1'!N154="","",'Cash Flow %s Yr1'!N154*'Expenses Summary'!$T111))</f>
        <v>0</v>
      </c>
      <c r="O157" s="60">
        <f>IF('Expenses Summary'!$T111="","",IF('Cash Flow %s Yr1'!O154="","",'Cash Flow %s Yr1'!O154*'Expenses Summary'!$T111))</f>
        <v>0</v>
      </c>
      <c r="P157" s="123"/>
      <c r="Q157" s="123"/>
      <c r="R157" s="123"/>
    </row>
    <row r="158" spans="1:18" s="30" customFormat="1" x14ac:dyDescent="0.3">
      <c r="A158" s="35"/>
      <c r="B158" s="133" t="str">
        <f>'Expenses Summary'!B112</f>
        <v>8910</v>
      </c>
      <c r="C158" s="133" t="str">
        <f>'Expenses Summary'!C112</f>
        <v>Transfer in From LLC</v>
      </c>
      <c r="D158" s="60">
        <f>IF('Expenses Summary'!$T112="","",IF('Cash Flow %s Yr1'!D155="","",'Cash Flow %s Yr1'!D155*'Expenses Summary'!$T112))</f>
        <v>0</v>
      </c>
      <c r="E158" s="60">
        <f>IF('Expenses Summary'!$T112="","",IF('Cash Flow %s Yr1'!E155="","",'Cash Flow %s Yr1'!E155*'Expenses Summary'!$T112))</f>
        <v>0</v>
      </c>
      <c r="F158" s="60">
        <f>IF('Expenses Summary'!$T112="","",IF('Cash Flow %s Yr1'!F155="","",'Cash Flow %s Yr1'!F155*'Expenses Summary'!$T112))</f>
        <v>0</v>
      </c>
      <c r="G158" s="60">
        <f>IF('Expenses Summary'!$T112="","",IF('Cash Flow %s Yr1'!G155="","",'Cash Flow %s Yr1'!G155*'Expenses Summary'!$T112))</f>
        <v>0</v>
      </c>
      <c r="H158" s="60">
        <f>IF('Expenses Summary'!$T112="","",IF('Cash Flow %s Yr1'!H155="","",'Cash Flow %s Yr1'!H155*'Expenses Summary'!$T112))</f>
        <v>0</v>
      </c>
      <c r="I158" s="60">
        <f>IF('Expenses Summary'!$T112="","",IF('Cash Flow %s Yr1'!I155="","",'Cash Flow %s Yr1'!I155*'Expenses Summary'!$T112))</f>
        <v>0</v>
      </c>
      <c r="J158" s="60">
        <f>IF('Expenses Summary'!$T112="","",IF('Cash Flow %s Yr1'!J155="","",'Cash Flow %s Yr1'!J155*'Expenses Summary'!$T112))</f>
        <v>0</v>
      </c>
      <c r="K158" s="60">
        <f>IF('Expenses Summary'!$T112="","",IF('Cash Flow %s Yr1'!K155="","",'Cash Flow %s Yr1'!K155*'Expenses Summary'!$T112))</f>
        <v>0</v>
      </c>
      <c r="L158" s="60">
        <f>IF('Expenses Summary'!$T112="","",IF('Cash Flow %s Yr1'!L155="","",'Cash Flow %s Yr1'!L155*'Expenses Summary'!$T112))</f>
        <v>0</v>
      </c>
      <c r="M158" s="60">
        <f>IF('Expenses Summary'!$T112="","",IF('Cash Flow %s Yr1'!M155="","",'Cash Flow %s Yr1'!M155*'Expenses Summary'!$T112))</f>
        <v>0</v>
      </c>
      <c r="N158" s="60">
        <f>IF('Expenses Summary'!$T112="","",IF('Cash Flow %s Yr1'!N155="","",'Cash Flow %s Yr1'!N155*'Expenses Summary'!$T112))</f>
        <v>0</v>
      </c>
      <c r="O158" s="60">
        <f>IF('Expenses Summary'!$T112="","",IF('Cash Flow %s Yr1'!O155="","",'Cash Flow %s Yr1'!O155*'Expenses Summary'!$T112))</f>
        <v>0</v>
      </c>
      <c r="P158" s="123"/>
      <c r="Q158" s="123"/>
      <c r="R158" s="123"/>
    </row>
    <row r="159" spans="1:18" s="30" customFormat="1" x14ac:dyDescent="0.3">
      <c r="A159" s="35"/>
      <c r="B159" s="32" t="s">
        <v>684</v>
      </c>
      <c r="C159" s="33" t="s">
        <v>724</v>
      </c>
      <c r="D159" s="183" t="str">
        <f t="shared" ref="D159:O159" si="12">IF(SUM(D155:D158)&gt;0,SUM(D155:D158),"")</f>
        <v/>
      </c>
      <c r="E159" s="183" t="str">
        <f t="shared" si="12"/>
        <v/>
      </c>
      <c r="F159" s="183" t="str">
        <f t="shared" si="12"/>
        <v/>
      </c>
      <c r="G159" s="183" t="str">
        <f t="shared" si="12"/>
        <v/>
      </c>
      <c r="H159" s="183" t="str">
        <f t="shared" si="12"/>
        <v/>
      </c>
      <c r="I159" s="183" t="str">
        <f t="shared" si="12"/>
        <v/>
      </c>
      <c r="J159" s="183" t="str">
        <f t="shared" si="12"/>
        <v/>
      </c>
      <c r="K159" s="183" t="str">
        <f t="shared" si="12"/>
        <v/>
      </c>
      <c r="L159" s="183" t="str">
        <f t="shared" si="12"/>
        <v/>
      </c>
      <c r="M159" s="183" t="str">
        <f t="shared" si="12"/>
        <v/>
      </c>
      <c r="N159" s="183" t="str">
        <f t="shared" si="12"/>
        <v/>
      </c>
      <c r="O159" s="183" t="str">
        <f t="shared" si="12"/>
        <v/>
      </c>
      <c r="P159" s="126"/>
      <c r="Q159" s="126"/>
      <c r="R159" s="126"/>
    </row>
    <row r="160" spans="1:18" s="30" customFormat="1" x14ac:dyDescent="0.3">
      <c r="A160" s="33" t="s">
        <v>731</v>
      </c>
      <c r="B160" s="4"/>
      <c r="C160" s="3"/>
      <c r="D160" s="165" t="e">
        <f t="shared" ref="D160:O160" si="13">IF(SUM(D159,D153,D149,D113,D93,D81,D68)&gt;0,SUM(D159,D153,D149,D113,D93,D81,D68),"")</f>
        <v>#REF!</v>
      </c>
      <c r="E160" s="165" t="e">
        <f t="shared" si="13"/>
        <v>#REF!</v>
      </c>
      <c r="F160" s="165" t="e">
        <f t="shared" si="13"/>
        <v>#REF!</v>
      </c>
      <c r="G160" s="165" t="e">
        <f t="shared" si="13"/>
        <v>#REF!</v>
      </c>
      <c r="H160" s="165" t="e">
        <f t="shared" si="13"/>
        <v>#REF!</v>
      </c>
      <c r="I160" s="165" t="e">
        <f t="shared" si="13"/>
        <v>#REF!</v>
      </c>
      <c r="J160" s="165" t="e">
        <f t="shared" si="13"/>
        <v>#REF!</v>
      </c>
      <c r="K160" s="165" t="e">
        <f t="shared" si="13"/>
        <v>#REF!</v>
      </c>
      <c r="L160" s="165" t="e">
        <f t="shared" si="13"/>
        <v>#REF!</v>
      </c>
      <c r="M160" s="165" t="e">
        <f t="shared" si="13"/>
        <v>#REF!</v>
      </c>
      <c r="N160" s="165" t="e">
        <f t="shared" si="13"/>
        <v>#REF!</v>
      </c>
      <c r="O160" s="165" t="e">
        <f t="shared" si="13"/>
        <v>#REF!</v>
      </c>
      <c r="P160" s="89"/>
      <c r="Q160" s="89"/>
      <c r="R160" s="89"/>
    </row>
    <row r="161" spans="1:18" s="30" customFormat="1" x14ac:dyDescent="0.3">
      <c r="A161" s="33"/>
      <c r="B161" s="4"/>
      <c r="C161" s="3"/>
      <c r="D161" s="44"/>
      <c r="E161" s="44"/>
      <c r="F161" s="44"/>
      <c r="G161" s="44"/>
      <c r="H161" s="44"/>
      <c r="I161" s="44"/>
      <c r="J161" s="44"/>
      <c r="K161" s="44"/>
      <c r="L161" s="44"/>
      <c r="M161" s="44"/>
      <c r="N161" s="44"/>
      <c r="O161" s="44"/>
      <c r="P161" s="89"/>
      <c r="Q161" s="89"/>
      <c r="R161" s="89"/>
    </row>
    <row r="162" spans="1:18" s="30" customFormat="1" x14ac:dyDescent="0.3">
      <c r="A162" s="35"/>
      <c r="B162" s="33" t="s">
        <v>818</v>
      </c>
      <c r="C162" s="3"/>
      <c r="D162" s="89"/>
      <c r="E162" s="98"/>
      <c r="F162" s="98"/>
      <c r="G162" s="89"/>
      <c r="H162" s="89"/>
      <c r="I162" s="89"/>
      <c r="J162" s="89"/>
      <c r="K162" s="89"/>
      <c r="L162" s="89"/>
      <c r="M162" s="89"/>
      <c r="N162" s="89"/>
      <c r="O162" s="89"/>
      <c r="P162" s="89"/>
      <c r="Q162" s="89"/>
      <c r="R162" s="89"/>
    </row>
    <row r="163" spans="1:18" s="30" customFormat="1" x14ac:dyDescent="0.3">
      <c r="A163" s="35"/>
      <c r="B163" s="62"/>
      <c r="C163" s="62" t="str">
        <f>'Cash Flow %s Yr1'!C159</f>
        <v>Cash balance at previous year end</v>
      </c>
      <c r="D163" s="60" t="e">
        <f>+'Cash Flow $s 21-22'!O173</f>
        <v>#REF!</v>
      </c>
      <c r="E163" s="60"/>
      <c r="F163" s="60"/>
      <c r="G163" s="60"/>
      <c r="H163" s="60"/>
      <c r="I163" s="60"/>
      <c r="J163" s="60"/>
      <c r="K163" s="60"/>
      <c r="L163" s="60"/>
      <c r="M163" s="60"/>
      <c r="N163" s="60"/>
      <c r="O163" s="60"/>
      <c r="P163" s="97"/>
      <c r="Q163" s="97"/>
      <c r="R163" s="97"/>
    </row>
    <row r="164" spans="1:18" s="30" customFormat="1" x14ac:dyDescent="0.3">
      <c r="A164" s="35"/>
      <c r="B164" s="62"/>
      <c r="C164" s="62" t="str">
        <f>'Cash Flow %s Yr1'!C160</f>
        <v>Accounts Receivable</v>
      </c>
      <c r="D164" s="60">
        <f>+'Cash Flow $s 21-22'!P164</f>
        <v>0</v>
      </c>
      <c r="E164" s="60">
        <f>+'Cash Flow $s 21-22'!Q164</f>
        <v>0</v>
      </c>
      <c r="F164" s="60">
        <f>+'Cash Flow $s 21-22'!R164</f>
        <v>0</v>
      </c>
      <c r="G164" s="60">
        <f>'Cash Flow %s Yr1'!G160*'Cash Flow %s Yr1'!$T160</f>
        <v>0</v>
      </c>
      <c r="H164" s="60">
        <f>'Cash Flow %s Yr1'!H160*'Cash Flow %s Yr1'!$T160</f>
        <v>0</v>
      </c>
      <c r="I164" s="60">
        <f>'Cash Flow %s Yr1'!I160*'Cash Flow %s Yr1'!$T160</f>
        <v>0</v>
      </c>
      <c r="J164" s="60">
        <f>'Cash Flow %s Yr1'!J160*'Cash Flow %s Yr1'!$T160</f>
        <v>0</v>
      </c>
      <c r="K164" s="60">
        <f>'Cash Flow %s Yr1'!K160*'Cash Flow %s Yr1'!$T160</f>
        <v>0</v>
      </c>
      <c r="L164" s="60">
        <f>'Cash Flow %s Yr1'!L160*'Cash Flow %s Yr1'!$T160</f>
        <v>0</v>
      </c>
      <c r="M164" s="60">
        <f>'Cash Flow %s Yr1'!M160*'Cash Flow %s Yr1'!$T160</f>
        <v>0</v>
      </c>
      <c r="N164" s="60">
        <f>'Cash Flow %s Yr1'!N160*'Cash Flow %s Yr1'!$T160</f>
        <v>0</v>
      </c>
      <c r="O164" s="60">
        <f>'Cash Flow %s Yr1'!O160*'Cash Flow %s Yr1'!$T160</f>
        <v>0</v>
      </c>
      <c r="P164" s="182">
        <f>P56</f>
        <v>0</v>
      </c>
      <c r="Q164" s="182">
        <f>Q56</f>
        <v>0</v>
      </c>
      <c r="R164" s="182">
        <f>R56</f>
        <v>0</v>
      </c>
    </row>
    <row r="165" spans="1:18" s="30" customFormat="1" x14ac:dyDescent="0.3">
      <c r="A165" s="35"/>
      <c r="B165" s="62"/>
      <c r="C165" s="62" t="str">
        <f>'Cash Flow %s Yr1'!C161</f>
        <v>Accounts Payable</v>
      </c>
      <c r="D165" s="60">
        <v>0</v>
      </c>
      <c r="E165" s="60">
        <v>0</v>
      </c>
      <c r="F165" s="60">
        <v>0</v>
      </c>
      <c r="G165" s="60">
        <f>'Cash Flow %s Yr1'!G161*'Cash Flow %s Yr1'!$T161</f>
        <v>0</v>
      </c>
      <c r="H165" s="60">
        <f>'Cash Flow %s Yr1'!H161*'Cash Flow %s Yr1'!$T161</f>
        <v>0</v>
      </c>
      <c r="I165" s="60">
        <f>'Cash Flow %s Yr1'!I161*'Cash Flow %s Yr1'!$T161</f>
        <v>0</v>
      </c>
      <c r="J165" s="60">
        <f>'Cash Flow %s Yr1'!J161*'Cash Flow %s Yr1'!$T161</f>
        <v>0</v>
      </c>
      <c r="K165" s="60">
        <f>'Cash Flow %s Yr1'!K161*'Cash Flow %s Yr1'!$T161</f>
        <v>0</v>
      </c>
      <c r="L165" s="60">
        <f>'Cash Flow %s Yr1'!L161*'Cash Flow %s Yr1'!$T161</f>
        <v>0</v>
      </c>
      <c r="M165" s="60">
        <f>'Cash Flow %s Yr1'!M161*'Cash Flow %s Yr1'!$T161</f>
        <v>0</v>
      </c>
      <c r="N165" s="60">
        <f>'Cash Flow %s Yr1'!N161*'Cash Flow %s Yr1'!$T161</f>
        <v>0</v>
      </c>
      <c r="O165" s="60">
        <f>'Cash Flow %s Yr1'!O161*'Cash Flow %s Yr1'!$T161</f>
        <v>0</v>
      </c>
      <c r="P165" s="97"/>
      <c r="Q165" s="97"/>
      <c r="R165" s="97"/>
    </row>
    <row r="166" spans="1:18" s="30" customFormat="1" x14ac:dyDescent="0.3">
      <c r="A166" s="35"/>
      <c r="B166" s="62"/>
      <c r="C166" s="62" t="str">
        <f>'Cash Flow %s Yr1'!C162</f>
        <v>Loan Principal Payable</v>
      </c>
      <c r="D166" s="60">
        <f>'Cash Flow %s Yr1'!D162*'Cash Flow %s Yr1'!$T162</f>
        <v>0</v>
      </c>
      <c r="E166" s="60">
        <f>'Cash Flow %s Yr1'!E162*'Cash Flow %s Yr1'!$T162</f>
        <v>0</v>
      </c>
      <c r="F166" s="60">
        <f>'Cash Flow %s Yr1'!F162*'Cash Flow %s Yr1'!$T162</f>
        <v>0</v>
      </c>
      <c r="G166" s="60">
        <f>'Cash Flow %s Yr1'!G162*'Cash Flow %s Yr1'!$T162</f>
        <v>0</v>
      </c>
      <c r="H166" s="60">
        <f>'Cash Flow %s Yr1'!H162*'Cash Flow %s Yr1'!$T162</f>
        <v>0</v>
      </c>
      <c r="I166" s="60">
        <f>'Cash Flow %s Yr1'!I162*'Cash Flow %s Yr1'!$T162</f>
        <v>0</v>
      </c>
      <c r="J166" s="60">
        <f>'Cash Flow %s Yr1'!J162*'Cash Flow %s Yr1'!$T162</f>
        <v>0</v>
      </c>
      <c r="K166" s="60">
        <f>'Cash Flow %s Yr1'!K162*'Cash Flow %s Yr1'!$T162</f>
        <v>0</v>
      </c>
      <c r="L166" s="60">
        <f>'Cash Flow %s Yr1'!L162*'Cash Flow %s Yr1'!$T162</f>
        <v>0</v>
      </c>
      <c r="M166" s="60">
        <f>'Cash Flow %s Yr1'!M162*'Cash Flow %s Yr1'!$T162</f>
        <v>0</v>
      </c>
      <c r="N166" s="60">
        <f>'Cash Flow %s Yr1'!N162*'Cash Flow %s Yr1'!$T162</f>
        <v>0</v>
      </c>
      <c r="O166" s="60">
        <f>'Cash Flow %s Yr1'!O162*'Cash Flow %s Yr1'!$T162</f>
        <v>0</v>
      </c>
      <c r="P166" s="97"/>
      <c r="Q166" s="97"/>
      <c r="R166" s="97"/>
    </row>
    <row r="167" spans="1:18" s="30" customFormat="1" x14ac:dyDescent="0.3">
      <c r="A167" s="35"/>
      <c r="B167" s="118"/>
      <c r="C167" s="33" t="s">
        <v>724</v>
      </c>
      <c r="D167" s="79" t="e">
        <f>D163+D164-D165-D166</f>
        <v>#REF!</v>
      </c>
      <c r="E167" s="79">
        <f t="shared" ref="E167:O167" si="14">E163+E164-E165-E166</f>
        <v>0</v>
      </c>
      <c r="F167" s="79">
        <f t="shared" si="14"/>
        <v>0</v>
      </c>
      <c r="G167" s="79">
        <f t="shared" si="14"/>
        <v>0</v>
      </c>
      <c r="H167" s="79">
        <f t="shared" si="14"/>
        <v>0</v>
      </c>
      <c r="I167" s="79">
        <f t="shared" si="14"/>
        <v>0</v>
      </c>
      <c r="J167" s="79">
        <f t="shared" si="14"/>
        <v>0</v>
      </c>
      <c r="K167" s="79">
        <f t="shared" si="14"/>
        <v>0</v>
      </c>
      <c r="L167" s="79">
        <f t="shared" si="14"/>
        <v>0</v>
      </c>
      <c r="M167" s="79">
        <f t="shared" si="14"/>
        <v>0</v>
      </c>
      <c r="N167" s="79">
        <f t="shared" si="14"/>
        <v>0</v>
      </c>
      <c r="O167" s="79">
        <f t="shared" si="14"/>
        <v>0</v>
      </c>
      <c r="P167" s="102"/>
      <c r="Q167" s="102"/>
      <c r="R167" s="102"/>
    </row>
    <row r="168" spans="1:18" s="39" customFormat="1" ht="16.2" thickBot="1" x14ac:dyDescent="0.35">
      <c r="A168" s="35"/>
      <c r="C168" s="1"/>
      <c r="D168" s="89"/>
      <c r="E168" s="89"/>
      <c r="F168" s="89"/>
      <c r="G168" s="89"/>
      <c r="H168" s="89"/>
      <c r="I168" s="89"/>
      <c r="J168" s="89"/>
      <c r="K168" s="89"/>
      <c r="L168" s="89"/>
      <c r="M168" s="89"/>
      <c r="N168" s="89"/>
      <c r="O168" s="89"/>
      <c r="P168" s="89"/>
      <c r="Q168" s="89"/>
      <c r="R168" s="89"/>
    </row>
    <row r="169" spans="1:18" s="39" customFormat="1" ht="16.2" thickBot="1" x14ac:dyDescent="0.35">
      <c r="A169" s="70" t="s">
        <v>825</v>
      </c>
      <c r="B169" s="125"/>
      <c r="C169" s="71"/>
      <c r="D169" s="285" t="e">
        <f>D56-D160</f>
        <v>#REF!</v>
      </c>
      <c r="E169" s="145" t="e">
        <f t="shared" ref="E169:R169" si="15">E56-E160</f>
        <v>#REF!</v>
      </c>
      <c r="F169" s="145" t="e">
        <f t="shared" si="15"/>
        <v>#REF!</v>
      </c>
      <c r="G169" s="145" t="e">
        <f t="shared" si="15"/>
        <v>#REF!</v>
      </c>
      <c r="H169" s="145" t="e">
        <f t="shared" si="15"/>
        <v>#REF!</v>
      </c>
      <c r="I169" s="145" t="e">
        <f t="shared" si="15"/>
        <v>#REF!</v>
      </c>
      <c r="J169" s="145" t="e">
        <f t="shared" si="15"/>
        <v>#REF!</v>
      </c>
      <c r="K169" s="145" t="e">
        <f t="shared" si="15"/>
        <v>#REF!</v>
      </c>
      <c r="L169" s="145" t="e">
        <f t="shared" si="15"/>
        <v>#REF!</v>
      </c>
      <c r="M169" s="145" t="e">
        <f t="shared" si="15"/>
        <v>#REF!</v>
      </c>
      <c r="N169" s="145" t="e">
        <f t="shared" si="15"/>
        <v>#REF!</v>
      </c>
      <c r="O169" s="145" t="e">
        <f t="shared" si="15"/>
        <v>#REF!</v>
      </c>
      <c r="P169" s="145">
        <f t="shared" si="15"/>
        <v>0</v>
      </c>
      <c r="Q169" s="145">
        <f t="shared" si="15"/>
        <v>0</v>
      </c>
      <c r="R169" s="146">
        <f t="shared" si="15"/>
        <v>0</v>
      </c>
    </row>
    <row r="170" spans="1:18" s="39" customFormat="1" ht="16.2" thickBot="1" x14ac:dyDescent="0.35">
      <c r="A170" s="35"/>
      <c r="C170" s="1"/>
      <c r="D170" s="147"/>
      <c r="E170" s="147"/>
      <c r="F170" s="147"/>
      <c r="G170" s="147"/>
      <c r="H170" s="147"/>
      <c r="I170" s="147"/>
      <c r="J170" s="147"/>
      <c r="K170" s="147"/>
      <c r="L170" s="147"/>
      <c r="M170" s="147"/>
      <c r="N170" s="147"/>
      <c r="O170" s="147"/>
      <c r="P170" s="89"/>
      <c r="Q170" s="89"/>
      <c r="R170" s="89"/>
    </row>
    <row r="171" spans="1:18" s="39" customFormat="1" ht="16.2" thickBot="1" x14ac:dyDescent="0.35">
      <c r="A171" s="70" t="s">
        <v>816</v>
      </c>
      <c r="B171" s="125"/>
      <c r="C171" s="71"/>
      <c r="D171" s="145" t="e">
        <f>D167+D169</f>
        <v>#REF!</v>
      </c>
      <c r="E171" s="145" t="e">
        <f t="shared" ref="E171:O171" si="16">E167+E169</f>
        <v>#REF!</v>
      </c>
      <c r="F171" s="145" t="e">
        <f t="shared" si="16"/>
        <v>#REF!</v>
      </c>
      <c r="G171" s="145" t="e">
        <f t="shared" si="16"/>
        <v>#REF!</v>
      </c>
      <c r="H171" s="145" t="e">
        <f t="shared" si="16"/>
        <v>#REF!</v>
      </c>
      <c r="I171" s="145" t="e">
        <f t="shared" si="16"/>
        <v>#REF!</v>
      </c>
      <c r="J171" s="145" t="e">
        <f t="shared" si="16"/>
        <v>#REF!</v>
      </c>
      <c r="K171" s="145" t="e">
        <f t="shared" si="16"/>
        <v>#REF!</v>
      </c>
      <c r="L171" s="145" t="e">
        <f t="shared" si="16"/>
        <v>#REF!</v>
      </c>
      <c r="M171" s="145" t="e">
        <f t="shared" si="16"/>
        <v>#REF!</v>
      </c>
      <c r="N171" s="145" t="e">
        <f t="shared" si="16"/>
        <v>#REF!</v>
      </c>
      <c r="O171" s="146" t="e">
        <f t="shared" si="16"/>
        <v>#REF!</v>
      </c>
      <c r="P171" s="89"/>
      <c r="Q171" s="89"/>
      <c r="R171" s="89"/>
    </row>
    <row r="172" spans="1:18" s="39" customFormat="1" ht="16.2" thickBot="1" x14ac:dyDescent="0.35">
      <c r="A172" s="35"/>
      <c r="C172" s="1"/>
      <c r="D172" s="89"/>
      <c r="E172" s="89"/>
      <c r="F172" s="89"/>
      <c r="G172" s="89"/>
      <c r="H172" s="89"/>
      <c r="I172" s="89"/>
      <c r="J172" s="89"/>
      <c r="K172" s="89"/>
      <c r="L172" s="89"/>
      <c r="M172" s="89"/>
      <c r="N172" s="89"/>
      <c r="O172" s="89"/>
      <c r="P172" s="89"/>
      <c r="Q172" s="89"/>
      <c r="R172" s="89"/>
    </row>
    <row r="173" spans="1:18" s="39" customFormat="1" ht="16.2" thickBot="1" x14ac:dyDescent="0.35">
      <c r="A173" s="70" t="s">
        <v>826</v>
      </c>
      <c r="B173" s="125"/>
      <c r="C173" s="71"/>
      <c r="D173" s="145" t="e">
        <f>D171</f>
        <v>#REF!</v>
      </c>
      <c r="E173" s="145" t="e">
        <f>D173+E171</f>
        <v>#REF!</v>
      </c>
      <c r="F173" s="145" t="e">
        <f t="shared" ref="F173:O173" si="17">E173+F171</f>
        <v>#REF!</v>
      </c>
      <c r="G173" s="145" t="e">
        <f t="shared" si="17"/>
        <v>#REF!</v>
      </c>
      <c r="H173" s="145" t="e">
        <f t="shared" si="17"/>
        <v>#REF!</v>
      </c>
      <c r="I173" s="145" t="e">
        <f t="shared" si="17"/>
        <v>#REF!</v>
      </c>
      <c r="J173" s="145" t="e">
        <f t="shared" si="17"/>
        <v>#REF!</v>
      </c>
      <c r="K173" s="145" t="e">
        <f t="shared" si="17"/>
        <v>#REF!</v>
      </c>
      <c r="L173" s="145" t="e">
        <f t="shared" si="17"/>
        <v>#REF!</v>
      </c>
      <c r="M173" s="145" t="e">
        <f t="shared" si="17"/>
        <v>#REF!</v>
      </c>
      <c r="N173" s="145" t="e">
        <f t="shared" si="17"/>
        <v>#REF!</v>
      </c>
      <c r="O173" s="146" t="e">
        <f t="shared" si="17"/>
        <v>#REF!</v>
      </c>
      <c r="P173" s="89"/>
      <c r="Q173" s="89"/>
      <c r="R173" s="89"/>
    </row>
    <row r="174" spans="1:18" s="39" customFormat="1" x14ac:dyDescent="0.3">
      <c r="A174" s="35"/>
      <c r="C174" s="1"/>
      <c r="D174" s="89"/>
      <c r="E174" s="89"/>
      <c r="F174" s="89"/>
      <c r="G174" s="89"/>
      <c r="H174" s="89"/>
      <c r="I174" s="89"/>
      <c r="J174" s="89"/>
      <c r="K174" s="89"/>
      <c r="L174" s="89"/>
      <c r="M174" s="89"/>
      <c r="N174" s="89"/>
      <c r="O174" s="89"/>
      <c r="P174" s="89"/>
      <c r="Q174" s="89"/>
      <c r="R174" s="89"/>
    </row>
    <row r="175" spans="1:18" s="39" customFormat="1" x14ac:dyDescent="0.3">
      <c r="A175" s="35"/>
      <c r="C175" s="1"/>
      <c r="D175" s="89"/>
      <c r="E175" s="89"/>
      <c r="F175" s="89"/>
      <c r="G175" s="89"/>
      <c r="H175" s="89"/>
      <c r="I175" s="89"/>
      <c r="J175" s="89"/>
      <c r="K175" s="89"/>
      <c r="L175" s="89"/>
      <c r="M175" s="89"/>
      <c r="N175" s="89"/>
      <c r="O175" s="89"/>
      <c r="P175" s="89"/>
      <c r="Q175" s="89"/>
      <c r="R175" s="89"/>
    </row>
    <row r="176" spans="1:18" s="39" customFormat="1" x14ac:dyDescent="0.3">
      <c r="A176" s="35"/>
      <c r="C176" s="1"/>
      <c r="D176" s="89"/>
      <c r="E176" s="89"/>
      <c r="F176" s="89"/>
      <c r="G176" s="89"/>
      <c r="H176" s="89"/>
      <c r="I176" s="89"/>
      <c r="J176" s="89"/>
      <c r="K176" s="89"/>
      <c r="L176" s="89"/>
      <c r="M176" s="89"/>
      <c r="N176" s="89"/>
      <c r="O176" s="89"/>
      <c r="P176" s="89"/>
      <c r="Q176" s="89"/>
      <c r="R176" s="89"/>
    </row>
  </sheetData>
  <printOptions horizontalCentered="1" verticalCentered="1"/>
  <pageMargins left="0.25" right="0.25" top="0.5" bottom="0.5" header="0.25" footer="0.25"/>
  <pageSetup paperSize="5" scale="73" fitToWidth="0" fitToHeight="0" orientation="landscape" r:id="rId1"/>
  <headerFooter alignWithMargins="0">
    <oddHeader>&amp;A</oddHeader>
    <oddFooter>Page &amp;P</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BB23E-85E0-423E-9B87-C5D124EE3860}">
  <sheetPr>
    <tabColor theme="6" tint="-0.249977111117893"/>
    <pageSetUpPr fitToPage="1"/>
  </sheetPr>
  <dimension ref="A1:S176"/>
  <sheetViews>
    <sheetView zoomScale="110" zoomScaleNormal="110" workbookViewId="0">
      <pane xSplit="3" ySplit="6" topLeftCell="I7" activePane="bottomRight" state="frozen"/>
      <selection activeCell="L14" sqref="L14"/>
      <selection pane="topRight" activeCell="L14" sqref="L14"/>
      <selection pane="bottomLeft" activeCell="L14" sqref="L14"/>
      <selection pane="bottomRight" activeCell="I12" sqref="I12"/>
    </sheetView>
  </sheetViews>
  <sheetFormatPr defaultRowHeight="15.6" outlineLevelRow="1" x14ac:dyDescent="0.3"/>
  <cols>
    <col min="1" max="1" width="5.6640625" style="34" customWidth="1"/>
    <col min="2" max="2" width="6.6640625" style="39" customWidth="1"/>
    <col min="3" max="3" width="42.5546875" style="1" customWidth="1"/>
    <col min="4" max="15" width="12.44140625" style="89" customWidth="1"/>
    <col min="16" max="17" width="14" style="89" bestFit="1" customWidth="1"/>
    <col min="18" max="18" width="12.44140625" style="89" customWidth="1"/>
    <col min="19" max="19" width="12.88671875" style="1" customWidth="1"/>
    <col min="20" max="254" width="9.109375" style="1"/>
    <col min="255" max="255" width="22.88671875" style="1" customWidth="1"/>
    <col min="256" max="510" width="9.109375" style="1"/>
    <col min="511" max="511" width="22.88671875" style="1" customWidth="1"/>
    <col min="512" max="766" width="9.109375" style="1"/>
    <col min="767" max="767" width="22.88671875" style="1" customWidth="1"/>
    <col min="768" max="1022" width="9.109375" style="1"/>
    <col min="1023" max="1023" width="22.88671875" style="1" customWidth="1"/>
    <col min="1024" max="1278" width="9.109375" style="1"/>
    <col min="1279" max="1279" width="22.88671875" style="1" customWidth="1"/>
    <col min="1280" max="1534" width="9.109375" style="1"/>
    <col min="1535" max="1535" width="22.88671875" style="1" customWidth="1"/>
    <col min="1536" max="1790" width="9.109375" style="1"/>
    <col min="1791" max="1791" width="22.88671875" style="1" customWidth="1"/>
    <col min="1792" max="2046" width="9.109375" style="1"/>
    <col min="2047" max="2047" width="22.88671875" style="1" customWidth="1"/>
    <col min="2048" max="2302" width="9.109375" style="1"/>
    <col min="2303" max="2303" width="22.88671875" style="1" customWidth="1"/>
    <col min="2304" max="2558" width="9.109375" style="1"/>
    <col min="2559" max="2559" width="22.88671875" style="1" customWidth="1"/>
    <col min="2560" max="2814" width="9.109375" style="1"/>
    <col min="2815" max="2815" width="22.88671875" style="1" customWidth="1"/>
    <col min="2816" max="3070" width="9.109375" style="1"/>
    <col min="3071" max="3071" width="22.88671875" style="1" customWidth="1"/>
    <col min="3072" max="3326" width="9.109375" style="1"/>
    <col min="3327" max="3327" width="22.88671875" style="1" customWidth="1"/>
    <col min="3328" max="3582" width="9.109375" style="1"/>
    <col min="3583" max="3583" width="22.88671875" style="1" customWidth="1"/>
    <col min="3584" max="3838" width="9.109375" style="1"/>
    <col min="3839" max="3839" width="22.88671875" style="1" customWidth="1"/>
    <col min="3840" max="4094" width="9.109375" style="1"/>
    <col min="4095" max="4095" width="22.88671875" style="1" customWidth="1"/>
    <col min="4096" max="4350" width="9.109375" style="1"/>
    <col min="4351" max="4351" width="22.88671875" style="1" customWidth="1"/>
    <col min="4352" max="4606" width="9.109375" style="1"/>
    <col min="4607" max="4607" width="22.88671875" style="1" customWidth="1"/>
    <col min="4608" max="4862" width="9.109375" style="1"/>
    <col min="4863" max="4863" width="22.88671875" style="1" customWidth="1"/>
    <col min="4864" max="5118" width="9.109375" style="1"/>
    <col min="5119" max="5119" width="22.88671875" style="1" customWidth="1"/>
    <col min="5120" max="5374" width="9.109375" style="1"/>
    <col min="5375" max="5375" width="22.88671875" style="1" customWidth="1"/>
    <col min="5376" max="5630" width="9.109375" style="1"/>
    <col min="5631" max="5631" width="22.88671875" style="1" customWidth="1"/>
    <col min="5632" max="5886" width="9.109375" style="1"/>
    <col min="5887" max="5887" width="22.88671875" style="1" customWidth="1"/>
    <col min="5888" max="6142" width="9.109375" style="1"/>
    <col min="6143" max="6143" width="22.88671875" style="1" customWidth="1"/>
    <col min="6144" max="6398" width="9.109375" style="1"/>
    <col min="6399" max="6399" width="22.88671875" style="1" customWidth="1"/>
    <col min="6400" max="6654" width="9.109375" style="1"/>
    <col min="6655" max="6655" width="22.88671875" style="1" customWidth="1"/>
    <col min="6656" max="6910" width="9.109375" style="1"/>
    <col min="6911" max="6911" width="22.88671875" style="1" customWidth="1"/>
    <col min="6912" max="7166" width="9.109375" style="1"/>
    <col min="7167" max="7167" width="22.88671875" style="1" customWidth="1"/>
    <col min="7168" max="7422" width="9.109375" style="1"/>
    <col min="7423" max="7423" width="22.88671875" style="1" customWidth="1"/>
    <col min="7424" max="7678" width="9.109375" style="1"/>
    <col min="7679" max="7679" width="22.88671875" style="1" customWidth="1"/>
    <col min="7680" max="7934" width="9.109375" style="1"/>
    <col min="7935" max="7935" width="22.88671875" style="1" customWidth="1"/>
    <col min="7936" max="8190" width="9.109375" style="1"/>
    <col min="8191" max="8191" width="22.88671875" style="1" customWidth="1"/>
    <col min="8192" max="8446" width="9.109375" style="1"/>
    <col min="8447" max="8447" width="22.88671875" style="1" customWidth="1"/>
    <col min="8448" max="8702" width="9.109375" style="1"/>
    <col min="8703" max="8703" width="22.88671875" style="1" customWidth="1"/>
    <col min="8704" max="8958" width="9.109375" style="1"/>
    <col min="8959" max="8959" width="22.88671875" style="1" customWidth="1"/>
    <col min="8960" max="9214" width="9.109375" style="1"/>
    <col min="9215" max="9215" width="22.88671875" style="1" customWidth="1"/>
    <col min="9216" max="9470" width="9.109375" style="1"/>
    <col min="9471" max="9471" width="22.88671875" style="1" customWidth="1"/>
    <col min="9472" max="9726" width="9.109375" style="1"/>
    <col min="9727" max="9727" width="22.88671875" style="1" customWidth="1"/>
    <col min="9728" max="9982" width="9.109375" style="1"/>
    <col min="9983" max="9983" width="22.88671875" style="1" customWidth="1"/>
    <col min="9984" max="10238" width="9.109375" style="1"/>
    <col min="10239" max="10239" width="22.88671875" style="1" customWidth="1"/>
    <col min="10240" max="10494" width="9.109375" style="1"/>
    <col min="10495" max="10495" width="22.88671875" style="1" customWidth="1"/>
    <col min="10496" max="10750" width="9.109375" style="1"/>
    <col min="10751" max="10751" width="22.88671875" style="1" customWidth="1"/>
    <col min="10752" max="11006" width="9.109375" style="1"/>
    <col min="11007" max="11007" width="22.88671875" style="1" customWidth="1"/>
    <col min="11008" max="11262" width="9.109375" style="1"/>
    <col min="11263" max="11263" width="22.88671875" style="1" customWidth="1"/>
    <col min="11264" max="11518" width="9.109375" style="1"/>
    <col min="11519" max="11519" width="22.88671875" style="1" customWidth="1"/>
    <col min="11520" max="11774" width="9.109375" style="1"/>
    <col min="11775" max="11775" width="22.88671875" style="1" customWidth="1"/>
    <col min="11776" max="12030" width="9.109375" style="1"/>
    <col min="12031" max="12031" width="22.88671875" style="1" customWidth="1"/>
    <col min="12032" max="12286" width="9.109375" style="1"/>
    <col min="12287" max="12287" width="22.88671875" style="1" customWidth="1"/>
    <col min="12288" max="12542" width="9.109375" style="1"/>
    <col min="12543" max="12543" width="22.88671875" style="1" customWidth="1"/>
    <col min="12544" max="12798" width="9.109375" style="1"/>
    <col min="12799" max="12799" width="22.88671875" style="1" customWidth="1"/>
    <col min="12800" max="13054" width="9.109375" style="1"/>
    <col min="13055" max="13055" width="22.88671875" style="1" customWidth="1"/>
    <col min="13056" max="13310" width="9.109375" style="1"/>
    <col min="13311" max="13311" width="22.88671875" style="1" customWidth="1"/>
    <col min="13312" max="13566" width="9.109375" style="1"/>
    <col min="13567" max="13567" width="22.88671875" style="1" customWidth="1"/>
    <col min="13568" max="13822" width="9.109375" style="1"/>
    <col min="13823" max="13823" width="22.88671875" style="1" customWidth="1"/>
    <col min="13824" max="14078" width="9.109375" style="1"/>
    <col min="14079" max="14079" width="22.88671875" style="1" customWidth="1"/>
    <col min="14080" max="14334" width="9.109375" style="1"/>
    <col min="14335" max="14335" width="22.88671875" style="1" customWidth="1"/>
    <col min="14336" max="14590" width="9.109375" style="1"/>
    <col min="14591" max="14591" width="22.88671875" style="1" customWidth="1"/>
    <col min="14592" max="14846" width="9.109375" style="1"/>
    <col min="14847" max="14847" width="22.88671875" style="1" customWidth="1"/>
    <col min="14848" max="15102" width="9.109375" style="1"/>
    <col min="15103" max="15103" width="22.88671875" style="1" customWidth="1"/>
    <col min="15104" max="15358" width="9.109375" style="1"/>
    <col min="15359" max="15359" width="22.88671875" style="1" customWidth="1"/>
    <col min="15360" max="15614" width="9.109375" style="1"/>
    <col min="15615" max="15615" width="22.88671875" style="1" customWidth="1"/>
    <col min="15616" max="15870" width="9.109375" style="1"/>
    <col min="15871" max="15871" width="22.88671875" style="1" customWidth="1"/>
    <col min="15872" max="16126" width="9.109375" style="1"/>
    <col min="16127" max="16127" width="22.88671875" style="1" customWidth="1"/>
    <col min="16128" max="16384" width="9.109375" style="1"/>
  </cols>
  <sheetData>
    <row r="1" spans="1:19" ht="20.399999999999999" x14ac:dyDescent="0.35">
      <c r="A1" s="21" t="str">
        <f>'Student Info'!$A$1</f>
        <v>Three Rivers - 23-65565-0123737</v>
      </c>
    </row>
    <row r="2" spans="1:19" ht="17.399999999999999" x14ac:dyDescent="0.3">
      <c r="A2" s="20" t="s">
        <v>814</v>
      </c>
    </row>
    <row r="3" spans="1:19" ht="17.399999999999999" x14ac:dyDescent="0.3">
      <c r="A3" s="20" t="s">
        <v>1217</v>
      </c>
    </row>
    <row r="5" spans="1:19" ht="17.399999999999999" x14ac:dyDescent="0.3">
      <c r="A5" s="28"/>
      <c r="B5" s="40"/>
      <c r="C5" s="28"/>
      <c r="D5" s="90"/>
      <c r="E5" s="90"/>
      <c r="F5" s="90"/>
      <c r="G5" s="90"/>
      <c r="H5" s="90"/>
      <c r="I5" s="90"/>
      <c r="J5" s="90"/>
      <c r="K5" s="90"/>
      <c r="L5" s="90"/>
      <c r="M5" s="90"/>
      <c r="N5" s="90"/>
      <c r="O5" s="90"/>
      <c r="P5" s="90"/>
      <c r="Q5" s="90"/>
      <c r="R5" s="90"/>
    </row>
    <row r="6" spans="1:19"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row>
    <row r="7" spans="1:19" ht="17.399999999999999" x14ac:dyDescent="0.3">
      <c r="A7" s="45" t="s">
        <v>789</v>
      </c>
      <c r="B7" s="81"/>
      <c r="D7" s="30"/>
      <c r="F7" s="91"/>
      <c r="G7" s="91"/>
      <c r="H7" s="91"/>
      <c r="I7" s="30"/>
      <c r="J7" s="30"/>
      <c r="K7" s="91"/>
      <c r="L7" s="91"/>
      <c r="M7" s="91"/>
      <c r="N7" s="91"/>
      <c r="O7" s="91"/>
      <c r="P7" s="91"/>
      <c r="Q7" s="91"/>
      <c r="R7" s="91"/>
    </row>
    <row r="8" spans="1:19" ht="17.399999999999999" hidden="1" x14ac:dyDescent="0.3">
      <c r="A8" s="45"/>
      <c r="B8" s="81"/>
      <c r="C8" s="119" t="s">
        <v>815</v>
      </c>
      <c r="D8" s="104"/>
      <c r="F8" s="91"/>
      <c r="G8" s="91"/>
      <c r="H8" s="91"/>
      <c r="I8" s="30"/>
      <c r="J8" s="30"/>
      <c r="K8" s="91"/>
      <c r="L8" s="91"/>
      <c r="M8" s="91"/>
      <c r="N8" s="91"/>
      <c r="O8" s="91"/>
      <c r="P8" s="91"/>
      <c r="Q8" s="91"/>
      <c r="R8" s="91"/>
    </row>
    <row r="9" spans="1:19" ht="17.399999999999999" hidden="1" x14ac:dyDescent="0.3">
      <c r="A9" s="45"/>
      <c r="B9" s="81"/>
      <c r="C9" s="83"/>
      <c r="D9" s="93"/>
      <c r="E9" s="108"/>
      <c r="F9" s="108"/>
      <c r="G9" s="108"/>
      <c r="H9" s="108"/>
      <c r="I9" s="108"/>
      <c r="J9" s="108"/>
      <c r="K9" s="108"/>
      <c r="L9" s="109"/>
      <c r="M9" s="108"/>
      <c r="N9" s="108"/>
      <c r="O9" s="109"/>
      <c r="P9" s="108"/>
      <c r="Q9" s="106"/>
      <c r="R9" s="106"/>
    </row>
    <row r="10" spans="1:19" ht="17.399999999999999" hidden="1" x14ac:dyDescent="0.3">
      <c r="A10" s="45"/>
      <c r="B10" s="81"/>
      <c r="C10" s="83"/>
      <c r="D10" s="93"/>
      <c r="E10" s="110"/>
      <c r="F10" s="110"/>
      <c r="G10" s="108"/>
      <c r="H10" s="110"/>
      <c r="I10" s="110"/>
      <c r="J10" s="108"/>
      <c r="K10" s="110"/>
      <c r="L10" s="109"/>
      <c r="M10" s="111"/>
      <c r="N10" s="111"/>
      <c r="O10" s="111"/>
      <c r="P10" s="112"/>
      <c r="Q10" s="93"/>
      <c r="R10" s="106"/>
    </row>
    <row r="11" spans="1:19" s="30" customFormat="1" ht="17.399999999999999" x14ac:dyDescent="0.3">
      <c r="B11" s="66" t="s">
        <v>1256</v>
      </c>
      <c r="C11" s="47"/>
      <c r="D11" s="92"/>
      <c r="E11" s="92"/>
      <c r="F11" s="92"/>
      <c r="G11" s="92"/>
      <c r="H11" s="92"/>
      <c r="I11" s="92"/>
      <c r="J11" s="92"/>
      <c r="K11" s="92"/>
      <c r="L11" s="92"/>
      <c r="M11" s="92"/>
      <c r="N11" s="92"/>
      <c r="O11" s="92"/>
      <c r="P11" s="92"/>
      <c r="Q11" s="92"/>
      <c r="R11" s="92"/>
    </row>
    <row r="12" spans="1:19" s="30" customFormat="1" x14ac:dyDescent="0.3">
      <c r="A12" s="48"/>
      <c r="B12" s="61">
        <f>'Revenue Input'!B8</f>
        <v>8011</v>
      </c>
      <c r="C12" s="61" t="str">
        <f>'Revenue Input'!C8</f>
        <v>LCFF for all grades; state aid portion</v>
      </c>
      <c r="D12" s="60">
        <f>IF('Revenue Input'!$H8="","",IF('Cash Flow %s Yr1'!D12="","",'Cash Flow %s Yr1'!D12*'Revenue Input'!$H8))</f>
        <v>25707.300000000003</v>
      </c>
      <c r="E12" s="60">
        <f>IF('Revenue Input'!$H8="","",IF('Cash Flow %s Yr1'!E12="","",'Cash Flow %s Yr1'!E12*'Revenue Input'!$H8))</f>
        <v>25707.300000000003</v>
      </c>
      <c r="F12" s="60">
        <f>IF('Revenue Input'!$H8="","",IF('Cash Flow %s Yr1'!F12="","",'Cash Flow %s Yr1'!F12*'Revenue Input'!$H8))</f>
        <v>46273.14</v>
      </c>
      <c r="G12" s="60">
        <f>IF('Revenue Input'!$H8="","",IF('Cash Flow %s Yr1'!G12="","",'Cash Flow %s Yr1'!G12*'Revenue Input'!$H8))</f>
        <v>46273.14</v>
      </c>
      <c r="H12" s="60">
        <f>IF('Revenue Input'!$H8="","",IF('Cash Flow %s Yr1'!H12="","",'Cash Flow %s Yr1'!H12*'Revenue Input'!$H8))</f>
        <v>46273.14</v>
      </c>
      <c r="I12" s="60">
        <f>IF('Revenue Input'!$H8="","",IF('Cash Flow %s Yr1'!I12="","",'Cash Flow %s Yr1'!I12*'Revenue Input'!$H8))</f>
        <v>46273.14</v>
      </c>
      <c r="J12" s="60">
        <f>IF('Revenue Input'!$H8="","",IF('Cash Flow %s Yr1'!J12="","",'Cash Flow %s Yr1'!J12*'Revenue Input'!$H8))</f>
        <v>46273.14</v>
      </c>
      <c r="K12" s="60">
        <f>IF('Revenue Input'!$H8="","",IF('Cash Flow %s Yr1'!K12="","",'Cash Flow %s Yr1'!K12*'Revenue Input'!$H8))</f>
        <v>46273.14</v>
      </c>
      <c r="L12" s="60">
        <f>IF('Revenue Input'!$H8="","",IF('Cash Flow %s Yr1'!L12="","",'Cash Flow %s Yr1'!L12*'Revenue Input'!$H8))</f>
        <v>46273.14</v>
      </c>
      <c r="M12" s="60">
        <f>IF('Revenue Input'!$H8="","",IF('Cash Flow %s Yr1'!M12="","",'Cash Flow %s Yr1'!M12*'Revenue Input'!$H8))</f>
        <v>46273.14</v>
      </c>
      <c r="N12" s="60">
        <f>IF('Revenue Input'!$H8="","",IF('Cash Flow %s Yr1'!N12="","",'Cash Flow %s Yr1'!N12*'Revenue Input'!$H8))</f>
        <v>46273.14</v>
      </c>
      <c r="O12" s="60">
        <f>IF('Revenue Input'!$H8="","",IF('Cash Flow %s Yr1'!O12="","",'Cash Flow %s Yr1'!O12*'Revenue Input'!$H8))</f>
        <v>46273.14</v>
      </c>
      <c r="P12" s="60">
        <f>IF('Revenue Input'!$H8="","",IF('Cash Flow %s Yr1'!P12="","",'Cash Flow %s Yr1'!P12*'Revenue Input'!$H8))</f>
        <v>0</v>
      </c>
      <c r="Q12" s="60">
        <f>IF('Revenue Input'!$H8="","",IF('Cash Flow %s Yr1'!Q12="","",'Cash Flow %s Yr1'!Q12*'Revenue Input'!$H8))</f>
        <v>0</v>
      </c>
      <c r="R12" s="60">
        <f>IF('Revenue Input'!$H8="","",IF('Cash Flow %s Yr1'!R12="","",'Cash Flow %s Yr1'!R12*'Revenue Input'!$H8))</f>
        <v>0</v>
      </c>
      <c r="S12" s="178">
        <f>SUM(D12:R12)</f>
        <v>514146.00000000012</v>
      </c>
    </row>
    <row r="13" spans="1:19" s="30" customFormat="1" x14ac:dyDescent="0.3">
      <c r="A13" s="48"/>
      <c r="B13" s="61">
        <f>'Revenue Input'!B9</f>
        <v>8012</v>
      </c>
      <c r="C13" s="61" t="str">
        <f>'Revenue Input'!C9</f>
        <v>LCFF for all grades; EPA portion</v>
      </c>
      <c r="D13" s="60">
        <f>IF('Revenue Input'!$H9="","",IF('Cash Flow %s Yr1'!D13="","",'Cash Flow %s Yr1'!D13*'Revenue Input'!$H9))</f>
        <v>0</v>
      </c>
      <c r="E13" s="60">
        <f>IF('Revenue Input'!$H9="","",IF('Cash Flow %s Yr1'!E13="","",'Cash Flow %s Yr1'!E13*'Revenue Input'!$H9))</f>
        <v>0</v>
      </c>
      <c r="F13" s="60">
        <f>IF('Revenue Input'!$H9="","",IF('Cash Flow %s Yr1'!F13="","",'Cash Flow %s Yr1'!F13*'Revenue Input'!$H9))</f>
        <v>22682.5</v>
      </c>
      <c r="G13" s="60">
        <f>IF('Revenue Input'!$H9="","",IF('Cash Flow %s Yr1'!G13="","",'Cash Flow %s Yr1'!G13*'Revenue Input'!$H9))</f>
        <v>0</v>
      </c>
      <c r="H13" s="60">
        <f>IF('Revenue Input'!$H9="","",IF('Cash Flow %s Yr1'!H13="","",'Cash Flow %s Yr1'!H13*'Revenue Input'!$H9))</f>
        <v>0</v>
      </c>
      <c r="I13" s="60">
        <f>IF('Revenue Input'!$H9="","",IF('Cash Flow %s Yr1'!I13="","",'Cash Flow %s Yr1'!I13*'Revenue Input'!$H9))</f>
        <v>22682.5</v>
      </c>
      <c r="J13" s="60">
        <f>IF('Revenue Input'!$H9="","",IF('Cash Flow %s Yr1'!J13="","",'Cash Flow %s Yr1'!J13*'Revenue Input'!$H9))</f>
        <v>0</v>
      </c>
      <c r="K13" s="60">
        <f>IF('Revenue Input'!$H9="","",IF('Cash Flow %s Yr1'!K13="","",'Cash Flow %s Yr1'!K13*'Revenue Input'!$H9))</f>
        <v>0</v>
      </c>
      <c r="L13" s="60">
        <f>IF('Revenue Input'!$H9="","",IF('Cash Flow %s Yr1'!L13="","",'Cash Flow %s Yr1'!L13*'Revenue Input'!$H9))</f>
        <v>22682.5</v>
      </c>
      <c r="M13" s="60">
        <f>IF('Revenue Input'!$H9="","",IF('Cash Flow %s Yr1'!M13="","",'Cash Flow %s Yr1'!M13*'Revenue Input'!$H9))</f>
        <v>0</v>
      </c>
      <c r="N13" s="60">
        <f>IF('Revenue Input'!$H9="","",IF('Cash Flow %s Yr1'!N13="","",'Cash Flow %s Yr1'!N13*'Revenue Input'!$H9))</f>
        <v>0</v>
      </c>
      <c r="O13" s="60">
        <f>IF('Revenue Input'!$H9="","",IF('Cash Flow %s Yr1'!O13="","",'Cash Flow %s Yr1'!O13*'Revenue Input'!$H9))</f>
        <v>22682.5</v>
      </c>
      <c r="P13" s="60">
        <f>IF('Revenue Input'!$H9="","",IF('Cash Flow %s Yr1'!P13="","",'Cash Flow %s Yr1'!P13*'Revenue Input'!$H9))</f>
        <v>0</v>
      </c>
      <c r="Q13" s="60">
        <f>IF('Revenue Input'!$H9="","",IF('Cash Flow %s Yr1'!Q13="","",'Cash Flow %s Yr1'!Q13*'Revenue Input'!$H9))</f>
        <v>0</v>
      </c>
      <c r="R13" s="60">
        <f>IF('Revenue Input'!$H9="","",IF('Cash Flow %s Yr1'!R13="","",'Cash Flow %s Yr1'!R13*'Revenue Input'!$H9))</f>
        <v>0</v>
      </c>
      <c r="S13" s="178">
        <f>SUM(D13:R13)</f>
        <v>90730</v>
      </c>
    </row>
    <row r="14" spans="1:19" s="30" customFormat="1" x14ac:dyDescent="0.3">
      <c r="A14" s="48"/>
      <c r="B14" s="61">
        <f>'Revenue Input'!B10</f>
        <v>8096</v>
      </c>
      <c r="C14" s="61" t="str">
        <f>'Revenue Input'!C10</f>
        <v>In-Lieu of Property Taxes, all grades</v>
      </c>
      <c r="D14" s="60">
        <f>IF('Revenue Input'!$H10="","",IF('Cash Flow %s Yr1'!D14="","",'Cash Flow %s Yr1'!D14*'Revenue Input'!$H10))</f>
        <v>0</v>
      </c>
      <c r="E14" s="60">
        <f>IF('Revenue Input'!$H10="","",IF('Cash Flow %s Yr1'!E14="","",'Cash Flow %s Yr1'!E14*'Revenue Input'!$H10))</f>
        <v>23101.200000000001</v>
      </c>
      <c r="F14" s="60">
        <f>IF('Revenue Input'!$H10="","",IF('Cash Flow %s Yr1'!F14="","",'Cash Flow %s Yr1'!F14*'Revenue Input'!$H10))</f>
        <v>46202.400000000001</v>
      </c>
      <c r="G14" s="60">
        <f>IF('Revenue Input'!$H10="","",IF('Cash Flow %s Yr1'!G14="","",'Cash Flow %s Yr1'!G14*'Revenue Input'!$H10))</f>
        <v>30801.600000000002</v>
      </c>
      <c r="H14" s="60">
        <f>IF('Revenue Input'!$H10="","",IF('Cash Flow %s Yr1'!H14="","",'Cash Flow %s Yr1'!H14*'Revenue Input'!$H10))</f>
        <v>30801.600000000002</v>
      </c>
      <c r="I14" s="60">
        <f>IF('Revenue Input'!$H10="","",IF('Cash Flow %s Yr1'!I14="","",'Cash Flow %s Yr1'!I14*'Revenue Input'!$H10))</f>
        <v>30801.600000000002</v>
      </c>
      <c r="J14" s="60">
        <f>IF('Revenue Input'!$H10="","",IF('Cash Flow %s Yr1'!J14="","",'Cash Flow %s Yr1'!J14*'Revenue Input'!$H10))</f>
        <v>30801.600000000002</v>
      </c>
      <c r="K14" s="60">
        <f>IF('Revenue Input'!$H10="","",IF('Cash Flow %s Yr1'!K14="","",'Cash Flow %s Yr1'!K14*'Revenue Input'!$H10))</f>
        <v>30801.600000000002</v>
      </c>
      <c r="L14" s="60">
        <f>IF('Revenue Input'!$H10="","",IF('Cash Flow %s Yr1'!L14="","",'Cash Flow %s Yr1'!L14*'Revenue Input'!$H10))</f>
        <v>53902.8</v>
      </c>
      <c r="M14" s="60">
        <f>IF('Revenue Input'!$H10="","",IF('Cash Flow %s Yr1'!M14="","",'Cash Flow %s Yr1'!M14*'Revenue Input'!$H10))</f>
        <v>26951.4</v>
      </c>
      <c r="N14" s="60">
        <f>IF('Revenue Input'!$H10="","",IF('Cash Flow %s Yr1'!N14="","",'Cash Flow %s Yr1'!N14*'Revenue Input'!$H10))</f>
        <v>26951.4</v>
      </c>
      <c r="O14" s="60">
        <f>IF('Revenue Input'!$H10="","",IF('Cash Flow %s Yr1'!O14="","",'Cash Flow %s Yr1'!O14*'Revenue Input'!$H10))</f>
        <v>53902.8</v>
      </c>
      <c r="P14" s="60">
        <f>IF('Revenue Input'!$H10="","",IF('Cash Flow %s Yr1'!P14="","",'Cash Flow %s Yr1'!P14*'Revenue Input'!$H10))</f>
        <v>0</v>
      </c>
      <c r="Q14" s="60">
        <f>IF('Revenue Input'!$H10="","",IF('Cash Flow %s Yr1'!Q14="","",'Cash Flow %s Yr1'!Q14*'Revenue Input'!$H10))</f>
        <v>0</v>
      </c>
      <c r="R14" s="60">
        <f>IF('Revenue Input'!$H10="","",IF('Cash Flow %s Yr1'!R14="","",'Cash Flow %s Yr1'!R14*'Revenue Input'!$H10))</f>
        <v>0</v>
      </c>
      <c r="S14" s="178">
        <f>SUM(D14:R14)</f>
        <v>385020.00000000006</v>
      </c>
    </row>
    <row r="15" spans="1:19" s="30" customFormat="1" x14ac:dyDescent="0.3">
      <c r="A15" s="48"/>
      <c r="B15" s="61">
        <f>'Revenue Input'!B11</f>
        <v>8019</v>
      </c>
      <c r="C15" s="61" t="str">
        <f>'Revenue Input'!C11</f>
        <v>Prior Year Income / Adjustments</v>
      </c>
      <c r="D15" s="60" t="str">
        <f>IF('Revenue Input'!$H11="","",IF('Cash Flow %s Yr1'!D15="","",'Cash Flow %s Yr1'!D15*'Revenue Input'!$H11))</f>
        <v/>
      </c>
      <c r="E15" s="60" t="str">
        <f>IF('Revenue Input'!$H11="","",IF('Cash Flow %s Yr1'!E15="","",'Cash Flow %s Yr1'!E15*'Revenue Input'!$H11))</f>
        <v/>
      </c>
      <c r="F15" s="60" t="str">
        <f>IF('Revenue Input'!$H11="","",IF('Cash Flow %s Yr1'!F15="","",'Cash Flow %s Yr1'!F15*'Revenue Input'!$H11))</f>
        <v/>
      </c>
      <c r="G15" s="60" t="str">
        <f>IF('Revenue Input'!$H11="","",IF('Cash Flow %s Yr1'!G15="","",'Cash Flow %s Yr1'!G15*'Revenue Input'!$H11))</f>
        <v/>
      </c>
      <c r="H15" s="60" t="str">
        <f>IF('Revenue Input'!$H11="","",IF('Cash Flow %s Yr1'!H15="","",'Cash Flow %s Yr1'!H15*'Revenue Input'!$H11))</f>
        <v/>
      </c>
      <c r="I15" s="60" t="str">
        <f>IF('Revenue Input'!$H11="","",IF('Cash Flow %s Yr1'!I15="","",'Cash Flow %s Yr1'!I15*'Revenue Input'!$H11))</f>
        <v/>
      </c>
      <c r="J15" s="60" t="str">
        <f>IF('Revenue Input'!$H11="","",IF('Cash Flow %s Yr1'!J15="","",'Cash Flow %s Yr1'!J15*'Revenue Input'!$H11))</f>
        <v/>
      </c>
      <c r="K15" s="60" t="str">
        <f>IF('Revenue Input'!$H11="","",IF('Cash Flow %s Yr1'!K15="","",'Cash Flow %s Yr1'!K15*'Revenue Input'!$H11))</f>
        <v/>
      </c>
      <c r="L15" s="60" t="str">
        <f>IF('Revenue Input'!$H11="","",IF('Cash Flow %s Yr1'!L15="","",'Cash Flow %s Yr1'!L15*'Revenue Input'!$H11))</f>
        <v/>
      </c>
      <c r="M15" s="60" t="str">
        <f>IF('Revenue Input'!$H11="","",IF('Cash Flow %s Yr1'!M15="","",'Cash Flow %s Yr1'!M15*'Revenue Input'!$H11))</f>
        <v/>
      </c>
      <c r="N15" s="60" t="str">
        <f>IF('Revenue Input'!$H11="","",IF('Cash Flow %s Yr1'!N15="","",'Cash Flow %s Yr1'!N15*'Revenue Input'!$H11))</f>
        <v/>
      </c>
      <c r="O15" s="60" t="str">
        <f>IF('Revenue Input'!$H11="","",IF('Cash Flow %s Yr1'!O15="","",'Cash Flow %s Yr1'!O15*'Revenue Input'!$H11))</f>
        <v/>
      </c>
      <c r="P15" s="60" t="str">
        <f>IF('Revenue Input'!$H11="","",IF('Cash Flow %s Yr1'!P15="","",'Cash Flow %s Yr1'!P15*'Revenue Input'!$H11))</f>
        <v/>
      </c>
      <c r="Q15" s="60" t="str">
        <f>IF('Revenue Input'!$H11="","",IF('Cash Flow %s Yr1'!Q15="","",'Cash Flow %s Yr1'!Q15*'Revenue Input'!$H11))</f>
        <v/>
      </c>
      <c r="R15" s="60" t="str">
        <f>IF('Revenue Input'!$H11="","",IF('Cash Flow %s Yr1'!R15="","",'Cash Flow %s Yr1'!R15*'Revenue Input'!$H11))</f>
        <v/>
      </c>
      <c r="S15" s="178">
        <f>SUM(D15:R15)</f>
        <v>0</v>
      </c>
    </row>
    <row r="16" spans="1:19" s="30" customFormat="1" x14ac:dyDescent="0.3">
      <c r="A16" s="48"/>
      <c r="B16" s="61"/>
      <c r="C16" s="61"/>
      <c r="D16" s="60"/>
      <c r="E16" s="60"/>
      <c r="F16" s="60"/>
      <c r="G16" s="60"/>
      <c r="H16" s="60"/>
      <c r="I16" s="60"/>
      <c r="J16" s="60"/>
      <c r="K16" s="60"/>
      <c r="L16" s="60"/>
      <c r="M16" s="60"/>
      <c r="N16" s="60"/>
      <c r="O16" s="60"/>
      <c r="P16" s="60"/>
      <c r="Q16" s="60"/>
      <c r="R16" s="60"/>
      <c r="S16" s="178">
        <f>SUM(D16:R16)</f>
        <v>0</v>
      </c>
    </row>
    <row r="17" spans="1:18" s="67" customFormat="1" x14ac:dyDescent="0.3">
      <c r="A17" s="48"/>
      <c r="B17" s="68"/>
      <c r="C17" s="68"/>
      <c r="D17" s="79"/>
      <c r="E17" s="79"/>
      <c r="F17" s="79"/>
      <c r="G17" s="79"/>
      <c r="H17" s="79"/>
      <c r="I17" s="79"/>
      <c r="J17" s="79"/>
      <c r="K17" s="79"/>
      <c r="L17" s="79"/>
      <c r="M17" s="79"/>
      <c r="N17" s="79"/>
      <c r="O17" s="79"/>
      <c r="P17" s="79"/>
      <c r="Q17" s="79"/>
      <c r="R17" s="79"/>
    </row>
    <row r="18" spans="1:18" s="67" customFormat="1" ht="17.399999999999999" x14ac:dyDescent="0.3">
      <c r="A18" s="48"/>
      <c r="B18" s="66" t="s">
        <v>1242</v>
      </c>
      <c r="C18" s="68"/>
      <c r="D18" s="79"/>
      <c r="E18" s="79"/>
      <c r="F18" s="79"/>
      <c r="G18" s="79"/>
      <c r="H18" s="79"/>
      <c r="I18" s="79"/>
      <c r="J18" s="79"/>
      <c r="K18" s="79"/>
      <c r="L18" s="79"/>
      <c r="M18" s="79"/>
      <c r="N18" s="79"/>
      <c r="O18" s="79"/>
      <c r="P18" s="79"/>
      <c r="Q18" s="79"/>
      <c r="R18" s="79"/>
    </row>
    <row r="19" spans="1:18" s="30" customFormat="1" x14ac:dyDescent="0.3">
      <c r="A19" s="48"/>
      <c r="B19" s="61">
        <f>+'Revenue Input'!B30</f>
        <v>8520</v>
      </c>
      <c r="C19" s="61" t="str">
        <f>+'Revenue Input'!C30</f>
        <v>State Child Nutrition Program</v>
      </c>
      <c r="D19" s="60" t="str">
        <f>IF('Revenue Input'!$H30="","",IF('Cash Flow %s Yr1'!D17="","",'Cash Flow %s Yr1'!D17*'Revenue Input'!$H30))</f>
        <v/>
      </c>
      <c r="E19" s="60" t="str">
        <f>IF('Revenue Input'!$H30="","",IF('Cash Flow %s Yr1'!E17="","",'Cash Flow %s Yr1'!E17*'Revenue Input'!$H30))</f>
        <v/>
      </c>
      <c r="F19" s="60" t="str">
        <f>IF('Revenue Input'!$H30="","",IF('Cash Flow %s Yr1'!F17="","",'Cash Flow %s Yr1'!F17*'Revenue Input'!$H30))</f>
        <v/>
      </c>
      <c r="G19" s="60" t="str">
        <f>IF('Revenue Input'!$H30="","",IF('Cash Flow %s Yr1'!G17="","",'Cash Flow %s Yr1'!G17*'Revenue Input'!$H30))</f>
        <v/>
      </c>
      <c r="H19" s="60" t="str">
        <f>IF('Revenue Input'!$H30="","",IF('Cash Flow %s Yr1'!H17="","",'Cash Flow %s Yr1'!H17*'Revenue Input'!$H30))</f>
        <v/>
      </c>
      <c r="I19" s="60" t="str">
        <f>IF('Revenue Input'!$H30="","",IF('Cash Flow %s Yr1'!I17="","",'Cash Flow %s Yr1'!I17*'Revenue Input'!$H30))</f>
        <v/>
      </c>
      <c r="J19" s="60" t="str">
        <f>IF('Revenue Input'!$H30="","",IF('Cash Flow %s Yr1'!J17="","",'Cash Flow %s Yr1'!J17*'Revenue Input'!$H30))</f>
        <v/>
      </c>
      <c r="K19" s="60" t="str">
        <f>IF('Revenue Input'!$H30="","",IF('Cash Flow %s Yr1'!K17="","",'Cash Flow %s Yr1'!K17*'Revenue Input'!$H30))</f>
        <v/>
      </c>
      <c r="L19" s="60" t="str">
        <f>IF('Revenue Input'!$H30="","",IF('Cash Flow %s Yr1'!L17="","",'Cash Flow %s Yr1'!L17*'Revenue Input'!$H30))</f>
        <v/>
      </c>
      <c r="M19" s="60" t="str">
        <f>IF('Revenue Input'!$H30="","",IF('Cash Flow %s Yr1'!M17="","",'Cash Flow %s Yr1'!M17*'Revenue Input'!$H30))</f>
        <v/>
      </c>
      <c r="N19" s="60" t="str">
        <f>IF('Revenue Input'!$H30="","",IF('Cash Flow %s Yr1'!N17="","",'Cash Flow %s Yr1'!N17*'Revenue Input'!$H30))</f>
        <v/>
      </c>
      <c r="O19" s="60" t="str">
        <f>IF('Revenue Input'!$H30="","",IF('Cash Flow %s Yr1'!O17="","",'Cash Flow %s Yr1'!O17*'Revenue Input'!$H30))</f>
        <v/>
      </c>
      <c r="P19" s="60" t="str">
        <f>IF('Revenue Input'!$H30="","",IF('Cash Flow %s Yr1'!P17="","",'Cash Flow %s Yr1'!P17*'Revenue Input'!$H30))</f>
        <v/>
      </c>
      <c r="Q19" s="60" t="str">
        <f>IF('Revenue Input'!$H30="","",IF('Cash Flow %s Yr1'!Q17="","",'Cash Flow %s Yr1'!Q17*'Revenue Input'!$H30))</f>
        <v/>
      </c>
      <c r="R19" s="60" t="str">
        <f>IF('Revenue Input'!$H30="","",IF('Cash Flow %s Yr1'!R17="","",'Cash Flow %s Yr1'!R17*'Revenue Input'!$H30))</f>
        <v/>
      </c>
    </row>
    <row r="20" spans="1:18" s="30" customFormat="1" x14ac:dyDescent="0.3">
      <c r="A20" s="47"/>
      <c r="B20" s="61">
        <f>+'Revenue Input'!B31</f>
        <v>8550</v>
      </c>
      <c r="C20" s="61" t="str">
        <f>+'Revenue Input'!C31</f>
        <v>Mandate Block Grant</v>
      </c>
      <c r="D20" s="60">
        <f>IF('Revenue Input'!$H31="","",IF('Cash Flow %s Yr1'!D18="","",'Cash Flow %s Yr1'!D18*'Revenue Input'!$H31))</f>
        <v>0</v>
      </c>
      <c r="E20" s="60">
        <f>IF('Revenue Input'!$H31="","",IF('Cash Flow %s Yr1'!E18="","",'Cash Flow %s Yr1'!E18*'Revenue Input'!$H31))</f>
        <v>0</v>
      </c>
      <c r="F20" s="60">
        <f>IF('Revenue Input'!$H31="","",IF('Cash Flow %s Yr1'!F18="","",'Cash Flow %s Yr1'!F18*'Revenue Input'!$H31))</f>
        <v>0</v>
      </c>
      <c r="G20" s="60">
        <f>IF('Revenue Input'!$H31="","",IF('Cash Flow %s Yr1'!G18="","",'Cash Flow %s Yr1'!G18*'Revenue Input'!$H31))</f>
        <v>0</v>
      </c>
      <c r="H20" s="60">
        <f>IF('Revenue Input'!$H31="","",IF('Cash Flow %s Yr1'!H18="","",'Cash Flow %s Yr1'!H18*'Revenue Input'!$H31))</f>
        <v>415.17446000000001</v>
      </c>
      <c r="I20" s="60">
        <f>IF('Revenue Input'!$H31="","",IF('Cash Flow %s Yr1'!I18="","",'Cash Flow %s Yr1'!I18*'Revenue Input'!$H31))</f>
        <v>415.17446000000001</v>
      </c>
      <c r="J20" s="60">
        <f>IF('Revenue Input'!$H31="","",IF('Cash Flow %s Yr1'!J18="","",'Cash Flow %s Yr1'!J18*'Revenue Input'!$H31))</f>
        <v>415.17446000000001</v>
      </c>
      <c r="K20" s="60">
        <f>IF('Revenue Input'!$H31="","",IF('Cash Flow %s Yr1'!K18="","",'Cash Flow %s Yr1'!K18*'Revenue Input'!$H31))</f>
        <v>415.17446000000001</v>
      </c>
      <c r="L20" s="60">
        <f>IF('Revenue Input'!$H31="","",IF('Cash Flow %s Yr1'!L18="","",'Cash Flow %s Yr1'!L18*'Revenue Input'!$H31))</f>
        <v>415.17446000000001</v>
      </c>
      <c r="M20" s="60">
        <f>IF('Revenue Input'!$H31="","",IF('Cash Flow %s Yr1'!M18="","",'Cash Flow %s Yr1'!M18*'Revenue Input'!$H31))</f>
        <v>415.17446000000001</v>
      </c>
      <c r="N20" s="60">
        <f>IF('Revenue Input'!$H31="","",IF('Cash Flow %s Yr1'!N18="","",'Cash Flow %s Yr1'!N18*'Revenue Input'!$H31))</f>
        <v>415.17446000000001</v>
      </c>
      <c r="O20" s="60">
        <f>IF('Revenue Input'!$H31="","",IF('Cash Flow %s Yr1'!O18="","",'Cash Flow %s Yr1'!O18*'Revenue Input'!$H31))</f>
        <v>1245.5233799999999</v>
      </c>
      <c r="P20" s="60">
        <f>IF('Revenue Input'!$H31="","",IF('Cash Flow %s Yr1'!P18="","",'Cash Flow %s Yr1'!P18*'Revenue Input'!$H31))</f>
        <v>0</v>
      </c>
      <c r="Q20" s="60">
        <f>IF('Revenue Input'!$H31="","",IF('Cash Flow %s Yr1'!Q18="","",'Cash Flow %s Yr1'!Q18*'Revenue Input'!$H31))</f>
        <v>0</v>
      </c>
      <c r="R20" s="60">
        <f>IF('Revenue Input'!$H31="","",IF('Cash Flow %s Yr1'!R18="","",'Cash Flow %s Yr1'!R18*'Revenue Input'!$H31))</f>
        <v>0</v>
      </c>
    </row>
    <row r="21" spans="1:18" s="30" customFormat="1" x14ac:dyDescent="0.3">
      <c r="A21" s="48"/>
      <c r="B21" s="61">
        <f>+'Revenue Input'!B32</f>
        <v>8560</v>
      </c>
      <c r="C21" s="61" t="str">
        <f>+'Revenue Input'!C32</f>
        <v>Lottery</v>
      </c>
      <c r="D21" s="60">
        <f>IF('Revenue Input'!$H32="","",IF('Cash Flow %s Yr1'!D19="","",'Cash Flow %s Yr1'!D19*'Revenue Input'!$H32))</f>
        <v>0</v>
      </c>
      <c r="E21" s="60">
        <f>IF('Revenue Input'!$H32="","",IF('Cash Flow %s Yr1'!E19="","",'Cash Flow %s Yr1'!E19*'Revenue Input'!$H32))</f>
        <v>0</v>
      </c>
      <c r="F21" s="60">
        <f>IF('Revenue Input'!$H32="","",IF('Cash Flow %s Yr1'!F19="","",'Cash Flow %s Yr1'!F19*'Revenue Input'!$H32))</f>
        <v>0</v>
      </c>
      <c r="G21" s="60">
        <f>IF('Revenue Input'!$H32="","",IF('Cash Flow %s Yr1'!G19="","",'Cash Flow %s Yr1'!G19*'Revenue Input'!$H32))</f>
        <v>0</v>
      </c>
      <c r="H21" s="60">
        <f>IF('Revenue Input'!$H32="","",IF('Cash Flow %s Yr1'!H19="","",'Cash Flow %s Yr1'!H19*'Revenue Input'!$H32))</f>
        <v>3609.6349999999998</v>
      </c>
      <c r="I21" s="60">
        <f>IF('Revenue Input'!$H32="","",IF('Cash Flow %s Yr1'!I19="","",'Cash Flow %s Yr1'!I19*'Revenue Input'!$H32))</f>
        <v>0</v>
      </c>
      <c r="J21" s="60">
        <f>IF('Revenue Input'!$H32="","",IF('Cash Flow %s Yr1'!J19="","",'Cash Flow %s Yr1'!J19*'Revenue Input'!$H32))</f>
        <v>0</v>
      </c>
      <c r="K21" s="60">
        <f>IF('Revenue Input'!$H32="","",IF('Cash Flow %s Yr1'!K19="","",'Cash Flow %s Yr1'!K19*'Revenue Input'!$H32))</f>
        <v>3609.6349999999998</v>
      </c>
      <c r="L21" s="60">
        <f>IF('Revenue Input'!$H32="","",IF('Cash Flow %s Yr1'!L19="","",'Cash Flow %s Yr1'!L19*'Revenue Input'!$H32))</f>
        <v>0</v>
      </c>
      <c r="M21" s="60">
        <f>IF('Revenue Input'!$H32="","",IF('Cash Flow %s Yr1'!M19="","",'Cash Flow %s Yr1'!M19*'Revenue Input'!$H32))</f>
        <v>0</v>
      </c>
      <c r="N21" s="60">
        <f>IF('Revenue Input'!$H32="","",IF('Cash Flow %s Yr1'!N19="","",'Cash Flow %s Yr1'!N19*'Revenue Input'!$H32))</f>
        <v>3609.6349999999998</v>
      </c>
      <c r="O21" s="60">
        <f>IF('Revenue Input'!$H32="","",IF('Cash Flow %s Yr1'!O19="","",'Cash Flow %s Yr1'!O19*'Revenue Input'!$H32))</f>
        <v>3609.6349999999998</v>
      </c>
      <c r="P21" s="60">
        <f>IF('Revenue Input'!$H32="","",IF('Cash Flow %s Yr1'!P19="","",'Cash Flow %s Yr1'!P19*'Revenue Input'!$H32))</f>
        <v>0</v>
      </c>
      <c r="Q21" s="60">
        <f>IF('Revenue Input'!$H32="","",IF('Cash Flow %s Yr1'!Q19="","",'Cash Flow %s Yr1'!Q19*'Revenue Input'!$H32))</f>
        <v>0</v>
      </c>
      <c r="R21" s="60">
        <f>IF('Revenue Input'!$H32="","",IF('Cash Flow %s Yr1'!R19="","",'Cash Flow %s Yr1'!R19*'Revenue Input'!$H32))</f>
        <v>0</v>
      </c>
    </row>
    <row r="22" spans="1:18" s="30" customFormat="1" x14ac:dyDescent="0.3">
      <c r="A22" s="48"/>
      <c r="B22" s="61">
        <f>+'Revenue Input'!B33</f>
        <v>8560</v>
      </c>
      <c r="C22" s="61" t="str">
        <f>+'Revenue Input'!C33</f>
        <v>Restricted Lottery</v>
      </c>
      <c r="D22" s="60">
        <f>IF('Revenue Input'!$H33="","",IF('Cash Flow %s Yr1'!D20="","",'Cash Flow %s Yr1'!D20*'Revenue Input'!$H33))</f>
        <v>0</v>
      </c>
      <c r="E22" s="60">
        <f>IF('Revenue Input'!$H33="","",IF('Cash Flow %s Yr1'!E20="","",'Cash Flow %s Yr1'!E20*'Revenue Input'!$H33))</f>
        <v>0</v>
      </c>
      <c r="F22" s="60">
        <f>IF('Revenue Input'!$H33="","",IF('Cash Flow %s Yr1'!F20="","",'Cash Flow %s Yr1'!F20*'Revenue Input'!$H33))</f>
        <v>0</v>
      </c>
      <c r="G22" s="60">
        <f>IF('Revenue Input'!$H33="","",IF('Cash Flow %s Yr1'!G20="","",'Cash Flow %s Yr1'!G20*'Revenue Input'!$H33))</f>
        <v>0</v>
      </c>
      <c r="H22" s="60">
        <f>IF('Revenue Input'!$H33="","",IF('Cash Flow %s Yr1'!H20="","",'Cash Flow %s Yr1'!H20*'Revenue Input'!$H33))</f>
        <v>2786.7267999999999</v>
      </c>
      <c r="I22" s="60">
        <f>IF('Revenue Input'!$H33="","",IF('Cash Flow %s Yr1'!I20="","",'Cash Flow %s Yr1'!I20*'Revenue Input'!$H33))</f>
        <v>0</v>
      </c>
      <c r="J22" s="60">
        <f>IF('Revenue Input'!$H33="","",IF('Cash Flow %s Yr1'!J20="","",'Cash Flow %s Yr1'!J20*'Revenue Input'!$H33))</f>
        <v>0</v>
      </c>
      <c r="K22" s="60">
        <f>IF('Revenue Input'!$H33="","",IF('Cash Flow %s Yr1'!K20="","",'Cash Flow %s Yr1'!K20*'Revenue Input'!$H33))</f>
        <v>0</v>
      </c>
      <c r="L22" s="60">
        <f>IF('Revenue Input'!$H33="","",IF('Cash Flow %s Yr1'!L20="","",'Cash Flow %s Yr1'!L20*'Revenue Input'!$H33))</f>
        <v>0</v>
      </c>
      <c r="M22" s="60">
        <f>IF('Revenue Input'!$H33="","",IF('Cash Flow %s Yr1'!M20="","",'Cash Flow %s Yr1'!M20*'Revenue Input'!$H33))</f>
        <v>0</v>
      </c>
      <c r="N22" s="60">
        <f>IF('Revenue Input'!$H33="","",IF('Cash Flow %s Yr1'!N20="","",'Cash Flow %s Yr1'!N20*'Revenue Input'!$H33))</f>
        <v>0</v>
      </c>
      <c r="O22" s="60">
        <f>IF('Revenue Input'!$H33="","",IF('Cash Flow %s Yr1'!O20="","",'Cash Flow %s Yr1'!O20*'Revenue Input'!$H33))</f>
        <v>1500.5451999999998</v>
      </c>
      <c r="P22" s="60">
        <f>IF('Revenue Input'!$H33="","",IF('Cash Flow %s Yr1'!P20="","",'Cash Flow %s Yr1'!P20*'Revenue Input'!$H33))</f>
        <v>0</v>
      </c>
      <c r="Q22" s="60">
        <f>IF('Revenue Input'!$H33="","",IF('Cash Flow %s Yr1'!Q20="","",'Cash Flow %s Yr1'!Q20*'Revenue Input'!$H33))</f>
        <v>0</v>
      </c>
      <c r="R22" s="60">
        <f>IF('Revenue Input'!$H33="","",IF('Cash Flow %s Yr1'!R20="","",'Cash Flow %s Yr1'!R20*'Revenue Input'!$H33))</f>
        <v>0</v>
      </c>
    </row>
    <row r="23" spans="1:18" s="30" customFormat="1" x14ac:dyDescent="0.3">
      <c r="A23" s="48"/>
      <c r="B23" s="61">
        <f>+'Revenue Input'!B34</f>
        <v>8590</v>
      </c>
      <c r="C23" s="61" t="str">
        <f>+'Revenue Input'!C34</f>
        <v xml:space="preserve">Other State Revenues </v>
      </c>
      <c r="D23" s="60" t="str">
        <f>IF('Revenue Input'!$H34="","",IF('Cash Flow %s Yr1'!D21="","",'Cash Flow %s Yr1'!D21*'Revenue Input'!$H34))</f>
        <v/>
      </c>
      <c r="E23" s="60" t="str">
        <f>IF('Revenue Input'!$H34="","",IF('Cash Flow %s Yr1'!E21="","",'Cash Flow %s Yr1'!E21*'Revenue Input'!$H34))</f>
        <v/>
      </c>
      <c r="F23" s="60" t="str">
        <f>IF('Revenue Input'!$H34="","",IF('Cash Flow %s Yr1'!F21="","",'Cash Flow %s Yr1'!F21*'Revenue Input'!$H34))</f>
        <v/>
      </c>
      <c r="G23" s="60" t="str">
        <f>IF('Revenue Input'!$H34="","",IF('Cash Flow %s Yr1'!G21="","",'Cash Flow %s Yr1'!G21*'Revenue Input'!$H34))</f>
        <v/>
      </c>
      <c r="H23" s="60" t="str">
        <f>IF('Revenue Input'!$H34="","",IF('Cash Flow %s Yr1'!H21="","",'Cash Flow %s Yr1'!H21*'Revenue Input'!$H34))</f>
        <v/>
      </c>
      <c r="I23" s="60" t="str">
        <f>IF('Revenue Input'!$H34="","",IF('Cash Flow %s Yr1'!I21="","",'Cash Flow %s Yr1'!I21*'Revenue Input'!$H34))</f>
        <v/>
      </c>
      <c r="J23" s="60" t="str">
        <f>IF('Revenue Input'!$H34="","",IF('Cash Flow %s Yr1'!J21="","",'Cash Flow %s Yr1'!J21*'Revenue Input'!$H34))</f>
        <v/>
      </c>
      <c r="K23" s="60" t="str">
        <f>IF('Revenue Input'!$H34="","",IF('Cash Flow %s Yr1'!K21="","",'Cash Flow %s Yr1'!K21*'Revenue Input'!$H34))</f>
        <v/>
      </c>
      <c r="L23" s="60" t="str">
        <f>IF('Revenue Input'!$H34="","",IF('Cash Flow %s Yr1'!L21="","",'Cash Flow %s Yr1'!L21*'Revenue Input'!$H34))</f>
        <v/>
      </c>
      <c r="M23" s="60" t="str">
        <f>IF('Revenue Input'!$H34="","",IF('Cash Flow %s Yr1'!M21="","",'Cash Flow %s Yr1'!M21*'Revenue Input'!$H34))</f>
        <v/>
      </c>
      <c r="N23" s="60" t="str">
        <f>IF('Revenue Input'!$H34="","",IF('Cash Flow %s Yr1'!N21="","",'Cash Flow %s Yr1'!N21*'Revenue Input'!$H34))</f>
        <v/>
      </c>
      <c r="O23" s="60" t="str">
        <f>IF('Revenue Input'!$H34="","",IF('Cash Flow %s Yr1'!O21="","",'Cash Flow %s Yr1'!O21*'Revenue Input'!$H34))</f>
        <v/>
      </c>
      <c r="P23" s="60" t="str">
        <f>IF('Revenue Input'!$H34="","",IF('Cash Flow %s Yr1'!P21="","",'Cash Flow %s Yr1'!P21*'Revenue Input'!$H34))</f>
        <v/>
      </c>
      <c r="Q23" s="60" t="str">
        <f>IF('Revenue Input'!$H34="","",IF('Cash Flow %s Yr1'!Q21="","",'Cash Flow %s Yr1'!Q21*'Revenue Input'!$H34))</f>
        <v/>
      </c>
      <c r="R23" s="60" t="str">
        <f>IF('Revenue Input'!$H34="","",IF('Cash Flow %s Yr1'!R21="","",'Cash Flow %s Yr1'!R21*'Revenue Input'!$H34))</f>
        <v/>
      </c>
    </row>
    <row r="24" spans="1:18" s="30" customFormat="1" x14ac:dyDescent="0.3">
      <c r="A24" s="48"/>
      <c r="B24" s="61">
        <f>+'Revenue Input'!B37</f>
        <v>8591</v>
      </c>
      <c r="C24" s="61" t="str">
        <f>+'Revenue Input'!C37</f>
        <v>SB740</v>
      </c>
      <c r="D24" s="60">
        <f>IF('Revenue Input'!$H37="","",IF('Cash Flow %s Yr1'!D22="","",'Cash Flow %s Yr1'!D22*'Revenue Input'!$H37))</f>
        <v>0</v>
      </c>
      <c r="E24" s="60">
        <f>IF('Revenue Input'!$H37="","",IF('Cash Flow %s Yr1'!E22="","",'Cash Flow %s Yr1'!E22*'Revenue Input'!$H37))</f>
        <v>0</v>
      </c>
      <c r="F24" s="60">
        <f>IF('Revenue Input'!$H37="","",IF('Cash Flow %s Yr1'!F22="","",'Cash Flow %s Yr1'!F22*'Revenue Input'!$H37))</f>
        <v>0</v>
      </c>
      <c r="G24" s="60">
        <f>IF('Revenue Input'!$H37="","",IF('Cash Flow %s Yr1'!G22="","",'Cash Flow %s Yr1'!G22*'Revenue Input'!$H37))</f>
        <v>0</v>
      </c>
      <c r="H24" s="60">
        <f>IF('Revenue Input'!$H37="","",IF('Cash Flow %s Yr1'!H22="","",'Cash Flow %s Yr1'!H22*'Revenue Input'!$H37))</f>
        <v>0</v>
      </c>
      <c r="I24" s="60">
        <f>IF('Revenue Input'!$H37="","",IF('Cash Flow %s Yr1'!I22="","",'Cash Flow %s Yr1'!I22*'Revenue Input'!$H37))</f>
        <v>0</v>
      </c>
      <c r="J24" s="60">
        <f>IF('Revenue Input'!$H37="","",IF('Cash Flow %s Yr1'!J22="","",'Cash Flow %s Yr1'!J22*'Revenue Input'!$H37))</f>
        <v>13860</v>
      </c>
      <c r="K24" s="60">
        <f>IF('Revenue Input'!$H37="","",IF('Cash Flow %s Yr1'!K22="","",'Cash Flow %s Yr1'!K22*'Revenue Input'!$H37))</f>
        <v>0</v>
      </c>
      <c r="L24" s="60">
        <f>IF('Revenue Input'!$H37="","",IF('Cash Flow %s Yr1'!L22="","",'Cash Flow %s Yr1'!L22*'Revenue Input'!$H37))</f>
        <v>0</v>
      </c>
      <c r="M24" s="60">
        <f>IF('Revenue Input'!$H37="","",IF('Cash Flow %s Yr1'!M22="","",'Cash Flow %s Yr1'!M22*'Revenue Input'!$H37))</f>
        <v>13860</v>
      </c>
      <c r="N24" s="60">
        <f>IF('Revenue Input'!$H37="","",IF('Cash Flow %s Yr1'!N22="","",'Cash Flow %s Yr1'!N22*'Revenue Input'!$H37))</f>
        <v>0</v>
      </c>
      <c r="O24" s="60">
        <f>IF('Revenue Input'!$H37="","",IF('Cash Flow %s Yr1'!O22="","",'Cash Flow %s Yr1'!O22*'Revenue Input'!$H37))</f>
        <v>6930</v>
      </c>
      <c r="P24" s="60">
        <f>IF('Revenue Input'!$H37="","",IF('Cash Flow %s Yr1'!P22="","",'Cash Flow %s Yr1'!P22*'Revenue Input'!$H37))</f>
        <v>0</v>
      </c>
      <c r="Q24" s="60">
        <f>IF('Revenue Input'!$H37="","",IF('Cash Flow %s Yr1'!Q22="","",'Cash Flow %s Yr1'!Q22*'Revenue Input'!$H37))</f>
        <v>0</v>
      </c>
      <c r="R24" s="60">
        <f>IF('Revenue Input'!$H37="","",IF('Cash Flow %s Yr1'!R22="","",'Cash Flow %s Yr1'!R22*'Revenue Input'!$H37))</f>
        <v>0</v>
      </c>
    </row>
    <row r="25" spans="1:18" s="30" customFormat="1" ht="17.399999999999999" x14ac:dyDescent="0.3">
      <c r="A25" s="45"/>
      <c r="B25" s="61">
        <f>+'Revenue Input'!B38</f>
        <v>8599</v>
      </c>
      <c r="C25" s="61" t="str">
        <f>+'Revenue Input'!C38</f>
        <v>Prior Year State Income</v>
      </c>
      <c r="D25" s="60" t="str">
        <f>IF('Revenue Input'!$H38="","",IF('Cash Flow %s Yr1'!D21="","",'Cash Flow %s Yr1'!D21*'Revenue Input'!$H38))</f>
        <v/>
      </c>
      <c r="E25" s="60" t="str">
        <f>IF('Revenue Input'!$H38="","",IF('Cash Flow %s Yr1'!E21="","",'Cash Flow %s Yr1'!E21*'Revenue Input'!$H38))</f>
        <v/>
      </c>
      <c r="F25" s="60" t="str">
        <f>IF('Revenue Input'!$H38="","",IF('Cash Flow %s Yr1'!F21="","",'Cash Flow %s Yr1'!F21*'Revenue Input'!$H38))</f>
        <v/>
      </c>
      <c r="G25" s="60" t="str">
        <f>IF('Revenue Input'!$H38="","",IF('Cash Flow %s Yr1'!G21="","",'Cash Flow %s Yr1'!G21*'Revenue Input'!$H38))</f>
        <v/>
      </c>
      <c r="H25" s="60" t="str">
        <f>IF('Revenue Input'!$H38="","",IF('Cash Flow %s Yr1'!H21="","",'Cash Flow %s Yr1'!H21*'Revenue Input'!$H38))</f>
        <v/>
      </c>
      <c r="I25" s="60" t="str">
        <f>IF('Revenue Input'!$H38="","",IF('Cash Flow %s Yr1'!I21="","",'Cash Flow %s Yr1'!I21*'Revenue Input'!$H38))</f>
        <v/>
      </c>
      <c r="J25" s="60" t="str">
        <f>IF('Revenue Input'!$H38="","",IF('Cash Flow %s Yr1'!J21="","",'Cash Flow %s Yr1'!J21*'Revenue Input'!$H38))</f>
        <v/>
      </c>
      <c r="K25" s="60" t="str">
        <f>IF('Revenue Input'!$H38="","",IF('Cash Flow %s Yr1'!K21="","",'Cash Flow %s Yr1'!K21*'Revenue Input'!$H38))</f>
        <v/>
      </c>
      <c r="L25" s="60" t="str">
        <f>IF('Revenue Input'!$H38="","",IF('Cash Flow %s Yr1'!L21="","",'Cash Flow %s Yr1'!L21*'Revenue Input'!$H38))</f>
        <v/>
      </c>
      <c r="M25" s="60" t="str">
        <f>IF('Revenue Input'!$H38="","",IF('Cash Flow %s Yr1'!M21="","",'Cash Flow %s Yr1'!M21*'Revenue Input'!$H38))</f>
        <v/>
      </c>
      <c r="N25" s="60" t="str">
        <f>IF('Revenue Input'!$H38="","",IF('Cash Flow %s Yr1'!N21="","",'Cash Flow %s Yr1'!N21*'Revenue Input'!$H38))</f>
        <v/>
      </c>
      <c r="O25" s="60" t="str">
        <f>IF('Revenue Input'!$H38="","",IF('Cash Flow %s Yr1'!O21="","",'Cash Flow %s Yr1'!O21*'Revenue Input'!$H38))</f>
        <v/>
      </c>
      <c r="P25" s="60" t="str">
        <f>IF('Revenue Input'!$H38="","",IF('Cash Flow %s Yr1'!P21="","",'Cash Flow %s Yr1'!P21*'Revenue Input'!$H38))</f>
        <v/>
      </c>
      <c r="Q25" s="60" t="str">
        <f>IF('Revenue Input'!$H38="","",IF('Cash Flow %s Yr1'!Q21="","",'Cash Flow %s Yr1'!Q21*'Revenue Input'!$H38))</f>
        <v/>
      </c>
      <c r="R25" s="60" t="str">
        <f>IF('Revenue Input'!$H38="","",IF('Cash Flow %s Yr1'!R21="","",'Cash Flow %s Yr1'!R21*'Revenue Input'!$H38))</f>
        <v/>
      </c>
    </row>
    <row r="26" spans="1:18" s="30" customFormat="1" ht="17.399999999999999" x14ac:dyDescent="0.3">
      <c r="A26" s="45"/>
      <c r="B26" s="61">
        <f>+'Revenue Input'!B39</f>
        <v>8792</v>
      </c>
      <c r="C26" s="61" t="str">
        <f>+'Revenue Input'!C39</f>
        <v>Special Education - AB 602</v>
      </c>
      <c r="D26" s="60" t="str">
        <f>IF('Revenue Input'!$H39="","",IF('Cash Flow %s Yr1'!D22="","",'Cash Flow %s Yr1'!D22*'Revenue Input'!$H39))</f>
        <v/>
      </c>
      <c r="E26" s="60" t="str">
        <f>IF('Revenue Input'!$H39="","",IF('Cash Flow %s Yr1'!E22="","",'Cash Flow %s Yr1'!E22*'Revenue Input'!$H39))</f>
        <v/>
      </c>
      <c r="F26" s="60" t="str">
        <f>IF('Revenue Input'!$H39="","",IF('Cash Flow %s Yr1'!F22="","",'Cash Flow %s Yr1'!F22*'Revenue Input'!$H39))</f>
        <v/>
      </c>
      <c r="G26" s="60" t="str">
        <f>IF('Revenue Input'!$H39="","",IF('Cash Flow %s Yr1'!G22="","",'Cash Flow %s Yr1'!G22*'Revenue Input'!$H39))</f>
        <v/>
      </c>
      <c r="H26" s="60" t="str">
        <f>IF('Revenue Input'!$H39="","",IF('Cash Flow %s Yr1'!H22="","",'Cash Flow %s Yr1'!H22*'Revenue Input'!$H39))</f>
        <v/>
      </c>
      <c r="I26" s="60" t="str">
        <f>IF('Revenue Input'!$H39="","",IF('Cash Flow %s Yr1'!I22="","",'Cash Flow %s Yr1'!I22*'Revenue Input'!$H39))</f>
        <v/>
      </c>
      <c r="J26" s="60" t="str">
        <f>IF('Revenue Input'!$H39="","",IF('Cash Flow %s Yr1'!J22="","",'Cash Flow %s Yr1'!J22*'Revenue Input'!$H39))</f>
        <v/>
      </c>
      <c r="K26" s="60" t="str">
        <f>IF('Revenue Input'!$H39="","",IF('Cash Flow %s Yr1'!K22="","",'Cash Flow %s Yr1'!K22*'Revenue Input'!$H39))</f>
        <v/>
      </c>
      <c r="L26" s="60" t="str">
        <f>IF('Revenue Input'!$H39="","",IF('Cash Flow %s Yr1'!L22="","",'Cash Flow %s Yr1'!L22*'Revenue Input'!$H39))</f>
        <v/>
      </c>
      <c r="M26" s="60" t="str">
        <f>IF('Revenue Input'!$H39="","",IF('Cash Flow %s Yr1'!M22="","",'Cash Flow %s Yr1'!M22*'Revenue Input'!$H39))</f>
        <v/>
      </c>
      <c r="N26" s="60" t="str">
        <f>IF('Revenue Input'!$H39="","",IF('Cash Flow %s Yr1'!N22="","",'Cash Flow %s Yr1'!N22*'Revenue Input'!$H39))</f>
        <v/>
      </c>
      <c r="O26" s="60" t="str">
        <f>IF('Revenue Input'!$H39="","",IF('Cash Flow %s Yr1'!O22="","",'Cash Flow %s Yr1'!O22*'Revenue Input'!$H39))</f>
        <v/>
      </c>
      <c r="P26" s="60" t="str">
        <f>IF('Revenue Input'!$H39="","",IF('Cash Flow %s Yr1'!P22="","",'Cash Flow %s Yr1'!P22*'Revenue Input'!$H39))</f>
        <v/>
      </c>
      <c r="Q26" s="60" t="str">
        <f>IF('Revenue Input'!$H39="","",IF('Cash Flow %s Yr1'!Q22="","",'Cash Flow %s Yr1'!Q22*'Revenue Input'!$H39))</f>
        <v/>
      </c>
      <c r="R26" s="60" t="str">
        <f>IF('Revenue Input'!$H39="","",IF('Cash Flow %s Yr1'!R22="","",'Cash Flow %s Yr1'!R22*'Revenue Input'!$H39))</f>
        <v/>
      </c>
    </row>
    <row r="27" spans="1:18" s="30" customFormat="1" ht="17.399999999999999" x14ac:dyDescent="0.3">
      <c r="A27" s="45"/>
      <c r="B27" s="61"/>
      <c r="C27" s="61"/>
      <c r="D27" s="60"/>
      <c r="E27" s="60"/>
      <c r="F27" s="60"/>
      <c r="G27" s="60"/>
      <c r="H27" s="60"/>
      <c r="I27" s="60"/>
      <c r="J27" s="60"/>
      <c r="K27" s="60"/>
      <c r="L27" s="60"/>
      <c r="M27" s="60"/>
      <c r="N27" s="60"/>
      <c r="O27" s="60"/>
      <c r="P27" s="60"/>
      <c r="Q27" s="60"/>
      <c r="R27" s="60"/>
    </row>
    <row r="28" spans="1:18" s="30" customFormat="1" ht="17.399999999999999" x14ac:dyDescent="0.3">
      <c r="A28" s="45"/>
      <c r="B28" s="69"/>
      <c r="C28" s="33" t="s">
        <v>1257</v>
      </c>
      <c r="D28" s="165">
        <f t="shared" ref="D28:R28" si="0">SUM(D12:D27)</f>
        <v>25707.300000000003</v>
      </c>
      <c r="E28" s="165">
        <f t="shared" si="0"/>
        <v>48808.5</v>
      </c>
      <c r="F28" s="165">
        <f t="shared" si="0"/>
        <v>115158.04000000001</v>
      </c>
      <c r="G28" s="165">
        <f>SUM(G12:G27)</f>
        <v>77074.740000000005</v>
      </c>
      <c r="H28" s="165">
        <f>SUM(H12:H27)</f>
        <v>83886.276259999999</v>
      </c>
      <c r="I28" s="165">
        <f>SUM(I12:I27)</f>
        <v>100172.41446</v>
      </c>
      <c r="J28" s="165">
        <f>SUM(J12:J27)</f>
        <v>91349.91446</v>
      </c>
      <c r="K28" s="165">
        <f t="shared" si="0"/>
        <v>81099.549459999995</v>
      </c>
      <c r="L28" s="165">
        <f t="shared" si="0"/>
        <v>123273.61446</v>
      </c>
      <c r="M28" s="165">
        <f t="shared" si="0"/>
        <v>87499.714460000003</v>
      </c>
      <c r="N28" s="165">
        <f t="shared" si="0"/>
        <v>77249.349459999998</v>
      </c>
      <c r="O28" s="165">
        <f>SUM(O12:O27)</f>
        <v>136144.14357999997</v>
      </c>
      <c r="P28" s="165">
        <f t="shared" si="0"/>
        <v>0</v>
      </c>
      <c r="Q28" s="165">
        <f t="shared" si="0"/>
        <v>0</v>
      </c>
      <c r="R28" s="165">
        <f t="shared" si="0"/>
        <v>0</v>
      </c>
    </row>
    <row r="29" spans="1:18" s="30" customFormat="1" ht="17.399999999999999" x14ac:dyDescent="0.3">
      <c r="A29" s="45"/>
      <c r="B29" s="68"/>
      <c r="C29" s="48"/>
      <c r="D29" s="120"/>
      <c r="E29" s="120"/>
      <c r="F29" s="120"/>
      <c r="G29" s="120"/>
      <c r="H29" s="120"/>
      <c r="I29" s="120"/>
      <c r="J29" s="120"/>
      <c r="K29" s="120"/>
      <c r="L29" s="120"/>
      <c r="M29" s="120"/>
      <c r="N29" s="120"/>
      <c r="O29" s="120"/>
      <c r="P29" s="120"/>
      <c r="Q29" s="120"/>
      <c r="R29" s="120"/>
    </row>
    <row r="30" spans="1:18" s="30" customFormat="1" ht="17.399999999999999" x14ac:dyDescent="0.3">
      <c r="B30" s="45" t="s">
        <v>781</v>
      </c>
      <c r="C30" s="48"/>
      <c r="D30" s="120"/>
      <c r="E30" s="120"/>
      <c r="F30" s="120"/>
      <c r="G30" s="120"/>
      <c r="H30" s="120"/>
      <c r="I30" s="120"/>
      <c r="J30" s="120"/>
      <c r="K30" s="120"/>
      <c r="L30" s="120"/>
      <c r="M30" s="120"/>
      <c r="N30" s="120"/>
      <c r="O30" s="120"/>
      <c r="P30" s="120"/>
      <c r="Q30" s="120"/>
      <c r="R30" s="120"/>
    </row>
    <row r="31" spans="1:18" s="30" customFormat="1" ht="17.399999999999999" x14ac:dyDescent="0.3">
      <c r="A31" s="45"/>
      <c r="B31" s="61">
        <f>'Revenue Input'!B15</f>
        <v>8181</v>
      </c>
      <c r="C31" s="61" t="str">
        <f>'Revenue Input'!C15</f>
        <v>Special Education - Federal IDEA</v>
      </c>
      <c r="D31" s="60" t="str">
        <f>IF('Revenue Input'!$H15="","",IF('Cash Flow %s Yr1'!D26="","",'Cash Flow %s Yr1'!D26*'Revenue Input'!$H15))</f>
        <v/>
      </c>
      <c r="E31" s="60" t="str">
        <f>IF('Revenue Input'!$H15="","",IF('Cash Flow %s Yr1'!E26="","",'Cash Flow %s Yr1'!E26*'Revenue Input'!$H15))</f>
        <v/>
      </c>
      <c r="F31" s="60" t="str">
        <f>IF('Revenue Input'!$H15="","",IF('Cash Flow %s Yr1'!F26="","",'Cash Flow %s Yr1'!F26*'Revenue Input'!$H15))</f>
        <v/>
      </c>
      <c r="G31" s="60" t="str">
        <f>IF('Revenue Input'!$H15="","",IF('Cash Flow %s Yr1'!G26="","",'Cash Flow %s Yr1'!G26*'Revenue Input'!$H15))</f>
        <v/>
      </c>
      <c r="H31" s="60" t="str">
        <f>IF('Revenue Input'!$H15="","",IF('Cash Flow %s Yr1'!H26="","",'Cash Flow %s Yr1'!H26*'Revenue Input'!$H15))</f>
        <v/>
      </c>
      <c r="I31" s="60" t="str">
        <f>IF('Revenue Input'!$H15="","",IF('Cash Flow %s Yr1'!I26="","",'Cash Flow %s Yr1'!I26*'Revenue Input'!$H15))</f>
        <v/>
      </c>
      <c r="J31" s="60" t="str">
        <f>IF('Revenue Input'!$H15="","",IF('Cash Flow %s Yr1'!J26="","",'Cash Flow %s Yr1'!J26*'Revenue Input'!$H15))</f>
        <v/>
      </c>
      <c r="K31" s="60" t="str">
        <f>IF('Revenue Input'!$H15="","",IF('Cash Flow %s Yr1'!K26="","",'Cash Flow %s Yr1'!K26*'Revenue Input'!$H15))</f>
        <v/>
      </c>
      <c r="L31" s="60" t="str">
        <f>IF('Revenue Input'!$H15="","",IF('Cash Flow %s Yr1'!L26="","",'Cash Flow %s Yr1'!L26*'Revenue Input'!$H15))</f>
        <v/>
      </c>
      <c r="M31" s="60" t="str">
        <f>IF('Revenue Input'!$H15="","",IF('Cash Flow %s Yr1'!M26="","",'Cash Flow %s Yr1'!M26*'Revenue Input'!$H15))</f>
        <v/>
      </c>
      <c r="N31" s="60" t="str">
        <f>IF('Revenue Input'!$H15="","",IF('Cash Flow %s Yr1'!N26="","",'Cash Flow %s Yr1'!N26*'Revenue Input'!$H15))</f>
        <v/>
      </c>
      <c r="O31" s="60" t="str">
        <f>IF('Revenue Input'!$H15="","",IF('Cash Flow %s Yr1'!O26="","",'Cash Flow %s Yr1'!O26*'Revenue Input'!$H15))</f>
        <v/>
      </c>
      <c r="P31" s="60" t="str">
        <f>IF('Revenue Input'!$H15="","",IF('Cash Flow %s Yr1'!P26="","",'Cash Flow %s Yr1'!P26*'Revenue Input'!$H15))</f>
        <v/>
      </c>
      <c r="Q31" s="60" t="str">
        <f>IF('Revenue Input'!$H15="","",IF('Cash Flow %s Yr1'!Q26="","",'Cash Flow %s Yr1'!Q26*'Revenue Input'!$H15))</f>
        <v/>
      </c>
      <c r="R31" s="60" t="str">
        <f>IF('Revenue Input'!$H15="","",IF('Cash Flow %s Yr1'!R26="","",'Cash Flow %s Yr1'!R26*'Revenue Input'!$H15))</f>
        <v/>
      </c>
    </row>
    <row r="32" spans="1:18" s="30" customFormat="1" ht="17.399999999999999" x14ac:dyDescent="0.3">
      <c r="A32" s="45"/>
      <c r="B32" s="61">
        <f>'Revenue Input'!B17</f>
        <v>8290</v>
      </c>
      <c r="C32" s="61" t="str">
        <f>'Revenue Input'!C17</f>
        <v>All Other Federal Revenue, GEER/CRF</v>
      </c>
      <c r="D32" s="60" t="str">
        <f>IF('Revenue Input'!$H17="","",IF('Cash Flow %s Yr1'!D27="","",'Cash Flow %s Yr1'!D27*'Revenue Input'!$H17))</f>
        <v/>
      </c>
      <c r="E32" s="60" t="str">
        <f>IF('Revenue Input'!$H17="","",IF('Cash Flow %s Yr1'!E27="","",'Cash Flow %s Yr1'!E27*'Revenue Input'!$H17))</f>
        <v/>
      </c>
      <c r="F32" s="60" t="str">
        <f>IF('Revenue Input'!$H17="","",IF('Cash Flow %s Yr1'!F27="","",'Cash Flow %s Yr1'!F27*'Revenue Input'!$H17))</f>
        <v/>
      </c>
      <c r="G32" s="60" t="str">
        <f>IF('Revenue Input'!$H17="","",IF('Cash Flow %s Yr1'!G27="","",'Cash Flow %s Yr1'!G27*'Revenue Input'!$H17))</f>
        <v/>
      </c>
      <c r="H32" s="60" t="str">
        <f>IF('Revenue Input'!$H17="","",IF('Cash Flow %s Yr1'!H27="","",'Cash Flow %s Yr1'!H27*'Revenue Input'!$H17))</f>
        <v/>
      </c>
      <c r="I32" s="60" t="str">
        <f>IF('Revenue Input'!$H17="","",IF('Cash Flow %s Yr1'!I27="","",'Cash Flow %s Yr1'!I27*'Revenue Input'!$H17))</f>
        <v/>
      </c>
      <c r="J32" s="60" t="str">
        <f>IF('Revenue Input'!$H17="","",IF('Cash Flow %s Yr1'!J27="","",'Cash Flow %s Yr1'!J27*'Revenue Input'!$H17))</f>
        <v/>
      </c>
      <c r="K32" s="60" t="str">
        <f>IF('Revenue Input'!$H17="","",IF('Cash Flow %s Yr1'!K27="","",'Cash Flow %s Yr1'!K27*'Revenue Input'!$H17))</f>
        <v/>
      </c>
      <c r="L32" s="60" t="str">
        <f>IF('Revenue Input'!$H17="","",IF('Cash Flow %s Yr1'!L27="","",'Cash Flow %s Yr1'!L27*'Revenue Input'!$H17))</f>
        <v/>
      </c>
      <c r="M32" s="60" t="str">
        <f>IF('Revenue Input'!$H17="","",IF('Cash Flow %s Yr1'!M27="","",'Cash Flow %s Yr1'!M27*'Revenue Input'!$H17))</f>
        <v/>
      </c>
      <c r="N32" s="60" t="str">
        <f>IF('Revenue Input'!$H17="","",IF('Cash Flow %s Yr1'!N27="","",'Cash Flow %s Yr1'!N27*'Revenue Input'!$H17))</f>
        <v/>
      </c>
      <c r="O32" s="60" t="str">
        <f>IF('Revenue Input'!$H17="","",IF('Cash Flow %s Yr1'!O27="","",'Cash Flow %s Yr1'!O27*'Revenue Input'!$H17))</f>
        <v/>
      </c>
      <c r="P32" s="60" t="str">
        <f>IF('Revenue Input'!$H17="","",IF('Cash Flow %s Yr1'!P27="","",'Cash Flow %s Yr1'!P27*'Revenue Input'!$H17))</f>
        <v/>
      </c>
      <c r="Q32" s="60" t="str">
        <f>IF('Revenue Input'!$H17="","",IF('Cash Flow %s Yr1'!Q27="","",'Cash Flow %s Yr1'!Q27*'Revenue Input'!$H17))</f>
        <v/>
      </c>
      <c r="R32" s="60" t="str">
        <f>IF('Revenue Input'!$H17="","",IF('Cash Flow %s Yr1'!R27="","",'Cash Flow %s Yr1'!R27*'Revenue Input'!$H17))</f>
        <v/>
      </c>
    </row>
    <row r="33" spans="1:18" s="30" customFormat="1" ht="17.399999999999999" x14ac:dyDescent="0.3">
      <c r="A33" s="45"/>
      <c r="B33" s="61">
        <f>'Revenue Input'!B21</f>
        <v>8291</v>
      </c>
      <c r="C33" s="61" t="str">
        <f>'Revenue Input'!C21</f>
        <v>Title I</v>
      </c>
      <c r="D33" s="60">
        <f>IF('Revenue Input'!$H21="","",IF('Cash Flow %s Yr1'!D28="","",'Cash Flow %s Yr1'!D28*'Revenue Input'!$H21))</f>
        <v>0</v>
      </c>
      <c r="E33" s="60">
        <f>IF('Revenue Input'!$H21="","",IF('Cash Flow %s Yr1'!E28="","",'Cash Flow %s Yr1'!E28*'Revenue Input'!$H21))</f>
        <v>0</v>
      </c>
      <c r="F33" s="60">
        <f>IF('Revenue Input'!$H21="","",IF('Cash Flow %s Yr1'!F28="","",'Cash Flow %s Yr1'!F28*'Revenue Input'!$H21))</f>
        <v>0</v>
      </c>
      <c r="G33" s="60">
        <f>IF('Revenue Input'!$H21="","",IF('Cash Flow %s Yr1'!G28="","",'Cash Flow %s Yr1'!G28*'Revenue Input'!$H21))</f>
        <v>0</v>
      </c>
      <c r="H33" s="60">
        <f>IF('Revenue Input'!$H21="","",IF('Cash Flow %s Yr1'!H28="","",'Cash Flow %s Yr1'!H28*'Revenue Input'!$H21))</f>
        <v>0</v>
      </c>
      <c r="I33" s="60">
        <f>IF('Revenue Input'!$H21="","",IF('Cash Flow %s Yr1'!I28="","",'Cash Flow %s Yr1'!I28*'Revenue Input'!$H21))</f>
        <v>0</v>
      </c>
      <c r="J33" s="60">
        <f>IF('Revenue Input'!$H21="","",IF('Cash Flow %s Yr1'!J28="","",'Cash Flow %s Yr1'!J28*'Revenue Input'!$H21))</f>
        <v>7971.75</v>
      </c>
      <c r="K33" s="60">
        <f>IF('Revenue Input'!$H21="","",IF('Cash Flow %s Yr1'!K28="","",'Cash Flow %s Yr1'!K28*'Revenue Input'!$H21))</f>
        <v>0</v>
      </c>
      <c r="L33" s="60">
        <f>IF('Revenue Input'!$H21="","",IF('Cash Flow %s Yr1'!L28="","",'Cash Flow %s Yr1'!L28*'Revenue Input'!$H21))</f>
        <v>0</v>
      </c>
      <c r="M33" s="60">
        <f>IF('Revenue Input'!$H21="","",IF('Cash Flow %s Yr1'!M28="","",'Cash Flow %s Yr1'!M28*'Revenue Input'!$H21))</f>
        <v>15943.5</v>
      </c>
      <c r="N33" s="60">
        <f>IF('Revenue Input'!$H21="","",IF('Cash Flow %s Yr1'!N28="","",'Cash Flow %s Yr1'!N28*'Revenue Input'!$H21))</f>
        <v>0</v>
      </c>
      <c r="O33" s="60">
        <f>IF('Revenue Input'!$H21="","",IF('Cash Flow %s Yr1'!O28="","",'Cash Flow %s Yr1'!O28*'Revenue Input'!$H21))</f>
        <v>7971.75</v>
      </c>
      <c r="P33" s="60">
        <f>IF('Revenue Input'!$H21="","",IF('Cash Flow %s Yr1'!P28="","",'Cash Flow %s Yr1'!P28*'Revenue Input'!$H21))</f>
        <v>0</v>
      </c>
      <c r="Q33" s="60">
        <f>IF('Revenue Input'!$H21="","",IF('Cash Flow %s Yr1'!Q28="","",'Cash Flow %s Yr1'!Q28*'Revenue Input'!$H21))</f>
        <v>0</v>
      </c>
      <c r="R33" s="60">
        <f>IF('Revenue Input'!$H21="","",IF('Cash Flow %s Yr1'!R28="","",'Cash Flow %s Yr1'!R28*'Revenue Input'!$H21))</f>
        <v>0</v>
      </c>
    </row>
    <row r="34" spans="1:18" s="30" customFormat="1" ht="17.399999999999999" x14ac:dyDescent="0.3">
      <c r="A34" s="45"/>
      <c r="B34" s="61">
        <f>'Revenue Input'!B22</f>
        <v>8292</v>
      </c>
      <c r="C34" s="61" t="str">
        <f>'Revenue Input'!C22</f>
        <v>Title II</v>
      </c>
      <c r="D34" s="60">
        <f>IF('Revenue Input'!$H22="","",IF('Cash Flow %s Yr1'!D29="","",'Cash Flow %s Yr1'!D29*'Revenue Input'!$H22))</f>
        <v>0</v>
      </c>
      <c r="E34" s="60">
        <f>IF('Revenue Input'!$H22="","",IF('Cash Flow %s Yr1'!E29="","",'Cash Flow %s Yr1'!E29*'Revenue Input'!$H22))</f>
        <v>0</v>
      </c>
      <c r="F34" s="60">
        <f>IF('Revenue Input'!$H22="","",IF('Cash Flow %s Yr1'!F29="","",'Cash Flow %s Yr1'!F29*'Revenue Input'!$H22))</f>
        <v>0</v>
      </c>
      <c r="G34" s="60">
        <f>IF('Revenue Input'!$H22="","",IF('Cash Flow %s Yr1'!G29="","",'Cash Flow %s Yr1'!G29*'Revenue Input'!$H22))</f>
        <v>0</v>
      </c>
      <c r="H34" s="60">
        <f>IF('Revenue Input'!$H22="","",IF('Cash Flow %s Yr1'!H29="","",'Cash Flow %s Yr1'!H29*'Revenue Input'!$H22))</f>
        <v>0</v>
      </c>
      <c r="I34" s="60">
        <f>IF('Revenue Input'!$H22="","",IF('Cash Flow %s Yr1'!I29="","",'Cash Flow %s Yr1'!I29*'Revenue Input'!$H22))</f>
        <v>0</v>
      </c>
      <c r="J34" s="60">
        <f>IF('Revenue Input'!$H22="","",IF('Cash Flow %s Yr1'!J29="","",'Cash Flow %s Yr1'!J29*'Revenue Input'!$H22))</f>
        <v>1140</v>
      </c>
      <c r="K34" s="60">
        <f>IF('Revenue Input'!$H22="","",IF('Cash Flow %s Yr1'!K29="","",'Cash Flow %s Yr1'!K29*'Revenue Input'!$H22))</f>
        <v>0</v>
      </c>
      <c r="L34" s="60">
        <f>IF('Revenue Input'!$H22="","",IF('Cash Flow %s Yr1'!L29="","",'Cash Flow %s Yr1'!L29*'Revenue Input'!$H22))</f>
        <v>0</v>
      </c>
      <c r="M34" s="60">
        <f>IF('Revenue Input'!$H22="","",IF('Cash Flow %s Yr1'!M29="","",'Cash Flow %s Yr1'!M29*'Revenue Input'!$H22))</f>
        <v>2280</v>
      </c>
      <c r="N34" s="60">
        <f>IF('Revenue Input'!$H22="","",IF('Cash Flow %s Yr1'!N29="","",'Cash Flow %s Yr1'!N29*'Revenue Input'!$H22))</f>
        <v>0</v>
      </c>
      <c r="O34" s="60">
        <f>IF('Revenue Input'!$H22="","",IF('Cash Flow %s Yr1'!O29="","",'Cash Flow %s Yr1'!O29*'Revenue Input'!$H22))</f>
        <v>1140</v>
      </c>
      <c r="P34" s="60">
        <f>IF('Revenue Input'!$H22="","",IF('Cash Flow %s Yr1'!P29="","",'Cash Flow %s Yr1'!P29*'Revenue Input'!$H22))</f>
        <v>0</v>
      </c>
      <c r="Q34" s="60">
        <f>IF('Revenue Input'!$H22="","",IF('Cash Flow %s Yr1'!Q29="","",'Cash Flow %s Yr1'!Q29*'Revenue Input'!$H22))</f>
        <v>0</v>
      </c>
      <c r="R34" s="60">
        <f>IF('Revenue Input'!$H22="","",IF('Cash Flow %s Yr1'!R29="","",'Cash Flow %s Yr1'!R29*'Revenue Input'!$H22))</f>
        <v>0</v>
      </c>
    </row>
    <row r="35" spans="1:18" s="30" customFormat="1" ht="17.399999999999999" x14ac:dyDescent="0.3">
      <c r="A35" s="45"/>
      <c r="B35" s="61">
        <f>'Revenue Input'!B23</f>
        <v>8293</v>
      </c>
      <c r="C35" s="61" t="str">
        <f>'Revenue Input'!C23</f>
        <v>Title III</v>
      </c>
      <c r="D35" s="60" t="str">
        <f>IF('Revenue Input'!$H23="","",IF('Cash Flow %s Yr1'!D30="","",'Cash Flow %s Yr1'!D30*'Revenue Input'!$H23))</f>
        <v/>
      </c>
      <c r="E35" s="60" t="str">
        <f>IF('Revenue Input'!$H23="","",IF('Cash Flow %s Yr1'!E30="","",'Cash Flow %s Yr1'!E30*'Revenue Input'!$H23))</f>
        <v/>
      </c>
      <c r="F35" s="60" t="str">
        <f>IF('Revenue Input'!$H23="","",IF('Cash Flow %s Yr1'!F30="","",'Cash Flow %s Yr1'!F30*'Revenue Input'!$H23))</f>
        <v/>
      </c>
      <c r="G35" s="60" t="str">
        <f>IF('Revenue Input'!$H23="","",IF('Cash Flow %s Yr1'!G30="","",'Cash Flow %s Yr1'!G30*'Revenue Input'!$H23))</f>
        <v/>
      </c>
      <c r="H35" s="60" t="str">
        <f>IF('Revenue Input'!$H23="","",IF('Cash Flow %s Yr1'!H30="","",'Cash Flow %s Yr1'!H30*'Revenue Input'!$H23))</f>
        <v/>
      </c>
      <c r="I35" s="60" t="str">
        <f>IF('Revenue Input'!$H23="","",IF('Cash Flow %s Yr1'!I30="","",'Cash Flow %s Yr1'!I30*'Revenue Input'!$H23))</f>
        <v/>
      </c>
      <c r="J35" s="60" t="str">
        <f>IF('Revenue Input'!$H23="","",IF('Cash Flow %s Yr1'!J30="","",'Cash Flow %s Yr1'!J30*'Revenue Input'!$H23))</f>
        <v/>
      </c>
      <c r="K35" s="60" t="str">
        <f>IF('Revenue Input'!$H23="","",IF('Cash Flow %s Yr1'!K30="","",'Cash Flow %s Yr1'!K30*'Revenue Input'!$H23))</f>
        <v/>
      </c>
      <c r="L35" s="60" t="str">
        <f>IF('Revenue Input'!$H23="","",IF('Cash Flow %s Yr1'!L30="","",'Cash Flow %s Yr1'!L30*'Revenue Input'!$H23))</f>
        <v/>
      </c>
      <c r="M35" s="60" t="str">
        <f>IF('Revenue Input'!$H23="","",IF('Cash Flow %s Yr1'!M30="","",'Cash Flow %s Yr1'!M30*'Revenue Input'!$H23))</f>
        <v/>
      </c>
      <c r="N35" s="60" t="str">
        <f>IF('Revenue Input'!$H23="","",IF('Cash Flow %s Yr1'!N30="","",'Cash Flow %s Yr1'!N30*'Revenue Input'!$H23))</f>
        <v/>
      </c>
      <c r="O35" s="60" t="str">
        <f>IF('Revenue Input'!$H23="","",IF('Cash Flow %s Yr1'!O30="","",'Cash Flow %s Yr1'!O30*'Revenue Input'!$H23))</f>
        <v/>
      </c>
      <c r="P35" s="60" t="str">
        <f>IF('Revenue Input'!$H23="","",IF('Cash Flow %s Yr1'!P30="","",'Cash Flow %s Yr1'!P30*'Revenue Input'!$H23))</f>
        <v/>
      </c>
      <c r="Q35" s="60" t="str">
        <f>IF('Revenue Input'!$H23="","",IF('Cash Flow %s Yr1'!Q30="","",'Cash Flow %s Yr1'!Q30*'Revenue Input'!$H23))</f>
        <v/>
      </c>
      <c r="R35" s="60" t="str">
        <f>IF('Revenue Input'!$H23="","",IF('Cash Flow %s Yr1'!R30="","",'Cash Flow %s Yr1'!R30*'Revenue Input'!$H23))</f>
        <v/>
      </c>
    </row>
    <row r="36" spans="1:18" s="30" customFormat="1" ht="17.399999999999999" x14ac:dyDescent="0.3">
      <c r="A36" s="45"/>
      <c r="B36" s="61">
        <f>'Revenue Input'!B24</f>
        <v>8294</v>
      </c>
      <c r="C36" s="61" t="str">
        <f>'Revenue Input'!C24</f>
        <v>Title IV</v>
      </c>
      <c r="D36" s="60" t="str">
        <f>IF('Revenue Input'!$H24="","",IF('Cash Flow %s Yr1'!D31="","",'Cash Flow %s Yr1'!D31*'Revenue Input'!$H24))</f>
        <v/>
      </c>
      <c r="E36" s="60" t="str">
        <f>IF('Revenue Input'!$H24="","",IF('Cash Flow %s Yr1'!E31="","",'Cash Flow %s Yr1'!E31*'Revenue Input'!$H24))</f>
        <v/>
      </c>
      <c r="F36" s="60" t="str">
        <f>IF('Revenue Input'!$H24="","",IF('Cash Flow %s Yr1'!F31="","",'Cash Flow %s Yr1'!F31*'Revenue Input'!$H24))</f>
        <v/>
      </c>
      <c r="G36" s="60" t="str">
        <f>IF('Revenue Input'!$H24="","",IF('Cash Flow %s Yr1'!G31="","",'Cash Flow %s Yr1'!G31*'Revenue Input'!$H24))</f>
        <v/>
      </c>
      <c r="H36" s="60" t="str">
        <f>IF('Revenue Input'!$H24="","",IF('Cash Flow %s Yr1'!H31="","",'Cash Flow %s Yr1'!H31*'Revenue Input'!$H24))</f>
        <v/>
      </c>
      <c r="I36" s="60" t="str">
        <f>IF('Revenue Input'!$H24="","",IF('Cash Flow %s Yr1'!I31="","",'Cash Flow %s Yr1'!I31*'Revenue Input'!$H24))</f>
        <v/>
      </c>
      <c r="J36" s="60">
        <f>IF('Revenue Input'!$H24="","",IF('Cash Flow %s Yr1'!J31="","",'Cash Flow %s Yr1'!J31*'Revenue Input'!$H24))</f>
        <v>2500</v>
      </c>
      <c r="K36" s="60" t="str">
        <f>IF('Revenue Input'!$H24="","",IF('Cash Flow %s Yr1'!K31="","",'Cash Flow %s Yr1'!K31*'Revenue Input'!$H24))</f>
        <v/>
      </c>
      <c r="L36" s="60" t="str">
        <f>IF('Revenue Input'!$H24="","",IF('Cash Flow %s Yr1'!L31="","",'Cash Flow %s Yr1'!L31*'Revenue Input'!$H24))</f>
        <v/>
      </c>
      <c r="M36" s="60">
        <f>IF('Revenue Input'!$H24="","",IF('Cash Flow %s Yr1'!M31="","",'Cash Flow %s Yr1'!M31*'Revenue Input'!$H24))</f>
        <v>5000</v>
      </c>
      <c r="N36" s="60" t="str">
        <f>IF('Revenue Input'!$H24="","",IF('Cash Flow %s Yr1'!N31="","",'Cash Flow %s Yr1'!N31*'Revenue Input'!$H24))</f>
        <v/>
      </c>
      <c r="O36" s="60">
        <f>IF('Revenue Input'!$H24="","",IF('Cash Flow %s Yr1'!O31="","",'Cash Flow %s Yr1'!O31*'Revenue Input'!$H24))</f>
        <v>2500</v>
      </c>
      <c r="P36" s="60" t="str">
        <f>IF('Revenue Input'!$H24="","",IF('Cash Flow %s Yr1'!P31="","",'Cash Flow %s Yr1'!P31*'Revenue Input'!$H24))</f>
        <v/>
      </c>
      <c r="Q36" s="60" t="str">
        <f>IF('Revenue Input'!$H24="","",IF('Cash Flow %s Yr1'!Q31="","",'Cash Flow %s Yr1'!Q31*'Revenue Input'!$H24))</f>
        <v/>
      </c>
      <c r="R36" s="60" t="str">
        <f>IF('Revenue Input'!$H24="","",IF('Cash Flow %s Yr1'!R31="","",'Cash Flow %s Yr1'!R31*'Revenue Input'!$H24))</f>
        <v/>
      </c>
    </row>
    <row r="37" spans="1:18" s="30" customFormat="1" ht="17.399999999999999" x14ac:dyDescent="0.3">
      <c r="A37" s="45"/>
      <c r="B37" s="61">
        <f>'Revenue Input'!B25</f>
        <v>8295</v>
      </c>
      <c r="C37" s="61" t="str">
        <f>'Revenue Input'!C25</f>
        <v>Title V</v>
      </c>
      <c r="D37" s="60" t="str">
        <f>IF('Revenue Input'!$H25="","",IF('Cash Flow %s Yr1'!D32="","",'Cash Flow %s Yr1'!D32*'Revenue Input'!$H25))</f>
        <v/>
      </c>
      <c r="E37" s="60" t="str">
        <f>IF('Revenue Input'!$H25="","",IF('Cash Flow %s Yr1'!E32="","",'Cash Flow %s Yr1'!E32*'Revenue Input'!$H25))</f>
        <v/>
      </c>
      <c r="F37" s="60" t="str">
        <f>IF('Revenue Input'!$H25="","",IF('Cash Flow %s Yr1'!F32="","",'Cash Flow %s Yr1'!F32*'Revenue Input'!$H25))</f>
        <v/>
      </c>
      <c r="G37" s="60" t="str">
        <f>IF('Revenue Input'!$H25="","",IF('Cash Flow %s Yr1'!G32="","",'Cash Flow %s Yr1'!G32*'Revenue Input'!$H25))</f>
        <v/>
      </c>
      <c r="H37" s="60" t="str">
        <f>IF('Revenue Input'!$H25="","",IF('Cash Flow %s Yr1'!H32="","",'Cash Flow %s Yr1'!H32*'Revenue Input'!$H25))</f>
        <v/>
      </c>
      <c r="I37" s="60" t="str">
        <f>IF('Revenue Input'!$H25="","",IF('Cash Flow %s Yr1'!I32="","",'Cash Flow %s Yr1'!I32*'Revenue Input'!$H25))</f>
        <v/>
      </c>
      <c r="J37" s="60" t="str">
        <f>IF('Revenue Input'!$H25="","",IF('Cash Flow %s Yr1'!J32="","",'Cash Flow %s Yr1'!J32*'Revenue Input'!$H25))</f>
        <v/>
      </c>
      <c r="K37" s="60" t="str">
        <f>IF('Revenue Input'!$H25="","",IF('Cash Flow %s Yr1'!K32="","",'Cash Flow %s Yr1'!K32*'Revenue Input'!$H25))</f>
        <v/>
      </c>
      <c r="L37" s="60" t="str">
        <f>IF('Revenue Input'!$H25="","",IF('Cash Flow %s Yr1'!L32="","",'Cash Flow %s Yr1'!L32*'Revenue Input'!$H25))</f>
        <v/>
      </c>
      <c r="M37" s="60" t="str">
        <f>IF('Revenue Input'!$H25="","",IF('Cash Flow %s Yr1'!M32="","",'Cash Flow %s Yr1'!M32*'Revenue Input'!$H25))</f>
        <v/>
      </c>
      <c r="N37" s="60" t="str">
        <f>IF('Revenue Input'!$H25="","",IF('Cash Flow %s Yr1'!N32="","",'Cash Flow %s Yr1'!N32*'Revenue Input'!$H25))</f>
        <v/>
      </c>
      <c r="O37" s="60" t="str">
        <f>IF('Revenue Input'!$H25="","",IF('Cash Flow %s Yr1'!O32="","",'Cash Flow %s Yr1'!O32*'Revenue Input'!$H25))</f>
        <v/>
      </c>
      <c r="P37" s="60" t="str">
        <f>IF('Revenue Input'!$H25="","",IF('Cash Flow %s Yr1'!P32="","",'Cash Flow %s Yr1'!P32*'Revenue Input'!$H25))</f>
        <v/>
      </c>
      <c r="Q37" s="60" t="str">
        <f>IF('Revenue Input'!$H25="","",IF('Cash Flow %s Yr1'!Q32="","",'Cash Flow %s Yr1'!Q32*'Revenue Input'!$H25))</f>
        <v/>
      </c>
      <c r="R37" s="60" t="str">
        <f>IF('Revenue Input'!$H25="","",IF('Cash Flow %s Yr1'!R32="","",'Cash Flow %s Yr1'!R32*'Revenue Input'!$H25))</f>
        <v/>
      </c>
    </row>
    <row r="38" spans="1:18" s="30" customFormat="1" ht="17.399999999999999" x14ac:dyDescent="0.3">
      <c r="A38" s="45"/>
      <c r="B38" s="61">
        <f>'Revenue Input'!B26</f>
        <v>8299</v>
      </c>
      <c r="C38" s="61" t="str">
        <f>'Revenue Input'!C26</f>
        <v>Prior Year Federal Revenue</v>
      </c>
      <c r="D38" s="60" t="str">
        <f>IF('Revenue Input'!$H26="","",IF('Cash Flow %s Yr1'!D33="","",'Cash Flow %s Yr1'!D33*'Revenue Input'!$H26))</f>
        <v/>
      </c>
      <c r="E38" s="60" t="str">
        <f>IF('Revenue Input'!$H26="","",IF('Cash Flow %s Yr1'!E33="","",'Cash Flow %s Yr1'!E33*'Revenue Input'!$H26))</f>
        <v/>
      </c>
      <c r="F38" s="60" t="str">
        <f>IF('Revenue Input'!$H26="","",IF('Cash Flow %s Yr1'!F33="","",'Cash Flow %s Yr1'!F33*'Revenue Input'!$H26))</f>
        <v/>
      </c>
      <c r="G38" s="60" t="str">
        <f>IF('Revenue Input'!$H26="","",IF('Cash Flow %s Yr1'!G33="","",'Cash Flow %s Yr1'!G33*'Revenue Input'!$H26))</f>
        <v/>
      </c>
      <c r="H38" s="60" t="str">
        <f>IF('Revenue Input'!$H26="","",IF('Cash Flow %s Yr1'!H33="","",'Cash Flow %s Yr1'!H33*'Revenue Input'!$H26))</f>
        <v/>
      </c>
      <c r="I38" s="60" t="str">
        <f>IF('Revenue Input'!$H26="","",IF('Cash Flow %s Yr1'!I33="","",'Cash Flow %s Yr1'!I33*'Revenue Input'!$H26))</f>
        <v/>
      </c>
      <c r="J38" s="60" t="str">
        <f>IF('Revenue Input'!$H26="","",IF('Cash Flow %s Yr1'!J33="","",'Cash Flow %s Yr1'!J33*'Revenue Input'!$H26))</f>
        <v/>
      </c>
      <c r="K38" s="60" t="str">
        <f>IF('Revenue Input'!$H26="","",IF('Cash Flow %s Yr1'!K33="","",'Cash Flow %s Yr1'!K33*'Revenue Input'!$H26))</f>
        <v/>
      </c>
      <c r="L38" s="60" t="str">
        <f>IF('Revenue Input'!$H26="","",IF('Cash Flow %s Yr1'!L33="","",'Cash Flow %s Yr1'!L33*'Revenue Input'!$H26))</f>
        <v/>
      </c>
      <c r="M38" s="60" t="str">
        <f>IF('Revenue Input'!$H26="","",IF('Cash Flow %s Yr1'!M33="","",'Cash Flow %s Yr1'!M33*'Revenue Input'!$H26))</f>
        <v/>
      </c>
      <c r="N38" s="60" t="str">
        <f>IF('Revenue Input'!$H26="","",IF('Cash Flow %s Yr1'!N33="","",'Cash Flow %s Yr1'!N33*'Revenue Input'!$H26))</f>
        <v/>
      </c>
      <c r="O38" s="60" t="str">
        <f>IF('Revenue Input'!$H26="","",IF('Cash Flow %s Yr1'!O33="","",'Cash Flow %s Yr1'!O33*'Revenue Input'!$H26))</f>
        <v/>
      </c>
      <c r="P38" s="60" t="str">
        <f>IF('Revenue Input'!$H26="","",IF('Cash Flow %s Yr1'!P33="","",'Cash Flow %s Yr1'!P33*'Revenue Input'!$H26))</f>
        <v/>
      </c>
      <c r="Q38" s="60" t="str">
        <f>IF('Revenue Input'!$H26="","",IF('Cash Flow %s Yr1'!Q33="","",'Cash Flow %s Yr1'!Q33*'Revenue Input'!$H26))</f>
        <v/>
      </c>
      <c r="R38" s="60" t="str">
        <f>IF('Revenue Input'!$H26="","",IF('Cash Flow %s Yr1'!R33="","",'Cash Flow %s Yr1'!R33*'Revenue Input'!$H26))</f>
        <v/>
      </c>
    </row>
    <row r="39" spans="1:18" s="30" customFormat="1" ht="17.399999999999999" x14ac:dyDescent="0.3">
      <c r="A39" s="45"/>
      <c r="B39" s="69"/>
      <c r="C39" s="33" t="s">
        <v>1258</v>
      </c>
      <c r="D39" s="165">
        <f t="shared" ref="D39:R39" si="1">SUM(D31:D38)</f>
        <v>0</v>
      </c>
      <c r="E39" s="165">
        <f t="shared" si="1"/>
        <v>0</v>
      </c>
      <c r="F39" s="165">
        <f t="shared" si="1"/>
        <v>0</v>
      </c>
      <c r="G39" s="165">
        <f t="shared" si="1"/>
        <v>0</v>
      </c>
      <c r="H39" s="165">
        <f t="shared" si="1"/>
        <v>0</v>
      </c>
      <c r="I39" s="165">
        <f t="shared" si="1"/>
        <v>0</v>
      </c>
      <c r="J39" s="165">
        <f t="shared" si="1"/>
        <v>11611.75</v>
      </c>
      <c r="K39" s="165">
        <f t="shared" si="1"/>
        <v>0</v>
      </c>
      <c r="L39" s="165">
        <f t="shared" si="1"/>
        <v>0</v>
      </c>
      <c r="M39" s="165">
        <f t="shared" si="1"/>
        <v>23223.5</v>
      </c>
      <c r="N39" s="165">
        <f t="shared" si="1"/>
        <v>0</v>
      </c>
      <c r="O39" s="165">
        <f t="shared" si="1"/>
        <v>11611.75</v>
      </c>
      <c r="P39" s="165">
        <f t="shared" si="1"/>
        <v>0</v>
      </c>
      <c r="Q39" s="165">
        <f t="shared" si="1"/>
        <v>0</v>
      </c>
      <c r="R39" s="165">
        <f t="shared" si="1"/>
        <v>0</v>
      </c>
    </row>
    <row r="40" spans="1:18" s="30" customFormat="1" ht="17.399999999999999" x14ac:dyDescent="0.3">
      <c r="A40" s="45"/>
      <c r="B40" s="68"/>
      <c r="C40" s="48"/>
      <c r="D40" s="120"/>
      <c r="E40" s="120"/>
      <c r="F40" s="120"/>
      <c r="G40" s="120"/>
      <c r="H40" s="120"/>
      <c r="I40" s="120"/>
      <c r="J40" s="120"/>
      <c r="K40" s="120"/>
      <c r="L40" s="120"/>
      <c r="M40" s="120"/>
      <c r="N40" s="120"/>
      <c r="O40" s="120"/>
      <c r="P40" s="120"/>
      <c r="Q40" s="120"/>
      <c r="R40" s="120"/>
    </row>
    <row r="41" spans="1:18" s="30" customFormat="1" ht="17.399999999999999" x14ac:dyDescent="0.3">
      <c r="B41" s="45" t="s">
        <v>790</v>
      </c>
      <c r="C41" s="48"/>
      <c r="D41" s="120"/>
      <c r="E41" s="120"/>
      <c r="F41" s="120"/>
      <c r="G41" s="120"/>
      <c r="H41" s="120"/>
      <c r="I41" s="120"/>
      <c r="J41" s="120"/>
      <c r="K41" s="120"/>
      <c r="L41" s="120"/>
      <c r="M41" s="120"/>
      <c r="N41" s="120"/>
      <c r="O41" s="120"/>
      <c r="P41" s="120"/>
      <c r="Q41" s="120"/>
      <c r="R41" s="120"/>
    </row>
    <row r="42" spans="1:18" s="30" customFormat="1" ht="17.399999999999999" x14ac:dyDescent="0.3">
      <c r="A42" s="45"/>
      <c r="B42" s="61">
        <f>'Revenue Input'!B44</f>
        <v>8660</v>
      </c>
      <c r="C42" s="61" t="str">
        <f>'Revenue Input'!C44</f>
        <v>Interest</v>
      </c>
      <c r="D42" s="60">
        <f>IF('Revenue Input'!$H44="","",IF('Cash Flow %s Yr1'!D37="","",'Cash Flow %s Yr1'!D37*'Revenue Input'!$H44))</f>
        <v>890.00900000000001</v>
      </c>
      <c r="E42" s="60">
        <f>IF('Revenue Input'!$H44="","",IF('Cash Flow %s Yr1'!E37="","",'Cash Flow %s Yr1'!E37*'Revenue Input'!$H44))</f>
        <v>890.00900000000001</v>
      </c>
      <c r="F42" s="60">
        <f>IF('Revenue Input'!$H44="","",IF('Cash Flow %s Yr1'!F37="","",'Cash Flow %s Yr1'!F37*'Revenue Input'!$H44))</f>
        <v>890.00900000000001</v>
      </c>
      <c r="G42" s="60">
        <f>IF('Revenue Input'!$H44="","",IF('Cash Flow %s Yr1'!G37="","",'Cash Flow %s Yr1'!G37*'Revenue Input'!$H44))</f>
        <v>890.00900000000001</v>
      </c>
      <c r="H42" s="60">
        <f>IF('Revenue Input'!$H44="","",IF('Cash Flow %s Yr1'!H37="","",'Cash Flow %s Yr1'!H37*'Revenue Input'!$H44))</f>
        <v>890.00900000000001</v>
      </c>
      <c r="I42" s="60">
        <f>IF('Revenue Input'!$H44="","",IF('Cash Flow %s Yr1'!I37="","",'Cash Flow %s Yr1'!I37*'Revenue Input'!$H44))</f>
        <v>890.00900000000001</v>
      </c>
      <c r="J42" s="60">
        <f>IF('Revenue Input'!$H44="","",IF('Cash Flow %s Yr1'!J37="","",'Cash Flow %s Yr1'!J37*'Revenue Input'!$H44))</f>
        <v>890.00900000000001</v>
      </c>
      <c r="K42" s="60">
        <f>IF('Revenue Input'!$H44="","",IF('Cash Flow %s Yr1'!K37="","",'Cash Flow %s Yr1'!K37*'Revenue Input'!$H44))</f>
        <v>890.00900000000001</v>
      </c>
      <c r="L42" s="60">
        <f>IF('Revenue Input'!$H44="","",IF('Cash Flow %s Yr1'!L37="","",'Cash Flow %s Yr1'!L37*'Revenue Input'!$H44))</f>
        <v>900.73200000000008</v>
      </c>
      <c r="M42" s="60">
        <f>IF('Revenue Input'!$H44="","",IF('Cash Flow %s Yr1'!M37="","",'Cash Flow %s Yr1'!M37*'Revenue Input'!$H44))</f>
        <v>900.73200000000008</v>
      </c>
      <c r="N42" s="60">
        <f>IF('Revenue Input'!$H44="","",IF('Cash Flow %s Yr1'!N37="","",'Cash Flow %s Yr1'!N37*'Revenue Input'!$H44))</f>
        <v>900.73200000000008</v>
      </c>
      <c r="O42" s="60">
        <f>IF('Revenue Input'!$H44="","",IF('Cash Flow %s Yr1'!O37="","",'Cash Flow %s Yr1'!O37*'Revenue Input'!$H44))</f>
        <v>900.73200000000008</v>
      </c>
      <c r="P42" s="60" t="str">
        <f>IF('Revenue Input'!$H44="","",IF('Cash Flow %s Yr1'!P37="","",'Cash Flow %s Yr1'!P37*'Revenue Input'!$H44))</f>
        <v/>
      </c>
      <c r="Q42" s="60" t="str">
        <f>IF('Revenue Input'!$H44="","",IF('Cash Flow %s Yr1'!Q37="","",'Cash Flow %s Yr1'!Q37*'Revenue Input'!$H44))</f>
        <v/>
      </c>
      <c r="R42" s="60" t="str">
        <f>IF('Revenue Input'!$H44="","",IF('Cash Flow %s Yr1'!R37="","",'Cash Flow %s Yr1'!R37*'Revenue Input'!$H44))</f>
        <v/>
      </c>
    </row>
    <row r="43" spans="1:18" s="30" customFormat="1" ht="17.399999999999999" x14ac:dyDescent="0.3">
      <c r="A43" s="45"/>
      <c r="B43" s="61">
        <f>'Revenue Input'!B45</f>
        <v>8682</v>
      </c>
      <c r="C43" s="61" t="str">
        <f>'Revenue Input'!C45</f>
        <v>Foundation Grants / Donations</v>
      </c>
      <c r="D43" s="60">
        <f>IF('Revenue Input'!$H45="","",IF('Cash Flow %s Yr1'!D38="","",'Cash Flow %s Yr1'!D38*'Revenue Input'!$H45))</f>
        <v>0</v>
      </c>
      <c r="E43" s="60">
        <f>IF('Revenue Input'!$H45="","",IF('Cash Flow %s Yr1'!E38="","",'Cash Flow %s Yr1'!E38*'Revenue Input'!$H45))</f>
        <v>0</v>
      </c>
      <c r="F43" s="60">
        <f>IF('Revenue Input'!$H45="","",IF('Cash Flow %s Yr1'!F38="","",'Cash Flow %s Yr1'!F38*'Revenue Input'!$H45))</f>
        <v>303.60000000000002</v>
      </c>
      <c r="G43" s="60">
        <f>IF('Revenue Input'!$H45="","",IF('Cash Flow %s Yr1'!G38="","",'Cash Flow %s Yr1'!G38*'Revenue Input'!$H45))</f>
        <v>303.60000000000002</v>
      </c>
      <c r="H43" s="60">
        <f>IF('Revenue Input'!$H45="","",IF('Cash Flow %s Yr1'!H38="","",'Cash Flow %s Yr1'!H38*'Revenue Input'!$H45))</f>
        <v>303.60000000000002</v>
      </c>
      <c r="I43" s="60">
        <f>IF('Revenue Input'!$H45="","",IF('Cash Flow %s Yr1'!I38="","",'Cash Flow %s Yr1'!I38*'Revenue Input'!$H45))</f>
        <v>303.60000000000002</v>
      </c>
      <c r="J43" s="60">
        <f>IF('Revenue Input'!$H45="","",IF('Cash Flow %s Yr1'!J38="","",'Cash Flow %s Yr1'!J38*'Revenue Input'!$H45))</f>
        <v>303.60000000000002</v>
      </c>
      <c r="K43" s="60">
        <f>IF('Revenue Input'!$H45="","",IF('Cash Flow %s Yr1'!K38="","",'Cash Flow %s Yr1'!K38*'Revenue Input'!$H45))</f>
        <v>303.60000000000002</v>
      </c>
      <c r="L43" s="60">
        <f>IF('Revenue Input'!$H45="","",IF('Cash Flow %s Yr1'!L38="","",'Cash Flow %s Yr1'!L38*'Revenue Input'!$H45))</f>
        <v>303.60000000000002</v>
      </c>
      <c r="M43" s="60">
        <f>IF('Revenue Input'!$H45="","",IF('Cash Flow %s Yr1'!M38="","",'Cash Flow %s Yr1'!M38*'Revenue Input'!$H45))</f>
        <v>303.60000000000002</v>
      </c>
      <c r="N43" s="60">
        <f>IF('Revenue Input'!$H45="","",IF('Cash Flow %s Yr1'!N38="","",'Cash Flow %s Yr1'!N38*'Revenue Input'!$H45))</f>
        <v>303.60000000000002</v>
      </c>
      <c r="O43" s="60">
        <f>IF('Revenue Input'!$H45="","",IF('Cash Flow %s Yr1'!O38="","",'Cash Flow %s Yr1'!O38*'Revenue Input'!$H45))</f>
        <v>303.60000000000002</v>
      </c>
      <c r="P43" s="60" t="str">
        <f>IF('Revenue Input'!$H45="","",IF('Cash Flow %s Yr1'!P38="","",'Cash Flow %s Yr1'!P38*'Revenue Input'!$H45))</f>
        <v/>
      </c>
      <c r="Q43" s="60" t="str">
        <f>IF('Revenue Input'!$H45="","",IF('Cash Flow %s Yr1'!Q38="","",'Cash Flow %s Yr1'!Q38*'Revenue Input'!$H45))</f>
        <v/>
      </c>
      <c r="R43" s="60" t="str">
        <f>IF('Revenue Input'!$H45="","",IF('Cash Flow %s Yr1'!R38="","",'Cash Flow %s Yr1'!R38*'Revenue Input'!$H45))</f>
        <v/>
      </c>
    </row>
    <row r="44" spans="1:18" s="30" customFormat="1" ht="17.399999999999999" x14ac:dyDescent="0.3">
      <c r="A44" s="45"/>
      <c r="B44" s="61">
        <f>'Revenue Input'!B46</f>
        <v>8684</v>
      </c>
      <c r="C44" s="61" t="str">
        <f>'Revenue Input'!C46</f>
        <v>Student  Body (ASB) Fundraising Revenue</v>
      </c>
      <c r="D44" s="60" t="str">
        <f>IF('Revenue Input'!$H46="","",IF('Cash Flow %s Yr1'!D39="","",'Cash Flow %s Yr1'!D39*'Revenue Input'!$H46))</f>
        <v/>
      </c>
      <c r="E44" s="60" t="str">
        <f>IF('Revenue Input'!$H46="","",IF('Cash Flow %s Yr1'!E39="","",'Cash Flow %s Yr1'!E39*'Revenue Input'!$H46))</f>
        <v/>
      </c>
      <c r="F44" s="60" t="str">
        <f>IF('Revenue Input'!$H46="","",IF('Cash Flow %s Yr1'!F39="","",'Cash Flow %s Yr1'!F39*'Revenue Input'!$H46))</f>
        <v/>
      </c>
      <c r="G44" s="60" t="str">
        <f>IF('Revenue Input'!$H46="","",IF('Cash Flow %s Yr1'!G39="","",'Cash Flow %s Yr1'!G39*'Revenue Input'!$H46))</f>
        <v/>
      </c>
      <c r="H44" s="60" t="str">
        <f>IF('Revenue Input'!$H46="","",IF('Cash Flow %s Yr1'!H39="","",'Cash Flow %s Yr1'!H39*'Revenue Input'!$H46))</f>
        <v/>
      </c>
      <c r="I44" s="60" t="str">
        <f>IF('Revenue Input'!$H46="","",IF('Cash Flow %s Yr1'!I39="","",'Cash Flow %s Yr1'!I39*'Revenue Input'!$H46))</f>
        <v/>
      </c>
      <c r="J44" s="60" t="str">
        <f>IF('Revenue Input'!$H46="","",IF('Cash Flow %s Yr1'!J39="","",'Cash Flow %s Yr1'!J39*'Revenue Input'!$H46))</f>
        <v/>
      </c>
      <c r="K44" s="60" t="str">
        <f>IF('Revenue Input'!$H46="","",IF('Cash Flow %s Yr1'!K39="","",'Cash Flow %s Yr1'!K39*'Revenue Input'!$H46))</f>
        <v/>
      </c>
      <c r="L44" s="60" t="str">
        <f>IF('Revenue Input'!$H46="","",IF('Cash Flow %s Yr1'!L39="","",'Cash Flow %s Yr1'!L39*'Revenue Input'!$H46))</f>
        <v/>
      </c>
      <c r="M44" s="60" t="str">
        <f>IF('Revenue Input'!$H46="","",IF('Cash Flow %s Yr1'!M39="","",'Cash Flow %s Yr1'!M39*'Revenue Input'!$H46))</f>
        <v/>
      </c>
      <c r="N44" s="60" t="str">
        <f>IF('Revenue Input'!$H46="","",IF('Cash Flow %s Yr1'!N39="","",'Cash Flow %s Yr1'!N39*'Revenue Input'!$H46))</f>
        <v/>
      </c>
      <c r="O44" s="60" t="str">
        <f>IF('Revenue Input'!$H46="","",IF('Cash Flow %s Yr1'!O39="","",'Cash Flow %s Yr1'!O39*'Revenue Input'!$H46))</f>
        <v/>
      </c>
      <c r="P44" s="60" t="str">
        <f>IF('Revenue Input'!$H46="","",IF('Cash Flow %s Yr1'!P39="","",'Cash Flow %s Yr1'!P39*'Revenue Input'!$H46))</f>
        <v/>
      </c>
      <c r="Q44" s="60" t="str">
        <f>IF('Revenue Input'!$H46="","",IF('Cash Flow %s Yr1'!Q39="","",'Cash Flow %s Yr1'!Q39*'Revenue Input'!$H46))</f>
        <v/>
      </c>
      <c r="R44" s="60" t="str">
        <f>IF('Revenue Input'!$H46="","",IF('Cash Flow %s Yr1'!R39="","",'Cash Flow %s Yr1'!R39*'Revenue Input'!$H46))</f>
        <v/>
      </c>
    </row>
    <row r="45" spans="1:18" s="30" customFormat="1" x14ac:dyDescent="0.3">
      <c r="A45" s="47"/>
      <c r="B45" s="61">
        <f>'Revenue Input'!B47</f>
        <v>8685</v>
      </c>
      <c r="C45" s="61" t="str">
        <f>'Revenue Input'!C47</f>
        <v>School Site Fundraising</v>
      </c>
      <c r="D45" s="60">
        <f>IF('Revenue Input'!$H47="","",IF('Cash Flow %s Yr1'!D40="","",'Cash Flow %s Yr1'!D40*'Revenue Input'!$H47))</f>
        <v>0</v>
      </c>
      <c r="E45" s="60">
        <f>IF('Revenue Input'!$H47="","",IF('Cash Flow %s Yr1'!E40="","",'Cash Flow %s Yr1'!E40*'Revenue Input'!$H47))</f>
        <v>0</v>
      </c>
      <c r="F45" s="60">
        <f>IF('Revenue Input'!$H47="","",IF('Cash Flow %s Yr1'!F40="","",'Cash Flow %s Yr1'!F40*'Revenue Input'!$H47))</f>
        <v>1793.9</v>
      </c>
      <c r="G45" s="60">
        <f>IF('Revenue Input'!$H47="","",IF('Cash Flow %s Yr1'!G40="","",'Cash Flow %s Yr1'!G40*'Revenue Input'!$H47))</f>
        <v>1793.9</v>
      </c>
      <c r="H45" s="60">
        <f>IF('Revenue Input'!$H47="","",IF('Cash Flow %s Yr1'!H40="","",'Cash Flow %s Yr1'!H40*'Revenue Input'!$H47))</f>
        <v>1793.9</v>
      </c>
      <c r="I45" s="60">
        <f>IF('Revenue Input'!$H47="","",IF('Cash Flow %s Yr1'!I40="","",'Cash Flow %s Yr1'!I40*'Revenue Input'!$H47))</f>
        <v>1793.9</v>
      </c>
      <c r="J45" s="60">
        <f>IF('Revenue Input'!$H47="","",IF('Cash Flow %s Yr1'!J40="","",'Cash Flow %s Yr1'!J40*'Revenue Input'!$H47))</f>
        <v>1793.9</v>
      </c>
      <c r="K45" s="60">
        <f>IF('Revenue Input'!$H47="","",IF('Cash Flow %s Yr1'!K40="","",'Cash Flow %s Yr1'!K40*'Revenue Input'!$H47))</f>
        <v>1793.9</v>
      </c>
      <c r="L45" s="60">
        <f>IF('Revenue Input'!$H47="","",IF('Cash Flow %s Yr1'!L40="","",'Cash Flow %s Yr1'!L40*'Revenue Input'!$H47))</f>
        <v>1793.9</v>
      </c>
      <c r="M45" s="60">
        <f>IF('Revenue Input'!$H47="","",IF('Cash Flow %s Yr1'!M40="","",'Cash Flow %s Yr1'!M40*'Revenue Input'!$H47))</f>
        <v>1793.9</v>
      </c>
      <c r="N45" s="60">
        <f>IF('Revenue Input'!$H47="","",IF('Cash Flow %s Yr1'!N40="","",'Cash Flow %s Yr1'!N40*'Revenue Input'!$H47))</f>
        <v>1793.9</v>
      </c>
      <c r="O45" s="60">
        <f>IF('Revenue Input'!$H47="","",IF('Cash Flow %s Yr1'!O40="","",'Cash Flow %s Yr1'!O40*'Revenue Input'!$H47))</f>
        <v>1793.9</v>
      </c>
      <c r="P45" s="60" t="str">
        <f>IF('Revenue Input'!$H47="","",IF('Cash Flow %s Yr1'!P40="","",'Cash Flow %s Yr1'!P40*'Revenue Input'!$H47))</f>
        <v/>
      </c>
      <c r="Q45" s="60" t="str">
        <f>IF('Revenue Input'!$H47="","",IF('Cash Flow %s Yr1'!Q40="","",'Cash Flow %s Yr1'!Q40*'Revenue Input'!$H47))</f>
        <v/>
      </c>
      <c r="R45" s="60" t="str">
        <f>IF('Revenue Input'!$H47="","",IF('Cash Flow %s Yr1'!R40="","",'Cash Flow %s Yr1'!R40*'Revenue Input'!$H47))</f>
        <v/>
      </c>
    </row>
    <row r="46" spans="1:18" s="30" customFormat="1" x14ac:dyDescent="0.3">
      <c r="A46" s="48"/>
      <c r="B46" s="61">
        <f>'Revenue Input'!B48</f>
        <v>8686</v>
      </c>
      <c r="C46" s="61" t="str">
        <f>'Revenue Input'!C48</f>
        <v>Donations</v>
      </c>
      <c r="D46" s="60" t="str">
        <f>IF('Revenue Input'!$H48="","",IF('Cash Flow %s Yr1'!D41="","",'Cash Flow %s Yr1'!D41*'Revenue Input'!$H48))</f>
        <v/>
      </c>
      <c r="E46" s="60" t="str">
        <f>IF('Revenue Input'!$H48="","",IF('Cash Flow %s Yr1'!E41="","",'Cash Flow %s Yr1'!E41*'Revenue Input'!$H48))</f>
        <v/>
      </c>
      <c r="F46" s="60" t="str">
        <f>IF('Revenue Input'!$H48="","",IF('Cash Flow %s Yr1'!F41="","",'Cash Flow %s Yr1'!F41*'Revenue Input'!$H48))</f>
        <v/>
      </c>
      <c r="G46" s="60" t="str">
        <f>IF('Revenue Input'!$H48="","",IF('Cash Flow %s Yr1'!G41="","",'Cash Flow %s Yr1'!G41*'Revenue Input'!$H48))</f>
        <v/>
      </c>
      <c r="H46" s="60" t="str">
        <f>IF('Revenue Input'!$H48="","",IF('Cash Flow %s Yr1'!H41="","",'Cash Flow %s Yr1'!H41*'Revenue Input'!$H48))</f>
        <v/>
      </c>
      <c r="I46" s="60" t="str">
        <f>IF('Revenue Input'!$H48="","",IF('Cash Flow %s Yr1'!I41="","",'Cash Flow %s Yr1'!I41*'Revenue Input'!$H48))</f>
        <v/>
      </c>
      <c r="J46" s="60" t="str">
        <f>IF('Revenue Input'!$H48="","",IF('Cash Flow %s Yr1'!J41="","",'Cash Flow %s Yr1'!J41*'Revenue Input'!$H48))</f>
        <v/>
      </c>
      <c r="K46" s="60" t="str">
        <f>IF('Revenue Input'!$H48="","",IF('Cash Flow %s Yr1'!K41="","",'Cash Flow %s Yr1'!K41*'Revenue Input'!$H48))</f>
        <v/>
      </c>
      <c r="L46" s="60" t="str">
        <f>IF('Revenue Input'!$H48="","",IF('Cash Flow %s Yr1'!L41="","",'Cash Flow %s Yr1'!L41*'Revenue Input'!$H48))</f>
        <v/>
      </c>
      <c r="M46" s="60" t="str">
        <f>IF('Revenue Input'!$H48="","",IF('Cash Flow %s Yr1'!M41="","",'Cash Flow %s Yr1'!M41*'Revenue Input'!$H48))</f>
        <v/>
      </c>
      <c r="N46" s="60" t="str">
        <f>IF('Revenue Input'!$H48="","",IF('Cash Flow %s Yr1'!N41="","",'Cash Flow %s Yr1'!N41*'Revenue Input'!$H48))</f>
        <v/>
      </c>
      <c r="O46" s="60" t="str">
        <f>IF('Revenue Input'!$H48="","",IF('Cash Flow %s Yr1'!O41="","",'Cash Flow %s Yr1'!O41*'Revenue Input'!$H48))</f>
        <v/>
      </c>
      <c r="P46" s="60" t="str">
        <f>IF('Revenue Input'!$H48="","",IF('Cash Flow %s Yr1'!P41="","",'Cash Flow %s Yr1'!P41*'Revenue Input'!$H48))</f>
        <v/>
      </c>
      <c r="Q46" s="60" t="str">
        <f>IF('Revenue Input'!$H48="","",IF('Cash Flow %s Yr1'!Q41="","",'Cash Flow %s Yr1'!Q41*'Revenue Input'!$H48))</f>
        <v/>
      </c>
      <c r="R46" s="60" t="str">
        <f>IF('Revenue Input'!$H48="","",IF('Cash Flow %s Yr1'!R41="","",'Cash Flow %s Yr1'!R41*'Revenue Input'!$H48))</f>
        <v/>
      </c>
    </row>
    <row r="47" spans="1:18" s="30" customFormat="1" ht="17.399999999999999" x14ac:dyDescent="0.3">
      <c r="A47" s="45"/>
      <c r="B47" s="61">
        <f>'Revenue Input'!B49</f>
        <v>8687</v>
      </c>
      <c r="C47" s="61" t="str">
        <f>'Revenue Input'!C49</f>
        <v>Fund Development</v>
      </c>
      <c r="D47" s="60" t="str">
        <f>IF('Revenue Input'!$H49="","",IF('Cash Flow %s Yr1'!D42="","",'Cash Flow %s Yr1'!D42*'Revenue Input'!$H49))</f>
        <v/>
      </c>
      <c r="E47" s="60" t="str">
        <f>IF('Revenue Input'!$H49="","",IF('Cash Flow %s Yr1'!E42="","",'Cash Flow %s Yr1'!E42*'Revenue Input'!$H49))</f>
        <v/>
      </c>
      <c r="F47" s="60" t="str">
        <f>IF('Revenue Input'!$H49="","",IF('Cash Flow %s Yr1'!F42="","",'Cash Flow %s Yr1'!F42*'Revenue Input'!$H49))</f>
        <v/>
      </c>
      <c r="G47" s="60" t="str">
        <f>IF('Revenue Input'!$H49="","",IF('Cash Flow %s Yr1'!G42="","",'Cash Flow %s Yr1'!G42*'Revenue Input'!$H49))</f>
        <v/>
      </c>
      <c r="H47" s="60" t="str">
        <f>IF('Revenue Input'!$H49="","",IF('Cash Flow %s Yr1'!H42="","",'Cash Flow %s Yr1'!H42*'Revenue Input'!$H49))</f>
        <v/>
      </c>
      <c r="I47" s="60" t="str">
        <f>IF('Revenue Input'!$H49="","",IF('Cash Flow %s Yr1'!I42="","",'Cash Flow %s Yr1'!I42*'Revenue Input'!$H49))</f>
        <v/>
      </c>
      <c r="J47" s="60" t="str">
        <f>IF('Revenue Input'!$H49="","",IF('Cash Flow %s Yr1'!J42="","",'Cash Flow %s Yr1'!J42*'Revenue Input'!$H49))</f>
        <v/>
      </c>
      <c r="K47" s="60" t="str">
        <f>IF('Revenue Input'!$H49="","",IF('Cash Flow %s Yr1'!K42="","",'Cash Flow %s Yr1'!K42*'Revenue Input'!$H49))</f>
        <v/>
      </c>
      <c r="L47" s="60" t="str">
        <f>IF('Revenue Input'!$H49="","",IF('Cash Flow %s Yr1'!L42="","",'Cash Flow %s Yr1'!L42*'Revenue Input'!$H49))</f>
        <v/>
      </c>
      <c r="M47" s="60" t="str">
        <f>IF('Revenue Input'!$H49="","",IF('Cash Flow %s Yr1'!M42="","",'Cash Flow %s Yr1'!M42*'Revenue Input'!$H49))</f>
        <v/>
      </c>
      <c r="N47" s="60" t="str">
        <f>IF('Revenue Input'!$H49="","",IF('Cash Flow %s Yr1'!N42="","",'Cash Flow %s Yr1'!N42*'Revenue Input'!$H49))</f>
        <v/>
      </c>
      <c r="O47" s="60" t="str">
        <f>IF('Revenue Input'!$H49="","",IF('Cash Flow %s Yr1'!O42="","",'Cash Flow %s Yr1'!O42*'Revenue Input'!$H49))</f>
        <v/>
      </c>
      <c r="P47" s="60" t="str">
        <f>IF('Revenue Input'!$H49="","",IF('Cash Flow %s Yr1'!P42="","",'Cash Flow %s Yr1'!P42*'Revenue Input'!$H49))</f>
        <v/>
      </c>
      <c r="Q47" s="60" t="str">
        <f>IF('Revenue Input'!$H49="","",IF('Cash Flow %s Yr1'!Q42="","",'Cash Flow %s Yr1'!Q42*'Revenue Input'!$H49))</f>
        <v/>
      </c>
      <c r="R47" s="60" t="str">
        <f>IF('Revenue Input'!$H49="","",IF('Cash Flow %s Yr1'!R42="","",'Cash Flow %s Yr1'!R42*'Revenue Input'!$H49))</f>
        <v/>
      </c>
    </row>
    <row r="48" spans="1:18" s="30" customFormat="1" ht="17.399999999999999" x14ac:dyDescent="0.3">
      <c r="A48" s="45"/>
      <c r="B48" s="61">
        <f>'Revenue Input'!B50</f>
        <v>8688</v>
      </c>
      <c r="C48" s="61" t="str">
        <f>'Revenue Input'!C50</f>
        <v>In Kind Contributions</v>
      </c>
      <c r="D48" s="60" t="str">
        <f>IF('Revenue Input'!$H50="","",IF('Cash Flow %s Yr1'!D43="","",'Cash Flow %s Yr1'!D43*'Revenue Input'!$H50))</f>
        <v/>
      </c>
      <c r="E48" s="60" t="str">
        <f>IF('Revenue Input'!$H50="","",IF('Cash Flow %s Yr1'!E43="","",'Cash Flow %s Yr1'!E43*'Revenue Input'!$H50))</f>
        <v/>
      </c>
      <c r="F48" s="60" t="str">
        <f>IF('Revenue Input'!$H50="","",IF('Cash Flow %s Yr1'!F43="","",'Cash Flow %s Yr1'!F43*'Revenue Input'!$H50))</f>
        <v/>
      </c>
      <c r="G48" s="60" t="str">
        <f>IF('Revenue Input'!$H50="","",IF('Cash Flow %s Yr1'!G43="","",'Cash Flow %s Yr1'!G43*'Revenue Input'!$H50))</f>
        <v/>
      </c>
      <c r="H48" s="60" t="str">
        <f>IF('Revenue Input'!$H50="","",IF('Cash Flow %s Yr1'!H43="","",'Cash Flow %s Yr1'!H43*'Revenue Input'!$H50))</f>
        <v/>
      </c>
      <c r="I48" s="60" t="str">
        <f>IF('Revenue Input'!$H50="","",IF('Cash Flow %s Yr1'!I43="","",'Cash Flow %s Yr1'!I43*'Revenue Input'!$H50))</f>
        <v/>
      </c>
      <c r="J48" s="60" t="str">
        <f>IF('Revenue Input'!$H50="","",IF('Cash Flow %s Yr1'!J43="","",'Cash Flow %s Yr1'!J43*'Revenue Input'!$H50))</f>
        <v/>
      </c>
      <c r="K48" s="60" t="str">
        <f>IF('Revenue Input'!$H50="","",IF('Cash Flow %s Yr1'!K43="","",'Cash Flow %s Yr1'!K43*'Revenue Input'!$H50))</f>
        <v/>
      </c>
      <c r="L48" s="60" t="str">
        <f>IF('Revenue Input'!$H50="","",IF('Cash Flow %s Yr1'!L43="","",'Cash Flow %s Yr1'!L43*'Revenue Input'!$H50))</f>
        <v/>
      </c>
      <c r="M48" s="60" t="str">
        <f>IF('Revenue Input'!$H50="","",IF('Cash Flow %s Yr1'!M43="","",'Cash Flow %s Yr1'!M43*'Revenue Input'!$H50))</f>
        <v/>
      </c>
      <c r="N48" s="60" t="str">
        <f>IF('Revenue Input'!$H50="","",IF('Cash Flow %s Yr1'!N43="","",'Cash Flow %s Yr1'!N43*'Revenue Input'!$H50))</f>
        <v/>
      </c>
      <c r="O48" s="60" t="str">
        <f>IF('Revenue Input'!$H50="","",IF('Cash Flow %s Yr1'!O43="","",'Cash Flow %s Yr1'!O43*'Revenue Input'!$H50))</f>
        <v/>
      </c>
      <c r="P48" s="60" t="str">
        <f>IF('Revenue Input'!$H50="","",IF('Cash Flow %s Yr1'!P43="","",'Cash Flow %s Yr1'!P43*'Revenue Input'!$H50))</f>
        <v/>
      </c>
      <c r="Q48" s="60" t="str">
        <f>IF('Revenue Input'!$H50="","",IF('Cash Flow %s Yr1'!Q43="","",'Cash Flow %s Yr1'!Q43*'Revenue Input'!$H50))</f>
        <v/>
      </c>
      <c r="R48" s="60" t="str">
        <f>IF('Revenue Input'!$H50="","",IF('Cash Flow %s Yr1'!R43="","",'Cash Flow %s Yr1'!R43*'Revenue Input'!$H50))</f>
        <v/>
      </c>
    </row>
    <row r="49" spans="1:18" s="30" customFormat="1" ht="17.399999999999999" x14ac:dyDescent="0.3">
      <c r="A49" s="45"/>
      <c r="B49" s="61">
        <f>'Revenue Input'!B51</f>
        <v>8689</v>
      </c>
      <c r="C49" s="61" t="str">
        <f>'Revenue Input'!C51</f>
        <v xml:space="preserve">All Other Local Revenue </v>
      </c>
      <c r="D49" s="60" t="str">
        <f>IF('Revenue Input'!$H51="","",IF('Cash Flow %s Yr1'!D44="","",'Cash Flow %s Yr1'!D44*'Revenue Input'!$H51))</f>
        <v/>
      </c>
      <c r="E49" s="60" t="str">
        <f>IF('Revenue Input'!$H51="","",IF('Cash Flow %s Yr1'!E44="","",'Cash Flow %s Yr1'!E44*'Revenue Input'!$H51))</f>
        <v/>
      </c>
      <c r="F49" s="60" t="str">
        <f>IF('Revenue Input'!$H51="","",IF('Cash Flow %s Yr1'!F44="","",'Cash Flow %s Yr1'!F44*'Revenue Input'!$H51))</f>
        <v/>
      </c>
      <c r="G49" s="60" t="str">
        <f>IF('Revenue Input'!$H51="","",IF('Cash Flow %s Yr1'!G44="","",'Cash Flow %s Yr1'!G44*'Revenue Input'!$H51))</f>
        <v/>
      </c>
      <c r="H49" s="60" t="str">
        <f>IF('Revenue Input'!$H51="","",IF('Cash Flow %s Yr1'!H44="","",'Cash Flow %s Yr1'!H44*'Revenue Input'!$H51))</f>
        <v/>
      </c>
      <c r="I49" s="60" t="str">
        <f>IF('Revenue Input'!$H51="","",IF('Cash Flow %s Yr1'!I44="","",'Cash Flow %s Yr1'!I44*'Revenue Input'!$H51))</f>
        <v/>
      </c>
      <c r="J49" s="60" t="str">
        <f>IF('Revenue Input'!$H51="","",IF('Cash Flow %s Yr1'!J44="","",'Cash Flow %s Yr1'!J44*'Revenue Input'!$H51))</f>
        <v/>
      </c>
      <c r="K49" s="60" t="str">
        <f>IF('Revenue Input'!$H51="","",IF('Cash Flow %s Yr1'!K44="","",'Cash Flow %s Yr1'!K44*'Revenue Input'!$H51))</f>
        <v/>
      </c>
      <c r="L49" s="60" t="str">
        <f>IF('Revenue Input'!$H51="","",IF('Cash Flow %s Yr1'!L44="","",'Cash Flow %s Yr1'!L44*'Revenue Input'!$H51))</f>
        <v/>
      </c>
      <c r="M49" s="60" t="str">
        <f>IF('Revenue Input'!$H51="","",IF('Cash Flow %s Yr1'!M44="","",'Cash Flow %s Yr1'!M44*'Revenue Input'!$H51))</f>
        <v/>
      </c>
      <c r="N49" s="60" t="str">
        <f>IF('Revenue Input'!$H51="","",IF('Cash Flow %s Yr1'!N44="","",'Cash Flow %s Yr1'!N44*'Revenue Input'!$H51))</f>
        <v/>
      </c>
      <c r="O49" s="60" t="str">
        <f>IF('Revenue Input'!$H51="","",IF('Cash Flow %s Yr1'!O44="","",'Cash Flow %s Yr1'!O44*'Revenue Input'!$H51))</f>
        <v/>
      </c>
      <c r="P49" s="60" t="str">
        <f>IF('Revenue Input'!$H51="","",IF('Cash Flow %s Yr1'!P44="","",'Cash Flow %s Yr1'!P44*'Revenue Input'!$H51))</f>
        <v/>
      </c>
      <c r="Q49" s="60" t="str">
        <f>IF('Revenue Input'!$H51="","",IF('Cash Flow %s Yr1'!Q44="","",'Cash Flow %s Yr1'!Q44*'Revenue Input'!$H51))</f>
        <v/>
      </c>
      <c r="R49" s="60" t="str">
        <f>IF('Revenue Input'!$H51="","",IF('Cash Flow %s Yr1'!R44="","",'Cash Flow %s Yr1'!R44*'Revenue Input'!$H51))</f>
        <v/>
      </c>
    </row>
    <row r="50" spans="1:18" s="30" customFormat="1" ht="17.399999999999999" x14ac:dyDescent="0.3">
      <c r="A50" s="45"/>
      <c r="B50" s="61">
        <f>'Revenue Input'!B52</f>
        <v>8699</v>
      </c>
      <c r="C50" s="61" t="str">
        <f>'Revenue Input'!C52</f>
        <v xml:space="preserve">All Other Local Revenue </v>
      </c>
      <c r="D50" s="60">
        <f>IF('Revenue Input'!$H52="","",IF('Cash Flow %s Yr1'!D45="","",'Cash Flow %s Yr1'!D45*'Revenue Input'!$H52))</f>
        <v>0</v>
      </c>
      <c r="E50" s="60">
        <f>IF('Revenue Input'!$H52="","",IF('Cash Flow %s Yr1'!E45="","",'Cash Flow %s Yr1'!E45*'Revenue Input'!$H52))</f>
        <v>0</v>
      </c>
      <c r="F50" s="60">
        <f>IF('Revenue Input'!$H52="","",IF('Cash Flow %s Yr1'!F45="","",'Cash Flow %s Yr1'!F45*'Revenue Input'!$H52))</f>
        <v>140</v>
      </c>
      <c r="G50" s="60">
        <f>IF('Revenue Input'!$H52="","",IF('Cash Flow %s Yr1'!G45="","",'Cash Flow %s Yr1'!G45*'Revenue Input'!$H52))</f>
        <v>140</v>
      </c>
      <c r="H50" s="60">
        <f>IF('Revenue Input'!$H52="","",IF('Cash Flow %s Yr1'!H45="","",'Cash Flow %s Yr1'!H45*'Revenue Input'!$H52))</f>
        <v>140</v>
      </c>
      <c r="I50" s="60">
        <f>IF('Revenue Input'!$H52="","",IF('Cash Flow %s Yr1'!I45="","",'Cash Flow %s Yr1'!I45*'Revenue Input'!$H52))</f>
        <v>140</v>
      </c>
      <c r="J50" s="60">
        <f>IF('Revenue Input'!$H52="","",IF('Cash Flow %s Yr1'!J45="","",'Cash Flow %s Yr1'!J45*'Revenue Input'!$H52))</f>
        <v>140</v>
      </c>
      <c r="K50" s="60">
        <f>IF('Revenue Input'!$H52="","",IF('Cash Flow %s Yr1'!K45="","",'Cash Flow %s Yr1'!K45*'Revenue Input'!$H52))</f>
        <v>140</v>
      </c>
      <c r="L50" s="60">
        <f>IF('Revenue Input'!$H52="","",IF('Cash Flow %s Yr1'!L45="","",'Cash Flow %s Yr1'!L45*'Revenue Input'!$H52))</f>
        <v>140</v>
      </c>
      <c r="M50" s="60">
        <f>IF('Revenue Input'!$H52="","",IF('Cash Flow %s Yr1'!M45="","",'Cash Flow %s Yr1'!M45*'Revenue Input'!$H52))</f>
        <v>140</v>
      </c>
      <c r="N50" s="60">
        <f>IF('Revenue Input'!$H52="","",IF('Cash Flow %s Yr1'!N45="","",'Cash Flow %s Yr1'!N45*'Revenue Input'!$H52))</f>
        <v>140</v>
      </c>
      <c r="O50" s="60">
        <f>IF('Revenue Input'!$H52="","",IF('Cash Flow %s Yr1'!O45="","",'Cash Flow %s Yr1'!O45*'Revenue Input'!$H52))</f>
        <v>140</v>
      </c>
      <c r="P50" s="60" t="str">
        <f>IF('Revenue Input'!$H52="","",IF('Cash Flow %s Yr1'!P45="","",'Cash Flow %s Yr1'!P45*'Revenue Input'!$H52))</f>
        <v/>
      </c>
      <c r="Q50" s="60" t="str">
        <f>IF('Revenue Input'!$H52="","",IF('Cash Flow %s Yr1'!Q45="","",'Cash Flow %s Yr1'!Q45*'Revenue Input'!$H52))</f>
        <v/>
      </c>
      <c r="R50" s="60" t="str">
        <f>IF('Revenue Input'!$H52="","",IF('Cash Flow %s Yr1'!R45="","",'Cash Flow %s Yr1'!R45*'Revenue Input'!$H52))</f>
        <v/>
      </c>
    </row>
    <row r="51" spans="1:18" s="30" customFormat="1" ht="17.399999999999999" x14ac:dyDescent="0.3">
      <c r="A51" s="45"/>
      <c r="B51" s="61">
        <f>'Revenue Input'!B53</f>
        <v>8792</v>
      </c>
      <c r="C51" s="61" t="str">
        <f>'Revenue Input'!C53</f>
        <v>SPED State/Other Transfers of Apportionments from County</v>
      </c>
      <c r="D51" s="60" t="str">
        <f>IF('Revenue Input'!$H53="","",IF('Cash Flow %s Yr1'!D46="","",'Cash Flow %s Yr1'!D46*'Revenue Input'!$H53))</f>
        <v/>
      </c>
      <c r="E51" s="60" t="str">
        <f>IF('Revenue Input'!$H53="","",IF('Cash Flow %s Yr1'!E46="","",'Cash Flow %s Yr1'!E46*'Revenue Input'!$H53))</f>
        <v/>
      </c>
      <c r="F51" s="60" t="str">
        <f>IF('Revenue Input'!$H53="","",IF('Cash Flow %s Yr1'!F46="","",'Cash Flow %s Yr1'!F46*'Revenue Input'!$H53))</f>
        <v/>
      </c>
      <c r="G51" s="60" t="str">
        <f>IF('Revenue Input'!$H53="","",IF('Cash Flow %s Yr1'!G46="","",'Cash Flow %s Yr1'!G46*'Revenue Input'!$H53))</f>
        <v/>
      </c>
      <c r="H51" s="60" t="str">
        <f>IF('Revenue Input'!$H53="","",IF('Cash Flow %s Yr1'!H46="","",'Cash Flow %s Yr1'!H46*'Revenue Input'!$H53))</f>
        <v/>
      </c>
      <c r="I51" s="60" t="str">
        <f>IF('Revenue Input'!$H53="","",IF('Cash Flow %s Yr1'!I46="","",'Cash Flow %s Yr1'!I46*'Revenue Input'!$H53))</f>
        <v/>
      </c>
      <c r="J51" s="60" t="str">
        <f>IF('Revenue Input'!$H53="","",IF('Cash Flow %s Yr1'!J46="","",'Cash Flow %s Yr1'!J46*'Revenue Input'!$H53))</f>
        <v/>
      </c>
      <c r="K51" s="60" t="str">
        <f>IF('Revenue Input'!$H53="","",IF('Cash Flow %s Yr1'!K46="","",'Cash Flow %s Yr1'!K46*'Revenue Input'!$H53))</f>
        <v/>
      </c>
      <c r="L51" s="60" t="str">
        <f>IF('Revenue Input'!$H53="","",IF('Cash Flow %s Yr1'!L46="","",'Cash Flow %s Yr1'!L46*'Revenue Input'!$H53))</f>
        <v/>
      </c>
      <c r="M51" s="60" t="str">
        <f>IF('Revenue Input'!$H53="","",IF('Cash Flow %s Yr1'!M46="","",'Cash Flow %s Yr1'!M46*'Revenue Input'!$H53))</f>
        <v/>
      </c>
      <c r="N51" s="60" t="str">
        <f>IF('Revenue Input'!$H53="","",IF('Cash Flow %s Yr1'!N46="","",'Cash Flow %s Yr1'!N46*'Revenue Input'!$H53))</f>
        <v/>
      </c>
      <c r="O51" s="60" t="str">
        <f>IF('Revenue Input'!$H53="","",IF('Cash Flow %s Yr1'!O46="","",'Cash Flow %s Yr1'!O46*'Revenue Input'!$H53))</f>
        <v/>
      </c>
      <c r="P51" s="60" t="str">
        <f>IF('Revenue Input'!$H53="","",IF('Cash Flow %s Yr1'!P46="","",'Cash Flow %s Yr1'!P46*'Revenue Input'!$H53))</f>
        <v/>
      </c>
      <c r="Q51" s="60" t="str">
        <f>IF('Revenue Input'!$H53="","",IF('Cash Flow %s Yr1'!Q46="","",'Cash Flow %s Yr1'!Q46*'Revenue Input'!$H53))</f>
        <v/>
      </c>
      <c r="R51" s="60" t="str">
        <f>IF('Revenue Input'!$H53="","",IF('Cash Flow %s Yr1'!R46="","",'Cash Flow %s Yr1'!R46*'Revenue Input'!$H53))</f>
        <v/>
      </c>
    </row>
    <row r="52" spans="1:18" s="30" customFormat="1" ht="17.399999999999999" x14ac:dyDescent="0.3">
      <c r="A52" s="45"/>
      <c r="B52" s="61">
        <f>'Revenue Input'!B55</f>
        <v>8984</v>
      </c>
      <c r="C52" s="61" t="str">
        <f>'Revenue Input'!C55</f>
        <v>Student Body (ASB Fundraising)</v>
      </c>
      <c r="D52" s="60" t="str">
        <f>IF('Revenue Input'!$H55="","",IF('Cash Flow %s Yr1'!D47="","",'Cash Flow %s Yr1'!D47*'Revenue Input'!$H55))</f>
        <v/>
      </c>
      <c r="E52" s="60" t="str">
        <f>IF('Revenue Input'!$H55="","",IF('Cash Flow %s Yr1'!E47="","",'Cash Flow %s Yr1'!E47*'Revenue Input'!$H55))</f>
        <v/>
      </c>
      <c r="F52" s="60" t="str">
        <f>IF('Revenue Input'!$H55="","",IF('Cash Flow %s Yr1'!F47="","",'Cash Flow %s Yr1'!F47*'Revenue Input'!$H55))</f>
        <v/>
      </c>
      <c r="G52" s="60" t="str">
        <f>IF('Revenue Input'!$H55="","",IF('Cash Flow %s Yr1'!G47="","",'Cash Flow %s Yr1'!G47*'Revenue Input'!$H55))</f>
        <v/>
      </c>
      <c r="H52" s="60" t="str">
        <f>IF('Revenue Input'!$H55="","",IF('Cash Flow %s Yr1'!H47="","",'Cash Flow %s Yr1'!H47*'Revenue Input'!$H55))</f>
        <v/>
      </c>
      <c r="I52" s="60" t="str">
        <f>IF('Revenue Input'!$H55="","",IF('Cash Flow %s Yr1'!I47="","",'Cash Flow %s Yr1'!I47*'Revenue Input'!$H55))</f>
        <v/>
      </c>
      <c r="J52" s="60" t="str">
        <f>IF('Revenue Input'!$H55="","",IF('Cash Flow %s Yr1'!J47="","",'Cash Flow %s Yr1'!J47*'Revenue Input'!$H55))</f>
        <v/>
      </c>
      <c r="K52" s="60" t="str">
        <f>IF('Revenue Input'!$H55="","",IF('Cash Flow %s Yr1'!K47="","",'Cash Flow %s Yr1'!K47*'Revenue Input'!$H55))</f>
        <v/>
      </c>
      <c r="L52" s="60" t="str">
        <f>IF('Revenue Input'!$H55="","",IF('Cash Flow %s Yr1'!L47="","",'Cash Flow %s Yr1'!L47*'Revenue Input'!$H55))</f>
        <v/>
      </c>
      <c r="M52" s="60" t="str">
        <f>IF('Revenue Input'!$H55="","",IF('Cash Flow %s Yr1'!M47="","",'Cash Flow %s Yr1'!M47*'Revenue Input'!$H55))</f>
        <v/>
      </c>
      <c r="N52" s="60" t="str">
        <f>IF('Revenue Input'!$H55="","",IF('Cash Flow %s Yr1'!N47="","",'Cash Flow %s Yr1'!N47*'Revenue Input'!$H55))</f>
        <v/>
      </c>
      <c r="O52" s="60" t="str">
        <f>IF('Revenue Input'!$H55="","",IF('Cash Flow %s Yr1'!O47="","",'Cash Flow %s Yr1'!O47*'Revenue Input'!$H55))</f>
        <v/>
      </c>
      <c r="P52" s="60" t="str">
        <f>IF('Revenue Input'!$H55="","",IF('Cash Flow %s Yr1'!P47="","",'Cash Flow %s Yr1'!P47*'Revenue Input'!$H55))</f>
        <v/>
      </c>
      <c r="Q52" s="60" t="str">
        <f>IF('Revenue Input'!$H55="","",IF('Cash Flow %s Yr1'!Q47="","",'Cash Flow %s Yr1'!Q47*'Revenue Input'!$H55))</f>
        <v/>
      </c>
      <c r="R52" s="60" t="str">
        <f>IF('Revenue Input'!$H55="","",IF('Cash Flow %s Yr1'!R47="","",'Cash Flow %s Yr1'!R47*'Revenue Input'!$H55))</f>
        <v/>
      </c>
    </row>
    <row r="53" spans="1:18" s="30" customFormat="1" ht="17.399999999999999" x14ac:dyDescent="0.3">
      <c r="A53" s="45"/>
      <c r="B53" s="61"/>
      <c r="C53" s="61"/>
      <c r="D53" s="60"/>
      <c r="E53" s="60"/>
      <c r="F53" s="60"/>
      <c r="G53" s="60"/>
      <c r="H53" s="60"/>
      <c r="I53" s="60"/>
      <c r="J53" s="60"/>
      <c r="K53" s="60"/>
      <c r="L53" s="60"/>
      <c r="M53" s="60"/>
      <c r="N53" s="60"/>
      <c r="O53" s="60"/>
      <c r="P53" s="60"/>
      <c r="Q53" s="60"/>
      <c r="R53" s="60"/>
    </row>
    <row r="54" spans="1:18" s="30" customFormat="1" ht="17.399999999999999" x14ac:dyDescent="0.3">
      <c r="A54" s="45"/>
      <c r="B54" s="61"/>
      <c r="C54" s="61"/>
      <c r="D54" s="60"/>
      <c r="E54" s="60"/>
      <c r="F54" s="60"/>
      <c r="G54" s="60"/>
      <c r="H54" s="60"/>
      <c r="I54" s="60"/>
      <c r="J54" s="60"/>
      <c r="K54" s="60"/>
      <c r="L54" s="60"/>
      <c r="M54" s="60"/>
      <c r="N54" s="60"/>
      <c r="O54" s="60"/>
      <c r="P54" s="60"/>
      <c r="Q54" s="60"/>
      <c r="R54" s="60"/>
    </row>
    <row r="55" spans="1:18" s="30" customFormat="1" ht="17.399999999999999" x14ac:dyDescent="0.3">
      <c r="A55" s="45"/>
      <c r="B55" s="68"/>
      <c r="C55" s="33" t="s">
        <v>1259</v>
      </c>
      <c r="D55" s="183">
        <f t="shared" ref="D55:R55" si="2">SUM(D42:D54)</f>
        <v>890.00900000000001</v>
      </c>
      <c r="E55" s="183">
        <f t="shared" si="2"/>
        <v>890.00900000000001</v>
      </c>
      <c r="F55" s="183">
        <f t="shared" si="2"/>
        <v>3127.509</v>
      </c>
      <c r="G55" s="183">
        <f>SUM(G42:G54)</f>
        <v>3127.509</v>
      </c>
      <c r="H55" s="183">
        <f t="shared" si="2"/>
        <v>3127.509</v>
      </c>
      <c r="I55" s="183">
        <f t="shared" si="2"/>
        <v>3127.509</v>
      </c>
      <c r="J55" s="183">
        <f t="shared" si="2"/>
        <v>3127.509</v>
      </c>
      <c r="K55" s="183">
        <f t="shared" si="2"/>
        <v>3127.509</v>
      </c>
      <c r="L55" s="183">
        <f t="shared" si="2"/>
        <v>3138.232</v>
      </c>
      <c r="M55" s="183">
        <f t="shared" si="2"/>
        <v>3138.232</v>
      </c>
      <c r="N55" s="183">
        <f t="shared" si="2"/>
        <v>3138.232</v>
      </c>
      <c r="O55" s="183">
        <f t="shared" si="2"/>
        <v>3138.232</v>
      </c>
      <c r="P55" s="183">
        <f t="shared" si="2"/>
        <v>0</v>
      </c>
      <c r="Q55" s="183">
        <f t="shared" si="2"/>
        <v>0</v>
      </c>
      <c r="R55" s="183">
        <f t="shared" si="2"/>
        <v>0</v>
      </c>
    </row>
    <row r="56" spans="1:18" s="30" customFormat="1" ht="17.399999999999999" x14ac:dyDescent="0.3">
      <c r="A56" s="45"/>
      <c r="B56" s="47" t="s">
        <v>676</v>
      </c>
      <c r="C56" s="48"/>
      <c r="D56" s="184">
        <f t="shared" ref="D56:R56" si="3">SUM(D55,D39,D28)</f>
        <v>26597.309000000001</v>
      </c>
      <c r="E56" s="184">
        <f t="shared" si="3"/>
        <v>49698.508999999998</v>
      </c>
      <c r="F56" s="184">
        <f t="shared" si="3"/>
        <v>118285.54900000001</v>
      </c>
      <c r="G56" s="184">
        <f>SUM(G55,G39,G28)</f>
        <v>80202.249000000011</v>
      </c>
      <c r="H56" s="184">
        <f t="shared" si="3"/>
        <v>87013.785260000004</v>
      </c>
      <c r="I56" s="184">
        <f t="shared" si="3"/>
        <v>103299.92346000001</v>
      </c>
      <c r="J56" s="184">
        <f t="shared" si="3"/>
        <v>106089.17346000001</v>
      </c>
      <c r="K56" s="184">
        <f t="shared" si="3"/>
        <v>84227.05846</v>
      </c>
      <c r="L56" s="184">
        <f t="shared" si="3"/>
        <v>126411.84646</v>
      </c>
      <c r="M56" s="184">
        <f t="shared" si="3"/>
        <v>113861.44646000001</v>
      </c>
      <c r="N56" s="184">
        <f t="shared" si="3"/>
        <v>80387.581460000001</v>
      </c>
      <c r="O56" s="184">
        <f t="shared" si="3"/>
        <v>150894.12557999996</v>
      </c>
      <c r="P56" s="184">
        <f t="shared" si="3"/>
        <v>0</v>
      </c>
      <c r="Q56" s="184">
        <f t="shared" si="3"/>
        <v>0</v>
      </c>
      <c r="R56" s="184">
        <f t="shared" si="3"/>
        <v>0</v>
      </c>
    </row>
    <row r="57" spans="1:18" s="30" customFormat="1" ht="17.399999999999999" x14ac:dyDescent="0.3">
      <c r="A57" s="45"/>
      <c r="B57" s="68"/>
      <c r="C57" s="48"/>
      <c r="D57" s="121"/>
      <c r="E57" s="121"/>
      <c r="F57" s="121"/>
      <c r="G57" s="121"/>
      <c r="H57" s="121"/>
      <c r="I57" s="121"/>
      <c r="J57" s="121"/>
      <c r="K57" s="121"/>
      <c r="L57" s="121"/>
      <c r="M57" s="121"/>
      <c r="N57" s="121"/>
      <c r="O57" s="121"/>
      <c r="P57" s="121"/>
      <c r="Q57" s="121"/>
      <c r="R57" s="121"/>
    </row>
    <row r="58" spans="1:18" s="30" customFormat="1" ht="17.399999999999999" x14ac:dyDescent="0.3">
      <c r="A58" s="45" t="s">
        <v>796</v>
      </c>
      <c r="B58" s="69"/>
      <c r="C58" s="33"/>
      <c r="D58" s="122"/>
      <c r="E58" s="122"/>
      <c r="F58" s="122"/>
      <c r="G58" s="122"/>
      <c r="H58" s="122"/>
      <c r="I58" s="122"/>
      <c r="J58" s="122"/>
      <c r="K58" s="122"/>
      <c r="L58" s="122"/>
      <c r="M58" s="122"/>
      <c r="N58" s="122"/>
      <c r="O58" s="122"/>
      <c r="P58" s="122"/>
      <c r="Q58" s="122"/>
      <c r="R58" s="122"/>
    </row>
    <row r="59" spans="1:18" x14ac:dyDescent="0.3">
      <c r="A59" s="1"/>
      <c r="B59" s="33" t="s">
        <v>732</v>
      </c>
      <c r="C59" s="3"/>
      <c r="D59" s="101"/>
      <c r="E59" s="101"/>
      <c r="F59" s="101"/>
      <c r="G59" s="101"/>
      <c r="H59" s="101"/>
      <c r="I59" s="101"/>
      <c r="J59" s="101"/>
      <c r="K59" s="101"/>
      <c r="L59" s="101"/>
      <c r="M59" s="101"/>
      <c r="N59" s="101"/>
      <c r="O59" s="101"/>
      <c r="P59" s="101"/>
      <c r="Q59" s="101"/>
      <c r="R59" s="101"/>
    </row>
    <row r="60" spans="1:18" x14ac:dyDescent="0.3">
      <c r="A60" s="35"/>
      <c r="B60" s="63" t="str">
        <f>'Expenses Summary'!B8</f>
        <v>1100</v>
      </c>
      <c r="C60" s="63" t="str">
        <f>'Expenses Summary'!C8</f>
        <v>Teachers'  Salaries</v>
      </c>
      <c r="D60" s="60">
        <f>IF('Expenses Summary'!$U8="","",IF('Cash Flow %s Yr1'!D55="","",'Cash Flow %s Yr1'!D55*'Expenses Summary'!$U8))</f>
        <v>4408.1668079999999</v>
      </c>
      <c r="E60" s="60">
        <f>IF('Expenses Summary'!$U8="","",IF('Cash Flow %s Yr1'!E55="","",'Cash Flow %s Yr1'!E55*'Expenses Summary'!$U8))</f>
        <v>11020.417020000001</v>
      </c>
      <c r="F60" s="60">
        <f>IF('Expenses Summary'!$U8="","",IF('Cash Flow %s Yr1'!F55="","",'Cash Flow %s Yr1'!F55*'Expenses Summary'!$U8))</f>
        <v>22040.834040000002</v>
      </c>
      <c r="G60" s="60">
        <f>IF('Expenses Summary'!$U8="","",IF('Cash Flow %s Yr1'!G55="","",'Cash Flow %s Yr1'!G55*'Expenses Summary'!$U8))</f>
        <v>22040.834040000002</v>
      </c>
      <c r="H60" s="60">
        <f>IF('Expenses Summary'!$U8="","",IF('Cash Flow %s Yr1'!H55="","",'Cash Flow %s Yr1'!H55*'Expenses Summary'!$U8))</f>
        <v>22040.834040000002</v>
      </c>
      <c r="I60" s="60">
        <f>IF('Expenses Summary'!$U8="","",IF('Cash Flow %s Yr1'!I55="","",'Cash Flow %s Yr1'!I55*'Expenses Summary'!$U8))</f>
        <v>22040.834040000002</v>
      </c>
      <c r="J60" s="60">
        <f>IF('Expenses Summary'!$U8="","",IF('Cash Flow %s Yr1'!J55="","",'Cash Flow %s Yr1'!J55*'Expenses Summary'!$U8))</f>
        <v>22040.834040000002</v>
      </c>
      <c r="K60" s="60">
        <f>IF('Expenses Summary'!$U8="","",IF('Cash Flow %s Yr1'!K55="","",'Cash Flow %s Yr1'!K55*'Expenses Summary'!$U8))</f>
        <v>22040.834040000002</v>
      </c>
      <c r="L60" s="60">
        <f>IF('Expenses Summary'!$U8="","",IF('Cash Flow %s Yr1'!L55="","",'Cash Flow %s Yr1'!L55*'Expenses Summary'!$U8))</f>
        <v>22040.834040000002</v>
      </c>
      <c r="M60" s="60">
        <f>IF('Expenses Summary'!$U8="","",IF('Cash Flow %s Yr1'!M55="","",'Cash Flow %s Yr1'!M55*'Expenses Summary'!$U8))</f>
        <v>22040.834040000002</v>
      </c>
      <c r="N60" s="60">
        <f>IF('Expenses Summary'!$U8="","",IF('Cash Flow %s Yr1'!N55="","",'Cash Flow %s Yr1'!N55*'Expenses Summary'!$U8))</f>
        <v>22040.834040000002</v>
      </c>
      <c r="O60" s="60">
        <f>IF('Expenses Summary'!$U8="","",IF('Cash Flow %s Yr1'!O55="","",'Cash Flow %s Yr1'!O55*'Expenses Summary'!$U8))</f>
        <v>6612.250211999999</v>
      </c>
      <c r="P60" s="60" t="str">
        <f>IF('Expenses Summary'!$U8="","",IF('Cash Flow %s Yr1'!P55="","",'Cash Flow %s Yr1'!P55*'Expenses Summary'!$U8))</f>
        <v/>
      </c>
      <c r="Q60" s="123"/>
      <c r="R60" s="123"/>
    </row>
    <row r="61" spans="1:18" x14ac:dyDescent="0.3">
      <c r="A61" s="35"/>
      <c r="B61" s="63" t="str">
        <f>'Expenses Summary'!B9</f>
        <v>1105</v>
      </c>
      <c r="C61" s="63" t="str">
        <f>'Expenses Summary'!C9</f>
        <v>Teachers'  Stipend</v>
      </c>
      <c r="D61" s="60">
        <f>IF('Expenses Summary'!$U9="","",IF('Cash Flow %s Yr1'!D56="","",'Cash Flow %s Yr1'!D56*'Expenses Summary'!$U9))</f>
        <v>0</v>
      </c>
      <c r="E61" s="60">
        <f>IF('Expenses Summary'!$U9="","",IF('Cash Flow %s Yr1'!E56="","",'Cash Flow %s Yr1'!E56*'Expenses Summary'!$U9))</f>
        <v>0</v>
      </c>
      <c r="F61" s="60">
        <f>IF('Expenses Summary'!$U9="","",IF('Cash Flow %s Yr1'!F56="","",'Cash Flow %s Yr1'!F56*'Expenses Summary'!$U9))</f>
        <v>0</v>
      </c>
      <c r="G61" s="60">
        <f>IF('Expenses Summary'!$U9="","",IF('Cash Flow %s Yr1'!G56="","",'Cash Flow %s Yr1'!G56*'Expenses Summary'!$U9))</f>
        <v>0</v>
      </c>
      <c r="H61" s="60">
        <f>IF('Expenses Summary'!$U9="","",IF('Cash Flow %s Yr1'!H56="","",'Cash Flow %s Yr1'!H56*'Expenses Summary'!$U9))</f>
        <v>0</v>
      </c>
      <c r="I61" s="60">
        <f>IF('Expenses Summary'!$U9="","",IF('Cash Flow %s Yr1'!I56="","",'Cash Flow %s Yr1'!I56*'Expenses Summary'!$U9))</f>
        <v>1000</v>
      </c>
      <c r="J61" s="60">
        <f>IF('Expenses Summary'!$U9="","",IF('Cash Flow %s Yr1'!J56="","",'Cash Flow %s Yr1'!J56*'Expenses Summary'!$U9))</f>
        <v>0</v>
      </c>
      <c r="K61" s="60">
        <f>IF('Expenses Summary'!$U9="","",IF('Cash Flow %s Yr1'!K56="","",'Cash Flow %s Yr1'!K56*'Expenses Summary'!$U9))</f>
        <v>0</v>
      </c>
      <c r="L61" s="60">
        <f>IF('Expenses Summary'!$U9="","",IF('Cash Flow %s Yr1'!L56="","",'Cash Flow %s Yr1'!L56*'Expenses Summary'!$U9))</f>
        <v>0</v>
      </c>
      <c r="M61" s="60">
        <f>IF('Expenses Summary'!$U9="","",IF('Cash Flow %s Yr1'!M56="","",'Cash Flow %s Yr1'!M56*'Expenses Summary'!$U9))</f>
        <v>0</v>
      </c>
      <c r="N61" s="60">
        <f>IF('Expenses Summary'!$U9="","",IF('Cash Flow %s Yr1'!N56="","",'Cash Flow %s Yr1'!N56*'Expenses Summary'!$U9))</f>
        <v>0</v>
      </c>
      <c r="O61" s="60">
        <f>IF('Expenses Summary'!$U9="","",IF('Cash Flow %s Yr1'!O56="","",'Cash Flow %s Yr1'!O56*'Expenses Summary'!$U9))</f>
        <v>1000</v>
      </c>
      <c r="P61" s="123"/>
      <c r="Q61" s="123"/>
      <c r="R61" s="123"/>
    </row>
    <row r="62" spans="1:18" x14ac:dyDescent="0.3">
      <c r="A62" s="35"/>
      <c r="B62" s="63" t="str">
        <f>'Expenses Summary'!B10</f>
        <v>1120</v>
      </c>
      <c r="C62" s="63" t="str">
        <f>'Expenses Summary'!C10</f>
        <v>Substitute Expense</v>
      </c>
      <c r="D62" s="60">
        <f>IF('Expenses Summary'!$U10="","",IF('Cash Flow %s Yr1'!D57="","",'Cash Flow %s Yr1'!D57*'Expenses Summary'!$U10))</f>
        <v>0</v>
      </c>
      <c r="E62" s="60">
        <f>IF('Expenses Summary'!$U10="","",IF('Cash Flow %s Yr1'!E57="","",'Cash Flow %s Yr1'!E57*'Expenses Summary'!$U10))</f>
        <v>0</v>
      </c>
      <c r="F62" s="60">
        <f>IF('Expenses Summary'!$U10="","",IF('Cash Flow %s Yr1'!F57="","",'Cash Flow %s Yr1'!F57*'Expenses Summary'!$U10))</f>
        <v>0</v>
      </c>
      <c r="G62" s="60">
        <f>IF('Expenses Summary'!$U10="","",IF('Cash Flow %s Yr1'!G57="","",'Cash Flow %s Yr1'!G57*'Expenses Summary'!$U10))</f>
        <v>0</v>
      </c>
      <c r="H62" s="60">
        <f>IF('Expenses Summary'!$U10="","",IF('Cash Flow %s Yr1'!H57="","",'Cash Flow %s Yr1'!H57*'Expenses Summary'!$U10))</f>
        <v>0</v>
      </c>
      <c r="I62" s="60">
        <f>IF('Expenses Summary'!$U10="","",IF('Cash Flow %s Yr1'!I57="","",'Cash Flow %s Yr1'!I57*'Expenses Summary'!$U10))</f>
        <v>0</v>
      </c>
      <c r="J62" s="60">
        <f>IF('Expenses Summary'!$U10="","",IF('Cash Flow %s Yr1'!J57="","",'Cash Flow %s Yr1'!J57*'Expenses Summary'!$U10))</f>
        <v>0</v>
      </c>
      <c r="K62" s="60">
        <f>IF('Expenses Summary'!$U10="","",IF('Cash Flow %s Yr1'!K57="","",'Cash Flow %s Yr1'!K57*'Expenses Summary'!$U10))</f>
        <v>0</v>
      </c>
      <c r="L62" s="60">
        <f>IF('Expenses Summary'!$U10="","",IF('Cash Flow %s Yr1'!L57="","",'Cash Flow %s Yr1'!L57*'Expenses Summary'!$U10))</f>
        <v>0</v>
      </c>
      <c r="M62" s="60">
        <f>IF('Expenses Summary'!$U10="","",IF('Cash Flow %s Yr1'!M57="","",'Cash Flow %s Yr1'!M57*'Expenses Summary'!$U10))</f>
        <v>0</v>
      </c>
      <c r="N62" s="60">
        <f>IF('Expenses Summary'!$U10="","",IF('Cash Flow %s Yr1'!N57="","",'Cash Flow %s Yr1'!N57*'Expenses Summary'!$U10))</f>
        <v>0</v>
      </c>
      <c r="O62" s="60">
        <f>IF('Expenses Summary'!$U10="","",IF('Cash Flow %s Yr1'!O57="","",'Cash Flow %s Yr1'!O57*'Expenses Summary'!$U10))</f>
        <v>0</v>
      </c>
      <c r="P62" s="123"/>
      <c r="Q62" s="123"/>
      <c r="R62" s="123"/>
    </row>
    <row r="63" spans="1:18" x14ac:dyDescent="0.3">
      <c r="A63" s="35"/>
      <c r="B63" s="63" t="str">
        <f>'Expenses Summary'!B11</f>
        <v>1200</v>
      </c>
      <c r="C63" s="63" t="str">
        <f>'Expenses Summary'!C11</f>
        <v>Certificated Pupil Support Salaries</v>
      </c>
      <c r="D63" s="60">
        <f>IF('Expenses Summary'!$U11="","",IF('Cash Flow %s Yr1'!D58="","",'Cash Flow %s Yr1'!D58*'Expenses Summary'!$U11))+'Expenses Summary'!D12*'Cash Flow %s Yr1'!D58</f>
        <v>0</v>
      </c>
      <c r="E63" s="60">
        <f>IF('Expenses Summary'!$U11="","",IF('Cash Flow %s Yr1'!E58="","",'Cash Flow %s Yr1'!E58*'Expenses Summary'!$U11))+'Expenses Summary'!R12*'Cash Flow %s Yr1'!E58</f>
        <v>0</v>
      </c>
      <c r="F63" s="60">
        <f>IF('Expenses Summary'!$U11="","",IF('Cash Flow %s Yr1'!F58="","",'Cash Flow %s Yr1'!F58*'Expenses Summary'!$U11))+'Expenses Summary'!$U$12*'Cash Flow %s Yr1'!F58</f>
        <v>0</v>
      </c>
      <c r="G63" s="60">
        <f>IF('Expenses Summary'!$U11="","",IF('Cash Flow %s Yr1'!G58="","",'Cash Flow %s Yr1'!G58*'Expenses Summary'!$U11))+'Expenses Summary'!$U$12*'Cash Flow %s Yr1'!G58</f>
        <v>0</v>
      </c>
      <c r="H63" s="60">
        <f>IF('Expenses Summary'!$U11="","",IF('Cash Flow %s Yr1'!H58="","",'Cash Flow %s Yr1'!H58*'Expenses Summary'!$U11))+'Expenses Summary'!$U$12*'Cash Flow %s Yr1'!H58</f>
        <v>0</v>
      </c>
      <c r="I63" s="60">
        <f>IF('Expenses Summary'!$U11="","",IF('Cash Flow %s Yr1'!I58="","",'Cash Flow %s Yr1'!I58*'Expenses Summary'!$U11))+'Expenses Summary'!$U$12*'Cash Flow %s Yr1'!I58</f>
        <v>0</v>
      </c>
      <c r="J63" s="60">
        <f>IF('Expenses Summary'!$U11="","",IF('Cash Flow %s Yr1'!J58="","",'Cash Flow %s Yr1'!J58*'Expenses Summary'!$U11))+'Expenses Summary'!$U$12*'Cash Flow %s Yr1'!J58</f>
        <v>0</v>
      </c>
      <c r="K63" s="60">
        <f>IF('Expenses Summary'!$U11="","",IF('Cash Flow %s Yr1'!K58="","",'Cash Flow %s Yr1'!K58*'Expenses Summary'!$U11))+'Expenses Summary'!$U$12*'Cash Flow %s Yr1'!K58</f>
        <v>0</v>
      </c>
      <c r="L63" s="60">
        <f>IF('Expenses Summary'!$U11="","",IF('Cash Flow %s Yr1'!L58="","",'Cash Flow %s Yr1'!L58*'Expenses Summary'!$U11))+'Expenses Summary'!$U$12*'Cash Flow %s Yr1'!L58</f>
        <v>0</v>
      </c>
      <c r="M63" s="60">
        <f>IF('Expenses Summary'!$U11="","",IF('Cash Flow %s Yr1'!M58="","",'Cash Flow %s Yr1'!M58*'Expenses Summary'!$U11))+'Expenses Summary'!$U$12*'Cash Flow %s Yr1'!M58</f>
        <v>0</v>
      </c>
      <c r="N63" s="60">
        <f>IF('Expenses Summary'!$U11="","",IF('Cash Flow %s Yr1'!N58="","",'Cash Flow %s Yr1'!N58*'Expenses Summary'!$U11))+'Expenses Summary'!$U$12*'Cash Flow %s Yr1'!N58</f>
        <v>0</v>
      </c>
      <c r="O63" s="60">
        <f>IF('Expenses Summary'!$U11="","",IF('Cash Flow %s Yr1'!O58="","",'Cash Flow %s Yr1'!O58*'Expenses Summary'!$U11))+'Expenses Summary'!$U$12*'Cash Flow %s Yr1'!O58</f>
        <v>0</v>
      </c>
      <c r="P63" s="123"/>
      <c r="Q63" s="123"/>
      <c r="R63" s="123"/>
    </row>
    <row r="64" spans="1:18" x14ac:dyDescent="0.3">
      <c r="A64" s="35"/>
      <c r="B64" s="63" t="str">
        <f>'Expenses Summary'!B13</f>
        <v>1300</v>
      </c>
      <c r="C64" s="63" t="str">
        <f>'Expenses Summary'!C13</f>
        <v>Certificated Supervisor and Administrator Salaries</v>
      </c>
      <c r="D64" s="60">
        <f>IF('Expenses Summary'!$U13="","",IF('Cash Flow %s Yr1'!D59="","",'Cash Flow %s Yr1'!D59*'Expenses Summary'!$U13))</f>
        <v>5943.6922500000001</v>
      </c>
      <c r="E64" s="60">
        <f>IF('Expenses Summary'!$U13="","",IF('Cash Flow %s Yr1'!E59="","",'Cash Flow %s Yr1'!E59*'Expenses Summary'!$U13))</f>
        <v>5943.6922500000001</v>
      </c>
      <c r="F64" s="60">
        <f>IF('Expenses Summary'!$U13="","",IF('Cash Flow %s Yr1'!F59="","",'Cash Flow %s Yr1'!F59*'Expenses Summary'!$U13))</f>
        <v>5943.6922500000001</v>
      </c>
      <c r="G64" s="60">
        <f>IF('Expenses Summary'!$U13="","",IF('Cash Flow %s Yr1'!G59="","",'Cash Flow %s Yr1'!G59*'Expenses Summary'!$U13))</f>
        <v>5943.6922500000001</v>
      </c>
      <c r="H64" s="60">
        <f>IF('Expenses Summary'!$U13="","",IF('Cash Flow %s Yr1'!H59="","",'Cash Flow %s Yr1'!H59*'Expenses Summary'!$U13))</f>
        <v>5943.6922500000001</v>
      </c>
      <c r="I64" s="60">
        <f>IF('Expenses Summary'!$U13="","",IF('Cash Flow %s Yr1'!I59="","",'Cash Flow %s Yr1'!I59*'Expenses Summary'!$U13))</f>
        <v>5943.6922500000001</v>
      </c>
      <c r="J64" s="60">
        <f>IF('Expenses Summary'!$U13="","",IF('Cash Flow %s Yr1'!J59="","",'Cash Flow %s Yr1'!J59*'Expenses Summary'!$U13))</f>
        <v>5943.6922500000001</v>
      </c>
      <c r="K64" s="60">
        <f>IF('Expenses Summary'!$U13="","",IF('Cash Flow %s Yr1'!K59="","",'Cash Flow %s Yr1'!K59*'Expenses Summary'!$U13))</f>
        <v>5943.6922500000001</v>
      </c>
      <c r="L64" s="60">
        <f>IF('Expenses Summary'!$U13="","",IF('Cash Flow %s Yr1'!L59="","",'Cash Flow %s Yr1'!L59*'Expenses Summary'!$U13))</f>
        <v>6015.3030000000008</v>
      </c>
      <c r="M64" s="60">
        <f>IF('Expenses Summary'!$U13="","",IF('Cash Flow %s Yr1'!M59="","",'Cash Flow %s Yr1'!M59*'Expenses Summary'!$U13))</f>
        <v>6015.3030000000008</v>
      </c>
      <c r="N64" s="60">
        <f>IF('Expenses Summary'!$U13="","",IF('Cash Flow %s Yr1'!N59="","",'Cash Flow %s Yr1'!N59*'Expenses Summary'!$U13))</f>
        <v>6015.3030000000008</v>
      </c>
      <c r="O64" s="60">
        <f>IF('Expenses Summary'!$U13="","",IF('Cash Flow %s Yr1'!O59="","",'Cash Flow %s Yr1'!O59*'Expenses Summary'!$U13))</f>
        <v>6015.3030000000008</v>
      </c>
      <c r="P64" s="123"/>
      <c r="Q64" s="123"/>
      <c r="R64" s="123"/>
    </row>
    <row r="65" spans="1:18" x14ac:dyDescent="0.3">
      <c r="A65" s="35"/>
      <c r="B65" s="63" t="str">
        <f>'Expenses Summary'!B14</f>
        <v>1305</v>
      </c>
      <c r="C65" s="63" t="str">
        <f>'Expenses Summary'!C14</f>
        <v>Certificated Supervisor and Administrator Bonuses</v>
      </c>
      <c r="D65" s="60">
        <f>IF('Expenses Summary'!$U14="","",IF('Cash Flow %s Yr1'!D60="","",'Cash Flow %s Yr1'!D60*'Expenses Summary'!$U14))</f>
        <v>0</v>
      </c>
      <c r="E65" s="60">
        <f>IF('Expenses Summary'!$U14="","",IF('Cash Flow %s Yr1'!E60="","",'Cash Flow %s Yr1'!E60*'Expenses Summary'!$U14))</f>
        <v>0</v>
      </c>
      <c r="F65" s="60">
        <f>IF('Expenses Summary'!$U14="","",IF('Cash Flow %s Yr1'!F60="","",'Cash Flow %s Yr1'!F60*'Expenses Summary'!$U14))</f>
        <v>0</v>
      </c>
      <c r="G65" s="60">
        <f>IF('Expenses Summary'!$U14="","",IF('Cash Flow %s Yr1'!G60="","",'Cash Flow %s Yr1'!G60*'Expenses Summary'!$U14))</f>
        <v>0</v>
      </c>
      <c r="H65" s="60">
        <f>IF('Expenses Summary'!$U14="","",IF('Cash Flow %s Yr1'!H60="","",'Cash Flow %s Yr1'!H60*'Expenses Summary'!$U14))</f>
        <v>0</v>
      </c>
      <c r="I65" s="60">
        <f>IF('Expenses Summary'!$U14="","",IF('Cash Flow %s Yr1'!I60="","",'Cash Flow %s Yr1'!I60*'Expenses Summary'!$U14))</f>
        <v>0</v>
      </c>
      <c r="J65" s="60">
        <f>IF('Expenses Summary'!$U14="","",IF('Cash Flow %s Yr1'!J60="","",'Cash Flow %s Yr1'!J60*'Expenses Summary'!$U14))</f>
        <v>0</v>
      </c>
      <c r="K65" s="60">
        <f>IF('Expenses Summary'!$U14="","",IF('Cash Flow %s Yr1'!K60="","",'Cash Flow %s Yr1'!K60*'Expenses Summary'!$U14))</f>
        <v>0</v>
      </c>
      <c r="L65" s="60">
        <f>IF('Expenses Summary'!$U14="","",IF('Cash Flow %s Yr1'!L60="","",'Cash Flow %s Yr1'!L60*'Expenses Summary'!$U14))</f>
        <v>0</v>
      </c>
      <c r="M65" s="60">
        <f>IF('Expenses Summary'!$U14="","",IF('Cash Flow %s Yr1'!M60="","",'Cash Flow %s Yr1'!M60*'Expenses Summary'!$U14))</f>
        <v>0</v>
      </c>
      <c r="N65" s="60">
        <f>IF('Expenses Summary'!$U14="","",IF('Cash Flow %s Yr1'!N60="","",'Cash Flow %s Yr1'!N60*'Expenses Summary'!$U14))</f>
        <v>0</v>
      </c>
      <c r="O65" s="60">
        <f>IF('Expenses Summary'!$U14="","",IF('Cash Flow %s Yr1'!O60="","",'Cash Flow %s Yr1'!O60*'Expenses Summary'!$U14))</f>
        <v>0</v>
      </c>
      <c r="P65" s="123"/>
      <c r="Q65" s="123"/>
      <c r="R65" s="123"/>
    </row>
    <row r="66" spans="1:18" x14ac:dyDescent="0.3">
      <c r="A66" s="35"/>
      <c r="B66" s="63" t="str">
        <f>'Expenses Summary'!B15</f>
        <v>1900</v>
      </c>
      <c r="C66" s="63" t="str">
        <f>'Expenses Summary'!C15</f>
        <v>Other Certificated Salaries</v>
      </c>
      <c r="D66" s="60">
        <f>IF('Expenses Summary'!$U15="","",IF('Cash Flow %s Yr1'!D61="","",'Cash Flow %s Yr1'!D61*'Expenses Summary'!$U15))</f>
        <v>0</v>
      </c>
      <c r="E66" s="60">
        <f>IF('Expenses Summary'!$U15="","",IF('Cash Flow %s Yr1'!E61="","",'Cash Flow %s Yr1'!E61*'Expenses Summary'!$U15))</f>
        <v>0</v>
      </c>
      <c r="F66" s="60">
        <f>IF('Expenses Summary'!$U15="","",IF('Cash Flow %s Yr1'!F61="","",'Cash Flow %s Yr1'!F61*'Expenses Summary'!$U15))</f>
        <v>0</v>
      </c>
      <c r="G66" s="60">
        <f>IF('Expenses Summary'!$U15="","",IF('Cash Flow %s Yr1'!G61="","",'Cash Flow %s Yr1'!G61*'Expenses Summary'!$U15))</f>
        <v>0</v>
      </c>
      <c r="H66" s="60">
        <f>IF('Expenses Summary'!$U15="","",IF('Cash Flow %s Yr1'!H61="","",'Cash Flow %s Yr1'!H61*'Expenses Summary'!$U15))</f>
        <v>0</v>
      </c>
      <c r="I66" s="60">
        <f>IF('Expenses Summary'!$U15="","",IF('Cash Flow %s Yr1'!I61="","",'Cash Flow %s Yr1'!I61*'Expenses Summary'!$U15))</f>
        <v>0</v>
      </c>
      <c r="J66" s="60">
        <f>IF('Expenses Summary'!$U15="","",IF('Cash Flow %s Yr1'!J61="","",'Cash Flow %s Yr1'!J61*'Expenses Summary'!$U15))</f>
        <v>0</v>
      </c>
      <c r="K66" s="60">
        <f>IF('Expenses Summary'!$U15="","",IF('Cash Flow %s Yr1'!K61="","",'Cash Flow %s Yr1'!K61*'Expenses Summary'!$U15))</f>
        <v>0</v>
      </c>
      <c r="L66" s="60">
        <f>IF('Expenses Summary'!$U15="","",IF('Cash Flow %s Yr1'!L61="","",'Cash Flow %s Yr1'!L61*'Expenses Summary'!$U15))</f>
        <v>0</v>
      </c>
      <c r="M66" s="60">
        <f>IF('Expenses Summary'!$U15="","",IF('Cash Flow %s Yr1'!M61="","",'Cash Flow %s Yr1'!M61*'Expenses Summary'!$U15))</f>
        <v>0</v>
      </c>
      <c r="N66" s="60">
        <f>IF('Expenses Summary'!$U15="","",IF('Cash Flow %s Yr1'!N61="","",'Cash Flow %s Yr1'!N61*'Expenses Summary'!$U15))</f>
        <v>0</v>
      </c>
      <c r="O66" s="60">
        <f>IF('Expenses Summary'!$U15="","",IF('Cash Flow %s Yr1'!O61="","",'Cash Flow %s Yr1'!O61*'Expenses Summary'!$U15))</f>
        <v>0</v>
      </c>
      <c r="P66" s="123"/>
      <c r="Q66" s="123"/>
      <c r="R66" s="123"/>
    </row>
    <row r="67" spans="1:18" x14ac:dyDescent="0.3">
      <c r="A67" s="35"/>
      <c r="B67" s="63" t="str">
        <f>'Expenses Summary'!B16</f>
        <v>1910</v>
      </c>
      <c r="C67" s="63" t="str">
        <f>'Expenses Summary'!C16</f>
        <v>Other Certificated Overtime</v>
      </c>
      <c r="D67" s="60">
        <f>IF('Expenses Summary'!$U16="","",IF('Cash Flow %s Yr1'!D62="","",'Cash Flow %s Yr1'!D62*'Expenses Summary'!$U16))</f>
        <v>0</v>
      </c>
      <c r="E67" s="60">
        <f>IF('Expenses Summary'!$U16="","",IF('Cash Flow %s Yr1'!E62="","",'Cash Flow %s Yr1'!E62*'Expenses Summary'!$U16))</f>
        <v>0</v>
      </c>
      <c r="F67" s="60">
        <f>IF('Expenses Summary'!$U16="","",IF('Cash Flow %s Yr1'!F62="","",'Cash Flow %s Yr1'!F62*'Expenses Summary'!$U16))</f>
        <v>0</v>
      </c>
      <c r="G67" s="60">
        <f>IF('Expenses Summary'!$U16="","",IF('Cash Flow %s Yr1'!G62="","",'Cash Flow %s Yr1'!G62*'Expenses Summary'!$U16))</f>
        <v>0</v>
      </c>
      <c r="H67" s="60">
        <f>IF('Expenses Summary'!$U16="","",IF('Cash Flow %s Yr1'!H62="","",'Cash Flow %s Yr1'!H62*'Expenses Summary'!$U16))</f>
        <v>0</v>
      </c>
      <c r="I67" s="60">
        <f>IF('Expenses Summary'!$U16="","",IF('Cash Flow %s Yr1'!I62="","",'Cash Flow %s Yr1'!I62*'Expenses Summary'!$U16))</f>
        <v>0</v>
      </c>
      <c r="J67" s="60">
        <f>IF('Expenses Summary'!$U16="","",IF('Cash Flow %s Yr1'!J62="","",'Cash Flow %s Yr1'!J62*'Expenses Summary'!$U16))</f>
        <v>0</v>
      </c>
      <c r="K67" s="60">
        <f>IF('Expenses Summary'!$U16="","",IF('Cash Flow %s Yr1'!K62="","",'Cash Flow %s Yr1'!K62*'Expenses Summary'!$U16))</f>
        <v>0</v>
      </c>
      <c r="L67" s="60">
        <f>IF('Expenses Summary'!$U16="","",IF('Cash Flow %s Yr1'!L62="","",'Cash Flow %s Yr1'!L62*'Expenses Summary'!$U16))</f>
        <v>0</v>
      </c>
      <c r="M67" s="60">
        <f>IF('Expenses Summary'!$U16="","",IF('Cash Flow %s Yr1'!M62="","",'Cash Flow %s Yr1'!M62*'Expenses Summary'!$U16))</f>
        <v>0</v>
      </c>
      <c r="N67" s="60">
        <f>IF('Expenses Summary'!$U16="","",IF('Cash Flow %s Yr1'!N62="","",'Cash Flow %s Yr1'!N62*'Expenses Summary'!$U16))</f>
        <v>0</v>
      </c>
      <c r="O67" s="60">
        <f>IF('Expenses Summary'!$U16="","",IF('Cash Flow %s Yr1'!O62="","",'Cash Flow %s Yr1'!O62*'Expenses Summary'!$U16))</f>
        <v>0</v>
      </c>
      <c r="P67" s="123"/>
      <c r="Q67" s="123"/>
      <c r="R67" s="123"/>
    </row>
    <row r="68" spans="1:18" x14ac:dyDescent="0.3">
      <c r="A68" s="35"/>
      <c r="B68" s="35" t="s">
        <v>555</v>
      </c>
      <c r="C68" s="33" t="s">
        <v>720</v>
      </c>
      <c r="D68" s="165">
        <f t="shared" ref="D68:I68" si="4">IF(SUM(D59:D67)&gt;0,SUM(D59:D67),"")</f>
        <v>10351.859058</v>
      </c>
      <c r="E68" s="165">
        <f t="shared" si="4"/>
        <v>16964.109270000001</v>
      </c>
      <c r="F68" s="165">
        <f t="shared" si="4"/>
        <v>27984.526290000002</v>
      </c>
      <c r="G68" s="165">
        <f t="shared" si="4"/>
        <v>27984.526290000002</v>
      </c>
      <c r="H68" s="165">
        <f t="shared" si="4"/>
        <v>27984.526290000002</v>
      </c>
      <c r="I68" s="165">
        <f t="shared" si="4"/>
        <v>28984.526290000002</v>
      </c>
      <c r="J68" s="165">
        <f t="shared" ref="J68:P68" si="5">IF(SUM(J59:J67)&gt;0,SUM(J59:J67),"")</f>
        <v>27984.526290000002</v>
      </c>
      <c r="K68" s="165">
        <f t="shared" si="5"/>
        <v>27984.526290000002</v>
      </c>
      <c r="L68" s="165">
        <f t="shared" si="5"/>
        <v>28056.137040000001</v>
      </c>
      <c r="M68" s="165">
        <f t="shared" si="5"/>
        <v>28056.137040000001</v>
      </c>
      <c r="N68" s="165">
        <f t="shared" si="5"/>
        <v>28056.137040000001</v>
      </c>
      <c r="O68" s="165">
        <f t="shared" si="5"/>
        <v>13627.553211999999</v>
      </c>
      <c r="P68" s="165" t="str">
        <f t="shared" si="5"/>
        <v/>
      </c>
      <c r="Q68" s="121"/>
      <c r="R68" s="121"/>
    </row>
    <row r="69" spans="1:18" s="30" customFormat="1" x14ac:dyDescent="0.3">
      <c r="A69" s="35"/>
      <c r="B69" s="39"/>
      <c r="C69" s="3"/>
      <c r="D69" s="124"/>
      <c r="E69" s="124"/>
      <c r="F69" s="124"/>
      <c r="G69" s="124"/>
      <c r="H69" s="124"/>
      <c r="I69" s="124"/>
      <c r="J69" s="124"/>
      <c r="K69" s="124"/>
      <c r="L69" s="124"/>
      <c r="M69" s="124"/>
      <c r="N69" s="124"/>
      <c r="O69" s="124"/>
      <c r="P69" s="124"/>
      <c r="Q69" s="124"/>
      <c r="R69" s="124"/>
    </row>
    <row r="70" spans="1:18" s="30" customFormat="1" x14ac:dyDescent="0.3">
      <c r="B70" s="5" t="s">
        <v>733</v>
      </c>
      <c r="C70" s="3"/>
      <c r="D70" s="124"/>
      <c r="E70" s="124"/>
      <c r="F70" s="124"/>
      <c r="G70" s="124"/>
      <c r="H70" s="124"/>
      <c r="I70" s="124"/>
      <c r="J70" s="124"/>
      <c r="K70" s="124"/>
      <c r="L70" s="124"/>
      <c r="M70" s="124"/>
      <c r="N70" s="124"/>
      <c r="O70" s="124"/>
      <c r="P70" s="124"/>
      <c r="Q70" s="124"/>
      <c r="R70" s="124"/>
    </row>
    <row r="71" spans="1:18" s="30" customFormat="1" x14ac:dyDescent="0.3">
      <c r="A71" s="35"/>
      <c r="B71" s="63" t="str">
        <f>'Expenses Summary'!B20</f>
        <v>2100</v>
      </c>
      <c r="C71" s="63" t="str">
        <f>'Expenses Summary'!C20</f>
        <v>Instructional Aide Salaries</v>
      </c>
      <c r="D71" s="60">
        <f>IF('Expenses Summary'!$U20="","",IF('Cash Flow %s Yr1'!D66="","",'Cash Flow %s Yr1'!D66*'Expenses Summary'!$U20))</f>
        <v>0</v>
      </c>
      <c r="E71" s="60">
        <f>IF('Expenses Summary'!$U20="","",IF('Cash Flow %s Yr1'!E66="","",'Cash Flow %s Yr1'!E66*'Expenses Summary'!$U20))</f>
        <v>6525.6489450000008</v>
      </c>
      <c r="F71" s="60">
        <f>IF('Expenses Summary'!$U20="","",IF('Cash Flow %s Yr1'!F66="","",'Cash Flow %s Yr1'!F66*'Expenses Summary'!$U20))</f>
        <v>13051.297890000002</v>
      </c>
      <c r="G71" s="60">
        <f>IF('Expenses Summary'!$U20="","",IF('Cash Flow %s Yr1'!G66="","",'Cash Flow %s Yr1'!G66*'Expenses Summary'!$U20))</f>
        <v>13051.297890000002</v>
      </c>
      <c r="H71" s="60">
        <f>IF('Expenses Summary'!$U20="","",IF('Cash Flow %s Yr1'!H66="","",'Cash Flow %s Yr1'!H66*'Expenses Summary'!$U20))</f>
        <v>13051.297890000002</v>
      </c>
      <c r="I71" s="60">
        <f>IF('Expenses Summary'!$U20="","",IF('Cash Flow %s Yr1'!I66="","",'Cash Flow %s Yr1'!I66*'Expenses Summary'!$U20))</f>
        <v>13051.297890000002</v>
      </c>
      <c r="J71" s="60">
        <f>IF('Expenses Summary'!$U20="","",IF('Cash Flow %s Yr1'!J66="","",'Cash Flow %s Yr1'!J66*'Expenses Summary'!$U20))</f>
        <v>13051.297890000002</v>
      </c>
      <c r="K71" s="60">
        <f>IF('Expenses Summary'!$U20="","",IF('Cash Flow %s Yr1'!K66="","",'Cash Flow %s Yr1'!K66*'Expenses Summary'!$U20))</f>
        <v>13051.297890000002</v>
      </c>
      <c r="L71" s="60">
        <f>IF('Expenses Summary'!$U20="","",IF('Cash Flow %s Yr1'!L66="","",'Cash Flow %s Yr1'!L66*'Expenses Summary'!$U20))</f>
        <v>13051.297890000002</v>
      </c>
      <c r="M71" s="60">
        <f>IF('Expenses Summary'!$U20="","",IF('Cash Flow %s Yr1'!M66="","",'Cash Flow %s Yr1'!M66*'Expenses Summary'!$U20))</f>
        <v>13051.297890000002</v>
      </c>
      <c r="N71" s="60">
        <f>IF('Expenses Summary'!$U20="","",IF('Cash Flow %s Yr1'!N66="","",'Cash Flow %s Yr1'!N66*'Expenses Summary'!$U20))</f>
        <v>13051.297890000002</v>
      </c>
      <c r="O71" s="60">
        <f>IF('Expenses Summary'!$U20="","",IF('Cash Flow %s Yr1'!O66="","",'Cash Flow %s Yr1'!O66*'Expenses Summary'!$U20))</f>
        <v>6525.6489450000008</v>
      </c>
      <c r="P71" s="123"/>
      <c r="Q71" s="123"/>
      <c r="R71" s="123"/>
    </row>
    <row r="72" spans="1:18" s="30" customFormat="1" x14ac:dyDescent="0.3">
      <c r="A72" s="35"/>
      <c r="B72" s="63" t="str">
        <f>'Expenses Summary'!B21</f>
        <v>2110</v>
      </c>
      <c r="C72" s="63" t="str">
        <f>'Expenses Summary'!C21</f>
        <v>Instructional Aide Overtime</v>
      </c>
      <c r="D72" s="60">
        <f>IF('Expenses Summary'!$U21="","",IF('Cash Flow %s Yr1'!D67="","",'Cash Flow %s Yr1'!D67*'Expenses Summary'!$U21))</f>
        <v>0</v>
      </c>
      <c r="E72" s="60">
        <f>IF('Expenses Summary'!$U21="","",IF('Cash Flow %s Yr1'!E67="","",'Cash Flow %s Yr1'!E67*'Expenses Summary'!$U21))</f>
        <v>0</v>
      </c>
      <c r="F72" s="60">
        <f>IF('Expenses Summary'!$U21="","",IF('Cash Flow %s Yr1'!F67="","",'Cash Flow %s Yr1'!F67*'Expenses Summary'!$U21))</f>
        <v>69.3</v>
      </c>
      <c r="G72" s="60">
        <f>IF('Expenses Summary'!$U21="","",IF('Cash Flow %s Yr1'!G67="","",'Cash Flow %s Yr1'!G67*'Expenses Summary'!$U21))</f>
        <v>69.3</v>
      </c>
      <c r="H72" s="60">
        <f>IF('Expenses Summary'!$U21="","",IF('Cash Flow %s Yr1'!H67="","",'Cash Flow %s Yr1'!H67*'Expenses Summary'!$U21))</f>
        <v>69.3</v>
      </c>
      <c r="I72" s="60">
        <f>IF('Expenses Summary'!$U21="","",IF('Cash Flow %s Yr1'!I67="","",'Cash Flow %s Yr1'!I67*'Expenses Summary'!$U21))</f>
        <v>69.3</v>
      </c>
      <c r="J72" s="60">
        <f>IF('Expenses Summary'!$U21="","",IF('Cash Flow %s Yr1'!J67="","",'Cash Flow %s Yr1'!J67*'Expenses Summary'!$U21))</f>
        <v>69.3</v>
      </c>
      <c r="K72" s="60">
        <f>IF('Expenses Summary'!$U21="","",IF('Cash Flow %s Yr1'!K67="","",'Cash Flow %s Yr1'!K67*'Expenses Summary'!$U21))</f>
        <v>69.3</v>
      </c>
      <c r="L72" s="60">
        <f>IF('Expenses Summary'!$U21="","",IF('Cash Flow %s Yr1'!L67="","",'Cash Flow %s Yr1'!L67*'Expenses Summary'!$U21))</f>
        <v>69.3</v>
      </c>
      <c r="M72" s="60">
        <f>IF('Expenses Summary'!$U21="","",IF('Cash Flow %s Yr1'!M67="","",'Cash Flow %s Yr1'!M67*'Expenses Summary'!$U21))</f>
        <v>69.3</v>
      </c>
      <c r="N72" s="60">
        <f>IF('Expenses Summary'!$U21="","",IF('Cash Flow %s Yr1'!N67="","",'Cash Flow %s Yr1'!N67*'Expenses Summary'!$U21))</f>
        <v>69.3</v>
      </c>
      <c r="O72" s="60">
        <f>IF('Expenses Summary'!$U21="","",IF('Cash Flow %s Yr1'!O67="","",'Cash Flow %s Yr1'!O67*'Expenses Summary'!$U21))</f>
        <v>69.3</v>
      </c>
      <c r="P72" s="123"/>
      <c r="Q72" s="123"/>
      <c r="R72" s="123"/>
    </row>
    <row r="73" spans="1:18" s="30" customFormat="1" x14ac:dyDescent="0.3">
      <c r="A73" s="35"/>
      <c r="B73" s="63" t="str">
        <f>'Expenses Summary'!B22</f>
        <v>2200</v>
      </c>
      <c r="C73" s="63" t="str">
        <f>'Expenses Summary'!C22</f>
        <v>Classified Support Salaries</v>
      </c>
      <c r="D73" s="60">
        <f>IF('Expenses Summary'!$U22="","",IF('Cash Flow %s Yr1'!D68="","",'Cash Flow %s Yr1'!D68*'Expenses Summary'!$U22))</f>
        <v>0</v>
      </c>
      <c r="E73" s="60">
        <f>IF('Expenses Summary'!$U22="","",IF('Cash Flow %s Yr1'!E68="","",'Cash Flow %s Yr1'!E68*'Expenses Summary'!$U22))</f>
        <v>1426.1148250000001</v>
      </c>
      <c r="F73" s="60">
        <f>IF('Expenses Summary'!$U22="","",IF('Cash Flow %s Yr1'!F68="","",'Cash Flow %s Yr1'!F68*'Expenses Summary'!$U22))</f>
        <v>2852.2296500000002</v>
      </c>
      <c r="G73" s="60">
        <f>IF('Expenses Summary'!$U22="","",IF('Cash Flow %s Yr1'!G68="","",'Cash Flow %s Yr1'!G68*'Expenses Summary'!$U22))</f>
        <v>2852.2296500000002</v>
      </c>
      <c r="H73" s="60">
        <f>IF('Expenses Summary'!$U22="","",IF('Cash Flow %s Yr1'!H68="","",'Cash Flow %s Yr1'!H68*'Expenses Summary'!$U22))</f>
        <v>2852.2296500000002</v>
      </c>
      <c r="I73" s="60">
        <f>IF('Expenses Summary'!$U22="","",IF('Cash Flow %s Yr1'!I68="","",'Cash Flow %s Yr1'!I68*'Expenses Summary'!$U22))</f>
        <v>2852.2296500000002</v>
      </c>
      <c r="J73" s="60">
        <f>IF('Expenses Summary'!$U22="","",IF('Cash Flow %s Yr1'!J68="","",'Cash Flow %s Yr1'!J68*'Expenses Summary'!$U22))</f>
        <v>2852.2296500000002</v>
      </c>
      <c r="K73" s="60">
        <f>IF('Expenses Summary'!$U22="","",IF('Cash Flow %s Yr1'!K68="","",'Cash Flow %s Yr1'!K68*'Expenses Summary'!$U22))</f>
        <v>2852.2296500000002</v>
      </c>
      <c r="L73" s="60">
        <f>IF('Expenses Summary'!$U22="","",IF('Cash Flow %s Yr1'!L68="","",'Cash Flow %s Yr1'!L68*'Expenses Summary'!$U22))</f>
        <v>2852.2296500000002</v>
      </c>
      <c r="M73" s="60">
        <f>IF('Expenses Summary'!$U22="","",IF('Cash Flow %s Yr1'!M68="","",'Cash Flow %s Yr1'!M68*'Expenses Summary'!$U22))</f>
        <v>2852.2296500000002</v>
      </c>
      <c r="N73" s="60">
        <f>IF('Expenses Summary'!$U22="","",IF('Cash Flow %s Yr1'!N68="","",'Cash Flow %s Yr1'!N68*'Expenses Summary'!$U22))</f>
        <v>2852.2296500000002</v>
      </c>
      <c r="O73" s="60">
        <f>IF('Expenses Summary'!$U22="","",IF('Cash Flow %s Yr1'!O68="","",'Cash Flow %s Yr1'!O68*'Expenses Summary'!$U22))</f>
        <v>1426.1148250000001</v>
      </c>
      <c r="P73" s="123"/>
      <c r="Q73" s="123"/>
      <c r="R73" s="123"/>
    </row>
    <row r="74" spans="1:18" s="30" customFormat="1" x14ac:dyDescent="0.3">
      <c r="A74" s="35"/>
      <c r="B74" s="63" t="str">
        <f>'Expenses Summary'!B23</f>
        <v>2210</v>
      </c>
      <c r="C74" s="63" t="str">
        <f>'Expenses Summary'!C23</f>
        <v>Classified Support Overtime</v>
      </c>
      <c r="D74" s="60">
        <f>IF('Expenses Summary'!$U23="","",IF('Cash Flow %s Yr1'!D69="","",'Cash Flow %s Yr1'!D69*'Expenses Summary'!$U23))</f>
        <v>0</v>
      </c>
      <c r="E74" s="60">
        <f>IF('Expenses Summary'!$U23="","",IF('Cash Flow %s Yr1'!E69="","",'Cash Flow %s Yr1'!E69*'Expenses Summary'!$U23))</f>
        <v>0</v>
      </c>
      <c r="F74" s="60">
        <f>IF('Expenses Summary'!$U23="","",IF('Cash Flow %s Yr1'!F69="","",'Cash Flow %s Yr1'!F69*'Expenses Summary'!$U23))</f>
        <v>0</v>
      </c>
      <c r="G74" s="60">
        <f>IF('Expenses Summary'!$U23="","",IF('Cash Flow %s Yr1'!G69="","",'Cash Flow %s Yr1'!G69*'Expenses Summary'!$U23))</f>
        <v>0</v>
      </c>
      <c r="H74" s="60">
        <f>IF('Expenses Summary'!$U23="","",IF('Cash Flow %s Yr1'!H69="","",'Cash Flow %s Yr1'!H69*'Expenses Summary'!$U23))</f>
        <v>0</v>
      </c>
      <c r="I74" s="60">
        <f>IF('Expenses Summary'!$U23="","",IF('Cash Flow %s Yr1'!I69="","",'Cash Flow %s Yr1'!I69*'Expenses Summary'!$U23))</f>
        <v>0</v>
      </c>
      <c r="J74" s="60">
        <f>IF('Expenses Summary'!$U23="","",IF('Cash Flow %s Yr1'!J69="","",'Cash Flow %s Yr1'!J69*'Expenses Summary'!$U23))</f>
        <v>0</v>
      </c>
      <c r="K74" s="60">
        <f>IF('Expenses Summary'!$U23="","",IF('Cash Flow %s Yr1'!K69="","",'Cash Flow %s Yr1'!K69*'Expenses Summary'!$U23))</f>
        <v>0</v>
      </c>
      <c r="L74" s="60">
        <f>IF('Expenses Summary'!$U23="","",IF('Cash Flow %s Yr1'!L69="","",'Cash Flow %s Yr1'!L69*'Expenses Summary'!$U23))</f>
        <v>0</v>
      </c>
      <c r="M74" s="60">
        <f>IF('Expenses Summary'!$U23="","",IF('Cash Flow %s Yr1'!M69="","",'Cash Flow %s Yr1'!M69*'Expenses Summary'!$U23))</f>
        <v>0</v>
      </c>
      <c r="N74" s="60">
        <f>IF('Expenses Summary'!$U23="","",IF('Cash Flow %s Yr1'!N69="","",'Cash Flow %s Yr1'!N69*'Expenses Summary'!$U23))</f>
        <v>0</v>
      </c>
      <c r="O74" s="60">
        <f>IF('Expenses Summary'!$U23="","",IF('Cash Flow %s Yr1'!O69="","",'Cash Flow %s Yr1'!O69*'Expenses Summary'!$U23))</f>
        <v>0</v>
      </c>
      <c r="P74" s="123"/>
      <c r="Q74" s="123"/>
      <c r="R74" s="123"/>
    </row>
    <row r="75" spans="1:18" s="30" customFormat="1" x14ac:dyDescent="0.3">
      <c r="A75" s="35"/>
      <c r="B75" s="63" t="str">
        <f>'Expenses Summary'!B24</f>
        <v>2300</v>
      </c>
      <c r="C75" s="63" t="str">
        <f>'Expenses Summary'!C24</f>
        <v>Classified Supervisor and Administrator Salaries</v>
      </c>
      <c r="D75" s="60">
        <f>IF('Expenses Summary'!$U24="","",IF('Cash Flow %s Yr1'!D70="","",'Cash Flow %s Yr1'!D70*'Expenses Summary'!$U24))</f>
        <v>0</v>
      </c>
      <c r="E75" s="60">
        <f>IF('Expenses Summary'!$U24="","",IF('Cash Flow %s Yr1'!E70="","",'Cash Flow %s Yr1'!E70*'Expenses Summary'!$U24))</f>
        <v>0</v>
      </c>
      <c r="F75" s="60">
        <f>IF('Expenses Summary'!$U24="","",IF('Cash Flow %s Yr1'!F70="","",'Cash Flow %s Yr1'!F70*'Expenses Summary'!$U24))</f>
        <v>0</v>
      </c>
      <c r="G75" s="60">
        <f>IF('Expenses Summary'!$U24="","",IF('Cash Flow %s Yr1'!G70="","",'Cash Flow %s Yr1'!G70*'Expenses Summary'!$U24))</f>
        <v>0</v>
      </c>
      <c r="H75" s="60">
        <f>IF('Expenses Summary'!$U24="","",IF('Cash Flow %s Yr1'!H70="","",'Cash Flow %s Yr1'!H70*'Expenses Summary'!$U24))</f>
        <v>0</v>
      </c>
      <c r="I75" s="60">
        <f>IF('Expenses Summary'!$U24="","",IF('Cash Flow %s Yr1'!I70="","",'Cash Flow %s Yr1'!I70*'Expenses Summary'!$U24))</f>
        <v>0</v>
      </c>
      <c r="J75" s="60">
        <f>IF('Expenses Summary'!$U24="","",IF('Cash Flow %s Yr1'!J70="","",'Cash Flow %s Yr1'!J70*'Expenses Summary'!$U24))</f>
        <v>0</v>
      </c>
      <c r="K75" s="60">
        <f>IF('Expenses Summary'!$U24="","",IF('Cash Flow %s Yr1'!K70="","",'Cash Flow %s Yr1'!K70*'Expenses Summary'!$U24))</f>
        <v>0</v>
      </c>
      <c r="L75" s="60">
        <f>IF('Expenses Summary'!$U24="","",IF('Cash Flow %s Yr1'!L70="","",'Cash Flow %s Yr1'!L70*'Expenses Summary'!$U24))</f>
        <v>0</v>
      </c>
      <c r="M75" s="60">
        <f>IF('Expenses Summary'!$U24="","",IF('Cash Flow %s Yr1'!M70="","",'Cash Flow %s Yr1'!M70*'Expenses Summary'!$U24))</f>
        <v>0</v>
      </c>
      <c r="N75" s="60">
        <f>IF('Expenses Summary'!$U24="","",IF('Cash Flow %s Yr1'!N70="","",'Cash Flow %s Yr1'!N70*'Expenses Summary'!$U24))</f>
        <v>0</v>
      </c>
      <c r="O75" s="60">
        <f>IF('Expenses Summary'!$U24="","",IF('Cash Flow %s Yr1'!O70="","",'Cash Flow %s Yr1'!O70*'Expenses Summary'!$U24))</f>
        <v>0</v>
      </c>
      <c r="P75" s="123"/>
      <c r="Q75" s="123"/>
      <c r="R75" s="123"/>
    </row>
    <row r="76" spans="1:18" s="30" customFormat="1" x14ac:dyDescent="0.3">
      <c r="A76" s="35"/>
      <c r="B76" s="63" t="str">
        <f>'Expenses Summary'!B25</f>
        <v>2400</v>
      </c>
      <c r="C76" s="63" t="str">
        <f>'Expenses Summary'!C25</f>
        <v>Clerical, Technical, and Office Staff Salaries</v>
      </c>
      <c r="D76" s="60">
        <f>IF('Expenses Summary'!$U25="","",IF('Cash Flow %s Yr1'!D71="","",'Cash Flow %s Yr1'!D71*'Expenses Summary'!$U25))</f>
        <v>2358.6508051400001</v>
      </c>
      <c r="E76" s="60">
        <f>IF('Expenses Summary'!$U25="","",IF('Cash Flow %s Yr1'!E71="","",'Cash Flow %s Yr1'!E71*'Expenses Summary'!$U25))</f>
        <v>2358.6508051400001</v>
      </c>
      <c r="F76" s="60">
        <f>IF('Expenses Summary'!$U25="","",IF('Cash Flow %s Yr1'!F71="","",'Cash Flow %s Yr1'!F71*'Expenses Summary'!$U25))</f>
        <v>2358.6508051400001</v>
      </c>
      <c r="G76" s="60">
        <f>IF('Expenses Summary'!$U25="","",IF('Cash Flow %s Yr1'!G71="","",'Cash Flow %s Yr1'!G71*'Expenses Summary'!$U25))</f>
        <v>2358.6508051400001</v>
      </c>
      <c r="H76" s="60">
        <f>IF('Expenses Summary'!$U25="","",IF('Cash Flow %s Yr1'!H71="","",'Cash Flow %s Yr1'!H71*'Expenses Summary'!$U25))</f>
        <v>2358.6508051400001</v>
      </c>
      <c r="I76" s="60">
        <f>IF('Expenses Summary'!$U25="","",IF('Cash Flow %s Yr1'!I71="","",'Cash Flow %s Yr1'!I71*'Expenses Summary'!$U25))</f>
        <v>2358.6508051400001</v>
      </c>
      <c r="J76" s="60">
        <f>IF('Expenses Summary'!$U25="","",IF('Cash Flow %s Yr1'!J71="","",'Cash Flow %s Yr1'!J71*'Expenses Summary'!$U25))</f>
        <v>2358.6508051400001</v>
      </c>
      <c r="K76" s="60">
        <f>IF('Expenses Summary'!$U25="","",IF('Cash Flow %s Yr1'!K71="","",'Cash Flow %s Yr1'!K71*'Expenses Summary'!$U25))</f>
        <v>2358.6508051400001</v>
      </c>
      <c r="L76" s="60">
        <f>IF('Expenses Summary'!$U25="","",IF('Cash Flow %s Yr1'!L71="","",'Cash Flow %s Yr1'!L71*'Expenses Summary'!$U25))</f>
        <v>2387.0682847200001</v>
      </c>
      <c r="M76" s="60">
        <f>IF('Expenses Summary'!$U25="","",IF('Cash Flow %s Yr1'!M71="","",'Cash Flow %s Yr1'!M71*'Expenses Summary'!$U25))</f>
        <v>2387.0682847200001</v>
      </c>
      <c r="N76" s="60">
        <f>IF('Expenses Summary'!$U25="","",IF('Cash Flow %s Yr1'!N71="","",'Cash Flow %s Yr1'!N71*'Expenses Summary'!$U25))</f>
        <v>2387.0682847200001</v>
      </c>
      <c r="O76" s="60">
        <f>IF('Expenses Summary'!$U25="","",IF('Cash Flow %s Yr1'!O71="","",'Cash Flow %s Yr1'!O71*'Expenses Summary'!$U25))</f>
        <v>2387.0682847200001</v>
      </c>
      <c r="P76" s="123"/>
      <c r="Q76" s="123"/>
      <c r="R76" s="123"/>
    </row>
    <row r="77" spans="1:18" s="30" customFormat="1" x14ac:dyDescent="0.3">
      <c r="A77" s="35"/>
      <c r="B77" s="63" t="str">
        <f>'Expenses Summary'!B26</f>
        <v>2410</v>
      </c>
      <c r="C77" s="63" t="str">
        <f>'Expenses Summary'!C26</f>
        <v>Clerical, Technical, and Office Staff Overtime</v>
      </c>
      <c r="D77" s="60">
        <f>IF('Expenses Summary'!$U26="","",IF('Cash Flow %s Yr1'!D72="","",'Cash Flow %s Yr1'!D72*'Expenses Summary'!$U26))</f>
        <v>0</v>
      </c>
      <c r="E77" s="60">
        <f>IF('Expenses Summary'!$U26="","",IF('Cash Flow %s Yr1'!E72="","",'Cash Flow %s Yr1'!E72*'Expenses Summary'!$U26))</f>
        <v>0</v>
      </c>
      <c r="F77" s="60">
        <f>IF('Expenses Summary'!$U26="","",IF('Cash Flow %s Yr1'!F72="","",'Cash Flow %s Yr1'!F72*'Expenses Summary'!$U26))</f>
        <v>0</v>
      </c>
      <c r="G77" s="60">
        <f>IF('Expenses Summary'!$U26="","",IF('Cash Flow %s Yr1'!G72="","",'Cash Flow %s Yr1'!G72*'Expenses Summary'!$U26))</f>
        <v>0</v>
      </c>
      <c r="H77" s="60">
        <f>IF('Expenses Summary'!$U26="","",IF('Cash Flow %s Yr1'!H72="","",'Cash Flow %s Yr1'!H72*'Expenses Summary'!$U26))</f>
        <v>0</v>
      </c>
      <c r="I77" s="60">
        <f>IF('Expenses Summary'!$U26="","",IF('Cash Flow %s Yr1'!I72="","",'Cash Flow %s Yr1'!I72*'Expenses Summary'!$U26))</f>
        <v>0</v>
      </c>
      <c r="J77" s="60">
        <f>IF('Expenses Summary'!$U26="","",IF('Cash Flow %s Yr1'!J72="","",'Cash Flow %s Yr1'!J72*'Expenses Summary'!$U26))</f>
        <v>0</v>
      </c>
      <c r="K77" s="60">
        <f>IF('Expenses Summary'!$U26="","",IF('Cash Flow %s Yr1'!K72="","",'Cash Flow %s Yr1'!K72*'Expenses Summary'!$U26))</f>
        <v>0</v>
      </c>
      <c r="L77" s="60">
        <f>IF('Expenses Summary'!$U26="","",IF('Cash Flow %s Yr1'!L72="","",'Cash Flow %s Yr1'!L72*'Expenses Summary'!$U26))</f>
        <v>0</v>
      </c>
      <c r="M77" s="60">
        <f>IF('Expenses Summary'!$U26="","",IF('Cash Flow %s Yr1'!M72="","",'Cash Flow %s Yr1'!M72*'Expenses Summary'!$U26))</f>
        <v>0</v>
      </c>
      <c r="N77" s="60">
        <f>IF('Expenses Summary'!$U26="","",IF('Cash Flow %s Yr1'!N72="","",'Cash Flow %s Yr1'!N72*'Expenses Summary'!$U26))</f>
        <v>0</v>
      </c>
      <c r="O77" s="60">
        <f>IF('Expenses Summary'!$U26="","",IF('Cash Flow %s Yr1'!O72="","",'Cash Flow %s Yr1'!O72*'Expenses Summary'!$U26))</f>
        <v>0</v>
      </c>
      <c r="P77" s="123"/>
      <c r="Q77" s="123"/>
      <c r="R77" s="123"/>
    </row>
    <row r="78" spans="1:18" s="30" customFormat="1" x14ac:dyDescent="0.3">
      <c r="A78" s="35"/>
      <c r="B78" s="63" t="str">
        <f>'Expenses Summary'!B27</f>
        <v>2900</v>
      </c>
      <c r="C78" s="63" t="str">
        <f>'Expenses Summary'!C27</f>
        <v>Other Classified Salaries</v>
      </c>
      <c r="D78" s="60">
        <f>IF('Expenses Summary'!$U27="","",IF('Cash Flow %s Yr1'!D73="","",'Cash Flow %s Yr1'!D73*'Expenses Summary'!$U27))</f>
        <v>0</v>
      </c>
      <c r="E78" s="60">
        <f>IF('Expenses Summary'!$U27="","",IF('Cash Flow %s Yr1'!E73="","",'Cash Flow %s Yr1'!E73*'Expenses Summary'!$U27))</f>
        <v>0</v>
      </c>
      <c r="F78" s="60">
        <f>IF('Expenses Summary'!$U27="","",IF('Cash Flow %s Yr1'!F73="","",'Cash Flow %s Yr1'!F73*'Expenses Summary'!$U27))</f>
        <v>0</v>
      </c>
      <c r="G78" s="60">
        <f>IF('Expenses Summary'!$U27="","",IF('Cash Flow %s Yr1'!G73="","",'Cash Flow %s Yr1'!G73*'Expenses Summary'!$U27))</f>
        <v>0</v>
      </c>
      <c r="H78" s="60">
        <f>IF('Expenses Summary'!$U27="","",IF('Cash Flow %s Yr1'!H73="","",'Cash Flow %s Yr1'!H73*'Expenses Summary'!$U27))</f>
        <v>0</v>
      </c>
      <c r="I78" s="60">
        <f>IF('Expenses Summary'!$U27="","",IF('Cash Flow %s Yr1'!I73="","",'Cash Flow %s Yr1'!I73*'Expenses Summary'!$U27))</f>
        <v>0</v>
      </c>
      <c r="J78" s="60">
        <f>IF('Expenses Summary'!$U27="","",IF('Cash Flow %s Yr1'!J73="","",'Cash Flow %s Yr1'!J73*'Expenses Summary'!$U27))</f>
        <v>0</v>
      </c>
      <c r="K78" s="60">
        <f>IF('Expenses Summary'!$U27="","",IF('Cash Flow %s Yr1'!K73="","",'Cash Flow %s Yr1'!K73*'Expenses Summary'!$U27))</f>
        <v>0</v>
      </c>
      <c r="L78" s="60">
        <f>IF('Expenses Summary'!$U27="","",IF('Cash Flow %s Yr1'!L73="","",'Cash Flow %s Yr1'!L73*'Expenses Summary'!$U27))</f>
        <v>0</v>
      </c>
      <c r="M78" s="60">
        <f>IF('Expenses Summary'!$U27="","",IF('Cash Flow %s Yr1'!M73="","",'Cash Flow %s Yr1'!M73*'Expenses Summary'!$U27))</f>
        <v>0</v>
      </c>
      <c r="N78" s="60">
        <f>IF('Expenses Summary'!$U27="","",IF('Cash Flow %s Yr1'!N73="","",'Cash Flow %s Yr1'!N73*'Expenses Summary'!$U27))</f>
        <v>0</v>
      </c>
      <c r="O78" s="60">
        <f>IF('Expenses Summary'!$U27="","",IF('Cash Flow %s Yr1'!O73="","",'Cash Flow %s Yr1'!O73*'Expenses Summary'!$U27))</f>
        <v>0</v>
      </c>
      <c r="P78" s="123"/>
      <c r="Q78" s="123"/>
      <c r="R78" s="123"/>
    </row>
    <row r="79" spans="1:18" s="30" customFormat="1" x14ac:dyDescent="0.3">
      <c r="A79" s="35"/>
      <c r="B79" s="63" t="str">
        <f>'Expenses Summary'!B28</f>
        <v>2905</v>
      </c>
      <c r="C79" s="63" t="str">
        <f>'Expenses Summary'!C28</f>
        <v>Other Stipends</v>
      </c>
      <c r="D79" s="60">
        <f>IF('Expenses Summary'!$U28="","",IF('Cash Flow %s Yr1'!D74="","",'Cash Flow %s Yr1'!D74*'Expenses Summary'!$U28))</f>
        <v>0</v>
      </c>
      <c r="E79" s="60">
        <f>IF('Expenses Summary'!$U28="","",IF('Cash Flow %s Yr1'!E74="","",'Cash Flow %s Yr1'!E74*'Expenses Summary'!$U28))</f>
        <v>0</v>
      </c>
      <c r="F79" s="60">
        <f>IF('Expenses Summary'!$U28="","",IF('Cash Flow %s Yr1'!F74="","",'Cash Flow %s Yr1'!F74*'Expenses Summary'!$U28))</f>
        <v>0</v>
      </c>
      <c r="G79" s="60">
        <f>IF('Expenses Summary'!$U28="","",IF('Cash Flow %s Yr1'!G74="","",'Cash Flow %s Yr1'!G74*'Expenses Summary'!$U28))</f>
        <v>0</v>
      </c>
      <c r="H79" s="60">
        <f>IF('Expenses Summary'!$U28="","",IF('Cash Flow %s Yr1'!H74="","",'Cash Flow %s Yr1'!H74*'Expenses Summary'!$U28))</f>
        <v>0</v>
      </c>
      <c r="I79" s="60">
        <f>IF('Expenses Summary'!$U28="","",IF('Cash Flow %s Yr1'!I74="","",'Cash Flow %s Yr1'!I74*'Expenses Summary'!$U28))</f>
        <v>0</v>
      </c>
      <c r="J79" s="60">
        <f>IF('Expenses Summary'!$U28="","",IF('Cash Flow %s Yr1'!J74="","",'Cash Flow %s Yr1'!J74*'Expenses Summary'!$U28))</f>
        <v>0</v>
      </c>
      <c r="K79" s="60">
        <f>IF('Expenses Summary'!$U28="","",IF('Cash Flow %s Yr1'!K74="","",'Cash Flow %s Yr1'!K74*'Expenses Summary'!$U28))</f>
        <v>0</v>
      </c>
      <c r="L79" s="60">
        <f>IF('Expenses Summary'!$U28="","",IF('Cash Flow %s Yr1'!L74="","",'Cash Flow %s Yr1'!L74*'Expenses Summary'!$U28))</f>
        <v>0</v>
      </c>
      <c r="M79" s="60">
        <f>IF('Expenses Summary'!$U28="","",IF('Cash Flow %s Yr1'!M74="","",'Cash Flow %s Yr1'!M74*'Expenses Summary'!$U28))</f>
        <v>0</v>
      </c>
      <c r="N79" s="60">
        <f>IF('Expenses Summary'!$U28="","",IF('Cash Flow %s Yr1'!N74="","",'Cash Flow %s Yr1'!N74*'Expenses Summary'!$U28))</f>
        <v>0</v>
      </c>
      <c r="O79" s="60">
        <f>IF('Expenses Summary'!$U28="","",IF('Cash Flow %s Yr1'!O74="","",'Cash Flow %s Yr1'!O74*'Expenses Summary'!$U28))</f>
        <v>0</v>
      </c>
      <c r="P79" s="123"/>
      <c r="Q79" s="123"/>
      <c r="R79" s="123"/>
    </row>
    <row r="80" spans="1:18" s="30" customFormat="1" x14ac:dyDescent="0.3">
      <c r="A80" s="35"/>
      <c r="B80" s="63" t="str">
        <f>'Expenses Summary'!B29</f>
        <v>2910</v>
      </c>
      <c r="C80" s="63" t="str">
        <f>'Expenses Summary'!C29</f>
        <v>Other Classified Overtime</v>
      </c>
      <c r="D80" s="60">
        <f>IF('Expenses Summary'!$U29="","",IF('Cash Flow %s Yr1'!D75="","",'Cash Flow %s Yr1'!D75*'Expenses Summary'!$U29))</f>
        <v>0</v>
      </c>
      <c r="E80" s="60">
        <f>IF('Expenses Summary'!$U29="","",IF('Cash Flow %s Yr1'!E75="","",'Cash Flow %s Yr1'!E75*'Expenses Summary'!$U29))</f>
        <v>0</v>
      </c>
      <c r="F80" s="60">
        <f>IF('Expenses Summary'!$U29="","",IF('Cash Flow %s Yr1'!F75="","",'Cash Flow %s Yr1'!F75*'Expenses Summary'!$U29))</f>
        <v>0</v>
      </c>
      <c r="G80" s="60">
        <f>IF('Expenses Summary'!$U29="","",IF('Cash Flow %s Yr1'!G75="","",'Cash Flow %s Yr1'!G75*'Expenses Summary'!$U29))</f>
        <v>0</v>
      </c>
      <c r="H80" s="60">
        <f>IF('Expenses Summary'!$U29="","",IF('Cash Flow %s Yr1'!H75="","",'Cash Flow %s Yr1'!H75*'Expenses Summary'!$U29))</f>
        <v>0</v>
      </c>
      <c r="I80" s="60">
        <f>IF('Expenses Summary'!$U29="","",IF('Cash Flow %s Yr1'!I75="","",'Cash Flow %s Yr1'!I75*'Expenses Summary'!$U29))</f>
        <v>0</v>
      </c>
      <c r="J80" s="60">
        <f>IF('Expenses Summary'!$U29="","",IF('Cash Flow %s Yr1'!J75="","",'Cash Flow %s Yr1'!J75*'Expenses Summary'!$U29))</f>
        <v>0</v>
      </c>
      <c r="K80" s="60">
        <f>IF('Expenses Summary'!$U29="","",IF('Cash Flow %s Yr1'!K75="","",'Cash Flow %s Yr1'!K75*'Expenses Summary'!$U29))</f>
        <v>0</v>
      </c>
      <c r="L80" s="60">
        <f>IF('Expenses Summary'!$U29="","",IF('Cash Flow %s Yr1'!L75="","",'Cash Flow %s Yr1'!L75*'Expenses Summary'!$U29))</f>
        <v>0</v>
      </c>
      <c r="M80" s="60">
        <f>IF('Expenses Summary'!$U29="","",IF('Cash Flow %s Yr1'!M75="","",'Cash Flow %s Yr1'!M75*'Expenses Summary'!$U29))</f>
        <v>0</v>
      </c>
      <c r="N80" s="60">
        <f>IF('Expenses Summary'!$U29="","",IF('Cash Flow %s Yr1'!N75="","",'Cash Flow %s Yr1'!N75*'Expenses Summary'!$U29))</f>
        <v>0</v>
      </c>
      <c r="O80" s="60">
        <f>IF('Expenses Summary'!$U29="","",IF('Cash Flow %s Yr1'!O75="","",'Cash Flow %s Yr1'!O75*'Expenses Summary'!$U29))</f>
        <v>0</v>
      </c>
      <c r="P80" s="123"/>
      <c r="Q80" s="123"/>
      <c r="R80" s="123"/>
    </row>
    <row r="81" spans="1:18" s="30" customFormat="1" x14ac:dyDescent="0.3">
      <c r="A81" s="35"/>
      <c r="B81" s="42" t="s">
        <v>737</v>
      </c>
      <c r="C81" s="33" t="s">
        <v>720</v>
      </c>
      <c r="D81" s="165">
        <f t="shared" ref="D81:I81" si="6">IF(SUM(D70:D80)&gt;0,SUM(D70:D80),"")</f>
        <v>2358.6508051400001</v>
      </c>
      <c r="E81" s="165">
        <f t="shared" si="6"/>
        <v>10310.414575140001</v>
      </c>
      <c r="F81" s="165">
        <f t="shared" si="6"/>
        <v>18331.478345140004</v>
      </c>
      <c r="G81" s="165">
        <f t="shared" si="6"/>
        <v>18331.478345140004</v>
      </c>
      <c r="H81" s="165">
        <f t="shared" si="6"/>
        <v>18331.478345140004</v>
      </c>
      <c r="I81" s="165">
        <f t="shared" si="6"/>
        <v>18331.478345140004</v>
      </c>
      <c r="J81" s="165">
        <f t="shared" ref="J81:O81" si="7">IF(SUM(J70:J80)&gt;0,SUM(J70:J80),"")</f>
        <v>18331.478345140004</v>
      </c>
      <c r="K81" s="165">
        <f t="shared" si="7"/>
        <v>18331.478345140004</v>
      </c>
      <c r="L81" s="165">
        <f t="shared" si="7"/>
        <v>18359.895824720003</v>
      </c>
      <c r="M81" s="165">
        <f t="shared" si="7"/>
        <v>18359.895824720003</v>
      </c>
      <c r="N81" s="165">
        <f t="shared" si="7"/>
        <v>18359.895824720003</v>
      </c>
      <c r="O81" s="165">
        <f t="shared" si="7"/>
        <v>10408.132054720001</v>
      </c>
      <c r="P81" s="94"/>
      <c r="Q81" s="94"/>
      <c r="R81" s="94"/>
    </row>
    <row r="82" spans="1:18" s="30" customFormat="1" x14ac:dyDescent="0.3">
      <c r="A82" s="35"/>
      <c r="B82" s="39"/>
      <c r="C82" s="3"/>
      <c r="D82" s="96"/>
      <c r="E82" s="96"/>
      <c r="F82" s="96"/>
      <c r="G82" s="96"/>
      <c r="H82" s="96"/>
      <c r="I82" s="96"/>
      <c r="J82" s="96"/>
      <c r="K82" s="96"/>
      <c r="L82" s="96"/>
      <c r="M82" s="96"/>
      <c r="N82" s="96"/>
      <c r="O82" s="96"/>
      <c r="P82" s="96"/>
      <c r="Q82" s="96"/>
      <c r="R82" s="96"/>
    </row>
    <row r="83" spans="1:18" s="30" customFormat="1" x14ac:dyDescent="0.3">
      <c r="B83" s="33" t="s">
        <v>734</v>
      </c>
      <c r="C83" s="3"/>
      <c r="D83" s="96"/>
      <c r="E83" s="96"/>
      <c r="F83" s="96"/>
      <c r="G83" s="96"/>
      <c r="H83" s="96"/>
      <c r="I83" s="96"/>
      <c r="J83" s="96"/>
      <c r="K83" s="96"/>
      <c r="L83" s="96"/>
      <c r="M83" s="96"/>
      <c r="N83" s="96"/>
      <c r="O83" s="96"/>
      <c r="P83" s="96"/>
      <c r="Q83" s="96"/>
      <c r="R83" s="96"/>
    </row>
    <row r="84" spans="1:18" s="30" customFormat="1" x14ac:dyDescent="0.3">
      <c r="A84" s="35"/>
      <c r="B84" s="63" t="str">
        <f>'Expenses Summary'!B33</f>
        <v>3101</v>
      </c>
      <c r="C84" s="63" t="str">
        <f>'Expenses Summary'!C33</f>
        <v>State Teachers' Retirement System, certificated positions</v>
      </c>
      <c r="D84" s="60">
        <f>IF('Expenses Summary'!$U33="","",IF('Cash Flow %s Yr1'!D79="","",'Cash Flow %s Yr1'!D79*'Expenses Summary'!$U33))</f>
        <v>1042.1812180880002</v>
      </c>
      <c r="E84" s="60">
        <f>IF('Expenses Summary'!$U33="","",IF('Cash Flow %s Yr1'!E79="","",'Cash Flow %s Yr1'!E79*'Expenses Summary'!$U33))</f>
        <v>2605.4530452200001</v>
      </c>
      <c r="F84" s="60">
        <f>IF('Expenses Summary'!$U33="","",IF('Cash Flow %s Yr1'!F79="","",'Cash Flow %s Yr1'!F79*'Expenses Summary'!$U33))</f>
        <v>5210.9060904400003</v>
      </c>
      <c r="G84" s="60">
        <f>IF('Expenses Summary'!$U33="","",IF('Cash Flow %s Yr1'!G79="","",'Cash Flow %s Yr1'!G79*'Expenses Summary'!$U33))</f>
        <v>5210.9060904400003</v>
      </c>
      <c r="H84" s="60">
        <f>IF('Expenses Summary'!$U33="","",IF('Cash Flow %s Yr1'!H79="","",'Cash Flow %s Yr1'!H79*'Expenses Summary'!$U33))</f>
        <v>5210.9060904400003</v>
      </c>
      <c r="I84" s="60">
        <f>IF('Expenses Summary'!$U33="","",IF('Cash Flow %s Yr1'!I79="","",'Cash Flow %s Yr1'!I79*'Expenses Summary'!$U33))</f>
        <v>5210.9060904400003</v>
      </c>
      <c r="J84" s="60">
        <f>IF('Expenses Summary'!$U33="","",IF('Cash Flow %s Yr1'!J79="","",'Cash Flow %s Yr1'!J79*'Expenses Summary'!$U33))</f>
        <v>5210.9060904400003</v>
      </c>
      <c r="K84" s="60">
        <f>IF('Expenses Summary'!$U33="","",IF('Cash Flow %s Yr1'!K79="","",'Cash Flow %s Yr1'!K79*'Expenses Summary'!$U33))</f>
        <v>5210.9060904400003</v>
      </c>
      <c r="L84" s="60">
        <f>IF('Expenses Summary'!$U33="","",IF('Cash Flow %s Yr1'!L79="","",'Cash Flow %s Yr1'!L79*'Expenses Summary'!$U33))</f>
        <v>5210.9060904400003</v>
      </c>
      <c r="M84" s="60">
        <f>IF('Expenses Summary'!$U33="","",IF('Cash Flow %s Yr1'!M79="","",'Cash Flow %s Yr1'!M79*'Expenses Summary'!$U33))</f>
        <v>5210.9060904400003</v>
      </c>
      <c r="N84" s="60">
        <f>IF('Expenses Summary'!$U33="","",IF('Cash Flow %s Yr1'!N79="","",'Cash Flow %s Yr1'!N79*'Expenses Summary'!$U33))</f>
        <v>5210.9060904400003</v>
      </c>
      <c r="O84" s="60">
        <f>IF('Expenses Summary'!$U33="","",IF('Cash Flow %s Yr1'!O79="","",'Cash Flow %s Yr1'!O79*'Expenses Summary'!$U33))</f>
        <v>1563.271827132</v>
      </c>
      <c r="P84" s="123"/>
      <c r="Q84" s="123"/>
      <c r="R84" s="123"/>
    </row>
    <row r="85" spans="1:18" s="30" customFormat="1" x14ac:dyDescent="0.3">
      <c r="A85" s="35"/>
      <c r="B85" s="63" t="str">
        <f>'Expenses Summary'!B34</f>
        <v>3202</v>
      </c>
      <c r="C85" s="63" t="str">
        <f>'Expenses Summary'!C34</f>
        <v>Public Employees' Retirement System, classified positions</v>
      </c>
      <c r="D85" s="60">
        <f>IF('Expenses Summary'!$U34="","",IF('Cash Flow %s Yr1'!D80="","",'Cash Flow %s Yr1'!D80*'Expenses Summary'!$U34))</f>
        <v>0</v>
      </c>
      <c r="E85" s="60">
        <f>IF('Expenses Summary'!$U34="","",IF('Cash Flow %s Yr1'!E80="","",'Cash Flow %s Yr1'!E80*'Expenses Summary'!$U34))</f>
        <v>0</v>
      </c>
      <c r="F85" s="60">
        <f>IF('Expenses Summary'!$U34="","",IF('Cash Flow %s Yr1'!F80="","",'Cash Flow %s Yr1'!F80*'Expenses Summary'!$U34))</f>
        <v>0</v>
      </c>
      <c r="G85" s="60">
        <f>IF('Expenses Summary'!$U34="","",IF('Cash Flow %s Yr1'!G80="","",'Cash Flow %s Yr1'!G80*'Expenses Summary'!$U34))</f>
        <v>0</v>
      </c>
      <c r="H85" s="60">
        <f>IF('Expenses Summary'!$U34="","",IF('Cash Flow %s Yr1'!H80="","",'Cash Flow %s Yr1'!H80*'Expenses Summary'!$U34))</f>
        <v>0</v>
      </c>
      <c r="I85" s="60">
        <f>IF('Expenses Summary'!$U34="","",IF('Cash Flow %s Yr1'!I80="","",'Cash Flow %s Yr1'!I80*'Expenses Summary'!$U34))</f>
        <v>0</v>
      </c>
      <c r="J85" s="60">
        <f>IF('Expenses Summary'!$U34="","",IF('Cash Flow %s Yr1'!J80="","",'Cash Flow %s Yr1'!J80*'Expenses Summary'!$U34))</f>
        <v>0</v>
      </c>
      <c r="K85" s="60">
        <f>IF('Expenses Summary'!$U34="","",IF('Cash Flow %s Yr1'!K80="","",'Cash Flow %s Yr1'!K80*'Expenses Summary'!$U34))</f>
        <v>0</v>
      </c>
      <c r="L85" s="60">
        <f>IF('Expenses Summary'!$U34="","",IF('Cash Flow %s Yr1'!L80="","",'Cash Flow %s Yr1'!L80*'Expenses Summary'!$U34))</f>
        <v>0</v>
      </c>
      <c r="M85" s="60">
        <f>IF('Expenses Summary'!$U34="","",IF('Cash Flow %s Yr1'!M80="","",'Cash Flow %s Yr1'!M80*'Expenses Summary'!$U34))</f>
        <v>0</v>
      </c>
      <c r="N85" s="60">
        <f>IF('Expenses Summary'!$U34="","",IF('Cash Flow %s Yr1'!N80="","",'Cash Flow %s Yr1'!N80*'Expenses Summary'!$U34))</f>
        <v>0</v>
      </c>
      <c r="O85" s="60">
        <f>IF('Expenses Summary'!$U34="","",IF('Cash Flow %s Yr1'!O80="","",'Cash Flow %s Yr1'!O80*'Expenses Summary'!$U34))</f>
        <v>0</v>
      </c>
      <c r="P85" s="123"/>
      <c r="Q85" s="123"/>
      <c r="R85" s="123"/>
    </row>
    <row r="86" spans="1:18" s="30" customFormat="1" x14ac:dyDescent="0.3">
      <c r="A86" s="35"/>
      <c r="B86" s="63" t="str">
        <f>'Expenses Summary'!B35</f>
        <v>3313</v>
      </c>
      <c r="C86" s="63" t="str">
        <f>'Expenses Summary'!C35</f>
        <v>OASDI</v>
      </c>
      <c r="D86" s="60">
        <f>IF('Expenses Summary'!$U35="","",IF('Cash Flow %s Yr1'!D81="","",'Cash Flow %s Yr1'!D81*'Expenses Summary'!$U35))</f>
        <v>1085.9644105837499</v>
      </c>
      <c r="E86" s="60">
        <f>IF('Expenses Summary'!$U35="","",IF('Cash Flow %s Yr1'!E81="","",'Cash Flow %s Yr1'!E81*'Expenses Summary'!$U35))</f>
        <v>1085.9644105837499</v>
      </c>
      <c r="F86" s="60">
        <f>IF('Expenses Summary'!$U35="","",IF('Cash Flow %s Yr1'!F81="","",'Cash Flow %s Yr1'!F81*'Expenses Summary'!$U35))</f>
        <v>1085.9644105837499</v>
      </c>
      <c r="G86" s="60">
        <f>IF('Expenses Summary'!$U35="","",IF('Cash Flow %s Yr1'!G81="","",'Cash Flow %s Yr1'!G81*'Expenses Summary'!$U35))</f>
        <v>1085.9644105837499</v>
      </c>
      <c r="H86" s="60">
        <f>IF('Expenses Summary'!$U35="","",IF('Cash Flow %s Yr1'!H81="","",'Cash Flow %s Yr1'!H81*'Expenses Summary'!$U35))</f>
        <v>1085.9644105837499</v>
      </c>
      <c r="I86" s="60">
        <f>IF('Expenses Summary'!$U35="","",IF('Cash Flow %s Yr1'!I81="","",'Cash Flow %s Yr1'!I81*'Expenses Summary'!$U35))</f>
        <v>1085.9644105837499</v>
      </c>
      <c r="J86" s="60">
        <f>IF('Expenses Summary'!$U35="","",IF('Cash Flow %s Yr1'!J81="","",'Cash Flow %s Yr1'!J81*'Expenses Summary'!$U35))</f>
        <v>1085.9644105837499</v>
      </c>
      <c r="K86" s="60">
        <f>IF('Expenses Summary'!$U35="","",IF('Cash Flow %s Yr1'!K81="","",'Cash Flow %s Yr1'!K81*'Expenses Summary'!$U35))</f>
        <v>1085.9644105837499</v>
      </c>
      <c r="L86" s="60">
        <f>IF('Expenses Summary'!$U35="","",IF('Cash Flow %s Yr1'!L81="","",'Cash Flow %s Yr1'!L81*'Expenses Summary'!$U35))</f>
        <v>1099.0483191450001</v>
      </c>
      <c r="M86" s="60">
        <f>IF('Expenses Summary'!$U35="","",IF('Cash Flow %s Yr1'!M81="","",'Cash Flow %s Yr1'!M81*'Expenses Summary'!$U35))</f>
        <v>1099.0483191450001</v>
      </c>
      <c r="N86" s="60">
        <f>IF('Expenses Summary'!$U35="","",IF('Cash Flow %s Yr1'!N81="","",'Cash Flow %s Yr1'!N81*'Expenses Summary'!$U35))</f>
        <v>1099.0483191450001</v>
      </c>
      <c r="O86" s="60">
        <f>IF('Expenses Summary'!$U35="","",IF('Cash Flow %s Yr1'!O81="","",'Cash Flow %s Yr1'!O81*'Expenses Summary'!$U35))</f>
        <v>1099.0483191450001</v>
      </c>
      <c r="P86" s="123"/>
      <c r="Q86" s="123"/>
      <c r="R86" s="123"/>
    </row>
    <row r="87" spans="1:18" s="30" customFormat="1" x14ac:dyDescent="0.3">
      <c r="A87" s="35"/>
      <c r="B87" s="63" t="str">
        <f>'Expenses Summary'!B36</f>
        <v>3323</v>
      </c>
      <c r="C87" s="63" t="str">
        <f>'Expenses Summary'!C36</f>
        <v>Medicare</v>
      </c>
      <c r="D87" s="60">
        <f>IF('Expenses Summary'!$U36="","",IF('Cash Flow %s Yr1'!D82="","",'Cash Flow %s Yr1'!D82*'Expenses Summary'!$U36))</f>
        <v>580.28539141482986</v>
      </c>
      <c r="E87" s="60">
        <f>IF('Expenses Summary'!$U36="","",IF('Cash Flow %s Yr1'!E82="","",'Cash Flow %s Yr1'!E82*'Expenses Summary'!$U36))</f>
        <v>580.28539141482986</v>
      </c>
      <c r="F87" s="60">
        <f>IF('Expenses Summary'!$U36="","",IF('Cash Flow %s Yr1'!F82="","",'Cash Flow %s Yr1'!F82*'Expenses Summary'!$U36))</f>
        <v>580.28539141482986</v>
      </c>
      <c r="G87" s="60">
        <f>IF('Expenses Summary'!$U36="","",IF('Cash Flow %s Yr1'!G82="","",'Cash Flow %s Yr1'!G82*'Expenses Summary'!$U36))</f>
        <v>580.28539141482986</v>
      </c>
      <c r="H87" s="60">
        <f>IF('Expenses Summary'!$U36="","",IF('Cash Flow %s Yr1'!H82="","",'Cash Flow %s Yr1'!H82*'Expenses Summary'!$U36))</f>
        <v>580.28539141482986</v>
      </c>
      <c r="I87" s="60">
        <f>IF('Expenses Summary'!$U36="","",IF('Cash Flow %s Yr1'!I82="","",'Cash Flow %s Yr1'!I82*'Expenses Summary'!$U36))</f>
        <v>580.28539141482986</v>
      </c>
      <c r="J87" s="60">
        <f>IF('Expenses Summary'!$U36="","",IF('Cash Flow %s Yr1'!J82="","",'Cash Flow %s Yr1'!J82*'Expenses Summary'!$U36))</f>
        <v>580.28539141482986</v>
      </c>
      <c r="K87" s="60">
        <f>IF('Expenses Summary'!$U36="","",IF('Cash Flow %s Yr1'!K82="","",'Cash Flow %s Yr1'!K82*'Expenses Summary'!$U36))</f>
        <v>580.28539141482986</v>
      </c>
      <c r="L87" s="60">
        <f>IF('Expenses Summary'!$U36="","",IF('Cash Flow %s Yr1'!L82="","",'Cash Flow %s Yr1'!L82*'Expenses Summary'!$U36))</f>
        <v>587.27678167283989</v>
      </c>
      <c r="M87" s="60">
        <f>IF('Expenses Summary'!$U36="","",IF('Cash Flow %s Yr1'!M82="","",'Cash Flow %s Yr1'!M82*'Expenses Summary'!$U36))</f>
        <v>587.27678167283989</v>
      </c>
      <c r="N87" s="60">
        <f>IF('Expenses Summary'!$U36="","",IF('Cash Flow %s Yr1'!N82="","",'Cash Flow %s Yr1'!N82*'Expenses Summary'!$U36))</f>
        <v>587.27678167283989</v>
      </c>
      <c r="O87" s="60">
        <f>IF('Expenses Summary'!$U36="","",IF('Cash Flow %s Yr1'!O82="","",'Cash Flow %s Yr1'!O82*'Expenses Summary'!$U36))</f>
        <v>587.27678167283989</v>
      </c>
      <c r="P87" s="123"/>
      <c r="Q87" s="123"/>
      <c r="R87" s="123"/>
    </row>
    <row r="88" spans="1:18" s="30" customFormat="1" x14ac:dyDescent="0.3">
      <c r="A88" s="35"/>
      <c r="B88" s="63" t="str">
        <f>'Expenses Summary'!B37</f>
        <v>3403</v>
      </c>
      <c r="C88" s="63" t="str">
        <f>'Expenses Summary'!C37</f>
        <v>Health &amp; Welfare Benefits</v>
      </c>
      <c r="D88" s="60">
        <f>IF('Expenses Summary'!$U37="","",IF('Cash Flow %s Yr1'!D83="","",'Cash Flow %s Yr1'!D83*'Expenses Summary'!$U37))</f>
        <v>4433.8600000000006</v>
      </c>
      <c r="E88" s="60">
        <f>IF('Expenses Summary'!$U37="","",IF('Cash Flow %s Yr1'!E83="","",'Cash Flow %s Yr1'!E83*'Expenses Summary'!$U37))</f>
        <v>4433.8600000000006</v>
      </c>
      <c r="F88" s="60">
        <f>IF('Expenses Summary'!$U37="","",IF('Cash Flow %s Yr1'!F83="","",'Cash Flow %s Yr1'!F83*'Expenses Summary'!$U37))</f>
        <v>4433.8600000000006</v>
      </c>
      <c r="G88" s="60">
        <f>IF('Expenses Summary'!$U37="","",IF('Cash Flow %s Yr1'!G83="","",'Cash Flow %s Yr1'!G83*'Expenses Summary'!$U37))</f>
        <v>4433.8600000000006</v>
      </c>
      <c r="H88" s="60">
        <f>IF('Expenses Summary'!$U37="","",IF('Cash Flow %s Yr1'!H83="","",'Cash Flow %s Yr1'!H83*'Expenses Summary'!$U37))</f>
        <v>4433.8600000000006</v>
      </c>
      <c r="I88" s="60">
        <f>IF('Expenses Summary'!$U37="","",IF('Cash Flow %s Yr1'!I83="","",'Cash Flow %s Yr1'!I83*'Expenses Summary'!$U37))</f>
        <v>4433.8600000000006</v>
      </c>
      <c r="J88" s="60">
        <f>IF('Expenses Summary'!$U37="","",IF('Cash Flow %s Yr1'!J83="","",'Cash Flow %s Yr1'!J83*'Expenses Summary'!$U37))</f>
        <v>4433.8600000000006</v>
      </c>
      <c r="K88" s="60">
        <f>IF('Expenses Summary'!$U37="","",IF('Cash Flow %s Yr1'!K83="","",'Cash Flow %s Yr1'!K83*'Expenses Summary'!$U37))</f>
        <v>4433.8600000000006</v>
      </c>
      <c r="L88" s="60">
        <f>IF('Expenses Summary'!$U37="","",IF('Cash Flow %s Yr1'!L83="","",'Cash Flow %s Yr1'!L83*'Expenses Summary'!$U37))</f>
        <v>4487.2800000000007</v>
      </c>
      <c r="M88" s="60">
        <f>IF('Expenses Summary'!$U37="","",IF('Cash Flow %s Yr1'!M83="","",'Cash Flow %s Yr1'!M83*'Expenses Summary'!$U37))</f>
        <v>4487.2800000000007</v>
      </c>
      <c r="N88" s="60">
        <f>IF('Expenses Summary'!$U37="","",IF('Cash Flow %s Yr1'!N83="","",'Cash Flow %s Yr1'!N83*'Expenses Summary'!$U37))</f>
        <v>4487.2800000000007</v>
      </c>
      <c r="O88" s="60">
        <f>IF('Expenses Summary'!$U37="","",IF('Cash Flow %s Yr1'!O83="","",'Cash Flow %s Yr1'!O83*'Expenses Summary'!$U37))</f>
        <v>4487.2800000000007</v>
      </c>
      <c r="P88" s="123"/>
      <c r="Q88" s="123"/>
      <c r="R88" s="123"/>
    </row>
    <row r="89" spans="1:18" s="30" customFormat="1" x14ac:dyDescent="0.3">
      <c r="A89" s="35"/>
      <c r="B89" s="63" t="str">
        <f>'Expenses Summary'!B38</f>
        <v>3503</v>
      </c>
      <c r="C89" s="63" t="str">
        <f>'Expenses Summary'!C38</f>
        <v>State Unemployment Insurance</v>
      </c>
      <c r="D89" s="60">
        <f>IF('Expenses Summary'!$U38="","",IF('Cash Flow %s Yr1'!D84="","",'Cash Flow %s Yr1'!D84*'Expenses Summary'!$U38))</f>
        <v>531.20000000000005</v>
      </c>
      <c r="E89" s="60">
        <f>IF('Expenses Summary'!$U38="","",IF('Cash Flow %s Yr1'!E84="","",'Cash Flow %s Yr1'!E84*'Expenses Summary'!$U38))</f>
        <v>531.20000000000005</v>
      </c>
      <c r="F89" s="60">
        <f>IF('Expenses Summary'!$U38="","",IF('Cash Flow %s Yr1'!F84="","",'Cash Flow %s Yr1'!F84*'Expenses Summary'!$U38))</f>
        <v>531.20000000000005</v>
      </c>
      <c r="G89" s="60">
        <f>IF('Expenses Summary'!$U38="","",IF('Cash Flow %s Yr1'!G84="","",'Cash Flow %s Yr1'!G84*'Expenses Summary'!$U38))</f>
        <v>531.20000000000005</v>
      </c>
      <c r="H89" s="60">
        <f>IF('Expenses Summary'!$U38="","",IF('Cash Flow %s Yr1'!H84="","",'Cash Flow %s Yr1'!H84*'Expenses Summary'!$U38))</f>
        <v>531.20000000000005</v>
      </c>
      <c r="I89" s="60">
        <f>IF('Expenses Summary'!$U38="","",IF('Cash Flow %s Yr1'!I84="","",'Cash Flow %s Yr1'!I84*'Expenses Summary'!$U38))</f>
        <v>531.20000000000005</v>
      </c>
      <c r="J89" s="60">
        <f>IF('Expenses Summary'!$U38="","",IF('Cash Flow %s Yr1'!J84="","",'Cash Flow %s Yr1'!J84*'Expenses Summary'!$U38))</f>
        <v>531.20000000000005</v>
      </c>
      <c r="K89" s="60">
        <f>IF('Expenses Summary'!$U38="","",IF('Cash Flow %s Yr1'!K84="","",'Cash Flow %s Yr1'!K84*'Expenses Summary'!$U38))</f>
        <v>531.20000000000005</v>
      </c>
      <c r="L89" s="60">
        <f>IF('Expenses Summary'!$U38="","",IF('Cash Flow %s Yr1'!L84="","",'Cash Flow %s Yr1'!L84*'Expenses Summary'!$U38))</f>
        <v>537.6</v>
      </c>
      <c r="M89" s="60">
        <f>IF('Expenses Summary'!$U38="","",IF('Cash Flow %s Yr1'!M84="","",'Cash Flow %s Yr1'!M84*'Expenses Summary'!$U38))</f>
        <v>537.6</v>
      </c>
      <c r="N89" s="60">
        <f>IF('Expenses Summary'!$U38="","",IF('Cash Flow %s Yr1'!N84="","",'Cash Flow %s Yr1'!N84*'Expenses Summary'!$U38))</f>
        <v>537.6</v>
      </c>
      <c r="O89" s="60">
        <f>IF('Expenses Summary'!$U38="","",IF('Cash Flow %s Yr1'!O84="","",'Cash Flow %s Yr1'!O84*'Expenses Summary'!$U38))</f>
        <v>537.6</v>
      </c>
      <c r="P89" s="123"/>
      <c r="Q89" s="123"/>
      <c r="R89" s="123"/>
    </row>
    <row r="90" spans="1:18" s="30" customFormat="1" x14ac:dyDescent="0.3">
      <c r="A90" s="35"/>
      <c r="B90" s="63" t="str">
        <f>'Expenses Summary'!B39</f>
        <v>3603</v>
      </c>
      <c r="C90" s="63" t="str">
        <f>'Expenses Summary'!C39</f>
        <v>Worker Compensation Insurance</v>
      </c>
      <c r="D90" s="60">
        <f>IF('Expenses Summary'!$U39="","",IF('Cash Flow %s Yr1'!D85="","",'Cash Flow %s Yr1'!D85*'Expenses Summary'!$U39))</f>
        <v>822.53000000000009</v>
      </c>
      <c r="E90" s="60">
        <f>IF('Expenses Summary'!$U39="","",IF('Cash Flow %s Yr1'!E85="","",'Cash Flow %s Yr1'!E85*'Expenses Summary'!$U39))</f>
        <v>822.53000000000009</v>
      </c>
      <c r="F90" s="60">
        <f>IF('Expenses Summary'!$U39="","",IF('Cash Flow %s Yr1'!F85="","",'Cash Flow %s Yr1'!F85*'Expenses Summary'!$U39))</f>
        <v>822.53000000000009</v>
      </c>
      <c r="G90" s="60">
        <f>IF('Expenses Summary'!$U39="","",IF('Cash Flow %s Yr1'!G85="","",'Cash Flow %s Yr1'!G85*'Expenses Summary'!$U39))</f>
        <v>822.53000000000009</v>
      </c>
      <c r="H90" s="60">
        <f>IF('Expenses Summary'!$U39="","",IF('Cash Flow %s Yr1'!H85="","",'Cash Flow %s Yr1'!H85*'Expenses Summary'!$U39))</f>
        <v>822.53000000000009</v>
      </c>
      <c r="I90" s="60">
        <f>IF('Expenses Summary'!$U39="","",IF('Cash Flow %s Yr1'!I85="","",'Cash Flow %s Yr1'!I85*'Expenses Summary'!$U39))</f>
        <v>822.53000000000009</v>
      </c>
      <c r="J90" s="60">
        <f>IF('Expenses Summary'!$U39="","",IF('Cash Flow %s Yr1'!J85="","",'Cash Flow %s Yr1'!J85*'Expenses Summary'!$U39))</f>
        <v>822.53000000000009</v>
      </c>
      <c r="K90" s="60">
        <f>IF('Expenses Summary'!$U39="","",IF('Cash Flow %s Yr1'!K85="","",'Cash Flow %s Yr1'!K85*'Expenses Summary'!$U39))</f>
        <v>822.53000000000009</v>
      </c>
      <c r="L90" s="60">
        <f>IF('Expenses Summary'!$U39="","",IF('Cash Flow %s Yr1'!L85="","",'Cash Flow %s Yr1'!L85*'Expenses Summary'!$U39))</f>
        <v>832.44</v>
      </c>
      <c r="M90" s="60">
        <f>IF('Expenses Summary'!$U39="","",IF('Cash Flow %s Yr1'!M85="","",'Cash Flow %s Yr1'!M85*'Expenses Summary'!$U39))</f>
        <v>832.44</v>
      </c>
      <c r="N90" s="60">
        <f>IF('Expenses Summary'!$U39="","",IF('Cash Flow %s Yr1'!N85="","",'Cash Flow %s Yr1'!N85*'Expenses Summary'!$U39))</f>
        <v>832.44</v>
      </c>
      <c r="O90" s="60">
        <f>IF('Expenses Summary'!$U39="","",IF('Cash Flow %s Yr1'!O85="","",'Cash Flow %s Yr1'!O85*'Expenses Summary'!$U39))</f>
        <v>832.44</v>
      </c>
      <c r="P90" s="123"/>
      <c r="Q90" s="123"/>
      <c r="R90" s="123"/>
    </row>
    <row r="91" spans="1:18" s="30" customFormat="1" x14ac:dyDescent="0.3">
      <c r="A91" s="35"/>
      <c r="B91" s="63" t="str">
        <f>'Expenses Summary'!B40</f>
        <v>3703</v>
      </c>
      <c r="C91" s="63" t="str">
        <f>'Expenses Summary'!C40</f>
        <v>Other Post Employement Benefits</v>
      </c>
      <c r="D91" s="60">
        <f>IF('Expenses Summary'!$U40="","",IF('Cash Flow %s Yr1'!D86="","",'Cash Flow %s Yr1'!D86*'Expenses Summary'!$U40))</f>
        <v>0</v>
      </c>
      <c r="E91" s="60">
        <f>IF('Expenses Summary'!$U40="","",IF('Cash Flow %s Yr1'!E86="","",'Cash Flow %s Yr1'!E86*'Expenses Summary'!$U40))</f>
        <v>0</v>
      </c>
      <c r="F91" s="60">
        <f>IF('Expenses Summary'!$U40="","",IF('Cash Flow %s Yr1'!F86="","",'Cash Flow %s Yr1'!F86*'Expenses Summary'!$U40))</f>
        <v>0</v>
      </c>
      <c r="G91" s="60">
        <f>IF('Expenses Summary'!$U40="","",IF('Cash Flow %s Yr1'!G86="","",'Cash Flow %s Yr1'!G86*'Expenses Summary'!$U40))</f>
        <v>0</v>
      </c>
      <c r="H91" s="60">
        <f>IF('Expenses Summary'!$U40="","",IF('Cash Flow %s Yr1'!H86="","",'Cash Flow %s Yr1'!H86*'Expenses Summary'!$U40))</f>
        <v>0</v>
      </c>
      <c r="I91" s="60">
        <f>IF('Expenses Summary'!$U40="","",IF('Cash Flow %s Yr1'!I86="","",'Cash Flow %s Yr1'!I86*'Expenses Summary'!$U40))</f>
        <v>0</v>
      </c>
      <c r="J91" s="60">
        <f>IF('Expenses Summary'!$U40="","",IF('Cash Flow %s Yr1'!J86="","",'Cash Flow %s Yr1'!J86*'Expenses Summary'!$U40))</f>
        <v>0</v>
      </c>
      <c r="K91" s="60">
        <f>IF('Expenses Summary'!$U40="","",IF('Cash Flow %s Yr1'!K86="","",'Cash Flow %s Yr1'!K86*'Expenses Summary'!$U40))</f>
        <v>0</v>
      </c>
      <c r="L91" s="60">
        <f>IF('Expenses Summary'!$U40="","",IF('Cash Flow %s Yr1'!L86="","",'Cash Flow %s Yr1'!L86*'Expenses Summary'!$U40))</f>
        <v>0</v>
      </c>
      <c r="M91" s="60">
        <f>IF('Expenses Summary'!$U40="","",IF('Cash Flow %s Yr1'!M86="","",'Cash Flow %s Yr1'!M86*'Expenses Summary'!$U40))</f>
        <v>0</v>
      </c>
      <c r="N91" s="60">
        <f>IF('Expenses Summary'!$U40="","",IF('Cash Flow %s Yr1'!N86="","",'Cash Flow %s Yr1'!N86*'Expenses Summary'!$U40))</f>
        <v>0</v>
      </c>
      <c r="O91" s="60">
        <f>IF('Expenses Summary'!$U40="","",IF('Cash Flow %s Yr1'!O86="","",'Cash Flow %s Yr1'!O86*'Expenses Summary'!$U40))</f>
        <v>0</v>
      </c>
      <c r="P91" s="123"/>
      <c r="Q91" s="123"/>
      <c r="R91" s="123"/>
    </row>
    <row r="92" spans="1:18" s="30" customFormat="1" x14ac:dyDescent="0.3">
      <c r="A92" s="35"/>
      <c r="B92" s="63" t="str">
        <f>'Expenses Summary'!B41</f>
        <v>3903</v>
      </c>
      <c r="C92" s="63" t="str">
        <f>'Expenses Summary'!C41</f>
        <v>Other Benefits</v>
      </c>
      <c r="D92" s="60">
        <f>IF('Expenses Summary'!$U41="","",IF('Cash Flow %s Yr1'!D87="","",'Cash Flow %s Yr1'!D87*'Expenses Summary'!$U41))</f>
        <v>0</v>
      </c>
      <c r="E92" s="60">
        <f>IF('Expenses Summary'!$U41="","",IF('Cash Flow %s Yr1'!E87="","",'Cash Flow %s Yr1'!E87*'Expenses Summary'!$U41))</f>
        <v>0</v>
      </c>
      <c r="F92" s="60">
        <f>IF('Expenses Summary'!$U41="","",IF('Cash Flow %s Yr1'!F87="","",'Cash Flow %s Yr1'!F87*'Expenses Summary'!$U41))</f>
        <v>0</v>
      </c>
      <c r="G92" s="60">
        <f>IF('Expenses Summary'!$U41="","",IF('Cash Flow %s Yr1'!G87="","",'Cash Flow %s Yr1'!G87*'Expenses Summary'!$U41))</f>
        <v>0</v>
      </c>
      <c r="H92" s="60">
        <f>IF('Expenses Summary'!$U41="","",IF('Cash Flow %s Yr1'!H87="","",'Cash Flow %s Yr1'!H87*'Expenses Summary'!$U41))</f>
        <v>0</v>
      </c>
      <c r="I92" s="60">
        <f>IF('Expenses Summary'!$U41="","",IF('Cash Flow %s Yr1'!I87="","",'Cash Flow %s Yr1'!I87*'Expenses Summary'!$U41))</f>
        <v>0</v>
      </c>
      <c r="J92" s="60">
        <f>IF('Expenses Summary'!$U41="","",IF('Cash Flow %s Yr1'!J87="","",'Cash Flow %s Yr1'!J87*'Expenses Summary'!$U41))</f>
        <v>0</v>
      </c>
      <c r="K92" s="60">
        <f>IF('Expenses Summary'!$U41="","",IF('Cash Flow %s Yr1'!K87="","",'Cash Flow %s Yr1'!K87*'Expenses Summary'!$U41))</f>
        <v>0</v>
      </c>
      <c r="L92" s="60">
        <f>IF('Expenses Summary'!$U41="","",IF('Cash Flow %s Yr1'!L87="","",'Cash Flow %s Yr1'!L87*'Expenses Summary'!$U41))</f>
        <v>0</v>
      </c>
      <c r="M92" s="60">
        <f>IF('Expenses Summary'!$U41="","",IF('Cash Flow %s Yr1'!M87="","",'Cash Flow %s Yr1'!M87*'Expenses Summary'!$U41))</f>
        <v>0</v>
      </c>
      <c r="N92" s="60">
        <f>IF('Expenses Summary'!$U41="","",IF('Cash Flow %s Yr1'!N87="","",'Cash Flow %s Yr1'!N87*'Expenses Summary'!$U41))</f>
        <v>0</v>
      </c>
      <c r="O92" s="60">
        <f>IF('Expenses Summary'!$U41="","",IF('Cash Flow %s Yr1'!O87="","",'Cash Flow %s Yr1'!O87*'Expenses Summary'!$U41))</f>
        <v>0</v>
      </c>
      <c r="P92" s="123"/>
      <c r="Q92" s="123"/>
      <c r="R92" s="123"/>
    </row>
    <row r="93" spans="1:18" s="30" customFormat="1" x14ac:dyDescent="0.3">
      <c r="A93" s="35"/>
      <c r="B93" s="42" t="s">
        <v>738</v>
      </c>
      <c r="C93" s="33" t="s">
        <v>720</v>
      </c>
      <c r="D93" s="165">
        <f t="shared" ref="D93:O93" si="8">IF(SUM(D83:D92)&gt;0,SUM(D83:D92),"")</f>
        <v>8496.0210200865804</v>
      </c>
      <c r="E93" s="165">
        <f t="shared" si="8"/>
        <v>10059.292847218583</v>
      </c>
      <c r="F93" s="165">
        <f t="shared" si="8"/>
        <v>12664.745892438581</v>
      </c>
      <c r="G93" s="165">
        <f t="shared" si="8"/>
        <v>12664.745892438581</v>
      </c>
      <c r="H93" s="165">
        <f t="shared" si="8"/>
        <v>12664.745892438581</v>
      </c>
      <c r="I93" s="165">
        <f t="shared" si="8"/>
        <v>12664.745892438581</v>
      </c>
      <c r="J93" s="165">
        <f t="shared" si="8"/>
        <v>12664.745892438581</v>
      </c>
      <c r="K93" s="165">
        <f t="shared" si="8"/>
        <v>12664.745892438581</v>
      </c>
      <c r="L93" s="165">
        <f t="shared" si="8"/>
        <v>12754.551191257842</v>
      </c>
      <c r="M93" s="165">
        <f t="shared" si="8"/>
        <v>12754.551191257842</v>
      </c>
      <c r="N93" s="165">
        <f t="shared" si="8"/>
        <v>12754.551191257842</v>
      </c>
      <c r="O93" s="165">
        <f t="shared" si="8"/>
        <v>9106.9169279498419</v>
      </c>
      <c r="P93" s="94"/>
      <c r="Q93" s="94"/>
      <c r="R93" s="94"/>
    </row>
    <row r="94" spans="1:18" s="30" customFormat="1" x14ac:dyDescent="0.3">
      <c r="A94" s="35"/>
      <c r="B94" s="39"/>
      <c r="C94" s="1"/>
      <c r="D94" s="89"/>
      <c r="E94" s="89"/>
      <c r="F94" s="89"/>
      <c r="G94" s="89"/>
      <c r="H94" s="89"/>
      <c r="I94" s="89"/>
      <c r="J94" s="89"/>
      <c r="K94" s="89"/>
      <c r="L94" s="89"/>
      <c r="M94" s="89"/>
      <c r="N94" s="89"/>
      <c r="O94" s="89"/>
      <c r="P94" s="89"/>
      <c r="Q94" s="89"/>
      <c r="R94" s="89"/>
    </row>
    <row r="95" spans="1:18" s="30" customFormat="1" x14ac:dyDescent="0.3">
      <c r="B95" s="33" t="s">
        <v>677</v>
      </c>
      <c r="C95" s="3"/>
      <c r="D95" s="89"/>
      <c r="E95" s="89"/>
      <c r="F95" s="89"/>
      <c r="G95" s="89"/>
      <c r="H95" s="89"/>
      <c r="I95" s="89"/>
      <c r="J95" s="89"/>
      <c r="K95" s="89"/>
      <c r="L95" s="89"/>
      <c r="M95" s="89"/>
      <c r="N95" s="89"/>
      <c r="O95" s="89"/>
      <c r="P95" s="89"/>
      <c r="Q95" s="89"/>
      <c r="R95" s="89"/>
    </row>
    <row r="96" spans="1:18" s="30" customFormat="1" x14ac:dyDescent="0.3">
      <c r="A96" s="35"/>
      <c r="B96" s="133" t="str">
        <f>'Expenses Summary'!B47</f>
        <v>4100</v>
      </c>
      <c r="C96" s="133" t="str">
        <f>'Expenses Summary'!C47</f>
        <v>Approved Textbooks and Core Curricula Materials</v>
      </c>
      <c r="D96" s="60">
        <f>IF('Expenses Summary'!$U47="","",IF('Cash Flow %s Yr1'!D91="","",'Cash Flow %s Yr1'!D91*'Expenses Summary'!$U47))</f>
        <v>2129.2224000000001</v>
      </c>
      <c r="E96" s="60">
        <f>IF('Expenses Summary'!$U47="","",IF('Cash Flow %s Yr1'!E91="","",'Cash Flow %s Yr1'!E91*'Expenses Summary'!$U47))</f>
        <v>2129.2224000000001</v>
      </c>
      <c r="F96" s="60">
        <f>IF('Expenses Summary'!$U47="","",IF('Cash Flow %s Yr1'!F91="","",'Cash Flow %s Yr1'!F91*'Expenses Summary'!$U47))</f>
        <v>2129.2224000000001</v>
      </c>
      <c r="G96" s="60">
        <f>IF('Expenses Summary'!$U47="","",IF('Cash Flow %s Yr1'!G91="","",'Cash Flow %s Yr1'!G91*'Expenses Summary'!$U47))</f>
        <v>2129.2224000000001</v>
      </c>
      <c r="H96" s="60">
        <f>IF('Expenses Summary'!$U47="","",IF('Cash Flow %s Yr1'!H91="","",'Cash Flow %s Yr1'!H91*'Expenses Summary'!$U47))</f>
        <v>2129.2224000000001</v>
      </c>
      <c r="I96" s="60">
        <f>IF('Expenses Summary'!$U47="","",IF('Cash Flow %s Yr1'!I91="","",'Cash Flow %s Yr1'!I91*'Expenses Summary'!$U47))</f>
        <v>2129.2224000000001</v>
      </c>
      <c r="J96" s="60">
        <f>IF('Expenses Summary'!$U47="","",IF('Cash Flow %s Yr1'!J91="","",'Cash Flow %s Yr1'!J91*'Expenses Summary'!$U47))</f>
        <v>2129.2224000000001</v>
      </c>
      <c r="K96" s="60">
        <f>IF('Expenses Summary'!$U47="","",IF('Cash Flow %s Yr1'!K91="","",'Cash Flow %s Yr1'!K91*'Expenses Summary'!$U47))</f>
        <v>2129.2224000000001</v>
      </c>
      <c r="L96" s="60">
        <f>IF('Expenses Summary'!$U47="","",IF('Cash Flow %s Yr1'!L91="","",'Cash Flow %s Yr1'!L91*'Expenses Summary'!$U47))</f>
        <v>2129.2224000000001</v>
      </c>
      <c r="M96" s="60">
        <f>IF('Expenses Summary'!$U47="","",IF('Cash Flow %s Yr1'!M91="","",'Cash Flow %s Yr1'!M91*'Expenses Summary'!$U47))</f>
        <v>2129.2224000000001</v>
      </c>
      <c r="N96" s="60">
        <f>IF('Expenses Summary'!$U47="","",IF('Cash Flow %s Yr1'!N91="","",'Cash Flow %s Yr1'!N91*'Expenses Summary'!$U47))</f>
        <v>0</v>
      </c>
      <c r="O96" s="60">
        <f>IF('Expenses Summary'!$U47="","",IF('Cash Flow %s Yr1'!O91="","",'Cash Flow %s Yr1'!O91*'Expenses Summary'!$U47))</f>
        <v>0</v>
      </c>
      <c r="P96" s="123"/>
      <c r="Q96" s="123"/>
      <c r="R96" s="123"/>
    </row>
    <row r="97" spans="1:18" x14ac:dyDescent="0.3">
      <c r="A97" s="35"/>
      <c r="B97" s="133" t="str">
        <f>'Expenses Summary'!B48</f>
        <v>4200</v>
      </c>
      <c r="C97" s="133" t="str">
        <f>'Expenses Summary'!C48</f>
        <v>Books and Other Reference Materials</v>
      </c>
      <c r="D97" s="60">
        <f>IF('Expenses Summary'!$U48="","",IF('Cash Flow %s Yr1'!D92="","",'Cash Flow %s Yr1'!D92*'Expenses Summary'!$U48))</f>
        <v>95.81500800000002</v>
      </c>
      <c r="E97" s="60">
        <f>IF('Expenses Summary'!$U48="","",IF('Cash Flow %s Yr1'!E92="","",'Cash Flow %s Yr1'!E92*'Expenses Summary'!$U48))</f>
        <v>191.63001600000004</v>
      </c>
      <c r="F97" s="60">
        <f>IF('Expenses Summary'!$U48="","",IF('Cash Flow %s Yr1'!F92="","",'Cash Flow %s Yr1'!F92*'Expenses Summary'!$U48))</f>
        <v>191.63001600000004</v>
      </c>
      <c r="G97" s="60">
        <f>IF('Expenses Summary'!$U48="","",IF('Cash Flow %s Yr1'!G92="","",'Cash Flow %s Yr1'!G92*'Expenses Summary'!$U48))</f>
        <v>191.63001600000004</v>
      </c>
      <c r="H97" s="60">
        <f>IF('Expenses Summary'!$U48="","",IF('Cash Flow %s Yr1'!H92="","",'Cash Flow %s Yr1'!H92*'Expenses Summary'!$U48))</f>
        <v>191.63001600000004</v>
      </c>
      <c r="I97" s="60">
        <f>IF('Expenses Summary'!$U48="","",IF('Cash Flow %s Yr1'!I92="","",'Cash Flow %s Yr1'!I92*'Expenses Summary'!$U48))</f>
        <v>191.63001600000004</v>
      </c>
      <c r="J97" s="60">
        <f>IF('Expenses Summary'!$U48="","",IF('Cash Flow %s Yr1'!J92="","",'Cash Flow %s Yr1'!J92*'Expenses Summary'!$U48))</f>
        <v>191.63001600000004</v>
      </c>
      <c r="K97" s="60">
        <f>IF('Expenses Summary'!$U48="","",IF('Cash Flow %s Yr1'!K92="","",'Cash Flow %s Yr1'!K92*'Expenses Summary'!$U48))</f>
        <v>191.63001600000004</v>
      </c>
      <c r="L97" s="60">
        <f>IF('Expenses Summary'!$U48="","",IF('Cash Flow %s Yr1'!L92="","",'Cash Flow %s Yr1'!L92*'Expenses Summary'!$U48))</f>
        <v>191.63001600000004</v>
      </c>
      <c r="M97" s="60">
        <f>IF('Expenses Summary'!$U48="","",IF('Cash Flow %s Yr1'!M92="","",'Cash Flow %s Yr1'!M92*'Expenses Summary'!$U48))</f>
        <v>191.63001600000004</v>
      </c>
      <c r="N97" s="60">
        <f>IF('Expenses Summary'!$U48="","",IF('Cash Flow %s Yr1'!N92="","",'Cash Flow %s Yr1'!N92*'Expenses Summary'!$U48))</f>
        <v>95.81500800000002</v>
      </c>
      <c r="O97" s="60">
        <f>IF('Expenses Summary'!$U48="","",IF('Cash Flow %s Yr1'!O92="","",'Cash Flow %s Yr1'!O92*'Expenses Summary'!$U48))</f>
        <v>0</v>
      </c>
      <c r="P97" s="123"/>
      <c r="Q97" s="123"/>
      <c r="R97" s="123"/>
    </row>
    <row r="98" spans="1:18" x14ac:dyDescent="0.3">
      <c r="A98" s="35"/>
      <c r="B98" s="133" t="str">
        <f>'Expenses Summary'!B49</f>
        <v>4300</v>
      </c>
      <c r="C98" s="133" t="str">
        <f>'Expenses Summary'!C49</f>
        <v>Materials and Supplies</v>
      </c>
      <c r="D98" s="60">
        <f>IF('Expenses Summary'!$U49="","",IF('Cash Flow %s Yr1'!D93="","",'Cash Flow %s Yr1'!D93*'Expenses Summary'!$U49))</f>
        <v>551.38343270400003</v>
      </c>
      <c r="E98" s="60">
        <f>IF('Expenses Summary'!$U49="","",IF('Cash Flow %s Yr1'!E93="","",'Cash Flow %s Yr1'!E93*'Expenses Summary'!$U49))</f>
        <v>551.38343270400003</v>
      </c>
      <c r="F98" s="60">
        <f>IF('Expenses Summary'!$U49="","",IF('Cash Flow %s Yr1'!F93="","",'Cash Flow %s Yr1'!F93*'Expenses Summary'!$U49))</f>
        <v>551.38343270400003</v>
      </c>
      <c r="G98" s="60">
        <f>IF('Expenses Summary'!$U49="","",IF('Cash Flow %s Yr1'!G93="","",'Cash Flow %s Yr1'!G93*'Expenses Summary'!$U49))</f>
        <v>551.38343270400003</v>
      </c>
      <c r="H98" s="60">
        <f>IF('Expenses Summary'!$U49="","",IF('Cash Flow %s Yr1'!H93="","",'Cash Flow %s Yr1'!H93*'Expenses Summary'!$U49))</f>
        <v>551.38343270400003</v>
      </c>
      <c r="I98" s="60">
        <f>IF('Expenses Summary'!$U49="","",IF('Cash Flow %s Yr1'!I93="","",'Cash Flow %s Yr1'!I93*'Expenses Summary'!$U49))</f>
        <v>551.38343270400003</v>
      </c>
      <c r="J98" s="60">
        <f>IF('Expenses Summary'!$U49="","",IF('Cash Flow %s Yr1'!J93="","",'Cash Flow %s Yr1'!J93*'Expenses Summary'!$U49))</f>
        <v>551.38343270400003</v>
      </c>
      <c r="K98" s="60">
        <f>IF('Expenses Summary'!$U49="","",IF('Cash Flow %s Yr1'!K93="","",'Cash Flow %s Yr1'!K93*'Expenses Summary'!$U49))</f>
        <v>551.38343270400003</v>
      </c>
      <c r="L98" s="60">
        <f>IF('Expenses Summary'!$U49="","",IF('Cash Flow %s Yr1'!L93="","",'Cash Flow %s Yr1'!L93*'Expenses Summary'!$U49))</f>
        <v>558.02660659200001</v>
      </c>
      <c r="M98" s="60">
        <f>IF('Expenses Summary'!$U49="","",IF('Cash Flow %s Yr1'!M93="","",'Cash Flow %s Yr1'!M93*'Expenses Summary'!$U49))</f>
        <v>558.02660659200001</v>
      </c>
      <c r="N98" s="60">
        <f>IF('Expenses Summary'!$U49="","",IF('Cash Flow %s Yr1'!N93="","",'Cash Flow %s Yr1'!N93*'Expenses Summary'!$U49))</f>
        <v>558.02660659200001</v>
      </c>
      <c r="O98" s="60">
        <f>IF('Expenses Summary'!$U49="","",IF('Cash Flow %s Yr1'!O93="","",'Cash Flow %s Yr1'!O93*'Expenses Summary'!$U49))</f>
        <v>558.02660659200001</v>
      </c>
      <c r="P98" s="123"/>
      <c r="Q98" s="123"/>
      <c r="R98" s="123"/>
    </row>
    <row r="99" spans="1:18" x14ac:dyDescent="0.3">
      <c r="A99" s="35"/>
      <c r="B99" s="133" t="str">
        <f>'Expenses Summary'!B50</f>
        <v>4315</v>
      </c>
      <c r="C99" s="133" t="str">
        <f>'Expenses Summary'!C50</f>
        <v>Classroom Materials and Supplies</v>
      </c>
      <c r="D99" s="60">
        <f>IF('Expenses Summary'!$U50="","",IF('Cash Flow %s Yr1'!D94="","",'Cash Flow %s Yr1'!D94*'Expenses Summary'!$U50))</f>
        <v>530.17637760000014</v>
      </c>
      <c r="E99" s="60">
        <f>IF('Expenses Summary'!$U50="","",IF('Cash Flow %s Yr1'!E94="","",'Cash Flow %s Yr1'!E94*'Expenses Summary'!$U50))</f>
        <v>530.17637760000014</v>
      </c>
      <c r="F99" s="60">
        <f>IF('Expenses Summary'!$U50="","",IF('Cash Flow %s Yr1'!F94="","",'Cash Flow %s Yr1'!F94*'Expenses Summary'!$U50))</f>
        <v>530.17637760000014</v>
      </c>
      <c r="G99" s="60">
        <f>IF('Expenses Summary'!$U50="","",IF('Cash Flow %s Yr1'!G94="","",'Cash Flow %s Yr1'!G94*'Expenses Summary'!$U50))</f>
        <v>530.17637760000014</v>
      </c>
      <c r="H99" s="60">
        <f>IF('Expenses Summary'!$U50="","",IF('Cash Flow %s Yr1'!H94="","",'Cash Flow %s Yr1'!H94*'Expenses Summary'!$U50))</f>
        <v>530.17637760000014</v>
      </c>
      <c r="I99" s="60">
        <f>IF('Expenses Summary'!$U50="","",IF('Cash Flow %s Yr1'!I94="","",'Cash Flow %s Yr1'!I94*'Expenses Summary'!$U50))</f>
        <v>530.17637760000014</v>
      </c>
      <c r="J99" s="60">
        <f>IF('Expenses Summary'!$U50="","",IF('Cash Flow %s Yr1'!J94="","",'Cash Flow %s Yr1'!J94*'Expenses Summary'!$U50))</f>
        <v>530.17637760000014</v>
      </c>
      <c r="K99" s="60">
        <f>IF('Expenses Summary'!$U50="","",IF('Cash Flow %s Yr1'!K94="","",'Cash Flow %s Yr1'!K94*'Expenses Summary'!$U50))</f>
        <v>530.17637760000014</v>
      </c>
      <c r="L99" s="60">
        <f>IF('Expenses Summary'!$U50="","",IF('Cash Flow %s Yr1'!L94="","",'Cash Flow %s Yr1'!L94*'Expenses Summary'!$U50))</f>
        <v>530.17637760000014</v>
      </c>
      <c r="M99" s="60">
        <f>IF('Expenses Summary'!$U50="","",IF('Cash Flow %s Yr1'!M94="","",'Cash Flow %s Yr1'!M94*'Expenses Summary'!$U50))</f>
        <v>530.17637760000014</v>
      </c>
      <c r="N99" s="60">
        <f>IF('Expenses Summary'!$U50="","",IF('Cash Flow %s Yr1'!N94="","",'Cash Flow %s Yr1'!N94*'Expenses Summary'!$U50))</f>
        <v>530.17637760000014</v>
      </c>
      <c r="O99" s="60">
        <f>IF('Expenses Summary'!$U50="","",IF('Cash Flow %s Yr1'!O94="","",'Cash Flow %s Yr1'!O94*'Expenses Summary'!$U50))</f>
        <v>530.17637760000014</v>
      </c>
      <c r="P99" s="123"/>
      <c r="Q99" s="123"/>
      <c r="R99" s="123"/>
    </row>
    <row r="100" spans="1:18" x14ac:dyDescent="0.3">
      <c r="A100" s="35"/>
      <c r="B100" s="133" t="str">
        <f>'Expenses Summary'!B51</f>
        <v>4342</v>
      </c>
      <c r="C100" s="133" t="str">
        <f>'Expenses Summary'!C51</f>
        <v>Materials for Athletics</v>
      </c>
      <c r="D100" s="60">
        <f>IF('Expenses Summary'!$U51="","",IF('Cash Flow %s Yr1'!D95="","",'Cash Flow %s Yr1'!D95*'Expenses Summary'!$U51))</f>
        <v>441.81364800000006</v>
      </c>
      <c r="E100" s="60">
        <f>IF('Expenses Summary'!$U51="","",IF('Cash Flow %s Yr1'!E95="","",'Cash Flow %s Yr1'!E95*'Expenses Summary'!$U51))</f>
        <v>441.81364800000006</v>
      </c>
      <c r="F100" s="60">
        <f>IF('Expenses Summary'!$U51="","",IF('Cash Flow %s Yr1'!F95="","",'Cash Flow %s Yr1'!F95*'Expenses Summary'!$U51))</f>
        <v>441.81364800000006</v>
      </c>
      <c r="G100" s="60">
        <f>IF('Expenses Summary'!$U51="","",IF('Cash Flow %s Yr1'!G95="","",'Cash Flow %s Yr1'!G95*'Expenses Summary'!$U51))</f>
        <v>441.81364800000006</v>
      </c>
      <c r="H100" s="60">
        <f>IF('Expenses Summary'!$U51="","",IF('Cash Flow %s Yr1'!H95="","",'Cash Flow %s Yr1'!H95*'Expenses Summary'!$U51))</f>
        <v>441.81364800000006</v>
      </c>
      <c r="I100" s="60">
        <f>IF('Expenses Summary'!$U51="","",IF('Cash Flow %s Yr1'!I95="","",'Cash Flow %s Yr1'!I95*'Expenses Summary'!$U51))</f>
        <v>441.81364800000006</v>
      </c>
      <c r="J100" s="60">
        <f>IF('Expenses Summary'!$U51="","",IF('Cash Flow %s Yr1'!J95="","",'Cash Flow %s Yr1'!J95*'Expenses Summary'!$U51))</f>
        <v>441.81364800000006</v>
      </c>
      <c r="K100" s="60">
        <f>IF('Expenses Summary'!$U51="","",IF('Cash Flow %s Yr1'!K95="","",'Cash Flow %s Yr1'!K95*'Expenses Summary'!$U51))</f>
        <v>441.81364800000006</v>
      </c>
      <c r="L100" s="60">
        <f>IF('Expenses Summary'!$U51="","",IF('Cash Flow %s Yr1'!L95="","",'Cash Flow %s Yr1'!L95*'Expenses Summary'!$U51))</f>
        <v>447.13670400000007</v>
      </c>
      <c r="M100" s="60">
        <f>IF('Expenses Summary'!$U51="","",IF('Cash Flow %s Yr1'!M95="","",'Cash Flow %s Yr1'!M95*'Expenses Summary'!$U51))</f>
        <v>447.13670400000007</v>
      </c>
      <c r="N100" s="60">
        <f>IF('Expenses Summary'!$U51="","",IF('Cash Flow %s Yr1'!N95="","",'Cash Flow %s Yr1'!N95*'Expenses Summary'!$U51))</f>
        <v>447.13670400000007</v>
      </c>
      <c r="O100" s="60">
        <f>IF('Expenses Summary'!$U51="","",IF('Cash Flow %s Yr1'!O95="","",'Cash Flow %s Yr1'!O95*'Expenses Summary'!$U51))</f>
        <v>447.13670400000007</v>
      </c>
      <c r="P100" s="123"/>
      <c r="Q100" s="123"/>
      <c r="R100" s="123"/>
    </row>
    <row r="101" spans="1:18" x14ac:dyDescent="0.3">
      <c r="A101" s="35"/>
      <c r="B101" s="133" t="str">
        <f>'Expenses Summary'!B52</f>
        <v>4381</v>
      </c>
      <c r="C101" s="133" t="str">
        <f>'Expenses Summary'!C52</f>
        <v>Materials for Plant Maintenance</v>
      </c>
      <c r="D101" s="60">
        <f>IF('Expenses Summary'!$U52="","",IF('Cash Flow %s Yr1'!D96="","",'Cash Flow %s Yr1'!D96*'Expenses Summary'!$U52))</f>
        <v>88.362729600000023</v>
      </c>
      <c r="E101" s="60">
        <f>IF('Expenses Summary'!$U52="","",IF('Cash Flow %s Yr1'!E96="","",'Cash Flow %s Yr1'!E96*'Expenses Summary'!$U52))</f>
        <v>88.362729600000023</v>
      </c>
      <c r="F101" s="60">
        <f>IF('Expenses Summary'!$U52="","",IF('Cash Flow %s Yr1'!F96="","",'Cash Flow %s Yr1'!F96*'Expenses Summary'!$U52))</f>
        <v>88.362729600000023</v>
      </c>
      <c r="G101" s="60">
        <f>IF('Expenses Summary'!$U52="","",IF('Cash Flow %s Yr1'!G96="","",'Cash Flow %s Yr1'!G96*'Expenses Summary'!$U52))</f>
        <v>88.362729600000023</v>
      </c>
      <c r="H101" s="60">
        <f>IF('Expenses Summary'!$U52="","",IF('Cash Flow %s Yr1'!H96="","",'Cash Flow %s Yr1'!H96*'Expenses Summary'!$U52))</f>
        <v>88.362729600000023</v>
      </c>
      <c r="I101" s="60">
        <f>IF('Expenses Summary'!$U52="","",IF('Cash Flow %s Yr1'!I96="","",'Cash Flow %s Yr1'!I96*'Expenses Summary'!$U52))</f>
        <v>88.362729600000023</v>
      </c>
      <c r="J101" s="60">
        <f>IF('Expenses Summary'!$U52="","",IF('Cash Flow %s Yr1'!J96="","",'Cash Flow %s Yr1'!J96*'Expenses Summary'!$U52))</f>
        <v>88.362729600000023</v>
      </c>
      <c r="K101" s="60">
        <f>IF('Expenses Summary'!$U52="","",IF('Cash Flow %s Yr1'!K96="","",'Cash Flow %s Yr1'!K96*'Expenses Summary'!$U52))</f>
        <v>88.362729600000023</v>
      </c>
      <c r="L101" s="60">
        <f>IF('Expenses Summary'!$U52="","",IF('Cash Flow %s Yr1'!L96="","",'Cash Flow %s Yr1'!L96*'Expenses Summary'!$U52))</f>
        <v>88.362729600000023</v>
      </c>
      <c r="M101" s="60">
        <f>IF('Expenses Summary'!$U52="","",IF('Cash Flow %s Yr1'!M96="","",'Cash Flow %s Yr1'!M96*'Expenses Summary'!$U52))</f>
        <v>88.362729600000023</v>
      </c>
      <c r="N101" s="60">
        <f>IF('Expenses Summary'!$U52="","",IF('Cash Flow %s Yr1'!N96="","",'Cash Flow %s Yr1'!N96*'Expenses Summary'!$U52))</f>
        <v>88.362729600000023</v>
      </c>
      <c r="O101" s="60">
        <f>IF('Expenses Summary'!$U52="","",IF('Cash Flow %s Yr1'!O96="","",'Cash Flow %s Yr1'!O96*'Expenses Summary'!$U52))</f>
        <v>88.362729600000023</v>
      </c>
      <c r="P101" s="123"/>
      <c r="Q101" s="123"/>
      <c r="R101" s="123"/>
    </row>
    <row r="102" spans="1:18" hidden="1" outlineLevel="1" x14ac:dyDescent="0.3">
      <c r="A102" s="35"/>
      <c r="B102" s="133" t="str">
        <f>'Expenses Summary'!B53</f>
        <v>4400</v>
      </c>
      <c r="C102" s="133" t="str">
        <f>'Expenses Summary'!C53</f>
        <v>Noncapitalized Equipment</v>
      </c>
      <c r="D102" s="60" t="str">
        <f>IF('Expenses Summary'!$U53="","",IF('Cash Flow %s Yr1'!D97="","",'Cash Flow %s Yr1'!D97*'Expenses Summary'!$U53))</f>
        <v/>
      </c>
      <c r="E102" s="60" t="str">
        <f>IF('Expenses Summary'!$U53="","",IF('Cash Flow %s Yr1'!E97="","",'Cash Flow %s Yr1'!E97*'Expenses Summary'!$U53))</f>
        <v/>
      </c>
      <c r="F102" s="60">
        <f>IF('Expenses Summary'!$U53="","",IF('Cash Flow %s Yr1'!F97="","",'Cash Flow %s Yr1'!F97*'Expenses Summary'!$U53))</f>
        <v>532.30560000000003</v>
      </c>
      <c r="G102" s="60">
        <f>IF('Expenses Summary'!$U53="","",IF('Cash Flow %s Yr1'!G97="","",'Cash Flow %s Yr1'!G97*'Expenses Summary'!$U53))</f>
        <v>532.30560000000003</v>
      </c>
      <c r="H102" s="60">
        <f>IF('Expenses Summary'!$U53="","",IF('Cash Flow %s Yr1'!H97="","",'Cash Flow %s Yr1'!H97*'Expenses Summary'!$U53))</f>
        <v>532.30560000000003</v>
      </c>
      <c r="I102" s="60">
        <f>IF('Expenses Summary'!$U53="","",IF('Cash Flow %s Yr1'!I97="","",'Cash Flow %s Yr1'!I97*'Expenses Summary'!$U53))</f>
        <v>532.30560000000003</v>
      </c>
      <c r="J102" s="60">
        <f>IF('Expenses Summary'!$U53="","",IF('Cash Flow %s Yr1'!J97="","",'Cash Flow %s Yr1'!J97*'Expenses Summary'!$U53))</f>
        <v>532.30560000000003</v>
      </c>
      <c r="K102" s="60">
        <f>IF('Expenses Summary'!$U53="","",IF('Cash Flow %s Yr1'!K97="","",'Cash Flow %s Yr1'!K97*'Expenses Summary'!$U53))</f>
        <v>532.30560000000003</v>
      </c>
      <c r="L102" s="60">
        <f>IF('Expenses Summary'!$U53="","",IF('Cash Flow %s Yr1'!L97="","",'Cash Flow %s Yr1'!L97*'Expenses Summary'!$U53))</f>
        <v>532.30560000000003</v>
      </c>
      <c r="M102" s="60">
        <f>IF('Expenses Summary'!$U53="","",IF('Cash Flow %s Yr1'!M97="","",'Cash Flow %s Yr1'!M97*'Expenses Summary'!$U53))</f>
        <v>532.30560000000003</v>
      </c>
      <c r="N102" s="60">
        <f>IF('Expenses Summary'!$U53="","",IF('Cash Flow %s Yr1'!N97="","",'Cash Flow %s Yr1'!N97*'Expenses Summary'!$U53))</f>
        <v>532.30560000000003</v>
      </c>
      <c r="O102" s="60">
        <f>IF('Expenses Summary'!$U53="","",IF('Cash Flow %s Yr1'!O97="","",'Cash Flow %s Yr1'!O97*'Expenses Summary'!$U53))</f>
        <v>532.30560000000003</v>
      </c>
      <c r="P102" s="123"/>
      <c r="Q102" s="123"/>
      <c r="R102" s="123"/>
    </row>
    <row r="103" spans="1:18" hidden="1" outlineLevel="1" x14ac:dyDescent="0.3">
      <c r="A103" s="35"/>
      <c r="B103" s="133" t="str">
        <f>'Expenses Summary'!B55</f>
        <v>4430</v>
      </c>
      <c r="C103" s="133" t="str">
        <f>'Expenses Summary'!C55</f>
        <v>General Student Equipment</v>
      </c>
      <c r="D103" s="60" t="str">
        <f>IF('Expenses Summary'!$U55="","",IF('Cash Flow %s Yr1'!D99="","",'Cash Flow %s Yr1'!D99*'Expenses Summary'!$U55))</f>
        <v/>
      </c>
      <c r="E103" s="60" t="str">
        <f>IF('Expenses Summary'!$U55="","",IF('Cash Flow %s Yr1'!E99="","",'Cash Flow %s Yr1'!E99*'Expenses Summary'!$U55))</f>
        <v/>
      </c>
      <c r="F103" s="60">
        <f>IF('Expenses Summary'!$U55="","",IF('Cash Flow %s Yr1'!F99="","",'Cash Flow %s Yr1'!F99*'Expenses Summary'!$U55))</f>
        <v>638.76672000000008</v>
      </c>
      <c r="G103" s="60">
        <f>IF('Expenses Summary'!$U55="","",IF('Cash Flow %s Yr1'!G99="","",'Cash Flow %s Yr1'!G99*'Expenses Summary'!$U55))</f>
        <v>638.76672000000008</v>
      </c>
      <c r="H103" s="60">
        <f>IF('Expenses Summary'!$U55="","",IF('Cash Flow %s Yr1'!H99="","",'Cash Flow %s Yr1'!H99*'Expenses Summary'!$U55))</f>
        <v>638.76672000000008</v>
      </c>
      <c r="I103" s="60">
        <f>IF('Expenses Summary'!$U55="","",IF('Cash Flow %s Yr1'!I99="","",'Cash Flow %s Yr1'!I99*'Expenses Summary'!$U55))</f>
        <v>638.76672000000008</v>
      </c>
      <c r="J103" s="60">
        <f>IF('Expenses Summary'!$U55="","",IF('Cash Flow %s Yr1'!J99="","",'Cash Flow %s Yr1'!J99*'Expenses Summary'!$U55))</f>
        <v>638.76672000000008</v>
      </c>
      <c r="K103" s="60">
        <f>IF('Expenses Summary'!$U55="","",IF('Cash Flow %s Yr1'!K99="","",'Cash Flow %s Yr1'!K99*'Expenses Summary'!$U55))</f>
        <v>638.76672000000008</v>
      </c>
      <c r="L103" s="60">
        <f>IF('Expenses Summary'!$U55="","",IF('Cash Flow %s Yr1'!L99="","",'Cash Flow %s Yr1'!L99*'Expenses Summary'!$U55))</f>
        <v>638.76672000000008</v>
      </c>
      <c r="M103" s="60">
        <f>IF('Expenses Summary'!$U55="","",IF('Cash Flow %s Yr1'!M99="","",'Cash Flow %s Yr1'!M99*'Expenses Summary'!$U55))</f>
        <v>638.76672000000008</v>
      </c>
      <c r="N103" s="60">
        <f>IF('Expenses Summary'!$U55="","",IF('Cash Flow %s Yr1'!N99="","",'Cash Flow %s Yr1'!N99*'Expenses Summary'!$U55))</f>
        <v>638.76672000000008</v>
      </c>
      <c r="O103" s="60">
        <f>IF('Expenses Summary'!$U55="","",IF('Cash Flow %s Yr1'!O99="","",'Cash Flow %s Yr1'!O99*'Expenses Summary'!$U55))</f>
        <v>638.76672000000008</v>
      </c>
      <c r="P103" s="123"/>
      <c r="Q103" s="123"/>
      <c r="R103" s="123"/>
    </row>
    <row r="104" spans="1:18" hidden="1" outlineLevel="1" x14ac:dyDescent="0.3">
      <c r="A104" s="35"/>
      <c r="B104" s="133">
        <f>'Expenses Summary'!B56</f>
        <v>0</v>
      </c>
      <c r="C104" s="133">
        <f>'Expenses Summary'!C56</f>
        <v>0</v>
      </c>
      <c r="D104" s="60" t="str">
        <f>IF('Expenses Summary'!$U56="","",IF('Cash Flow %s Yr1'!D100="","",'Cash Flow %s Yr1'!D100*'Expenses Summary'!$U56))</f>
        <v/>
      </c>
      <c r="E104" s="60" t="str">
        <f>IF('Expenses Summary'!$U56="","",IF('Cash Flow %s Yr1'!E100="","",'Cash Flow %s Yr1'!E100*'Expenses Summary'!$U56))</f>
        <v/>
      </c>
      <c r="F104" s="60">
        <f>IF('Expenses Summary'!$U56="","",IF('Cash Flow %s Yr1'!F100="","",'Cash Flow %s Yr1'!F100*'Expenses Summary'!$U56))</f>
        <v>0</v>
      </c>
      <c r="G104" s="60">
        <f>IF('Expenses Summary'!$U56="","",IF('Cash Flow %s Yr1'!G100="","",'Cash Flow %s Yr1'!G100*'Expenses Summary'!$U56))</f>
        <v>0</v>
      </c>
      <c r="H104" s="60">
        <f>IF('Expenses Summary'!$U56="","",IF('Cash Flow %s Yr1'!H100="","",'Cash Flow %s Yr1'!H100*'Expenses Summary'!$U56))</f>
        <v>0</v>
      </c>
      <c r="I104" s="60">
        <f>IF('Expenses Summary'!$U56="","",IF('Cash Flow %s Yr1'!I100="","",'Cash Flow %s Yr1'!I100*'Expenses Summary'!$U56))</f>
        <v>0</v>
      </c>
      <c r="J104" s="60">
        <f>IF('Expenses Summary'!$U56="","",IF('Cash Flow %s Yr1'!J100="","",'Cash Flow %s Yr1'!J100*'Expenses Summary'!$U56))</f>
        <v>0</v>
      </c>
      <c r="K104" s="60">
        <f>IF('Expenses Summary'!$U56="","",IF('Cash Flow %s Yr1'!K100="","",'Cash Flow %s Yr1'!K100*'Expenses Summary'!$U56))</f>
        <v>0</v>
      </c>
      <c r="L104" s="60">
        <f>IF('Expenses Summary'!$U56="","",IF('Cash Flow %s Yr1'!L100="","",'Cash Flow %s Yr1'!L100*'Expenses Summary'!$U56))</f>
        <v>0</v>
      </c>
      <c r="M104" s="60">
        <f>IF('Expenses Summary'!$U56="","",IF('Cash Flow %s Yr1'!M100="","",'Cash Flow %s Yr1'!M100*'Expenses Summary'!$U56))</f>
        <v>0</v>
      </c>
      <c r="N104" s="60">
        <f>IF('Expenses Summary'!$U56="","",IF('Cash Flow %s Yr1'!N100="","",'Cash Flow %s Yr1'!N100*'Expenses Summary'!$U56))</f>
        <v>0</v>
      </c>
      <c r="O104" s="60">
        <f>IF('Expenses Summary'!$U56="","",IF('Cash Flow %s Yr1'!O100="","",'Cash Flow %s Yr1'!O100*'Expenses Summary'!$U56))</f>
        <v>0</v>
      </c>
      <c r="P104" s="123"/>
      <c r="Q104" s="123"/>
      <c r="R104" s="123"/>
    </row>
    <row r="105" spans="1:18" hidden="1" outlineLevel="1" x14ac:dyDescent="0.3">
      <c r="A105" s="35"/>
      <c r="B105" s="133">
        <f>'Expenses Summary'!B57</f>
        <v>0</v>
      </c>
      <c r="C105" s="133">
        <f>'Expenses Summary'!C57</f>
        <v>0</v>
      </c>
      <c r="D105" s="60" t="str">
        <f>IF('Expenses Summary'!$U57="","",IF('Cash Flow %s Yr1'!D101="","",'Cash Flow %s Yr1'!D101*'Expenses Summary'!$U57))</f>
        <v/>
      </c>
      <c r="E105" s="60" t="str">
        <f>IF('Expenses Summary'!$U57="","",IF('Cash Flow %s Yr1'!E101="","",'Cash Flow %s Yr1'!E101*'Expenses Summary'!$U57))</f>
        <v/>
      </c>
      <c r="F105" s="60">
        <f>IF('Expenses Summary'!$U57="","",IF('Cash Flow %s Yr1'!F101="","",'Cash Flow %s Yr1'!F101*'Expenses Summary'!$U57))</f>
        <v>0</v>
      </c>
      <c r="G105" s="60">
        <f>IF('Expenses Summary'!$U57="","",IF('Cash Flow %s Yr1'!G101="","",'Cash Flow %s Yr1'!G101*'Expenses Summary'!$U57))</f>
        <v>0</v>
      </c>
      <c r="H105" s="60">
        <f>IF('Expenses Summary'!$U57="","",IF('Cash Flow %s Yr1'!H101="","",'Cash Flow %s Yr1'!H101*'Expenses Summary'!$U57))</f>
        <v>0</v>
      </c>
      <c r="I105" s="60">
        <f>IF('Expenses Summary'!$U57="","",IF('Cash Flow %s Yr1'!I101="","",'Cash Flow %s Yr1'!I101*'Expenses Summary'!$U57))</f>
        <v>0</v>
      </c>
      <c r="J105" s="60">
        <f>IF('Expenses Summary'!$U57="","",IF('Cash Flow %s Yr1'!J101="","",'Cash Flow %s Yr1'!J101*'Expenses Summary'!$U57))</f>
        <v>0</v>
      </c>
      <c r="K105" s="60">
        <f>IF('Expenses Summary'!$U57="","",IF('Cash Flow %s Yr1'!K101="","",'Cash Flow %s Yr1'!K101*'Expenses Summary'!$U57))</f>
        <v>0</v>
      </c>
      <c r="L105" s="60">
        <f>IF('Expenses Summary'!$U57="","",IF('Cash Flow %s Yr1'!L101="","",'Cash Flow %s Yr1'!L101*'Expenses Summary'!$U57))</f>
        <v>0</v>
      </c>
      <c r="M105" s="60">
        <f>IF('Expenses Summary'!$U57="","",IF('Cash Flow %s Yr1'!M101="","",'Cash Flow %s Yr1'!M101*'Expenses Summary'!$U57))</f>
        <v>0</v>
      </c>
      <c r="N105" s="60">
        <f>IF('Expenses Summary'!$U57="","",IF('Cash Flow %s Yr1'!N101="","",'Cash Flow %s Yr1'!N101*'Expenses Summary'!$U57))</f>
        <v>0</v>
      </c>
      <c r="O105" s="60">
        <f>IF('Expenses Summary'!$U57="","",IF('Cash Flow %s Yr1'!O101="","",'Cash Flow %s Yr1'!O101*'Expenses Summary'!$U57))</f>
        <v>0</v>
      </c>
      <c r="P105" s="123"/>
      <c r="Q105" s="123"/>
      <c r="R105" s="123"/>
    </row>
    <row r="106" spans="1:18" hidden="1" outlineLevel="1" x14ac:dyDescent="0.3">
      <c r="A106" s="35"/>
      <c r="B106" s="133">
        <f>'Expenses Summary'!B58</f>
        <v>0</v>
      </c>
      <c r="C106" s="133">
        <f>'Expenses Summary'!C58</f>
        <v>0</v>
      </c>
      <c r="D106" s="60" t="str">
        <f>IF('Expenses Summary'!$U58="","",IF('Cash Flow %s Yr1'!D102="","",'Cash Flow %s Yr1'!D102*'Expenses Summary'!$U58))</f>
        <v/>
      </c>
      <c r="E106" s="60" t="str">
        <f>IF('Expenses Summary'!$U58="","",IF('Cash Flow %s Yr1'!E102="","",'Cash Flow %s Yr1'!E102*'Expenses Summary'!$U58))</f>
        <v/>
      </c>
      <c r="F106" s="60">
        <f>IF('Expenses Summary'!$U58="","",IF('Cash Flow %s Yr1'!F102="","",'Cash Flow %s Yr1'!F102*'Expenses Summary'!$U58))</f>
        <v>0</v>
      </c>
      <c r="G106" s="60">
        <f>IF('Expenses Summary'!$U58="","",IF('Cash Flow %s Yr1'!G102="","",'Cash Flow %s Yr1'!G102*'Expenses Summary'!$U58))</f>
        <v>0</v>
      </c>
      <c r="H106" s="60">
        <f>IF('Expenses Summary'!$U58="","",IF('Cash Flow %s Yr1'!H102="","",'Cash Flow %s Yr1'!H102*'Expenses Summary'!$U58))</f>
        <v>0</v>
      </c>
      <c r="I106" s="60">
        <f>IF('Expenses Summary'!$U58="","",IF('Cash Flow %s Yr1'!I102="","",'Cash Flow %s Yr1'!I102*'Expenses Summary'!$U58))</f>
        <v>0</v>
      </c>
      <c r="J106" s="60">
        <f>IF('Expenses Summary'!$U58="","",IF('Cash Flow %s Yr1'!J102="","",'Cash Flow %s Yr1'!J102*'Expenses Summary'!$U58))</f>
        <v>0</v>
      </c>
      <c r="K106" s="60">
        <f>IF('Expenses Summary'!$U58="","",IF('Cash Flow %s Yr1'!K102="","",'Cash Flow %s Yr1'!K102*'Expenses Summary'!$U58))</f>
        <v>0</v>
      </c>
      <c r="L106" s="60">
        <f>IF('Expenses Summary'!$U58="","",IF('Cash Flow %s Yr1'!L102="","",'Cash Flow %s Yr1'!L102*'Expenses Summary'!$U58))</f>
        <v>0</v>
      </c>
      <c r="M106" s="60">
        <f>IF('Expenses Summary'!$U58="","",IF('Cash Flow %s Yr1'!M102="","",'Cash Flow %s Yr1'!M102*'Expenses Summary'!$U58))</f>
        <v>0</v>
      </c>
      <c r="N106" s="60">
        <f>IF('Expenses Summary'!$U58="","",IF('Cash Flow %s Yr1'!N102="","",'Cash Flow %s Yr1'!N102*'Expenses Summary'!$U58))</f>
        <v>0</v>
      </c>
      <c r="O106" s="60">
        <f>IF('Expenses Summary'!$U58="","",IF('Cash Flow %s Yr1'!O102="","",'Cash Flow %s Yr1'!O102*'Expenses Summary'!$U58))</f>
        <v>0</v>
      </c>
      <c r="P106" s="123"/>
      <c r="Q106" s="123"/>
      <c r="R106" s="123"/>
    </row>
    <row r="107" spans="1:18" hidden="1" outlineLevel="1" x14ac:dyDescent="0.3">
      <c r="A107" s="35"/>
      <c r="B107" s="133">
        <f>'Expenses Summary'!B59</f>
        <v>0</v>
      </c>
      <c r="C107" s="133">
        <f>'Expenses Summary'!C59</f>
        <v>0</v>
      </c>
      <c r="D107" s="60" t="str">
        <f>IF('Expenses Summary'!$U59="","",IF('Cash Flow %s Yr1'!D103="","",'Cash Flow %s Yr1'!D103*'Expenses Summary'!$U59))</f>
        <v/>
      </c>
      <c r="E107" s="60" t="str">
        <f>IF('Expenses Summary'!$U59="","",IF('Cash Flow %s Yr1'!E103="","",'Cash Flow %s Yr1'!E103*'Expenses Summary'!$U59))</f>
        <v/>
      </c>
      <c r="F107" s="60">
        <f>IF('Expenses Summary'!$U59="","",IF('Cash Flow %s Yr1'!F103="","",'Cash Flow %s Yr1'!F103*'Expenses Summary'!$U59))</f>
        <v>0</v>
      </c>
      <c r="G107" s="60">
        <f>IF('Expenses Summary'!$U59="","",IF('Cash Flow %s Yr1'!G103="","",'Cash Flow %s Yr1'!G103*'Expenses Summary'!$U59))</f>
        <v>0</v>
      </c>
      <c r="H107" s="60">
        <f>IF('Expenses Summary'!$U59="","",IF('Cash Flow %s Yr1'!H103="","",'Cash Flow %s Yr1'!H103*'Expenses Summary'!$U59))</f>
        <v>0</v>
      </c>
      <c r="I107" s="60">
        <f>IF('Expenses Summary'!$U59="","",IF('Cash Flow %s Yr1'!I103="","",'Cash Flow %s Yr1'!I103*'Expenses Summary'!$U59))</f>
        <v>0</v>
      </c>
      <c r="J107" s="60">
        <f>IF('Expenses Summary'!$U59="","",IF('Cash Flow %s Yr1'!J103="","",'Cash Flow %s Yr1'!J103*'Expenses Summary'!$U59))</f>
        <v>0</v>
      </c>
      <c r="K107" s="60">
        <f>IF('Expenses Summary'!$U59="","",IF('Cash Flow %s Yr1'!K103="","",'Cash Flow %s Yr1'!K103*'Expenses Summary'!$U59))</f>
        <v>0</v>
      </c>
      <c r="L107" s="60">
        <f>IF('Expenses Summary'!$U59="","",IF('Cash Flow %s Yr1'!L103="","",'Cash Flow %s Yr1'!L103*'Expenses Summary'!$U59))</f>
        <v>0</v>
      </c>
      <c r="M107" s="60">
        <f>IF('Expenses Summary'!$U59="","",IF('Cash Flow %s Yr1'!M103="","",'Cash Flow %s Yr1'!M103*'Expenses Summary'!$U59))</f>
        <v>0</v>
      </c>
      <c r="N107" s="60">
        <f>IF('Expenses Summary'!$U59="","",IF('Cash Flow %s Yr1'!N103="","",'Cash Flow %s Yr1'!N103*'Expenses Summary'!$U59))</f>
        <v>0</v>
      </c>
      <c r="O107" s="60">
        <f>IF('Expenses Summary'!$U59="","",IF('Cash Flow %s Yr1'!O103="","",'Cash Flow %s Yr1'!O103*'Expenses Summary'!$U59))</f>
        <v>0</v>
      </c>
      <c r="P107" s="123"/>
      <c r="Q107" s="123"/>
      <c r="R107" s="123"/>
    </row>
    <row r="108" spans="1:18" hidden="1" outlineLevel="1" x14ac:dyDescent="0.3">
      <c r="A108" s="35"/>
      <c r="B108" s="133">
        <f>'Expenses Summary'!B60</f>
        <v>0</v>
      </c>
      <c r="C108" s="133">
        <f>'Expenses Summary'!C60</f>
        <v>0</v>
      </c>
      <c r="D108" s="60" t="str">
        <f>IF('Expenses Summary'!$U60="","",IF('Cash Flow %s Yr1'!D104="","",'Cash Flow %s Yr1'!D104*'Expenses Summary'!$U60))</f>
        <v/>
      </c>
      <c r="E108" s="60" t="str">
        <f>IF('Expenses Summary'!$U60="","",IF('Cash Flow %s Yr1'!E104="","",'Cash Flow %s Yr1'!E104*'Expenses Summary'!$U60))</f>
        <v/>
      </c>
      <c r="F108" s="60">
        <f>IF('Expenses Summary'!$U60="","",IF('Cash Flow %s Yr1'!F104="","",'Cash Flow %s Yr1'!F104*'Expenses Summary'!$U60))</f>
        <v>0</v>
      </c>
      <c r="G108" s="60">
        <f>IF('Expenses Summary'!$U60="","",IF('Cash Flow %s Yr1'!G104="","",'Cash Flow %s Yr1'!G104*'Expenses Summary'!$U60))</f>
        <v>0</v>
      </c>
      <c r="H108" s="60">
        <f>IF('Expenses Summary'!$U60="","",IF('Cash Flow %s Yr1'!H104="","",'Cash Flow %s Yr1'!H104*'Expenses Summary'!$U60))</f>
        <v>0</v>
      </c>
      <c r="I108" s="60">
        <f>IF('Expenses Summary'!$U60="","",IF('Cash Flow %s Yr1'!I104="","",'Cash Flow %s Yr1'!I104*'Expenses Summary'!$U60))</f>
        <v>0</v>
      </c>
      <c r="J108" s="60">
        <f>IF('Expenses Summary'!$U60="","",IF('Cash Flow %s Yr1'!J104="","",'Cash Flow %s Yr1'!J104*'Expenses Summary'!$U60))</f>
        <v>0</v>
      </c>
      <c r="K108" s="60">
        <f>IF('Expenses Summary'!$U60="","",IF('Cash Flow %s Yr1'!K104="","",'Cash Flow %s Yr1'!K104*'Expenses Summary'!$U60))</f>
        <v>0</v>
      </c>
      <c r="L108" s="60">
        <f>IF('Expenses Summary'!$U60="","",IF('Cash Flow %s Yr1'!L104="","",'Cash Flow %s Yr1'!L104*'Expenses Summary'!$U60))</f>
        <v>0</v>
      </c>
      <c r="M108" s="60">
        <f>IF('Expenses Summary'!$U60="","",IF('Cash Flow %s Yr1'!M104="","",'Cash Flow %s Yr1'!M104*'Expenses Summary'!$U60))</f>
        <v>0</v>
      </c>
      <c r="N108" s="60">
        <f>IF('Expenses Summary'!$U60="","",IF('Cash Flow %s Yr1'!N104="","",'Cash Flow %s Yr1'!N104*'Expenses Summary'!$U60))</f>
        <v>0</v>
      </c>
      <c r="O108" s="60">
        <f>IF('Expenses Summary'!$U60="","",IF('Cash Flow %s Yr1'!O104="","",'Cash Flow %s Yr1'!O104*'Expenses Summary'!$U60))</f>
        <v>0</v>
      </c>
      <c r="P108" s="123"/>
      <c r="Q108" s="123"/>
      <c r="R108" s="123"/>
    </row>
    <row r="109" spans="1:18" hidden="1" outlineLevel="1" x14ac:dyDescent="0.3">
      <c r="A109" s="35"/>
      <c r="B109" s="133">
        <f>'Expenses Summary'!B61</f>
        <v>0</v>
      </c>
      <c r="C109" s="133">
        <f>'Expenses Summary'!C61</f>
        <v>0</v>
      </c>
      <c r="D109" s="60" t="str">
        <f>IF('Expenses Summary'!$U61="","",IF('Cash Flow %s Yr1'!D105="","",'Cash Flow %s Yr1'!D105*'Expenses Summary'!$U61))</f>
        <v/>
      </c>
      <c r="E109" s="60" t="str">
        <f>IF('Expenses Summary'!$U61="","",IF('Cash Flow %s Yr1'!E105="","",'Cash Flow %s Yr1'!E105*'Expenses Summary'!$U61))</f>
        <v/>
      </c>
      <c r="F109" s="60">
        <f>IF('Expenses Summary'!$U61="","",IF('Cash Flow %s Yr1'!F105="","",'Cash Flow %s Yr1'!F105*'Expenses Summary'!$U61))</f>
        <v>0</v>
      </c>
      <c r="G109" s="60">
        <f>IF('Expenses Summary'!$U61="","",IF('Cash Flow %s Yr1'!G105="","",'Cash Flow %s Yr1'!G105*'Expenses Summary'!$U61))</f>
        <v>0</v>
      </c>
      <c r="H109" s="60">
        <f>IF('Expenses Summary'!$U61="","",IF('Cash Flow %s Yr1'!H105="","",'Cash Flow %s Yr1'!H105*'Expenses Summary'!$U61))</f>
        <v>0</v>
      </c>
      <c r="I109" s="60">
        <f>IF('Expenses Summary'!$U61="","",IF('Cash Flow %s Yr1'!I105="","",'Cash Flow %s Yr1'!I105*'Expenses Summary'!$U61))</f>
        <v>0</v>
      </c>
      <c r="J109" s="60">
        <f>IF('Expenses Summary'!$U61="","",IF('Cash Flow %s Yr1'!J105="","",'Cash Flow %s Yr1'!J105*'Expenses Summary'!$U61))</f>
        <v>0</v>
      </c>
      <c r="K109" s="60">
        <f>IF('Expenses Summary'!$U61="","",IF('Cash Flow %s Yr1'!K105="","",'Cash Flow %s Yr1'!K105*'Expenses Summary'!$U61))</f>
        <v>0</v>
      </c>
      <c r="L109" s="60">
        <f>IF('Expenses Summary'!$U61="","",IF('Cash Flow %s Yr1'!L105="","",'Cash Flow %s Yr1'!L105*'Expenses Summary'!$U61))</f>
        <v>0</v>
      </c>
      <c r="M109" s="60">
        <f>IF('Expenses Summary'!$U61="","",IF('Cash Flow %s Yr1'!M105="","",'Cash Flow %s Yr1'!M105*'Expenses Summary'!$U61))</f>
        <v>0</v>
      </c>
      <c r="N109" s="60">
        <f>IF('Expenses Summary'!$U61="","",IF('Cash Flow %s Yr1'!N105="","",'Cash Flow %s Yr1'!N105*'Expenses Summary'!$U61))</f>
        <v>0</v>
      </c>
      <c r="O109" s="60">
        <f>IF('Expenses Summary'!$U61="","",IF('Cash Flow %s Yr1'!O105="","",'Cash Flow %s Yr1'!O105*'Expenses Summary'!$U61))</f>
        <v>0</v>
      </c>
      <c r="P109" s="123"/>
      <c r="Q109" s="123"/>
      <c r="R109" s="123"/>
    </row>
    <row r="110" spans="1:18" hidden="1" outlineLevel="1" x14ac:dyDescent="0.3">
      <c r="A110" s="35"/>
      <c r="B110" s="133">
        <f>'Expenses Summary'!B62</f>
        <v>0</v>
      </c>
      <c r="C110" s="133">
        <f>'Expenses Summary'!C62</f>
        <v>0</v>
      </c>
      <c r="D110" s="60" t="str">
        <f>IF('Expenses Summary'!$U62="","",IF('Cash Flow %s Yr1'!D106="","",'Cash Flow %s Yr1'!D106*'Expenses Summary'!$U62))</f>
        <v/>
      </c>
      <c r="E110" s="60" t="str">
        <f>IF('Expenses Summary'!$U62="","",IF('Cash Flow %s Yr1'!E106="","",'Cash Flow %s Yr1'!E106*'Expenses Summary'!$U62))</f>
        <v/>
      </c>
      <c r="F110" s="60">
        <f>IF('Expenses Summary'!$U62="","",IF('Cash Flow %s Yr1'!F106="","",'Cash Flow %s Yr1'!F106*'Expenses Summary'!$U62))</f>
        <v>0</v>
      </c>
      <c r="G110" s="60">
        <f>IF('Expenses Summary'!$U62="","",IF('Cash Flow %s Yr1'!G106="","",'Cash Flow %s Yr1'!G106*'Expenses Summary'!$U62))</f>
        <v>0</v>
      </c>
      <c r="H110" s="60">
        <f>IF('Expenses Summary'!$U62="","",IF('Cash Flow %s Yr1'!H106="","",'Cash Flow %s Yr1'!H106*'Expenses Summary'!$U62))</f>
        <v>0</v>
      </c>
      <c r="I110" s="60">
        <f>IF('Expenses Summary'!$U62="","",IF('Cash Flow %s Yr1'!I106="","",'Cash Flow %s Yr1'!I106*'Expenses Summary'!$U62))</f>
        <v>0</v>
      </c>
      <c r="J110" s="60">
        <f>IF('Expenses Summary'!$U62="","",IF('Cash Flow %s Yr1'!J106="","",'Cash Flow %s Yr1'!J106*'Expenses Summary'!$U62))</f>
        <v>0</v>
      </c>
      <c r="K110" s="60">
        <f>IF('Expenses Summary'!$U62="","",IF('Cash Flow %s Yr1'!K106="","",'Cash Flow %s Yr1'!K106*'Expenses Summary'!$U62))</f>
        <v>0</v>
      </c>
      <c r="L110" s="60">
        <f>IF('Expenses Summary'!$U62="","",IF('Cash Flow %s Yr1'!L106="","",'Cash Flow %s Yr1'!L106*'Expenses Summary'!$U62))</f>
        <v>0</v>
      </c>
      <c r="M110" s="60">
        <f>IF('Expenses Summary'!$U62="","",IF('Cash Flow %s Yr1'!M106="","",'Cash Flow %s Yr1'!M106*'Expenses Summary'!$U62))</f>
        <v>0</v>
      </c>
      <c r="N110" s="60">
        <f>IF('Expenses Summary'!$U62="","",IF('Cash Flow %s Yr1'!N106="","",'Cash Flow %s Yr1'!N106*'Expenses Summary'!$U62))</f>
        <v>0</v>
      </c>
      <c r="O110" s="60">
        <f>IF('Expenses Summary'!$U62="","",IF('Cash Flow %s Yr1'!O106="","",'Cash Flow %s Yr1'!O106*'Expenses Summary'!$U62))</f>
        <v>0</v>
      </c>
      <c r="P110" s="123"/>
      <c r="Q110" s="123"/>
      <c r="R110" s="123"/>
    </row>
    <row r="111" spans="1:18" hidden="1" outlineLevel="1" x14ac:dyDescent="0.3">
      <c r="A111" s="35"/>
      <c r="B111" s="133">
        <f>'Expenses Summary'!B63</f>
        <v>0</v>
      </c>
      <c r="C111" s="133">
        <f>'Expenses Summary'!C63</f>
        <v>0</v>
      </c>
      <c r="D111" s="60" t="str">
        <f>IF('Expenses Summary'!$U63="","",IF('Cash Flow %s Yr1'!D107="","",'Cash Flow %s Yr1'!D107*'Expenses Summary'!$U63))</f>
        <v/>
      </c>
      <c r="E111" s="60" t="str">
        <f>IF('Expenses Summary'!$U63="","",IF('Cash Flow %s Yr1'!E107="","",'Cash Flow %s Yr1'!E107*'Expenses Summary'!$U63))</f>
        <v/>
      </c>
      <c r="F111" s="60">
        <f>IF('Expenses Summary'!$U63="","",IF('Cash Flow %s Yr1'!F107="","",'Cash Flow %s Yr1'!F107*'Expenses Summary'!$U63))</f>
        <v>0</v>
      </c>
      <c r="G111" s="60">
        <f>IF('Expenses Summary'!$U63="","",IF('Cash Flow %s Yr1'!G107="","",'Cash Flow %s Yr1'!G107*'Expenses Summary'!$U63))</f>
        <v>0</v>
      </c>
      <c r="H111" s="60">
        <f>IF('Expenses Summary'!$U63="","",IF('Cash Flow %s Yr1'!H107="","",'Cash Flow %s Yr1'!H107*'Expenses Summary'!$U63))</f>
        <v>0</v>
      </c>
      <c r="I111" s="60">
        <f>IF('Expenses Summary'!$U63="","",IF('Cash Flow %s Yr1'!I107="","",'Cash Flow %s Yr1'!I107*'Expenses Summary'!$U63))</f>
        <v>0</v>
      </c>
      <c r="J111" s="60">
        <f>IF('Expenses Summary'!$U63="","",IF('Cash Flow %s Yr1'!J107="","",'Cash Flow %s Yr1'!J107*'Expenses Summary'!$U63))</f>
        <v>0</v>
      </c>
      <c r="K111" s="60">
        <f>IF('Expenses Summary'!$U63="","",IF('Cash Flow %s Yr1'!K107="","",'Cash Flow %s Yr1'!K107*'Expenses Summary'!$U63))</f>
        <v>0</v>
      </c>
      <c r="L111" s="60">
        <f>IF('Expenses Summary'!$U63="","",IF('Cash Flow %s Yr1'!L107="","",'Cash Flow %s Yr1'!L107*'Expenses Summary'!$U63))</f>
        <v>0</v>
      </c>
      <c r="M111" s="60">
        <f>IF('Expenses Summary'!$U63="","",IF('Cash Flow %s Yr1'!M107="","",'Cash Flow %s Yr1'!M107*'Expenses Summary'!$U63))</f>
        <v>0</v>
      </c>
      <c r="N111" s="60">
        <f>IF('Expenses Summary'!$U63="","",IF('Cash Flow %s Yr1'!N107="","",'Cash Flow %s Yr1'!N107*'Expenses Summary'!$U63))</f>
        <v>0</v>
      </c>
      <c r="O111" s="60">
        <f>IF('Expenses Summary'!$U63="","",IF('Cash Flow %s Yr1'!O107="","",'Cash Flow %s Yr1'!O107*'Expenses Summary'!$U63))</f>
        <v>0</v>
      </c>
      <c r="P111" s="123"/>
      <c r="Q111" s="123"/>
      <c r="R111" s="123"/>
    </row>
    <row r="112" spans="1:18" s="30" customFormat="1" collapsed="1" x14ac:dyDescent="0.3">
      <c r="A112" s="35"/>
      <c r="B112" s="133" t="str">
        <f>'Expenses Summary'!B64</f>
        <v>4700</v>
      </c>
      <c r="C112" s="133" t="str">
        <f>'Expenses Summary'!C64</f>
        <v>Food and Food Supplies</v>
      </c>
      <c r="D112" s="60">
        <f>IF('Expenses Summary'!$U64="","",IF('Cash Flow %s Yr1'!D108="","",'Cash Flow %s Yr1'!D108*'Expenses Summary'!$U64))</f>
        <v>0</v>
      </c>
      <c r="E112" s="60">
        <f>IF('Expenses Summary'!$U64="","",IF('Cash Flow %s Yr1'!E108="","",'Cash Flow %s Yr1'!E108*'Expenses Summary'!$U64))</f>
        <v>0</v>
      </c>
      <c r="F112" s="60">
        <f>IF('Expenses Summary'!$U64="","",IF('Cash Flow %s Yr1'!F108="","",'Cash Flow %s Yr1'!F108*'Expenses Summary'!$U64))</f>
        <v>2767.9891200000002</v>
      </c>
      <c r="G112" s="60">
        <f>IF('Expenses Summary'!$U64="","",IF('Cash Flow %s Yr1'!G108="","",'Cash Flow %s Yr1'!G108*'Expenses Summary'!$U64))</f>
        <v>2767.9891200000002</v>
      </c>
      <c r="H112" s="60">
        <f>IF('Expenses Summary'!$U64="","",IF('Cash Flow %s Yr1'!H108="","",'Cash Flow %s Yr1'!H108*'Expenses Summary'!$U64))</f>
        <v>2767.9891200000002</v>
      </c>
      <c r="I112" s="60">
        <f>IF('Expenses Summary'!$U64="","",IF('Cash Flow %s Yr1'!I108="","",'Cash Flow %s Yr1'!I108*'Expenses Summary'!$U64))</f>
        <v>2767.9891200000002</v>
      </c>
      <c r="J112" s="60">
        <f>IF('Expenses Summary'!$U64="","",IF('Cash Flow %s Yr1'!J108="","",'Cash Flow %s Yr1'!J108*'Expenses Summary'!$U64))</f>
        <v>2767.9891200000002</v>
      </c>
      <c r="K112" s="60">
        <f>IF('Expenses Summary'!$U64="","",IF('Cash Flow %s Yr1'!K108="","",'Cash Flow %s Yr1'!K108*'Expenses Summary'!$U64))</f>
        <v>2767.9891200000002</v>
      </c>
      <c r="L112" s="60">
        <f>IF('Expenses Summary'!$U64="","",IF('Cash Flow %s Yr1'!L108="","",'Cash Flow %s Yr1'!L108*'Expenses Summary'!$U64))</f>
        <v>2767.9891200000002</v>
      </c>
      <c r="M112" s="60">
        <f>IF('Expenses Summary'!$U64="","",IF('Cash Flow %s Yr1'!M108="","",'Cash Flow %s Yr1'!M108*'Expenses Summary'!$U64))</f>
        <v>2767.9891200000002</v>
      </c>
      <c r="N112" s="60">
        <f>IF('Expenses Summary'!$U64="","",IF('Cash Flow %s Yr1'!N108="","",'Cash Flow %s Yr1'!N108*'Expenses Summary'!$U64))</f>
        <v>2767.9891200000002</v>
      </c>
      <c r="O112" s="60">
        <f>IF('Expenses Summary'!$U64="","",IF('Cash Flow %s Yr1'!O108="","",'Cash Flow %s Yr1'!O108*'Expenses Summary'!$U64))</f>
        <v>2767.9891200000002</v>
      </c>
      <c r="P112" s="60">
        <f>IF('Expenses Summary'!$U64="","",IF('Cash Flow %s Yr1'!P108="","",'Cash Flow %s Yr1'!P108*'Expenses Summary'!$U64))</f>
        <v>0</v>
      </c>
      <c r="Q112" s="60">
        <f>IF('Expenses Summary'!$U64="","",IF('Cash Flow %s Yr1'!Q108="","",'Cash Flow %s Yr1'!Q108*'Expenses Summary'!$U64))</f>
        <v>0</v>
      </c>
      <c r="R112" s="60">
        <f>IF('Expenses Summary'!$U64="","",IF('Cash Flow %s Yr1'!R108="","",'Cash Flow %s Yr1'!R108*'Expenses Summary'!$U64))</f>
        <v>0</v>
      </c>
    </row>
    <row r="113" spans="1:18" s="30" customFormat="1" x14ac:dyDescent="0.3">
      <c r="A113" s="35"/>
      <c r="B113" s="32" t="s">
        <v>558</v>
      </c>
      <c r="C113" s="33" t="s">
        <v>720</v>
      </c>
      <c r="D113" s="165">
        <f t="shared" ref="D113:P113" si="9">IF(SUM(D95:D112)&gt;0,SUM(D95:D112),"")</f>
        <v>3836.7735959040006</v>
      </c>
      <c r="E113" s="165">
        <f t="shared" si="9"/>
        <v>3932.5886039040001</v>
      </c>
      <c r="F113" s="165">
        <f t="shared" si="9"/>
        <v>7871.650043904001</v>
      </c>
      <c r="G113" s="165">
        <f t="shared" si="9"/>
        <v>7871.650043904001</v>
      </c>
      <c r="H113" s="165">
        <f t="shared" si="9"/>
        <v>7871.650043904001</v>
      </c>
      <c r="I113" s="165">
        <f t="shared" si="9"/>
        <v>7871.650043904001</v>
      </c>
      <c r="J113" s="165">
        <f t="shared" si="9"/>
        <v>7871.650043904001</v>
      </c>
      <c r="K113" s="165">
        <f t="shared" si="9"/>
        <v>7871.650043904001</v>
      </c>
      <c r="L113" s="165">
        <f t="shared" si="9"/>
        <v>7883.6162737920004</v>
      </c>
      <c r="M113" s="165">
        <f t="shared" si="9"/>
        <v>7883.6162737920004</v>
      </c>
      <c r="N113" s="165">
        <f t="shared" si="9"/>
        <v>5658.5788657920002</v>
      </c>
      <c r="O113" s="165">
        <f t="shared" si="9"/>
        <v>5562.7638577920006</v>
      </c>
      <c r="P113" s="165" t="str">
        <f t="shared" si="9"/>
        <v/>
      </c>
      <c r="Q113" s="165" t="str">
        <f>IF(SUM(Q95:Q112)&gt;0,SUM(Q95:Q112),"")</f>
        <v/>
      </c>
      <c r="R113" s="165" t="str">
        <f>IF(SUM(R95:R112)&gt;0,SUM(R95:R112),"")</f>
        <v/>
      </c>
    </row>
    <row r="114" spans="1:18" s="30" customFormat="1" x14ac:dyDescent="0.3">
      <c r="A114" s="35"/>
      <c r="B114" s="4"/>
      <c r="C114" s="3"/>
      <c r="D114" s="89"/>
      <c r="E114" s="89"/>
      <c r="F114" s="89"/>
      <c r="G114" s="89"/>
      <c r="H114" s="89"/>
      <c r="I114" s="89"/>
      <c r="J114" s="89"/>
      <c r="K114" s="89"/>
      <c r="L114" s="89"/>
      <c r="M114" s="89"/>
      <c r="N114" s="89"/>
      <c r="O114" s="89"/>
      <c r="P114" s="89"/>
      <c r="Q114" s="89"/>
      <c r="R114" s="89"/>
    </row>
    <row r="115" spans="1:18" s="30" customFormat="1" x14ac:dyDescent="0.3">
      <c r="B115" s="5" t="s">
        <v>721</v>
      </c>
      <c r="C115" s="3"/>
      <c r="D115" s="89"/>
      <c r="E115" s="89"/>
      <c r="F115" s="89"/>
      <c r="G115" s="89"/>
      <c r="H115" s="89"/>
      <c r="I115" s="89"/>
      <c r="J115" s="89"/>
      <c r="K115" s="89"/>
      <c r="L115" s="89"/>
      <c r="M115" s="89"/>
      <c r="N115" s="89"/>
      <c r="O115" s="89"/>
      <c r="P115" s="89"/>
      <c r="Q115" s="89"/>
      <c r="R115" s="89"/>
    </row>
    <row r="116" spans="1:18" s="30" customFormat="1" x14ac:dyDescent="0.3">
      <c r="A116" s="35"/>
      <c r="B116" s="133" t="str">
        <f>'Expenses Summary'!B68</f>
        <v>5200</v>
      </c>
      <c r="C116" s="133" t="str">
        <f>'Expenses Summary'!C68</f>
        <v>Travel and Conferences</v>
      </c>
      <c r="D116" s="60">
        <f>IF('Expenses Summary'!$U68="","",IF('Cash Flow %s Yr1'!D112="","",'Cash Flow %s Yr1'!D112*'Expenses Summary'!$U68))</f>
        <v>0</v>
      </c>
      <c r="E116" s="60">
        <f>IF('Expenses Summary'!$U68="","",IF('Cash Flow %s Yr1'!E112="","",'Cash Flow %s Yr1'!E112*'Expenses Summary'!$U68))</f>
        <v>0</v>
      </c>
      <c r="F116" s="60">
        <f>IF('Expenses Summary'!$U68="","",IF('Cash Flow %s Yr1'!F112="","",'Cash Flow %s Yr1'!F112*'Expenses Summary'!$U68))</f>
        <v>492.48914112</v>
      </c>
      <c r="G116" s="60">
        <f>IF('Expenses Summary'!$U68="","",IF('Cash Flow %s Yr1'!G112="","",'Cash Flow %s Yr1'!G112*'Expenses Summary'!$U68))</f>
        <v>164.16304704000004</v>
      </c>
      <c r="H116" s="60">
        <f>IF('Expenses Summary'!$U68="","",IF('Cash Flow %s Yr1'!H112="","",'Cash Flow %s Yr1'!H112*'Expenses Summary'!$U68))</f>
        <v>164.16304704000004</v>
      </c>
      <c r="I116" s="60">
        <f>IF('Expenses Summary'!$U68="","",IF('Cash Flow %s Yr1'!I112="","",'Cash Flow %s Yr1'!I112*'Expenses Summary'!$U68))</f>
        <v>164.16304704000004</v>
      </c>
      <c r="J116" s="60">
        <f>IF('Expenses Summary'!$U68="","",IF('Cash Flow %s Yr1'!J112="","",'Cash Flow %s Yr1'!J112*'Expenses Summary'!$U68))</f>
        <v>164.16304704000004</v>
      </c>
      <c r="K116" s="60">
        <f>IF('Expenses Summary'!$U68="","",IF('Cash Flow %s Yr1'!K112="","",'Cash Flow %s Yr1'!K112*'Expenses Summary'!$U68))</f>
        <v>164.16304704000004</v>
      </c>
      <c r="L116" s="60">
        <f>IF('Expenses Summary'!$U68="","",IF('Cash Flow %s Yr1'!L112="","",'Cash Flow %s Yr1'!L112*'Expenses Summary'!$U68))</f>
        <v>164.16304704000004</v>
      </c>
      <c r="M116" s="60">
        <f>IF('Expenses Summary'!$U68="","",IF('Cash Flow %s Yr1'!M112="","",'Cash Flow %s Yr1'!M112*'Expenses Summary'!$U68))</f>
        <v>164.16304704000004</v>
      </c>
      <c r="N116" s="60">
        <f>IF('Expenses Summary'!$U68="","",IF('Cash Flow %s Yr1'!N112="","",'Cash Flow %s Yr1'!N112*'Expenses Summary'!$U68))</f>
        <v>0</v>
      </c>
      <c r="O116" s="60">
        <f>IF('Expenses Summary'!$U68="","",IF('Cash Flow %s Yr1'!O112="","",'Cash Flow %s Yr1'!O112*'Expenses Summary'!$U68))</f>
        <v>0</v>
      </c>
      <c r="P116" s="123"/>
      <c r="Q116" s="123"/>
      <c r="R116" s="123"/>
    </row>
    <row r="117" spans="1:18" s="30" customFormat="1" x14ac:dyDescent="0.3">
      <c r="A117" s="35"/>
      <c r="B117" s="133" t="str">
        <f>'Expenses Summary'!B69</f>
        <v>5210</v>
      </c>
      <c r="C117" s="133" t="str">
        <f>'Expenses Summary'!C69</f>
        <v>Training and Development Expense</v>
      </c>
      <c r="D117" s="60">
        <f>IF('Expenses Summary'!$U69="","",IF('Cash Flow %s Yr1'!D113="","",'Cash Flow %s Yr1'!D113*'Expenses Summary'!$U69))</f>
        <v>0</v>
      </c>
      <c r="E117" s="60">
        <f>IF('Expenses Summary'!$U69="","",IF('Cash Flow %s Yr1'!E113="","",'Cash Flow %s Yr1'!E113*'Expenses Summary'!$U69))</f>
        <v>0</v>
      </c>
      <c r="F117" s="60">
        <f>IF('Expenses Summary'!$U69="","",IF('Cash Flow %s Yr1'!F113="","",'Cash Flow %s Yr1'!F113*'Expenses Summary'!$U69))</f>
        <v>1641.6304703999999</v>
      </c>
      <c r="G117" s="60">
        <f>IF('Expenses Summary'!$U69="","",IF('Cash Flow %s Yr1'!G113="","",'Cash Flow %s Yr1'!G113*'Expenses Summary'!$U69))</f>
        <v>547.21015680000005</v>
      </c>
      <c r="H117" s="60">
        <f>IF('Expenses Summary'!$U69="","",IF('Cash Flow %s Yr1'!H113="","",'Cash Flow %s Yr1'!H113*'Expenses Summary'!$U69))</f>
        <v>547.21015680000005</v>
      </c>
      <c r="I117" s="60">
        <f>IF('Expenses Summary'!$U69="","",IF('Cash Flow %s Yr1'!I113="","",'Cash Flow %s Yr1'!I113*'Expenses Summary'!$U69))</f>
        <v>547.21015680000005</v>
      </c>
      <c r="J117" s="60">
        <f>IF('Expenses Summary'!$U69="","",IF('Cash Flow %s Yr1'!J113="","",'Cash Flow %s Yr1'!J113*'Expenses Summary'!$U69))</f>
        <v>547.21015680000005</v>
      </c>
      <c r="K117" s="60">
        <f>IF('Expenses Summary'!$U69="","",IF('Cash Flow %s Yr1'!K113="","",'Cash Flow %s Yr1'!K113*'Expenses Summary'!$U69))</f>
        <v>547.21015680000005</v>
      </c>
      <c r="L117" s="60">
        <f>IF('Expenses Summary'!$U69="","",IF('Cash Flow %s Yr1'!L113="","",'Cash Flow %s Yr1'!L113*'Expenses Summary'!$U69))</f>
        <v>547.21015680000005</v>
      </c>
      <c r="M117" s="60">
        <f>IF('Expenses Summary'!$U69="","",IF('Cash Flow %s Yr1'!M113="","",'Cash Flow %s Yr1'!M113*'Expenses Summary'!$U69))</f>
        <v>547.21015680000005</v>
      </c>
      <c r="N117" s="60">
        <f>IF('Expenses Summary'!$U69="","",IF('Cash Flow %s Yr1'!N113="","",'Cash Flow %s Yr1'!N113*'Expenses Summary'!$U69))</f>
        <v>0</v>
      </c>
      <c r="O117" s="60">
        <f>IF('Expenses Summary'!$U69="","",IF('Cash Flow %s Yr1'!O113="","",'Cash Flow %s Yr1'!O113*'Expenses Summary'!$U69))</f>
        <v>0</v>
      </c>
      <c r="P117" s="123"/>
      <c r="Q117" s="123"/>
      <c r="R117" s="123"/>
    </row>
    <row r="118" spans="1:18" s="30" customFormat="1" x14ac:dyDescent="0.3">
      <c r="A118" s="35"/>
      <c r="B118" s="133" t="str">
        <f>'Expenses Summary'!B70</f>
        <v>5300</v>
      </c>
      <c r="C118" s="133" t="str">
        <f>'Expenses Summary'!C70</f>
        <v>Dues and Memberships</v>
      </c>
      <c r="D118" s="60">
        <f>IF('Expenses Summary'!$U70="","",IF('Cash Flow %s Yr1'!D114="","",'Cash Flow %s Yr1'!D114*'Expenses Summary'!$U70))</f>
        <v>0</v>
      </c>
      <c r="E118" s="60">
        <f>IF('Expenses Summary'!$U70="","",IF('Cash Flow %s Yr1'!E114="","",'Cash Flow %s Yr1'!E114*'Expenses Summary'!$U70))</f>
        <v>0</v>
      </c>
      <c r="F118" s="60">
        <f>IF('Expenses Summary'!$U70="","",IF('Cash Flow %s Yr1'!F114="","",'Cash Flow %s Yr1'!F114*'Expenses Summary'!$U70))</f>
        <v>3283.2609407999998</v>
      </c>
      <c r="G118" s="60">
        <f>IF('Expenses Summary'!$U70="","",IF('Cash Flow %s Yr1'!G114="","",'Cash Flow %s Yr1'!G114*'Expenses Summary'!$U70))</f>
        <v>1094.4203136000001</v>
      </c>
      <c r="H118" s="60">
        <f>IF('Expenses Summary'!$U70="","",IF('Cash Flow %s Yr1'!H114="","",'Cash Flow %s Yr1'!H114*'Expenses Summary'!$U70))</f>
        <v>1094.4203136000001</v>
      </c>
      <c r="I118" s="60">
        <f>IF('Expenses Summary'!$U70="","",IF('Cash Flow %s Yr1'!I114="","",'Cash Flow %s Yr1'!I114*'Expenses Summary'!$U70))</f>
        <v>1094.4203136000001</v>
      </c>
      <c r="J118" s="60">
        <f>IF('Expenses Summary'!$U70="","",IF('Cash Flow %s Yr1'!J114="","",'Cash Flow %s Yr1'!J114*'Expenses Summary'!$U70))</f>
        <v>1094.4203136000001</v>
      </c>
      <c r="K118" s="60">
        <f>IF('Expenses Summary'!$U70="","",IF('Cash Flow %s Yr1'!K114="","",'Cash Flow %s Yr1'!K114*'Expenses Summary'!$U70))</f>
        <v>1094.4203136000001</v>
      </c>
      <c r="L118" s="60">
        <f>IF('Expenses Summary'!$U70="","",IF('Cash Flow %s Yr1'!L114="","",'Cash Flow %s Yr1'!L114*'Expenses Summary'!$U70))</f>
        <v>1094.4203136000001</v>
      </c>
      <c r="M118" s="60">
        <f>IF('Expenses Summary'!$U70="","",IF('Cash Flow %s Yr1'!M114="","",'Cash Flow %s Yr1'!M114*'Expenses Summary'!$U70))</f>
        <v>1094.4203136000001</v>
      </c>
      <c r="N118" s="60">
        <f>IF('Expenses Summary'!$U70="","",IF('Cash Flow %s Yr1'!N114="","",'Cash Flow %s Yr1'!N114*'Expenses Summary'!$U70))</f>
        <v>0</v>
      </c>
      <c r="O118" s="60">
        <f>IF('Expenses Summary'!$U70="","",IF('Cash Flow %s Yr1'!O114="","",'Cash Flow %s Yr1'!O114*'Expenses Summary'!$U70))</f>
        <v>0</v>
      </c>
      <c r="P118" s="123"/>
      <c r="Q118" s="123"/>
      <c r="R118" s="123"/>
    </row>
    <row r="119" spans="1:18" s="30" customFormat="1" x14ac:dyDescent="0.3">
      <c r="A119" s="35"/>
      <c r="B119" s="133" t="str">
        <f>'Expenses Summary'!B71</f>
        <v>5400</v>
      </c>
      <c r="C119" s="133" t="str">
        <f>'Expenses Summary'!C71</f>
        <v>Insurance</v>
      </c>
      <c r="D119" s="60">
        <f>IF('Expenses Summary'!$U71="","",IF('Cash Flow %s Yr1'!D115="","",'Cash Flow %s Yr1'!D115*'Expenses Summary'!$U71))</f>
        <v>0</v>
      </c>
      <c r="E119" s="60">
        <f>IF('Expenses Summary'!$U71="","",IF('Cash Flow %s Yr1'!E115="","",'Cash Flow %s Yr1'!E115*'Expenses Summary'!$U71))</f>
        <v>0</v>
      </c>
      <c r="F119" s="60">
        <f>IF('Expenses Summary'!$U71="","",IF('Cash Flow %s Yr1'!F115="","",'Cash Flow %s Yr1'!F115*'Expenses Summary'!$U71))</f>
        <v>7665.2006400000009</v>
      </c>
      <c r="G119" s="60">
        <f>IF('Expenses Summary'!$U71="","",IF('Cash Flow %s Yr1'!G115="","",'Cash Flow %s Yr1'!G115*'Expenses Summary'!$U71))</f>
        <v>2555.0668800000003</v>
      </c>
      <c r="H119" s="60">
        <f>IF('Expenses Summary'!$U71="","",IF('Cash Flow %s Yr1'!H115="","",'Cash Flow %s Yr1'!H115*'Expenses Summary'!$U71))</f>
        <v>2555.0668800000003</v>
      </c>
      <c r="I119" s="60">
        <f>IF('Expenses Summary'!$U71="","",IF('Cash Flow %s Yr1'!I115="","",'Cash Flow %s Yr1'!I115*'Expenses Summary'!$U71))</f>
        <v>2555.0668800000003</v>
      </c>
      <c r="J119" s="60">
        <f>IF('Expenses Summary'!$U71="","",IF('Cash Flow %s Yr1'!J115="","",'Cash Flow %s Yr1'!J115*'Expenses Summary'!$U71))</f>
        <v>2555.0668800000003</v>
      </c>
      <c r="K119" s="60">
        <f>IF('Expenses Summary'!$U71="","",IF('Cash Flow %s Yr1'!K115="","",'Cash Flow %s Yr1'!K115*'Expenses Summary'!$U71))</f>
        <v>2555.0668800000003</v>
      </c>
      <c r="L119" s="60">
        <f>IF('Expenses Summary'!$U71="","",IF('Cash Flow %s Yr1'!L115="","",'Cash Flow %s Yr1'!L115*'Expenses Summary'!$U71))</f>
        <v>2555.0668800000003</v>
      </c>
      <c r="M119" s="60">
        <f>IF('Expenses Summary'!$U71="","",IF('Cash Flow %s Yr1'!M115="","",'Cash Flow %s Yr1'!M115*'Expenses Summary'!$U71))</f>
        <v>2555.0668800000003</v>
      </c>
      <c r="N119" s="60">
        <f>IF('Expenses Summary'!$U71="","",IF('Cash Flow %s Yr1'!N115="","",'Cash Flow %s Yr1'!N115*'Expenses Summary'!$U71))</f>
        <v>0</v>
      </c>
      <c r="O119" s="60">
        <f>IF('Expenses Summary'!$U71="","",IF('Cash Flow %s Yr1'!O115="","",'Cash Flow %s Yr1'!O115*'Expenses Summary'!$U71))</f>
        <v>0</v>
      </c>
      <c r="P119" s="123"/>
      <c r="Q119" s="123"/>
      <c r="R119" s="123"/>
    </row>
    <row r="120" spans="1:18" s="30" customFormat="1" x14ac:dyDescent="0.3">
      <c r="A120" s="35"/>
      <c r="B120" s="133" t="str">
        <f>'Expenses Summary'!B72</f>
        <v>5450</v>
      </c>
      <c r="C120" s="133" t="str">
        <f>'Expenses Summary'!C72</f>
        <v>Property Tax</v>
      </c>
      <c r="D120" s="60">
        <f>IF('Expenses Summary'!$U72="","",IF('Cash Flow %s Yr1'!D116="","",'Cash Flow %s Yr1'!D116*'Expenses Summary'!$U72))</f>
        <v>0</v>
      </c>
      <c r="E120" s="60">
        <f>IF('Expenses Summary'!$U72="","",IF('Cash Flow %s Yr1'!E116="","",'Cash Flow %s Yr1'!E116*'Expenses Summary'!$U72))</f>
        <v>0</v>
      </c>
      <c r="F120" s="60">
        <f>IF('Expenses Summary'!$U72="","",IF('Cash Flow %s Yr1'!F116="","",'Cash Flow %s Yr1'!F116*'Expenses Summary'!$U72))</f>
        <v>0</v>
      </c>
      <c r="G120" s="60">
        <f>IF('Expenses Summary'!$U72="","",IF('Cash Flow %s Yr1'!G116="","",'Cash Flow %s Yr1'!G116*'Expenses Summary'!$U72))</f>
        <v>0</v>
      </c>
      <c r="H120" s="60">
        <f>IF('Expenses Summary'!$U72="","",IF('Cash Flow %s Yr1'!H116="","",'Cash Flow %s Yr1'!H116*'Expenses Summary'!$U72))</f>
        <v>0</v>
      </c>
      <c r="I120" s="60">
        <f>IF('Expenses Summary'!$U72="","",IF('Cash Flow %s Yr1'!I116="","",'Cash Flow %s Yr1'!I116*'Expenses Summary'!$U72))</f>
        <v>0</v>
      </c>
      <c r="J120" s="60">
        <f>IF('Expenses Summary'!$U72="","",IF('Cash Flow %s Yr1'!J116="","",'Cash Flow %s Yr1'!J116*'Expenses Summary'!$U72))</f>
        <v>0</v>
      </c>
      <c r="K120" s="60">
        <f>IF('Expenses Summary'!$U72="","",IF('Cash Flow %s Yr1'!K116="","",'Cash Flow %s Yr1'!K116*'Expenses Summary'!$U72))</f>
        <v>0</v>
      </c>
      <c r="L120" s="60">
        <f>IF('Expenses Summary'!$U72="","",IF('Cash Flow %s Yr1'!L116="","",'Cash Flow %s Yr1'!L116*'Expenses Summary'!$U72))</f>
        <v>0</v>
      </c>
      <c r="M120" s="60">
        <f>IF('Expenses Summary'!$U72="","",IF('Cash Flow %s Yr1'!M116="","",'Cash Flow %s Yr1'!M116*'Expenses Summary'!$U72))</f>
        <v>0</v>
      </c>
      <c r="N120" s="60">
        <f>IF('Expenses Summary'!$U72="","",IF('Cash Flow %s Yr1'!N116="","",'Cash Flow %s Yr1'!N116*'Expenses Summary'!$U72))</f>
        <v>0</v>
      </c>
      <c r="O120" s="60">
        <f>IF('Expenses Summary'!$U72="","",IF('Cash Flow %s Yr1'!O116="","",'Cash Flow %s Yr1'!O116*'Expenses Summary'!$U72))</f>
        <v>0</v>
      </c>
      <c r="P120" s="123"/>
      <c r="Q120" s="123"/>
      <c r="R120" s="123"/>
    </row>
    <row r="121" spans="1:18" s="30" customFormat="1" x14ac:dyDescent="0.3">
      <c r="A121" s="35"/>
      <c r="B121" s="133" t="str">
        <f>'Expenses Summary'!B73</f>
        <v>5500</v>
      </c>
      <c r="C121" s="133" t="str">
        <f>'Expenses Summary'!C73</f>
        <v>Operation and Housekeeping Services/Supplies</v>
      </c>
      <c r="D121" s="60">
        <f>IF('Expenses Summary'!$U73="","",IF('Cash Flow %s Yr1'!D117="","",'Cash Flow %s Yr1'!D117*'Expenses Summary'!$U73))</f>
        <v>1767.2545920000002</v>
      </c>
      <c r="E121" s="60">
        <f>IF('Expenses Summary'!$U73="","",IF('Cash Flow %s Yr1'!E117="","",'Cash Flow %s Yr1'!E117*'Expenses Summary'!$U73))</f>
        <v>1767.2545920000002</v>
      </c>
      <c r="F121" s="60">
        <f>IF('Expenses Summary'!$U73="","",IF('Cash Flow %s Yr1'!F117="","",'Cash Flow %s Yr1'!F117*'Expenses Summary'!$U73))</f>
        <v>1767.2545920000002</v>
      </c>
      <c r="G121" s="60">
        <f>IF('Expenses Summary'!$U73="","",IF('Cash Flow %s Yr1'!G117="","",'Cash Flow %s Yr1'!G117*'Expenses Summary'!$U73))</f>
        <v>1767.2545920000002</v>
      </c>
      <c r="H121" s="60">
        <f>IF('Expenses Summary'!$U73="","",IF('Cash Flow %s Yr1'!H117="","",'Cash Flow %s Yr1'!H117*'Expenses Summary'!$U73))</f>
        <v>1767.2545920000002</v>
      </c>
      <c r="I121" s="60">
        <f>IF('Expenses Summary'!$U73="","",IF('Cash Flow %s Yr1'!I117="","",'Cash Flow %s Yr1'!I117*'Expenses Summary'!$U73))</f>
        <v>1767.2545920000002</v>
      </c>
      <c r="J121" s="60">
        <f>IF('Expenses Summary'!$U73="","",IF('Cash Flow %s Yr1'!J117="","",'Cash Flow %s Yr1'!J117*'Expenses Summary'!$U73))</f>
        <v>1767.2545920000002</v>
      </c>
      <c r="K121" s="60">
        <f>IF('Expenses Summary'!$U73="","",IF('Cash Flow %s Yr1'!K117="","",'Cash Flow %s Yr1'!K117*'Expenses Summary'!$U73))</f>
        <v>1767.2545920000002</v>
      </c>
      <c r="L121" s="60">
        <f>IF('Expenses Summary'!$U73="","",IF('Cash Flow %s Yr1'!L117="","",'Cash Flow %s Yr1'!L117*'Expenses Summary'!$U73))</f>
        <v>1788.5468160000003</v>
      </c>
      <c r="M121" s="60">
        <f>IF('Expenses Summary'!$U73="","",IF('Cash Flow %s Yr1'!M117="","",'Cash Flow %s Yr1'!M117*'Expenses Summary'!$U73))</f>
        <v>1788.5468160000003</v>
      </c>
      <c r="N121" s="60">
        <f>IF('Expenses Summary'!$U73="","",IF('Cash Flow %s Yr1'!N117="","",'Cash Flow %s Yr1'!N117*'Expenses Summary'!$U73))</f>
        <v>1788.5468160000003</v>
      </c>
      <c r="O121" s="60">
        <f>IF('Expenses Summary'!$U73="","",IF('Cash Flow %s Yr1'!O117="","",'Cash Flow %s Yr1'!O117*'Expenses Summary'!$U73))</f>
        <v>1788.5468160000003</v>
      </c>
      <c r="P121" s="123"/>
      <c r="Q121" s="123"/>
      <c r="R121" s="123"/>
    </row>
    <row r="122" spans="1:18" s="30" customFormat="1" x14ac:dyDescent="0.3">
      <c r="A122" s="35"/>
      <c r="B122" s="133" t="str">
        <f>'Expenses Summary'!B74</f>
        <v>5501</v>
      </c>
      <c r="C122" s="133" t="str">
        <f>'Expenses Summary'!C74</f>
        <v>Utilities</v>
      </c>
      <c r="D122" s="60">
        <f>IF('Expenses Summary'!$U74="","",IF('Cash Flow %s Yr1'!D118="","",'Cash Flow %s Yr1'!D118*'Expenses Summary'!$U74))</f>
        <v>0</v>
      </c>
      <c r="E122" s="60">
        <f>IF('Expenses Summary'!$U74="","",IF('Cash Flow %s Yr1'!E118="","",'Cash Flow %s Yr1'!E118*'Expenses Summary'!$U74))</f>
        <v>0</v>
      </c>
      <c r="F122" s="60">
        <f>IF('Expenses Summary'!$U74="","",IF('Cash Flow %s Yr1'!F118="","",'Cash Flow %s Yr1'!F118*'Expenses Summary'!$U74))</f>
        <v>0</v>
      </c>
      <c r="G122" s="60">
        <f>IF('Expenses Summary'!$U74="","",IF('Cash Flow %s Yr1'!G118="","",'Cash Flow %s Yr1'!G118*'Expenses Summary'!$U74))</f>
        <v>0</v>
      </c>
      <c r="H122" s="60">
        <f>IF('Expenses Summary'!$U74="","",IF('Cash Flow %s Yr1'!H118="","",'Cash Flow %s Yr1'!H118*'Expenses Summary'!$U74))</f>
        <v>0</v>
      </c>
      <c r="I122" s="60">
        <f>IF('Expenses Summary'!$U74="","",IF('Cash Flow %s Yr1'!I118="","",'Cash Flow %s Yr1'!I118*'Expenses Summary'!$U74))</f>
        <v>0</v>
      </c>
      <c r="J122" s="60">
        <f>IF('Expenses Summary'!$U74="","",IF('Cash Flow %s Yr1'!J118="","",'Cash Flow %s Yr1'!J118*'Expenses Summary'!$U74))</f>
        <v>0</v>
      </c>
      <c r="K122" s="60">
        <f>IF('Expenses Summary'!$U74="","",IF('Cash Flow %s Yr1'!K118="","",'Cash Flow %s Yr1'!K118*'Expenses Summary'!$U74))</f>
        <v>0</v>
      </c>
      <c r="L122" s="60">
        <f>IF('Expenses Summary'!$U74="","",IF('Cash Flow %s Yr1'!L118="","",'Cash Flow %s Yr1'!L118*'Expenses Summary'!$U74))</f>
        <v>0</v>
      </c>
      <c r="M122" s="60">
        <f>IF('Expenses Summary'!$U74="","",IF('Cash Flow %s Yr1'!M118="","",'Cash Flow %s Yr1'!M118*'Expenses Summary'!$U74))</f>
        <v>0</v>
      </c>
      <c r="N122" s="60">
        <f>IF('Expenses Summary'!$U74="","",IF('Cash Flow %s Yr1'!N118="","",'Cash Flow %s Yr1'!N118*'Expenses Summary'!$U74))</f>
        <v>0</v>
      </c>
      <c r="O122" s="60">
        <f>IF('Expenses Summary'!$U74="","",IF('Cash Flow %s Yr1'!O118="","",'Cash Flow %s Yr1'!O118*'Expenses Summary'!$U74))</f>
        <v>0</v>
      </c>
      <c r="P122" s="123"/>
      <c r="Q122" s="123"/>
      <c r="R122" s="123"/>
    </row>
    <row r="123" spans="1:18" s="30" customFormat="1" x14ac:dyDescent="0.3">
      <c r="A123" s="35"/>
      <c r="B123" s="133" t="str">
        <f>'Expenses Summary'!B75</f>
        <v>5505</v>
      </c>
      <c r="C123" s="133" t="str">
        <f>'Expenses Summary'!C75</f>
        <v>Student Transportation / Field Trips</v>
      </c>
      <c r="D123" s="60">
        <f>IF('Expenses Summary'!$U75="","",IF('Cash Flow %s Yr1'!D119="","",'Cash Flow %s Yr1'!D119*'Expenses Summary'!$U75))</f>
        <v>0</v>
      </c>
      <c r="E123" s="60">
        <f>IF('Expenses Summary'!$U75="","",IF('Cash Flow %s Yr1'!E119="","",'Cash Flow %s Yr1'!E119*'Expenses Summary'!$U75))</f>
        <v>0</v>
      </c>
      <c r="F123" s="60">
        <f>IF('Expenses Summary'!$U75="","",IF('Cash Flow %s Yr1'!F119="","",'Cash Flow %s Yr1'!F119*'Expenses Summary'!$U75))</f>
        <v>0</v>
      </c>
      <c r="G123" s="60">
        <f>IF('Expenses Summary'!$U75="","",IF('Cash Flow %s Yr1'!G119="","",'Cash Flow %s Yr1'!G119*'Expenses Summary'!$U75))</f>
        <v>0</v>
      </c>
      <c r="H123" s="60">
        <f>IF('Expenses Summary'!$U75="","",IF('Cash Flow %s Yr1'!H119="","",'Cash Flow %s Yr1'!H119*'Expenses Summary'!$U75))</f>
        <v>0</v>
      </c>
      <c r="I123" s="60">
        <f>IF('Expenses Summary'!$U75="","",IF('Cash Flow %s Yr1'!I119="","",'Cash Flow %s Yr1'!I119*'Expenses Summary'!$U75))</f>
        <v>0</v>
      </c>
      <c r="J123" s="60">
        <f>IF('Expenses Summary'!$U75="","",IF('Cash Flow %s Yr1'!J119="","",'Cash Flow %s Yr1'!J119*'Expenses Summary'!$U75))</f>
        <v>0</v>
      </c>
      <c r="K123" s="60">
        <f>IF('Expenses Summary'!$U75="","",IF('Cash Flow %s Yr1'!K119="","",'Cash Flow %s Yr1'!K119*'Expenses Summary'!$U75))</f>
        <v>0</v>
      </c>
      <c r="L123" s="60">
        <f>IF('Expenses Summary'!$U75="","",IF('Cash Flow %s Yr1'!L119="","",'Cash Flow %s Yr1'!L119*'Expenses Summary'!$U75))</f>
        <v>0</v>
      </c>
      <c r="M123" s="60">
        <f>IF('Expenses Summary'!$U75="","",IF('Cash Flow %s Yr1'!M119="","",'Cash Flow %s Yr1'!M119*'Expenses Summary'!$U75))</f>
        <v>0</v>
      </c>
      <c r="N123" s="60">
        <f>IF('Expenses Summary'!$U75="","",IF('Cash Flow %s Yr1'!N119="","",'Cash Flow %s Yr1'!N119*'Expenses Summary'!$U75))</f>
        <v>0</v>
      </c>
      <c r="O123" s="60">
        <f>IF('Expenses Summary'!$U75="","",IF('Cash Flow %s Yr1'!O119="","",'Cash Flow %s Yr1'!O119*'Expenses Summary'!$U75))</f>
        <v>0</v>
      </c>
      <c r="P123" s="123"/>
      <c r="Q123" s="123"/>
      <c r="R123" s="123"/>
    </row>
    <row r="124" spans="1:18" s="30" customFormat="1" x14ac:dyDescent="0.3">
      <c r="A124" s="35"/>
      <c r="B124" s="133" t="str">
        <f>'Expenses Summary'!B76</f>
        <v>5600</v>
      </c>
      <c r="C124" s="133" t="str">
        <f>'Expenses Summary'!C76</f>
        <v>Space Rental/Leases Expense</v>
      </c>
      <c r="D124" s="60">
        <f>IF('Expenses Summary'!$U76="","",IF('Cash Flow %s Yr1'!D120="","",'Cash Flow %s Yr1'!D120*'Expenses Summary'!$U76))</f>
        <v>4596.6291937920005</v>
      </c>
      <c r="E124" s="60">
        <f>IF('Expenses Summary'!$U76="","",IF('Cash Flow %s Yr1'!E120="","",'Cash Flow %s Yr1'!E120*'Expenses Summary'!$U76))</f>
        <v>4596.6291937920005</v>
      </c>
      <c r="F124" s="60">
        <f>IF('Expenses Summary'!$U76="","",IF('Cash Flow %s Yr1'!F120="","",'Cash Flow %s Yr1'!F120*'Expenses Summary'!$U76))</f>
        <v>4596.6291937920005</v>
      </c>
      <c r="G124" s="60">
        <f>IF('Expenses Summary'!$U76="","",IF('Cash Flow %s Yr1'!G120="","",'Cash Flow %s Yr1'!G120*'Expenses Summary'!$U76))</f>
        <v>4596.6291937920005</v>
      </c>
      <c r="H124" s="60">
        <f>IF('Expenses Summary'!$U76="","",IF('Cash Flow %s Yr1'!H120="","",'Cash Flow %s Yr1'!H120*'Expenses Summary'!$U76))</f>
        <v>4596.6291937920005</v>
      </c>
      <c r="I124" s="60">
        <f>IF('Expenses Summary'!$U76="","",IF('Cash Flow %s Yr1'!I120="","",'Cash Flow %s Yr1'!I120*'Expenses Summary'!$U76))</f>
        <v>4596.6291937920005</v>
      </c>
      <c r="J124" s="60">
        <f>IF('Expenses Summary'!$U76="","",IF('Cash Flow %s Yr1'!J120="","",'Cash Flow %s Yr1'!J120*'Expenses Summary'!$U76))</f>
        <v>4596.6291937920005</v>
      </c>
      <c r="K124" s="60">
        <f>IF('Expenses Summary'!$U76="","",IF('Cash Flow %s Yr1'!K120="","",'Cash Flow %s Yr1'!K120*'Expenses Summary'!$U76))</f>
        <v>4596.6291937920005</v>
      </c>
      <c r="L124" s="60">
        <f>IF('Expenses Summary'!$U76="","",IF('Cash Flow %s Yr1'!L120="","",'Cash Flow %s Yr1'!L120*'Expenses Summary'!$U76))</f>
        <v>4652.0102684160001</v>
      </c>
      <c r="M124" s="60">
        <f>IF('Expenses Summary'!$U76="","",IF('Cash Flow %s Yr1'!M120="","",'Cash Flow %s Yr1'!M120*'Expenses Summary'!$U76))</f>
        <v>4652.0102684160001</v>
      </c>
      <c r="N124" s="60">
        <f>IF('Expenses Summary'!$U76="","",IF('Cash Flow %s Yr1'!N120="","",'Cash Flow %s Yr1'!N120*'Expenses Summary'!$U76))</f>
        <v>4652.0102684160001</v>
      </c>
      <c r="O124" s="60">
        <f>IF('Expenses Summary'!$U76="","",IF('Cash Flow %s Yr1'!O120="","",'Cash Flow %s Yr1'!O120*'Expenses Summary'!$U76))</f>
        <v>4652.0102684160001</v>
      </c>
      <c r="P124" s="123"/>
      <c r="Q124" s="123"/>
      <c r="R124" s="123"/>
    </row>
    <row r="125" spans="1:18" s="30" customFormat="1" x14ac:dyDescent="0.3">
      <c r="A125" s="35"/>
      <c r="B125" s="133" t="str">
        <f>'Expenses Summary'!B77</f>
        <v>5601</v>
      </c>
      <c r="C125" s="133" t="str">
        <f>'Expenses Summary'!C77</f>
        <v>Building Maintenance</v>
      </c>
      <c r="D125" s="60">
        <f>IF('Expenses Summary'!$U77="","",IF('Cash Flow %s Yr1'!D121="","",'Cash Flow %s Yr1'!D121*'Expenses Summary'!$U77))</f>
        <v>0</v>
      </c>
      <c r="E125" s="60">
        <f>IF('Expenses Summary'!$U77="","",IF('Cash Flow %s Yr1'!E121="","",'Cash Flow %s Yr1'!E121*'Expenses Summary'!$U77))</f>
        <v>0</v>
      </c>
      <c r="F125" s="60">
        <f>IF('Expenses Summary'!$U77="","",IF('Cash Flow %s Yr1'!F121="","",'Cash Flow %s Yr1'!F121*'Expenses Summary'!$U77))</f>
        <v>0</v>
      </c>
      <c r="G125" s="60">
        <f>IF('Expenses Summary'!$U77="","",IF('Cash Flow %s Yr1'!G121="","",'Cash Flow %s Yr1'!G121*'Expenses Summary'!$U77))</f>
        <v>0</v>
      </c>
      <c r="H125" s="60">
        <f>IF('Expenses Summary'!$U77="","",IF('Cash Flow %s Yr1'!H121="","",'Cash Flow %s Yr1'!H121*'Expenses Summary'!$U77))</f>
        <v>0</v>
      </c>
      <c r="I125" s="60">
        <f>IF('Expenses Summary'!$U77="","",IF('Cash Flow %s Yr1'!I121="","",'Cash Flow %s Yr1'!I121*'Expenses Summary'!$U77))</f>
        <v>0</v>
      </c>
      <c r="J125" s="60">
        <f>IF('Expenses Summary'!$U77="","",IF('Cash Flow %s Yr1'!J121="","",'Cash Flow %s Yr1'!J121*'Expenses Summary'!$U77))</f>
        <v>0</v>
      </c>
      <c r="K125" s="60">
        <f>IF('Expenses Summary'!$U77="","",IF('Cash Flow %s Yr1'!K121="","",'Cash Flow %s Yr1'!K121*'Expenses Summary'!$U77))</f>
        <v>0</v>
      </c>
      <c r="L125" s="60">
        <f>IF('Expenses Summary'!$U77="","",IF('Cash Flow %s Yr1'!L121="","",'Cash Flow %s Yr1'!L121*'Expenses Summary'!$U77))</f>
        <v>0</v>
      </c>
      <c r="M125" s="60">
        <f>IF('Expenses Summary'!$U77="","",IF('Cash Flow %s Yr1'!M121="","",'Cash Flow %s Yr1'!M121*'Expenses Summary'!$U77))</f>
        <v>0</v>
      </c>
      <c r="N125" s="60">
        <f>IF('Expenses Summary'!$U77="","",IF('Cash Flow %s Yr1'!N121="","",'Cash Flow %s Yr1'!N121*'Expenses Summary'!$U77))</f>
        <v>0</v>
      </c>
      <c r="O125" s="60">
        <f>IF('Expenses Summary'!$U77="","",IF('Cash Flow %s Yr1'!O121="","",'Cash Flow %s Yr1'!O121*'Expenses Summary'!$U77))</f>
        <v>0</v>
      </c>
      <c r="P125" s="123"/>
      <c r="Q125" s="123"/>
      <c r="R125" s="123"/>
    </row>
    <row r="126" spans="1:18" s="30" customFormat="1" x14ac:dyDescent="0.3">
      <c r="A126" s="35"/>
      <c r="B126" s="133" t="str">
        <f>'Expenses Summary'!B78</f>
        <v>5602</v>
      </c>
      <c r="C126" s="133" t="str">
        <f>'Expenses Summary'!C78</f>
        <v>Other Space Rental</v>
      </c>
      <c r="D126" s="60">
        <f>IF('Expenses Summary'!$U78="","",IF('Cash Flow %s Yr1'!D122="","",'Cash Flow %s Yr1'!D122*'Expenses Summary'!$U78))</f>
        <v>314.29562565964807</v>
      </c>
      <c r="E126" s="60">
        <f>IF('Expenses Summary'!$U78="","",IF('Cash Flow %s Yr1'!E122="","",'Cash Flow %s Yr1'!E122*'Expenses Summary'!$U78))</f>
        <v>314.29562565964807</v>
      </c>
      <c r="F126" s="60">
        <f>IF('Expenses Summary'!$U78="","",IF('Cash Flow %s Yr1'!F122="","",'Cash Flow %s Yr1'!F122*'Expenses Summary'!$U78))</f>
        <v>314.29562565964807</v>
      </c>
      <c r="G126" s="60">
        <f>IF('Expenses Summary'!$U78="","",IF('Cash Flow %s Yr1'!G122="","",'Cash Flow %s Yr1'!G122*'Expenses Summary'!$U78))</f>
        <v>314.29562565964807</v>
      </c>
      <c r="H126" s="60">
        <f>IF('Expenses Summary'!$U78="","",IF('Cash Flow %s Yr1'!H122="","",'Cash Flow %s Yr1'!H122*'Expenses Summary'!$U78))</f>
        <v>314.29562565964807</v>
      </c>
      <c r="I126" s="60">
        <f>IF('Expenses Summary'!$U78="","",IF('Cash Flow %s Yr1'!I122="","",'Cash Flow %s Yr1'!I122*'Expenses Summary'!$U78))</f>
        <v>314.29562565964807</v>
      </c>
      <c r="J126" s="60">
        <f>IF('Expenses Summary'!$U78="","",IF('Cash Flow %s Yr1'!J122="","",'Cash Flow %s Yr1'!J122*'Expenses Summary'!$U78))</f>
        <v>314.29562565964807</v>
      </c>
      <c r="K126" s="60">
        <f>IF('Expenses Summary'!$U78="","",IF('Cash Flow %s Yr1'!K122="","",'Cash Flow %s Yr1'!K122*'Expenses Summary'!$U78))</f>
        <v>314.29562565964807</v>
      </c>
      <c r="L126" s="60">
        <f>IF('Expenses Summary'!$U78="","",IF('Cash Flow %s Yr1'!L122="","",'Cash Flow %s Yr1'!L122*'Expenses Summary'!$U78))</f>
        <v>318.08231994470407</v>
      </c>
      <c r="M126" s="60">
        <f>IF('Expenses Summary'!$U78="","",IF('Cash Flow %s Yr1'!M122="","",'Cash Flow %s Yr1'!M122*'Expenses Summary'!$U78))</f>
        <v>318.08231994470407</v>
      </c>
      <c r="N126" s="60">
        <f>IF('Expenses Summary'!$U78="","",IF('Cash Flow %s Yr1'!N122="","",'Cash Flow %s Yr1'!N122*'Expenses Summary'!$U78))</f>
        <v>318.08231994470407</v>
      </c>
      <c r="O126" s="60">
        <f>IF('Expenses Summary'!$U78="","",IF('Cash Flow %s Yr1'!O122="","",'Cash Flow %s Yr1'!O122*'Expenses Summary'!$U78))</f>
        <v>318.08231994470407</v>
      </c>
      <c r="P126" s="123"/>
      <c r="Q126" s="123"/>
      <c r="R126" s="123"/>
    </row>
    <row r="127" spans="1:18" s="30" customFormat="1" x14ac:dyDescent="0.3">
      <c r="A127" s="35"/>
      <c r="B127" s="133" t="str">
        <f>'Expenses Summary'!B79</f>
        <v>5605</v>
      </c>
      <c r="C127" s="133" t="str">
        <f>'Expenses Summary'!C79</f>
        <v>Equipment Rental/Lease Expense</v>
      </c>
      <c r="D127" s="60">
        <f>IF('Expenses Summary'!$U79="","",IF('Cash Flow %s Yr1'!D123="","",'Cash Flow %s Yr1'!D123*'Expenses Summary'!$U79))</f>
        <v>0</v>
      </c>
      <c r="E127" s="60">
        <f>IF('Expenses Summary'!$U79="","",IF('Cash Flow %s Yr1'!E123="","",'Cash Flow %s Yr1'!E123*'Expenses Summary'!$U79))</f>
        <v>0</v>
      </c>
      <c r="F127" s="60">
        <f>IF('Expenses Summary'!$U79="","",IF('Cash Flow %s Yr1'!F123="","",'Cash Flow %s Yr1'!F123*'Expenses Summary'!$U79))</f>
        <v>0</v>
      </c>
      <c r="G127" s="60">
        <f>IF('Expenses Summary'!$U79="","",IF('Cash Flow %s Yr1'!G123="","",'Cash Flow %s Yr1'!G123*'Expenses Summary'!$U79))</f>
        <v>0</v>
      </c>
      <c r="H127" s="60">
        <f>IF('Expenses Summary'!$U79="","",IF('Cash Flow %s Yr1'!H123="","",'Cash Flow %s Yr1'!H123*'Expenses Summary'!$U79))</f>
        <v>0</v>
      </c>
      <c r="I127" s="60">
        <f>IF('Expenses Summary'!$U79="","",IF('Cash Flow %s Yr1'!I123="","",'Cash Flow %s Yr1'!I123*'Expenses Summary'!$U79))</f>
        <v>0</v>
      </c>
      <c r="J127" s="60">
        <f>IF('Expenses Summary'!$U79="","",IF('Cash Flow %s Yr1'!J123="","",'Cash Flow %s Yr1'!J123*'Expenses Summary'!$U79))</f>
        <v>0</v>
      </c>
      <c r="K127" s="60">
        <f>IF('Expenses Summary'!$U79="","",IF('Cash Flow %s Yr1'!K123="","",'Cash Flow %s Yr1'!K123*'Expenses Summary'!$U79))</f>
        <v>0</v>
      </c>
      <c r="L127" s="60">
        <f>IF('Expenses Summary'!$U79="","",IF('Cash Flow %s Yr1'!L123="","",'Cash Flow %s Yr1'!L123*'Expenses Summary'!$U79))</f>
        <v>0</v>
      </c>
      <c r="M127" s="60">
        <f>IF('Expenses Summary'!$U79="","",IF('Cash Flow %s Yr1'!M123="","",'Cash Flow %s Yr1'!M123*'Expenses Summary'!$U79))</f>
        <v>0</v>
      </c>
      <c r="N127" s="60">
        <f>IF('Expenses Summary'!$U79="","",IF('Cash Flow %s Yr1'!N123="","",'Cash Flow %s Yr1'!N123*'Expenses Summary'!$U79))</f>
        <v>0</v>
      </c>
      <c r="O127" s="60">
        <f>IF('Expenses Summary'!$U79="","",IF('Cash Flow %s Yr1'!O123="","",'Cash Flow %s Yr1'!O123*'Expenses Summary'!$U79))</f>
        <v>0</v>
      </c>
      <c r="P127" s="123"/>
      <c r="Q127" s="123"/>
      <c r="R127" s="123"/>
    </row>
    <row r="128" spans="1:18" s="30" customFormat="1" x14ac:dyDescent="0.3">
      <c r="A128" s="35"/>
      <c r="B128" s="133" t="str">
        <f>'Expenses Summary'!B80</f>
        <v>5610</v>
      </c>
      <c r="C128" s="133" t="str">
        <f>'Expenses Summary'!C80</f>
        <v>Equipment Repair</v>
      </c>
      <c r="D128" s="60">
        <f>IF('Expenses Summary'!$U80="","",IF('Cash Flow %s Yr1'!D124="","",'Cash Flow %s Yr1'!D124*'Expenses Summary'!$U80))</f>
        <v>39.76322832000001</v>
      </c>
      <c r="E128" s="60">
        <f>IF('Expenses Summary'!$U80="","",IF('Cash Flow %s Yr1'!E124="","",'Cash Flow %s Yr1'!E124*'Expenses Summary'!$U80))</f>
        <v>39.76322832000001</v>
      </c>
      <c r="F128" s="60">
        <f>IF('Expenses Summary'!$U80="","",IF('Cash Flow %s Yr1'!F124="","",'Cash Flow %s Yr1'!F124*'Expenses Summary'!$U80))</f>
        <v>39.76322832000001</v>
      </c>
      <c r="G128" s="60">
        <f>IF('Expenses Summary'!$U80="","",IF('Cash Flow %s Yr1'!G124="","",'Cash Flow %s Yr1'!G124*'Expenses Summary'!$U80))</f>
        <v>39.76322832000001</v>
      </c>
      <c r="H128" s="60">
        <f>IF('Expenses Summary'!$U80="","",IF('Cash Flow %s Yr1'!H124="","",'Cash Flow %s Yr1'!H124*'Expenses Summary'!$U80))</f>
        <v>39.76322832000001</v>
      </c>
      <c r="I128" s="60">
        <f>IF('Expenses Summary'!$U80="","",IF('Cash Flow %s Yr1'!I124="","",'Cash Flow %s Yr1'!I124*'Expenses Summary'!$U80))</f>
        <v>39.76322832000001</v>
      </c>
      <c r="J128" s="60">
        <f>IF('Expenses Summary'!$U80="","",IF('Cash Flow %s Yr1'!J124="","",'Cash Flow %s Yr1'!J124*'Expenses Summary'!$U80))</f>
        <v>39.76322832000001</v>
      </c>
      <c r="K128" s="60">
        <f>IF('Expenses Summary'!$U80="","",IF('Cash Flow %s Yr1'!K124="","",'Cash Flow %s Yr1'!K124*'Expenses Summary'!$U80))</f>
        <v>39.76322832000001</v>
      </c>
      <c r="L128" s="60">
        <f>IF('Expenses Summary'!$U80="","",IF('Cash Flow %s Yr1'!L124="","",'Cash Flow %s Yr1'!L124*'Expenses Summary'!$U80))</f>
        <v>40.242303360000008</v>
      </c>
      <c r="M128" s="60">
        <f>IF('Expenses Summary'!$U80="","",IF('Cash Flow %s Yr1'!M124="","",'Cash Flow %s Yr1'!M124*'Expenses Summary'!$U80))</f>
        <v>40.242303360000008</v>
      </c>
      <c r="N128" s="60">
        <f>IF('Expenses Summary'!$U80="","",IF('Cash Flow %s Yr1'!N124="","",'Cash Flow %s Yr1'!N124*'Expenses Summary'!$U80))</f>
        <v>40.242303360000008</v>
      </c>
      <c r="O128" s="60">
        <f>IF('Expenses Summary'!$U80="","",IF('Cash Flow %s Yr1'!O124="","",'Cash Flow %s Yr1'!O124*'Expenses Summary'!$U80))</f>
        <v>40.242303360000008</v>
      </c>
      <c r="P128" s="123"/>
      <c r="Q128" s="123"/>
      <c r="R128" s="123"/>
    </row>
    <row r="129" spans="1:18" s="30" customFormat="1" x14ac:dyDescent="0.3">
      <c r="A129" s="35"/>
      <c r="B129" s="133" t="str">
        <f>'Expenses Summary'!B81</f>
        <v>5800</v>
      </c>
      <c r="C129" s="133" t="str">
        <f>'Expenses Summary'!C81</f>
        <v>Professional/Consulting Services and Operating Expenditures</v>
      </c>
      <c r="D129" s="60">
        <f>IF('Expenses Summary'!$U81="","",IF('Cash Flow %s Yr1'!D125="","",'Cash Flow %s Yr1'!D125*'Expenses Summary'!$U81))</f>
        <v>265.08818880000007</v>
      </c>
      <c r="E129" s="60">
        <f>IF('Expenses Summary'!$U81="","",IF('Cash Flow %s Yr1'!E125="","",'Cash Flow %s Yr1'!E125*'Expenses Summary'!$U81))</f>
        <v>265.08818880000007</v>
      </c>
      <c r="F129" s="60">
        <f>IF('Expenses Summary'!$U81="","",IF('Cash Flow %s Yr1'!F125="","",'Cash Flow %s Yr1'!F125*'Expenses Summary'!$U81))</f>
        <v>265.08818880000007</v>
      </c>
      <c r="G129" s="60">
        <f>IF('Expenses Summary'!$U81="","",IF('Cash Flow %s Yr1'!G125="","",'Cash Flow %s Yr1'!G125*'Expenses Summary'!$U81))</f>
        <v>265.08818880000007</v>
      </c>
      <c r="H129" s="60">
        <f>IF('Expenses Summary'!$U81="","",IF('Cash Flow %s Yr1'!H125="","",'Cash Flow %s Yr1'!H125*'Expenses Summary'!$U81))</f>
        <v>265.08818880000007</v>
      </c>
      <c r="I129" s="60">
        <f>IF('Expenses Summary'!$U81="","",IF('Cash Flow %s Yr1'!I125="","",'Cash Flow %s Yr1'!I125*'Expenses Summary'!$U81))</f>
        <v>265.08818880000007</v>
      </c>
      <c r="J129" s="60">
        <f>IF('Expenses Summary'!$U81="","",IF('Cash Flow %s Yr1'!J125="","",'Cash Flow %s Yr1'!J125*'Expenses Summary'!$U81))</f>
        <v>265.08818880000007</v>
      </c>
      <c r="K129" s="60">
        <f>IF('Expenses Summary'!$U81="","",IF('Cash Flow %s Yr1'!K125="","",'Cash Flow %s Yr1'!K125*'Expenses Summary'!$U81))</f>
        <v>265.08818880000007</v>
      </c>
      <c r="L129" s="60">
        <f>IF('Expenses Summary'!$U81="","",IF('Cash Flow %s Yr1'!L125="","",'Cash Flow %s Yr1'!L125*'Expenses Summary'!$U81))</f>
        <v>268.28202240000007</v>
      </c>
      <c r="M129" s="60">
        <f>IF('Expenses Summary'!$U81="","",IF('Cash Flow %s Yr1'!M125="","",'Cash Flow %s Yr1'!M125*'Expenses Summary'!$U81))</f>
        <v>268.28202240000007</v>
      </c>
      <c r="N129" s="60">
        <f>IF('Expenses Summary'!$U81="","",IF('Cash Flow %s Yr1'!N125="","",'Cash Flow %s Yr1'!N125*'Expenses Summary'!$U81))</f>
        <v>268.28202240000007</v>
      </c>
      <c r="O129" s="60">
        <f>IF('Expenses Summary'!$U81="","",IF('Cash Flow %s Yr1'!O125="","",'Cash Flow %s Yr1'!O125*'Expenses Summary'!$U81))</f>
        <v>268.28202240000007</v>
      </c>
      <c r="P129" s="123"/>
      <c r="Q129" s="123"/>
      <c r="R129" s="123"/>
    </row>
    <row r="130" spans="1:18" s="30" customFormat="1" x14ac:dyDescent="0.3">
      <c r="A130" s="35"/>
      <c r="B130" s="133" t="str">
        <f>'Expenses Summary'!B82</f>
        <v>5803</v>
      </c>
      <c r="C130" s="133" t="str">
        <f>'Expenses Summary'!C82</f>
        <v>Banking and Payroll Service Fees</v>
      </c>
      <c r="D130" s="60">
        <f>IF('Expenses Summary'!$U82="","",IF('Cash Flow %s Yr1'!D126="","",'Cash Flow %s Yr1'!D126*'Expenses Summary'!$U82))</f>
        <v>530.17637760000014</v>
      </c>
      <c r="E130" s="60">
        <f>IF('Expenses Summary'!$U82="","",IF('Cash Flow %s Yr1'!E126="","",'Cash Flow %s Yr1'!E126*'Expenses Summary'!$U82))</f>
        <v>530.17637760000014</v>
      </c>
      <c r="F130" s="60">
        <f>IF('Expenses Summary'!$U82="","",IF('Cash Flow %s Yr1'!F126="","",'Cash Flow %s Yr1'!F126*'Expenses Summary'!$U82))</f>
        <v>530.17637760000014</v>
      </c>
      <c r="G130" s="60">
        <f>IF('Expenses Summary'!$U82="","",IF('Cash Flow %s Yr1'!G126="","",'Cash Flow %s Yr1'!G126*'Expenses Summary'!$U82))</f>
        <v>530.17637760000014</v>
      </c>
      <c r="H130" s="60">
        <f>IF('Expenses Summary'!$U82="","",IF('Cash Flow %s Yr1'!H126="","",'Cash Flow %s Yr1'!H126*'Expenses Summary'!$U82))</f>
        <v>530.17637760000014</v>
      </c>
      <c r="I130" s="60">
        <f>IF('Expenses Summary'!$U82="","",IF('Cash Flow %s Yr1'!I126="","",'Cash Flow %s Yr1'!I126*'Expenses Summary'!$U82))</f>
        <v>530.17637760000014</v>
      </c>
      <c r="J130" s="60">
        <f>IF('Expenses Summary'!$U82="","",IF('Cash Flow %s Yr1'!J126="","",'Cash Flow %s Yr1'!J126*'Expenses Summary'!$U82))</f>
        <v>530.17637760000014</v>
      </c>
      <c r="K130" s="60">
        <f>IF('Expenses Summary'!$U82="","",IF('Cash Flow %s Yr1'!K126="","",'Cash Flow %s Yr1'!K126*'Expenses Summary'!$U82))</f>
        <v>530.17637760000014</v>
      </c>
      <c r="L130" s="60">
        <f>IF('Expenses Summary'!$U82="","",IF('Cash Flow %s Yr1'!L126="","",'Cash Flow %s Yr1'!L126*'Expenses Summary'!$U82))</f>
        <v>536.56404480000015</v>
      </c>
      <c r="M130" s="60">
        <f>IF('Expenses Summary'!$U82="","",IF('Cash Flow %s Yr1'!M126="","",'Cash Flow %s Yr1'!M126*'Expenses Summary'!$U82))</f>
        <v>536.56404480000015</v>
      </c>
      <c r="N130" s="60">
        <f>IF('Expenses Summary'!$U82="","",IF('Cash Flow %s Yr1'!N126="","",'Cash Flow %s Yr1'!N126*'Expenses Summary'!$U82))</f>
        <v>536.56404480000015</v>
      </c>
      <c r="O130" s="60">
        <f>IF('Expenses Summary'!$U82="","",IF('Cash Flow %s Yr1'!O126="","",'Cash Flow %s Yr1'!O126*'Expenses Summary'!$U82))</f>
        <v>536.56404480000015</v>
      </c>
      <c r="P130" s="123"/>
      <c r="Q130" s="123"/>
      <c r="R130" s="123"/>
    </row>
    <row r="131" spans="1:18" s="30" customFormat="1" x14ac:dyDescent="0.3">
      <c r="A131" s="35"/>
      <c r="B131" s="133" t="str">
        <f>'Expenses Summary'!B83</f>
        <v>5805</v>
      </c>
      <c r="C131" s="133" t="str">
        <f>'Expenses Summary'!C83</f>
        <v xml:space="preserve">Legal Services </v>
      </c>
      <c r="D131" s="60">
        <f>IF('Expenses Summary'!$U83="","",IF('Cash Flow %s Yr1'!D127="","",'Cash Flow %s Yr1'!D127*'Expenses Summary'!$U83))</f>
        <v>353.45091840000009</v>
      </c>
      <c r="E131" s="60">
        <f>IF('Expenses Summary'!$U83="","",IF('Cash Flow %s Yr1'!E127="","",'Cash Flow %s Yr1'!E127*'Expenses Summary'!$U83))</f>
        <v>353.45091840000009</v>
      </c>
      <c r="F131" s="60">
        <f>IF('Expenses Summary'!$U83="","",IF('Cash Flow %s Yr1'!F127="","",'Cash Flow %s Yr1'!F127*'Expenses Summary'!$U83))</f>
        <v>353.45091840000009</v>
      </c>
      <c r="G131" s="60">
        <f>IF('Expenses Summary'!$U83="","",IF('Cash Flow %s Yr1'!G127="","",'Cash Flow %s Yr1'!G127*'Expenses Summary'!$U83))</f>
        <v>353.45091840000009</v>
      </c>
      <c r="H131" s="60">
        <f>IF('Expenses Summary'!$U83="","",IF('Cash Flow %s Yr1'!H127="","",'Cash Flow %s Yr1'!H127*'Expenses Summary'!$U83))</f>
        <v>353.45091840000009</v>
      </c>
      <c r="I131" s="60">
        <f>IF('Expenses Summary'!$U83="","",IF('Cash Flow %s Yr1'!I127="","",'Cash Flow %s Yr1'!I127*'Expenses Summary'!$U83))</f>
        <v>353.45091840000009</v>
      </c>
      <c r="J131" s="60">
        <f>IF('Expenses Summary'!$U83="","",IF('Cash Flow %s Yr1'!J127="","",'Cash Flow %s Yr1'!J127*'Expenses Summary'!$U83))</f>
        <v>353.45091840000009</v>
      </c>
      <c r="K131" s="60">
        <f>IF('Expenses Summary'!$U83="","",IF('Cash Flow %s Yr1'!K127="","",'Cash Flow %s Yr1'!K127*'Expenses Summary'!$U83))</f>
        <v>353.45091840000009</v>
      </c>
      <c r="L131" s="60">
        <f>IF('Expenses Summary'!$U83="","",IF('Cash Flow %s Yr1'!L127="","",'Cash Flow %s Yr1'!L127*'Expenses Summary'!$U83))</f>
        <v>357.7093632000001</v>
      </c>
      <c r="M131" s="60">
        <f>IF('Expenses Summary'!$U83="","",IF('Cash Flow %s Yr1'!M127="","",'Cash Flow %s Yr1'!M127*'Expenses Summary'!$U83))</f>
        <v>357.7093632000001</v>
      </c>
      <c r="N131" s="60">
        <f>IF('Expenses Summary'!$U83="","",IF('Cash Flow %s Yr1'!N127="","",'Cash Flow %s Yr1'!N127*'Expenses Summary'!$U83))</f>
        <v>357.7093632000001</v>
      </c>
      <c r="O131" s="60">
        <f>IF('Expenses Summary'!$U83="","",IF('Cash Flow %s Yr1'!O127="","",'Cash Flow %s Yr1'!O127*'Expenses Summary'!$U83))</f>
        <v>357.7093632000001</v>
      </c>
      <c r="P131" s="123"/>
      <c r="Q131" s="123"/>
      <c r="R131" s="123"/>
    </row>
    <row r="132" spans="1:18" s="30" customFormat="1" x14ac:dyDescent="0.3">
      <c r="A132" s="35"/>
      <c r="B132" s="133" t="str">
        <f>'Expenses Summary'!B84</f>
        <v>5806</v>
      </c>
      <c r="C132" s="133" t="str">
        <f>'Expenses Summary'!C84</f>
        <v>Audit Services</v>
      </c>
      <c r="D132" s="60">
        <f>IF('Expenses Summary'!$U84="","",IF('Cash Flow %s Yr1'!D128="","",'Cash Flow %s Yr1'!D128*'Expenses Summary'!$U84))</f>
        <v>0</v>
      </c>
      <c r="E132" s="60">
        <f>IF('Expenses Summary'!$U84="","",IF('Cash Flow %s Yr1'!E128="","",'Cash Flow %s Yr1'!E128*'Expenses Summary'!$U84))</f>
        <v>0</v>
      </c>
      <c r="F132" s="60">
        <f>IF('Expenses Summary'!$U84="","",IF('Cash Flow %s Yr1'!F128="","",'Cash Flow %s Yr1'!F128*'Expenses Summary'!$U84))</f>
        <v>0</v>
      </c>
      <c r="G132" s="60">
        <f>IF('Expenses Summary'!$U84="","",IF('Cash Flow %s Yr1'!G128="","",'Cash Flow %s Yr1'!G128*'Expenses Summary'!$U84))</f>
        <v>0</v>
      </c>
      <c r="H132" s="60">
        <f>IF('Expenses Summary'!$U84="","",IF('Cash Flow %s Yr1'!H128="","",'Cash Flow %s Yr1'!H128*'Expenses Summary'!$U84))</f>
        <v>3193.8336000000004</v>
      </c>
      <c r="I132" s="60">
        <f>IF('Expenses Summary'!$U84="","",IF('Cash Flow %s Yr1'!I128="","",'Cash Flow %s Yr1'!I128*'Expenses Summary'!$U84))</f>
        <v>0</v>
      </c>
      <c r="J132" s="60">
        <f>IF('Expenses Summary'!$U84="","",IF('Cash Flow %s Yr1'!J128="","",'Cash Flow %s Yr1'!J128*'Expenses Summary'!$U84))</f>
        <v>0</v>
      </c>
      <c r="K132" s="60">
        <f>IF('Expenses Summary'!$U84="","",IF('Cash Flow %s Yr1'!K128="","",'Cash Flow %s Yr1'!K128*'Expenses Summary'!$U84))</f>
        <v>0</v>
      </c>
      <c r="L132" s="60">
        <f>IF('Expenses Summary'!$U84="","",IF('Cash Flow %s Yr1'!L128="","",'Cash Flow %s Yr1'!L128*'Expenses Summary'!$U84))</f>
        <v>0</v>
      </c>
      <c r="M132" s="60">
        <f>IF('Expenses Summary'!$U84="","",IF('Cash Flow %s Yr1'!M128="","",'Cash Flow %s Yr1'!M128*'Expenses Summary'!$U84))</f>
        <v>0</v>
      </c>
      <c r="N132" s="60">
        <f>IF('Expenses Summary'!$U84="","",IF('Cash Flow %s Yr1'!N128="","",'Cash Flow %s Yr1'!N128*'Expenses Summary'!$U84))</f>
        <v>3193.8336000000004</v>
      </c>
      <c r="O132" s="60">
        <f>IF('Expenses Summary'!$U84="","",IF('Cash Flow %s Yr1'!O128="","",'Cash Flow %s Yr1'!O128*'Expenses Summary'!$U84))</f>
        <v>0</v>
      </c>
      <c r="P132" s="123"/>
      <c r="Q132" s="123"/>
      <c r="R132" s="123"/>
    </row>
    <row r="133" spans="1:18" s="30" customFormat="1" x14ac:dyDescent="0.3">
      <c r="A133" s="35"/>
      <c r="B133" s="133" t="str">
        <f>'Expenses Summary'!B85</f>
        <v>5810</v>
      </c>
      <c r="C133" s="133" t="str">
        <f>'Expenses Summary'!C85</f>
        <v>Educational Consultants</v>
      </c>
      <c r="D133" s="60">
        <f>IF('Expenses Summary'!$U85="","",IF('Cash Flow %s Yr1'!D129="","",'Cash Flow %s Yr1'!D129*'Expenses Summary'!$U85))</f>
        <v>331.36023600000004</v>
      </c>
      <c r="E133" s="60">
        <f>IF('Expenses Summary'!$U85="","",IF('Cash Flow %s Yr1'!E129="","",'Cash Flow %s Yr1'!E129*'Expenses Summary'!$U85))</f>
        <v>331.36023600000004</v>
      </c>
      <c r="F133" s="60">
        <f>IF('Expenses Summary'!$U85="","",IF('Cash Flow %s Yr1'!F129="","",'Cash Flow %s Yr1'!F129*'Expenses Summary'!$U85))</f>
        <v>331.36023600000004</v>
      </c>
      <c r="G133" s="60">
        <f>IF('Expenses Summary'!$U85="","",IF('Cash Flow %s Yr1'!G129="","",'Cash Flow %s Yr1'!G129*'Expenses Summary'!$U85))</f>
        <v>331.36023600000004</v>
      </c>
      <c r="H133" s="60">
        <f>IF('Expenses Summary'!$U85="","",IF('Cash Flow %s Yr1'!H129="","",'Cash Flow %s Yr1'!H129*'Expenses Summary'!$U85))</f>
        <v>331.36023600000004</v>
      </c>
      <c r="I133" s="60">
        <f>IF('Expenses Summary'!$U85="","",IF('Cash Flow %s Yr1'!I129="","",'Cash Flow %s Yr1'!I129*'Expenses Summary'!$U85))</f>
        <v>331.36023600000004</v>
      </c>
      <c r="J133" s="60">
        <f>IF('Expenses Summary'!$U85="","",IF('Cash Flow %s Yr1'!J129="","",'Cash Flow %s Yr1'!J129*'Expenses Summary'!$U85))</f>
        <v>331.36023600000004</v>
      </c>
      <c r="K133" s="60">
        <f>IF('Expenses Summary'!$U85="","",IF('Cash Flow %s Yr1'!K129="","",'Cash Flow %s Yr1'!K129*'Expenses Summary'!$U85))</f>
        <v>331.36023600000004</v>
      </c>
      <c r="L133" s="60">
        <f>IF('Expenses Summary'!$U85="","",IF('Cash Flow %s Yr1'!L129="","",'Cash Flow %s Yr1'!L129*'Expenses Summary'!$U85))</f>
        <v>335.35252800000006</v>
      </c>
      <c r="M133" s="60">
        <f>IF('Expenses Summary'!$U85="","",IF('Cash Flow %s Yr1'!M129="","",'Cash Flow %s Yr1'!M129*'Expenses Summary'!$U85))</f>
        <v>335.35252800000006</v>
      </c>
      <c r="N133" s="60">
        <f>IF('Expenses Summary'!$U85="","",IF('Cash Flow %s Yr1'!N129="","",'Cash Flow %s Yr1'!N129*'Expenses Summary'!$U85))</f>
        <v>335.35252800000006</v>
      </c>
      <c r="O133" s="60">
        <f>IF('Expenses Summary'!$U85="","",IF('Cash Flow %s Yr1'!O129="","",'Cash Flow %s Yr1'!O129*'Expenses Summary'!$U85))</f>
        <v>335.35252800000006</v>
      </c>
      <c r="P133" s="123"/>
      <c r="Q133" s="123"/>
      <c r="R133" s="123"/>
    </row>
    <row r="134" spans="1:18" s="30" customFormat="1" x14ac:dyDescent="0.3">
      <c r="A134" s="35"/>
      <c r="B134" s="133" t="str">
        <f>'Expenses Summary'!B86</f>
        <v>5811</v>
      </c>
      <c r="C134" s="133" t="str">
        <f>'Expenses Summary'!C86</f>
        <v>Student Transportation / Events</v>
      </c>
      <c r="D134" s="60">
        <f>IF('Expenses Summary'!$U86="","",IF('Cash Flow %s Yr1'!D130="","",'Cash Flow %s Yr1'!D130*'Expenses Summary'!$U86))</f>
        <v>0</v>
      </c>
      <c r="E134" s="60">
        <f>IF('Expenses Summary'!$U86="","",IF('Cash Flow %s Yr1'!E130="","",'Cash Flow %s Yr1'!E130*'Expenses Summary'!$U86))</f>
        <v>0</v>
      </c>
      <c r="F134" s="60">
        <f>IF('Expenses Summary'!$U86="","",IF('Cash Flow %s Yr1'!F130="","",'Cash Flow %s Yr1'!F130*'Expenses Summary'!$U86))</f>
        <v>0</v>
      </c>
      <c r="G134" s="60">
        <f>IF('Expenses Summary'!$U86="","",IF('Cash Flow %s Yr1'!G130="","",'Cash Flow %s Yr1'!G130*'Expenses Summary'!$U86))</f>
        <v>0</v>
      </c>
      <c r="H134" s="60">
        <f>IF('Expenses Summary'!$U86="","",IF('Cash Flow %s Yr1'!H130="","",'Cash Flow %s Yr1'!H130*'Expenses Summary'!$U86))</f>
        <v>0</v>
      </c>
      <c r="I134" s="60">
        <f>IF('Expenses Summary'!$U86="","",IF('Cash Flow %s Yr1'!I130="","",'Cash Flow %s Yr1'!I130*'Expenses Summary'!$U86))</f>
        <v>0</v>
      </c>
      <c r="J134" s="60">
        <f>IF('Expenses Summary'!$U86="","",IF('Cash Flow %s Yr1'!J130="","",'Cash Flow %s Yr1'!J130*'Expenses Summary'!$U86))</f>
        <v>0</v>
      </c>
      <c r="K134" s="60">
        <f>IF('Expenses Summary'!$U86="","",IF('Cash Flow %s Yr1'!K130="","",'Cash Flow %s Yr1'!K130*'Expenses Summary'!$U86))</f>
        <v>0</v>
      </c>
      <c r="L134" s="60">
        <f>IF('Expenses Summary'!$U86="","",IF('Cash Flow %s Yr1'!L130="","",'Cash Flow %s Yr1'!L130*'Expenses Summary'!$U86))</f>
        <v>0</v>
      </c>
      <c r="M134" s="60">
        <f>IF('Expenses Summary'!$U86="","",IF('Cash Flow %s Yr1'!M130="","",'Cash Flow %s Yr1'!M130*'Expenses Summary'!$U86))</f>
        <v>0</v>
      </c>
      <c r="N134" s="60">
        <f>IF('Expenses Summary'!$U86="","",IF('Cash Flow %s Yr1'!N130="","",'Cash Flow %s Yr1'!N130*'Expenses Summary'!$U86))</f>
        <v>0</v>
      </c>
      <c r="O134" s="60">
        <f>IF('Expenses Summary'!$U86="","",IF('Cash Flow %s Yr1'!O130="","",'Cash Flow %s Yr1'!O130*'Expenses Summary'!$U86))</f>
        <v>0</v>
      </c>
      <c r="P134" s="123"/>
      <c r="Q134" s="123"/>
      <c r="R134" s="123"/>
    </row>
    <row r="135" spans="1:18" s="30" customFormat="1" x14ac:dyDescent="0.3">
      <c r="A135" s="35"/>
      <c r="B135" s="133" t="str">
        <f>'Expenses Summary'!B88</f>
        <v>5815</v>
      </c>
      <c r="C135" s="133" t="str">
        <f>'Expenses Summary'!C88</f>
        <v>Advertising / Recruiting</v>
      </c>
      <c r="D135" s="60">
        <f>IF('Expenses Summary'!$U88="","",IF('Cash Flow %s Yr1'!D131="","",'Cash Flow %s Yr1'!D131*'Expenses Summary'!$U88))</f>
        <v>44.356227189600013</v>
      </c>
      <c r="E135" s="60">
        <f>IF('Expenses Summary'!$U88="","",IF('Cash Flow %s Yr1'!E131="","",'Cash Flow %s Yr1'!E131*'Expenses Summary'!$U88))</f>
        <v>44.356227189600013</v>
      </c>
      <c r="F135" s="60">
        <f>IF('Expenses Summary'!$U88="","",IF('Cash Flow %s Yr1'!F131="","",'Cash Flow %s Yr1'!F131*'Expenses Summary'!$U88))</f>
        <v>44.356227189600013</v>
      </c>
      <c r="G135" s="60">
        <f>IF('Expenses Summary'!$U88="","",IF('Cash Flow %s Yr1'!G131="","",'Cash Flow %s Yr1'!G131*'Expenses Summary'!$U88))</f>
        <v>44.356227189600013</v>
      </c>
      <c r="H135" s="60">
        <f>IF('Expenses Summary'!$U88="","",IF('Cash Flow %s Yr1'!H131="","",'Cash Flow %s Yr1'!H131*'Expenses Summary'!$U88))</f>
        <v>44.356227189600013</v>
      </c>
      <c r="I135" s="60">
        <f>IF('Expenses Summary'!$U88="","",IF('Cash Flow %s Yr1'!I131="","",'Cash Flow %s Yr1'!I131*'Expenses Summary'!$U88))</f>
        <v>44.356227189600013</v>
      </c>
      <c r="J135" s="60">
        <f>IF('Expenses Summary'!$U88="","",IF('Cash Flow %s Yr1'!J131="","",'Cash Flow %s Yr1'!J131*'Expenses Summary'!$U88))</f>
        <v>44.356227189600013</v>
      </c>
      <c r="K135" s="60">
        <f>IF('Expenses Summary'!$U88="","",IF('Cash Flow %s Yr1'!K131="","",'Cash Flow %s Yr1'!K131*'Expenses Summary'!$U88))</f>
        <v>44.356227189600013</v>
      </c>
      <c r="L135" s="60">
        <f>IF('Expenses Summary'!$U88="","",IF('Cash Flow %s Yr1'!L131="","",'Cash Flow %s Yr1'!L131*'Expenses Summary'!$U88))</f>
        <v>44.356227189600013</v>
      </c>
      <c r="M135" s="60">
        <f>IF('Expenses Summary'!$U88="","",IF('Cash Flow %s Yr1'!M131="","",'Cash Flow %s Yr1'!M131*'Expenses Summary'!$U88))</f>
        <v>44.356227189600013</v>
      </c>
      <c r="N135" s="60">
        <f>IF('Expenses Summary'!$U88="","",IF('Cash Flow %s Yr1'!N131="","",'Cash Flow %s Yr1'!N131*'Expenses Summary'!$U88))</f>
        <v>44.356227189600013</v>
      </c>
      <c r="O135" s="60">
        <f>IF('Expenses Summary'!$U88="","",IF('Cash Flow %s Yr1'!O131="","",'Cash Flow %s Yr1'!O131*'Expenses Summary'!$U88))</f>
        <v>44.386834761600014</v>
      </c>
      <c r="P135" s="123"/>
      <c r="Q135" s="123"/>
      <c r="R135" s="123"/>
    </row>
    <row r="136" spans="1:18" s="30" customFormat="1" x14ac:dyDescent="0.3">
      <c r="A136" s="35"/>
      <c r="B136" s="133" t="str">
        <f>'Expenses Summary'!B89</f>
        <v>5820</v>
      </c>
      <c r="C136" s="133" t="str">
        <f>'Expenses Summary'!C89</f>
        <v>Fundraising Expense</v>
      </c>
      <c r="D136" s="60">
        <f>IF('Expenses Summary'!$U89="","",IF('Cash Flow %s Yr1'!D132="","",'Cash Flow %s Yr1'!D132*'Expenses Summary'!$U89))</f>
        <v>887.12454379200005</v>
      </c>
      <c r="E136" s="60">
        <f>IF('Expenses Summary'!$U89="","",IF('Cash Flow %s Yr1'!E132="","",'Cash Flow %s Yr1'!E132*'Expenses Summary'!$U89))</f>
        <v>887.12454379200005</v>
      </c>
      <c r="F136" s="60">
        <f>IF('Expenses Summary'!$U89="","",IF('Cash Flow %s Yr1'!F132="","",'Cash Flow %s Yr1'!F132*'Expenses Summary'!$U89))</f>
        <v>887.12454379200005</v>
      </c>
      <c r="G136" s="60">
        <f>IF('Expenses Summary'!$U89="","",IF('Cash Flow %s Yr1'!G132="","",'Cash Flow %s Yr1'!G132*'Expenses Summary'!$U89))</f>
        <v>887.12454379200005</v>
      </c>
      <c r="H136" s="60">
        <f>IF('Expenses Summary'!$U89="","",IF('Cash Flow %s Yr1'!H132="","",'Cash Flow %s Yr1'!H132*'Expenses Summary'!$U89))</f>
        <v>887.12454379200005</v>
      </c>
      <c r="I136" s="60">
        <f>IF('Expenses Summary'!$U89="","",IF('Cash Flow %s Yr1'!I132="","",'Cash Flow %s Yr1'!I132*'Expenses Summary'!$U89))</f>
        <v>887.12454379200005</v>
      </c>
      <c r="J136" s="60">
        <f>IF('Expenses Summary'!$U89="","",IF('Cash Flow %s Yr1'!J132="","",'Cash Flow %s Yr1'!J132*'Expenses Summary'!$U89))</f>
        <v>887.12454379200005</v>
      </c>
      <c r="K136" s="60">
        <f>IF('Expenses Summary'!$U89="","",IF('Cash Flow %s Yr1'!K132="","",'Cash Flow %s Yr1'!K132*'Expenses Summary'!$U89))</f>
        <v>887.12454379200005</v>
      </c>
      <c r="L136" s="60">
        <f>IF('Expenses Summary'!$U89="","",IF('Cash Flow %s Yr1'!L132="","",'Cash Flow %s Yr1'!L132*'Expenses Summary'!$U89))</f>
        <v>887.12454379200005</v>
      </c>
      <c r="M136" s="60">
        <f>IF('Expenses Summary'!$U89="","",IF('Cash Flow %s Yr1'!M132="","",'Cash Flow %s Yr1'!M132*'Expenses Summary'!$U89))</f>
        <v>887.12454379200005</v>
      </c>
      <c r="N136" s="60">
        <f>IF('Expenses Summary'!$U89="","",IF('Cash Flow %s Yr1'!N132="","",'Cash Flow %s Yr1'!N132*'Expenses Summary'!$U89))</f>
        <v>887.12454379200005</v>
      </c>
      <c r="O136" s="60">
        <f>IF('Expenses Summary'!$U89="","",IF('Cash Flow %s Yr1'!O132="","",'Cash Flow %s Yr1'!O132*'Expenses Summary'!$U89))</f>
        <v>887.7366952320001</v>
      </c>
      <c r="P136" s="123"/>
      <c r="Q136" s="123"/>
      <c r="R136" s="123"/>
    </row>
    <row r="137" spans="1:18" s="30" customFormat="1" x14ac:dyDescent="0.3">
      <c r="A137" s="35"/>
      <c r="B137" s="133" t="str">
        <f>'Expenses Summary'!B91</f>
        <v>5836</v>
      </c>
      <c r="C137" s="133" t="str">
        <f>'Expenses Summary'!C91</f>
        <v>Transportation Services</v>
      </c>
      <c r="D137" s="60" t="str">
        <f>IF('Expenses Summary'!$U91="","",IF('Cash Flow %s Yr1'!D133="","",'Cash Flow %s Yr1'!D133*'Expenses Summary'!$U91))</f>
        <v/>
      </c>
      <c r="E137" s="60" t="str">
        <f>IF('Expenses Summary'!$U91="","",IF('Cash Flow %s Yr1'!E133="","",'Cash Flow %s Yr1'!E133*'Expenses Summary'!$U91))</f>
        <v/>
      </c>
      <c r="F137" s="60" t="str">
        <f>IF('Expenses Summary'!$U91="","",IF('Cash Flow %s Yr1'!F133="","",'Cash Flow %s Yr1'!F133*'Expenses Summary'!$U91))</f>
        <v/>
      </c>
      <c r="G137" s="60" t="str">
        <f>IF('Expenses Summary'!$U91="","",IF('Cash Flow %s Yr1'!G133="","",'Cash Flow %s Yr1'!G133*'Expenses Summary'!$U91))</f>
        <v/>
      </c>
      <c r="H137" s="60" t="str">
        <f>IF('Expenses Summary'!$U91="","",IF('Cash Flow %s Yr1'!H133="","",'Cash Flow %s Yr1'!H133*'Expenses Summary'!$U91))</f>
        <v/>
      </c>
      <c r="I137" s="60" t="str">
        <f>IF('Expenses Summary'!$U91="","",IF('Cash Flow %s Yr1'!I133="","",'Cash Flow %s Yr1'!I133*'Expenses Summary'!$U91))</f>
        <v/>
      </c>
      <c r="J137" s="60" t="str">
        <f>IF('Expenses Summary'!$U91="","",IF('Cash Flow %s Yr1'!J133="","",'Cash Flow %s Yr1'!J133*'Expenses Summary'!$U91))</f>
        <v/>
      </c>
      <c r="K137" s="60" t="str">
        <f>IF('Expenses Summary'!$U91="","",IF('Cash Flow %s Yr1'!K133="","",'Cash Flow %s Yr1'!K133*'Expenses Summary'!$U91))</f>
        <v/>
      </c>
      <c r="L137" s="60" t="str">
        <f>IF('Expenses Summary'!$U91="","",IF('Cash Flow %s Yr1'!L133="","",'Cash Flow %s Yr1'!L133*'Expenses Summary'!$U91))</f>
        <v/>
      </c>
      <c r="M137" s="60" t="str">
        <f>IF('Expenses Summary'!$U91="","",IF('Cash Flow %s Yr1'!M133="","",'Cash Flow %s Yr1'!M133*'Expenses Summary'!$U91))</f>
        <v/>
      </c>
      <c r="N137" s="60" t="str">
        <f>IF('Expenses Summary'!$U91="","",IF('Cash Flow %s Yr1'!N133="","",'Cash Flow %s Yr1'!N133*'Expenses Summary'!$U91))</f>
        <v/>
      </c>
      <c r="O137" s="60" t="str">
        <f>IF('Expenses Summary'!$U91="","",IF('Cash Flow %s Yr1'!O133="","",'Cash Flow %s Yr1'!O133*'Expenses Summary'!$U91))</f>
        <v/>
      </c>
      <c r="P137" s="123"/>
      <c r="Q137" s="123"/>
      <c r="R137" s="123"/>
    </row>
    <row r="138" spans="1:18" s="30" customFormat="1" outlineLevel="1" x14ac:dyDescent="0.3">
      <c r="A138" s="35"/>
      <c r="B138" s="133" t="str">
        <f>'Expenses Summary'!B92</f>
        <v>5842</v>
      </c>
      <c r="C138" s="133" t="str">
        <f>'Expenses Summary'!C92</f>
        <v>Services Student Athletics</v>
      </c>
      <c r="D138" s="60" t="str">
        <f>IF('Expenses Summary'!$U92="","",IF('Cash Flow %s Yr1'!D134="","",'Cash Flow %s Yr1'!D134*'Expenses Summary'!$U92))</f>
        <v/>
      </c>
      <c r="E138" s="60" t="str">
        <f>IF('Expenses Summary'!$U92="","",IF('Cash Flow %s Yr1'!E134="","",'Cash Flow %s Yr1'!E134*'Expenses Summary'!$U92))</f>
        <v/>
      </c>
      <c r="F138" s="60">
        <f>IF('Expenses Summary'!$U92="","",IF('Cash Flow %s Yr1'!F134="","",'Cash Flow %s Yr1'!F134*'Expenses Summary'!$U92))</f>
        <v>0</v>
      </c>
      <c r="G138" s="60">
        <f>IF('Expenses Summary'!$U92="","",IF('Cash Flow %s Yr1'!G134="","",'Cash Flow %s Yr1'!G134*'Expenses Summary'!$U92))</f>
        <v>0</v>
      </c>
      <c r="H138" s="60">
        <f>IF('Expenses Summary'!$U92="","",IF('Cash Flow %s Yr1'!H134="","",'Cash Flow %s Yr1'!H134*'Expenses Summary'!$U92))</f>
        <v>0</v>
      </c>
      <c r="I138" s="60">
        <f>IF('Expenses Summary'!$U92="","",IF('Cash Flow %s Yr1'!I134="","",'Cash Flow %s Yr1'!I134*'Expenses Summary'!$U92))</f>
        <v>0</v>
      </c>
      <c r="J138" s="60">
        <f>IF('Expenses Summary'!$U92="","",IF('Cash Flow %s Yr1'!J134="","",'Cash Flow %s Yr1'!J134*'Expenses Summary'!$U92))</f>
        <v>0</v>
      </c>
      <c r="K138" s="60">
        <f>IF('Expenses Summary'!$U92="","",IF('Cash Flow %s Yr1'!K134="","",'Cash Flow %s Yr1'!K134*'Expenses Summary'!$U92))</f>
        <v>0</v>
      </c>
      <c r="L138" s="60">
        <f>IF('Expenses Summary'!$U92="","",IF('Cash Flow %s Yr1'!L134="","",'Cash Flow %s Yr1'!L134*'Expenses Summary'!$U92))</f>
        <v>0</v>
      </c>
      <c r="M138" s="60">
        <f>IF('Expenses Summary'!$U92="","",IF('Cash Flow %s Yr1'!M134="","",'Cash Flow %s Yr1'!M134*'Expenses Summary'!$U92))</f>
        <v>0</v>
      </c>
      <c r="N138" s="60">
        <f>IF('Expenses Summary'!$U92="","",IF('Cash Flow %s Yr1'!N134="","",'Cash Flow %s Yr1'!N134*'Expenses Summary'!$U92))</f>
        <v>0</v>
      </c>
      <c r="O138" s="60">
        <f>IF('Expenses Summary'!$U92="","",IF('Cash Flow %s Yr1'!O134="","",'Cash Flow %s Yr1'!O134*'Expenses Summary'!$U92))</f>
        <v>0</v>
      </c>
      <c r="P138" s="123"/>
      <c r="Q138" s="123"/>
      <c r="R138" s="123"/>
    </row>
    <row r="139" spans="1:18" s="30" customFormat="1" outlineLevel="1" x14ac:dyDescent="0.3">
      <c r="A139" s="35"/>
      <c r="B139" s="133" t="str">
        <f>'Expenses Summary'!B93</f>
        <v>5850</v>
      </c>
      <c r="C139" s="133" t="str">
        <f>'Expenses Summary'!C93</f>
        <v>Scholarships</v>
      </c>
      <c r="D139" s="60" t="str">
        <f>IF('Expenses Summary'!$U93="","",IF('Cash Flow %s Yr1'!D135="","",'Cash Flow %s Yr1'!D135*'Expenses Summary'!$U93))</f>
        <v/>
      </c>
      <c r="E139" s="60" t="str">
        <f>IF('Expenses Summary'!$U93="","",IF('Cash Flow %s Yr1'!E135="","",'Cash Flow %s Yr1'!E135*'Expenses Summary'!$U93))</f>
        <v/>
      </c>
      <c r="F139" s="60" t="str">
        <f>IF('Expenses Summary'!$U93="","",IF('Cash Flow %s Yr1'!F135="","",'Cash Flow %s Yr1'!F135*'Expenses Summary'!$U93))</f>
        <v/>
      </c>
      <c r="G139" s="60" t="str">
        <f>IF('Expenses Summary'!$U93="","",IF('Cash Flow %s Yr1'!G135="","",'Cash Flow %s Yr1'!G135*'Expenses Summary'!$U93))</f>
        <v/>
      </c>
      <c r="H139" s="60" t="str">
        <f>IF('Expenses Summary'!$U93="","",IF('Cash Flow %s Yr1'!H135="","",'Cash Flow %s Yr1'!H135*'Expenses Summary'!$U93))</f>
        <v/>
      </c>
      <c r="I139" s="60" t="str">
        <f>IF('Expenses Summary'!$U93="","",IF('Cash Flow %s Yr1'!I135="","",'Cash Flow %s Yr1'!I135*'Expenses Summary'!$U93))</f>
        <v/>
      </c>
      <c r="J139" s="60" t="str">
        <f>IF('Expenses Summary'!$U93="","",IF('Cash Flow %s Yr1'!J135="","",'Cash Flow %s Yr1'!J135*'Expenses Summary'!$U93))</f>
        <v/>
      </c>
      <c r="K139" s="60" t="str">
        <f>IF('Expenses Summary'!$U93="","",IF('Cash Flow %s Yr1'!K135="","",'Cash Flow %s Yr1'!K135*'Expenses Summary'!$U93))</f>
        <v/>
      </c>
      <c r="L139" s="60" t="str">
        <f>IF('Expenses Summary'!$U93="","",IF('Cash Flow %s Yr1'!L135="","",'Cash Flow %s Yr1'!L135*'Expenses Summary'!$U93))</f>
        <v/>
      </c>
      <c r="M139" s="60" t="str">
        <f>IF('Expenses Summary'!$U93="","",IF('Cash Flow %s Yr1'!M135="","",'Cash Flow %s Yr1'!M135*'Expenses Summary'!$U93))</f>
        <v/>
      </c>
      <c r="N139" s="60" t="str">
        <f>IF('Expenses Summary'!$U93="","",IF('Cash Flow %s Yr1'!N135="","",'Cash Flow %s Yr1'!N135*'Expenses Summary'!$U93))</f>
        <v/>
      </c>
      <c r="O139" s="60" t="str">
        <f>IF('Expenses Summary'!$U93="","",IF('Cash Flow %s Yr1'!O135="","",'Cash Flow %s Yr1'!O135*'Expenses Summary'!$U93))</f>
        <v/>
      </c>
      <c r="P139" s="123"/>
      <c r="Q139" s="123"/>
      <c r="R139" s="123"/>
    </row>
    <row r="140" spans="1:18" s="30" customFormat="1" outlineLevel="1" x14ac:dyDescent="0.3">
      <c r="A140" s="35"/>
      <c r="B140" s="133" t="str">
        <f>'Expenses Summary'!B94</f>
        <v>5873</v>
      </c>
      <c r="C140" s="133" t="str">
        <f>'Expenses Summary'!C94</f>
        <v>Financial Services</v>
      </c>
      <c r="D140" s="60" t="str">
        <f>IF('Expenses Summary'!$U94="","",IF('Cash Flow %s Yr1'!D136="","",'Cash Flow %s Yr1'!D136*'Expenses Summary'!$U94))</f>
        <v/>
      </c>
      <c r="E140" s="60" t="str">
        <f>IF('Expenses Summary'!$U94="","",IF('Cash Flow %s Yr1'!E136="","",'Cash Flow %s Yr1'!E136*'Expenses Summary'!$U94))</f>
        <v/>
      </c>
      <c r="F140" s="60">
        <f>IF('Expenses Summary'!$U94="","",IF('Cash Flow %s Yr1'!F136="","",'Cash Flow %s Yr1'!F136*'Expenses Summary'!$U94))</f>
        <v>4953.6000000000004</v>
      </c>
      <c r="G140" s="60">
        <f>IF('Expenses Summary'!$U94="","",IF('Cash Flow %s Yr1'!G136="","",'Cash Flow %s Yr1'!G136*'Expenses Summary'!$U94))</f>
        <v>4953.6000000000004</v>
      </c>
      <c r="H140" s="60">
        <f>IF('Expenses Summary'!$U94="","",IF('Cash Flow %s Yr1'!H136="","",'Cash Flow %s Yr1'!H136*'Expenses Summary'!$U94))</f>
        <v>4953.6000000000004</v>
      </c>
      <c r="I140" s="60">
        <f>IF('Expenses Summary'!$U94="","",IF('Cash Flow %s Yr1'!I136="","",'Cash Flow %s Yr1'!I136*'Expenses Summary'!$U94))</f>
        <v>4953.6000000000004</v>
      </c>
      <c r="J140" s="60">
        <f>IF('Expenses Summary'!$U94="","",IF('Cash Flow %s Yr1'!J136="","",'Cash Flow %s Yr1'!J136*'Expenses Summary'!$U94))</f>
        <v>4953.6000000000004</v>
      </c>
      <c r="K140" s="60">
        <f>IF('Expenses Summary'!$U94="","",IF('Cash Flow %s Yr1'!K136="","",'Cash Flow %s Yr1'!K136*'Expenses Summary'!$U94))</f>
        <v>4953.6000000000004</v>
      </c>
      <c r="L140" s="60">
        <f>IF('Expenses Summary'!$U94="","",IF('Cash Flow %s Yr1'!L136="","",'Cash Flow %s Yr1'!L136*'Expenses Summary'!$U94))</f>
        <v>4953.6000000000004</v>
      </c>
      <c r="M140" s="60">
        <f>IF('Expenses Summary'!$U94="","",IF('Cash Flow %s Yr1'!M136="","",'Cash Flow %s Yr1'!M136*'Expenses Summary'!$U94))</f>
        <v>4953.6000000000004</v>
      </c>
      <c r="N140" s="60">
        <f>IF('Expenses Summary'!$U94="","",IF('Cash Flow %s Yr1'!N136="","",'Cash Flow %s Yr1'!N136*'Expenses Summary'!$U94))</f>
        <v>4953.6000000000004</v>
      </c>
      <c r="O140" s="60">
        <f>IF('Expenses Summary'!$U94="","",IF('Cash Flow %s Yr1'!O136="","",'Cash Flow %s Yr1'!O136*'Expenses Summary'!$U94))</f>
        <v>4953.6000000000004</v>
      </c>
      <c r="P140" s="123"/>
      <c r="Q140" s="123"/>
      <c r="R140" s="123"/>
    </row>
    <row r="141" spans="1:18" s="30" customFormat="1" outlineLevel="1" x14ac:dyDescent="0.3">
      <c r="A141" s="35"/>
      <c r="B141" s="133" t="str">
        <f>'Expenses Summary'!B96</f>
        <v>5875</v>
      </c>
      <c r="C141" s="133" t="str">
        <f>'Expenses Summary'!C96</f>
        <v>District Oversight Fee</v>
      </c>
      <c r="D141" s="60" t="str">
        <f>IF('Expenses Summary'!$U96="","",IF('Cash Flow %s Yr1'!D137="","",'Cash Flow %s Yr1'!D137*'Expenses Summary'!$U96))</f>
        <v/>
      </c>
      <c r="E141" s="60" t="str">
        <f>IF('Expenses Summary'!$U96="","",IF('Cash Flow %s Yr1'!E137="","",'Cash Flow %s Yr1'!E137*'Expenses Summary'!$U96))</f>
        <v/>
      </c>
      <c r="F141" s="60">
        <f>IF('Expenses Summary'!$U96="","",IF('Cash Flow %s Yr1'!F137="","",'Cash Flow %s Yr1'!F137*'Expenses Summary'!$U96))</f>
        <v>989.89600000000019</v>
      </c>
      <c r="G141" s="60">
        <f>IF('Expenses Summary'!$U96="","",IF('Cash Flow %s Yr1'!G137="","",'Cash Flow %s Yr1'!G137*'Expenses Summary'!$U96))</f>
        <v>989.89600000000019</v>
      </c>
      <c r="H141" s="60">
        <f>IF('Expenses Summary'!$U96="","",IF('Cash Flow %s Yr1'!H137="","",'Cash Flow %s Yr1'!H137*'Expenses Summary'!$U96))</f>
        <v>989.89600000000019</v>
      </c>
      <c r="I141" s="60">
        <f>IF('Expenses Summary'!$U96="","",IF('Cash Flow %s Yr1'!I137="","",'Cash Flow %s Yr1'!I137*'Expenses Summary'!$U96))</f>
        <v>989.89600000000019</v>
      </c>
      <c r="J141" s="60">
        <f>IF('Expenses Summary'!$U96="","",IF('Cash Flow %s Yr1'!J137="","",'Cash Flow %s Yr1'!J137*'Expenses Summary'!$U96))</f>
        <v>989.89600000000019</v>
      </c>
      <c r="K141" s="60">
        <f>IF('Expenses Summary'!$U96="","",IF('Cash Flow %s Yr1'!K137="","",'Cash Flow %s Yr1'!K137*'Expenses Summary'!$U96))</f>
        <v>989.89600000000019</v>
      </c>
      <c r="L141" s="60">
        <f>IF('Expenses Summary'!$U96="","",IF('Cash Flow %s Yr1'!L137="","",'Cash Flow %s Yr1'!L137*'Expenses Summary'!$U96))</f>
        <v>989.89600000000019</v>
      </c>
      <c r="M141" s="60">
        <f>IF('Expenses Summary'!$U96="","",IF('Cash Flow %s Yr1'!M137="","",'Cash Flow %s Yr1'!M137*'Expenses Summary'!$U96))</f>
        <v>989.89600000000019</v>
      </c>
      <c r="N141" s="60">
        <f>IF('Expenses Summary'!$U96="","",IF('Cash Flow %s Yr1'!N137="","",'Cash Flow %s Yr1'!N137*'Expenses Summary'!$U96))</f>
        <v>989.89600000000019</v>
      </c>
      <c r="O141" s="60">
        <f>IF('Expenses Summary'!$U96="","",IF('Cash Flow %s Yr1'!O137="","",'Cash Flow %s Yr1'!O137*'Expenses Summary'!$U96))</f>
        <v>989.89600000000019</v>
      </c>
      <c r="P141" s="123"/>
      <c r="Q141" s="123"/>
      <c r="R141" s="123"/>
    </row>
    <row r="142" spans="1:18" s="30" customFormat="1" outlineLevel="1" x14ac:dyDescent="0.3">
      <c r="A142" s="35"/>
      <c r="B142" s="133" t="str">
        <f>'Expenses Summary'!B97</f>
        <v>5877</v>
      </c>
      <c r="C142" s="133" t="str">
        <f>'Expenses Summary'!C97</f>
        <v>IT Services</v>
      </c>
      <c r="D142" s="60" t="str">
        <f>IF('Expenses Summary'!$U97="","",IF('Cash Flow %s Yr1'!D138="","",'Cash Flow %s Yr1'!D138*'Expenses Summary'!$U97))</f>
        <v/>
      </c>
      <c r="E142" s="60" t="str">
        <f>IF('Expenses Summary'!$U97="","",IF('Cash Flow %s Yr1'!E138="","",'Cash Flow %s Yr1'!E138*'Expenses Summary'!$U97))</f>
        <v/>
      </c>
      <c r="F142" s="60">
        <f>IF('Expenses Summary'!$U97="","",IF('Cash Flow %s Yr1'!F138="","",'Cash Flow %s Yr1'!F138*'Expenses Summary'!$U97))</f>
        <v>106.46112000000004</v>
      </c>
      <c r="G142" s="60">
        <f>IF('Expenses Summary'!$U97="","",IF('Cash Flow %s Yr1'!G138="","",'Cash Flow %s Yr1'!G138*'Expenses Summary'!$U97))</f>
        <v>106.46112000000004</v>
      </c>
      <c r="H142" s="60">
        <f>IF('Expenses Summary'!$U97="","",IF('Cash Flow %s Yr1'!H138="","",'Cash Flow %s Yr1'!H138*'Expenses Summary'!$U97))</f>
        <v>106.46112000000004</v>
      </c>
      <c r="I142" s="60">
        <f>IF('Expenses Summary'!$U97="","",IF('Cash Flow %s Yr1'!I138="","",'Cash Flow %s Yr1'!I138*'Expenses Summary'!$U97))</f>
        <v>106.46112000000004</v>
      </c>
      <c r="J142" s="60">
        <f>IF('Expenses Summary'!$U97="","",IF('Cash Flow %s Yr1'!J138="","",'Cash Flow %s Yr1'!J138*'Expenses Summary'!$U97))</f>
        <v>106.46112000000004</v>
      </c>
      <c r="K142" s="60">
        <f>IF('Expenses Summary'!$U97="","",IF('Cash Flow %s Yr1'!K138="","",'Cash Flow %s Yr1'!K138*'Expenses Summary'!$U97))</f>
        <v>106.46112000000004</v>
      </c>
      <c r="L142" s="60">
        <f>IF('Expenses Summary'!$U97="","",IF('Cash Flow %s Yr1'!L138="","",'Cash Flow %s Yr1'!L138*'Expenses Summary'!$U97))</f>
        <v>106.46112000000004</v>
      </c>
      <c r="M142" s="60">
        <f>IF('Expenses Summary'!$U97="","",IF('Cash Flow %s Yr1'!M138="","",'Cash Flow %s Yr1'!M138*'Expenses Summary'!$U97))</f>
        <v>106.46112000000004</v>
      </c>
      <c r="N142" s="60">
        <f>IF('Expenses Summary'!$U97="","",IF('Cash Flow %s Yr1'!N138="","",'Cash Flow %s Yr1'!N138*'Expenses Summary'!$U97))</f>
        <v>106.46112000000004</v>
      </c>
      <c r="O142" s="60">
        <f>IF('Expenses Summary'!$U97="","",IF('Cash Flow %s Yr1'!O138="","",'Cash Flow %s Yr1'!O138*'Expenses Summary'!$U97))</f>
        <v>106.46112000000004</v>
      </c>
      <c r="P142" s="123"/>
      <c r="Q142" s="123"/>
      <c r="R142" s="123"/>
    </row>
    <row r="143" spans="1:18" s="30" customFormat="1" outlineLevel="1" x14ac:dyDescent="0.3">
      <c r="A143" s="35"/>
      <c r="B143" s="133" t="str">
        <f>'Expenses Summary'!B98</f>
        <v>5885</v>
      </c>
      <c r="C143" s="133" t="str">
        <f>'Expenses Summary'!C98</f>
        <v>Summer School Program</v>
      </c>
      <c r="D143" s="60" t="str">
        <f>IF('Expenses Summary'!$U98="","",IF('Cash Flow %s Yr1'!D139="","",'Cash Flow %s Yr1'!D139*'Expenses Summary'!$U98))</f>
        <v/>
      </c>
      <c r="E143" s="60" t="str">
        <f>IF('Expenses Summary'!$U98="","",IF('Cash Flow %s Yr1'!E139="","",'Cash Flow %s Yr1'!E139*'Expenses Summary'!$U98))</f>
        <v/>
      </c>
      <c r="F143" s="60" t="str">
        <f>IF('Expenses Summary'!$U98="","",IF('Cash Flow %s Yr1'!F139="","",'Cash Flow %s Yr1'!F139*'Expenses Summary'!$U98))</f>
        <v/>
      </c>
      <c r="G143" s="60" t="str">
        <f>IF('Expenses Summary'!$U98="","",IF('Cash Flow %s Yr1'!G139="","",'Cash Flow %s Yr1'!G139*'Expenses Summary'!$U98))</f>
        <v/>
      </c>
      <c r="H143" s="60" t="str">
        <f>IF('Expenses Summary'!$U98="","",IF('Cash Flow %s Yr1'!H139="","",'Cash Flow %s Yr1'!H139*'Expenses Summary'!$U98))</f>
        <v/>
      </c>
      <c r="I143" s="60" t="str">
        <f>IF('Expenses Summary'!$U98="","",IF('Cash Flow %s Yr1'!I139="","",'Cash Flow %s Yr1'!I139*'Expenses Summary'!$U98))</f>
        <v/>
      </c>
      <c r="J143" s="60" t="str">
        <f>IF('Expenses Summary'!$U98="","",IF('Cash Flow %s Yr1'!J139="","",'Cash Flow %s Yr1'!J139*'Expenses Summary'!$U98))</f>
        <v/>
      </c>
      <c r="K143" s="60" t="str">
        <f>IF('Expenses Summary'!$U98="","",IF('Cash Flow %s Yr1'!K139="","",'Cash Flow %s Yr1'!K139*'Expenses Summary'!$U98))</f>
        <v/>
      </c>
      <c r="L143" s="60" t="str">
        <f>IF('Expenses Summary'!$U98="","",IF('Cash Flow %s Yr1'!L139="","",'Cash Flow %s Yr1'!L139*'Expenses Summary'!$U98))</f>
        <v/>
      </c>
      <c r="M143" s="60" t="str">
        <f>IF('Expenses Summary'!$U98="","",IF('Cash Flow %s Yr1'!M139="","",'Cash Flow %s Yr1'!M139*'Expenses Summary'!$U98))</f>
        <v/>
      </c>
      <c r="N143" s="60" t="str">
        <f>IF('Expenses Summary'!$U98="","",IF('Cash Flow %s Yr1'!N139="","",'Cash Flow %s Yr1'!N139*'Expenses Summary'!$U98))</f>
        <v/>
      </c>
      <c r="O143" s="60" t="str">
        <f>IF('Expenses Summary'!$U98="","",IF('Cash Flow %s Yr1'!O139="","",'Cash Flow %s Yr1'!O139*'Expenses Summary'!$U98))</f>
        <v/>
      </c>
      <c r="P143" s="123"/>
      <c r="Q143" s="123"/>
      <c r="R143" s="123"/>
    </row>
    <row r="144" spans="1:18" s="30" customFormat="1" outlineLevel="1" x14ac:dyDescent="0.3">
      <c r="A144" s="35"/>
      <c r="B144" s="133" t="str">
        <f>'Expenses Summary'!B99</f>
        <v>5890</v>
      </c>
      <c r="C144" s="133" t="str">
        <f>'Expenses Summary'!C99</f>
        <v>Interest Expense / Misc. Fees</v>
      </c>
      <c r="D144" s="60" t="str">
        <f>IF('Expenses Summary'!$U99="","",IF('Cash Flow %s Yr1'!D140="","",'Cash Flow %s Yr1'!D140*'Expenses Summary'!$U99))</f>
        <v/>
      </c>
      <c r="E144" s="60" t="str">
        <f>IF('Expenses Summary'!$U99="","",IF('Cash Flow %s Yr1'!E140="","",'Cash Flow %s Yr1'!E140*'Expenses Summary'!$U99))</f>
        <v/>
      </c>
      <c r="F144" s="60">
        <f>IF('Expenses Summary'!$U99="","",IF('Cash Flow %s Yr1'!F140="","",'Cash Flow %s Yr1'!F140*'Expenses Summary'!$U99))</f>
        <v>0</v>
      </c>
      <c r="G144" s="60">
        <f>IF('Expenses Summary'!$U99="","",IF('Cash Flow %s Yr1'!G140="","",'Cash Flow %s Yr1'!G140*'Expenses Summary'!$U99))</f>
        <v>0</v>
      </c>
      <c r="H144" s="60">
        <f>IF('Expenses Summary'!$U99="","",IF('Cash Flow %s Yr1'!H140="","",'Cash Flow %s Yr1'!H140*'Expenses Summary'!$U99))</f>
        <v>0</v>
      </c>
      <c r="I144" s="60">
        <f>IF('Expenses Summary'!$U99="","",IF('Cash Flow %s Yr1'!I140="","",'Cash Flow %s Yr1'!I140*'Expenses Summary'!$U99))</f>
        <v>0</v>
      </c>
      <c r="J144" s="60">
        <f>IF('Expenses Summary'!$U99="","",IF('Cash Flow %s Yr1'!J140="","",'Cash Flow %s Yr1'!J140*'Expenses Summary'!$U99))</f>
        <v>0</v>
      </c>
      <c r="K144" s="60">
        <f>IF('Expenses Summary'!$U99="","",IF('Cash Flow %s Yr1'!K140="","",'Cash Flow %s Yr1'!K140*'Expenses Summary'!$U99))</f>
        <v>0</v>
      </c>
      <c r="L144" s="60">
        <f>IF('Expenses Summary'!$U99="","",IF('Cash Flow %s Yr1'!L140="","",'Cash Flow %s Yr1'!L140*'Expenses Summary'!$U99))</f>
        <v>0</v>
      </c>
      <c r="M144" s="60">
        <f>IF('Expenses Summary'!$U99="","",IF('Cash Flow %s Yr1'!M140="","",'Cash Flow %s Yr1'!M140*'Expenses Summary'!$U99))</f>
        <v>0</v>
      </c>
      <c r="N144" s="60">
        <f>IF('Expenses Summary'!$U99="","",IF('Cash Flow %s Yr1'!N140="","",'Cash Flow %s Yr1'!N140*'Expenses Summary'!$U99))</f>
        <v>0</v>
      </c>
      <c r="O144" s="60">
        <f>IF('Expenses Summary'!$U99="","",IF('Cash Flow %s Yr1'!O140="","",'Cash Flow %s Yr1'!O140*'Expenses Summary'!$U99))</f>
        <v>0</v>
      </c>
      <c r="P144" s="123"/>
      <c r="Q144" s="123"/>
      <c r="R144" s="123"/>
    </row>
    <row r="145" spans="1:18" s="30" customFormat="1" outlineLevel="1" x14ac:dyDescent="0.3">
      <c r="A145" s="35"/>
      <c r="B145" s="133" t="str">
        <f>'Expenses Summary'!B100</f>
        <v>5900</v>
      </c>
      <c r="C145" s="133" t="str">
        <f>'Expenses Summary'!C100</f>
        <v>Communications</v>
      </c>
      <c r="D145" s="60" t="str">
        <f>IF('Expenses Summary'!$U100="","",IF('Cash Flow %s Yr1'!D141="","",'Cash Flow %s Yr1'!D141*'Expenses Summary'!$U100))</f>
        <v/>
      </c>
      <c r="E145" s="60" t="str">
        <f>IF('Expenses Summary'!$U100="","",IF('Cash Flow %s Yr1'!E141="","",'Cash Flow %s Yr1'!E141*'Expenses Summary'!$U100))</f>
        <v/>
      </c>
      <c r="F145" s="60">
        <f>IF('Expenses Summary'!$U100="","",IF('Cash Flow %s Yr1'!F141="","",'Cash Flow %s Yr1'!F141*'Expenses Summary'!$U100))</f>
        <v>601.93117247999999</v>
      </c>
      <c r="G145" s="60">
        <f>IF('Expenses Summary'!$U100="","",IF('Cash Flow %s Yr1'!G141="","",'Cash Flow %s Yr1'!G141*'Expenses Summary'!$U100))</f>
        <v>601.93117247999999</v>
      </c>
      <c r="H145" s="60">
        <f>IF('Expenses Summary'!$U100="","",IF('Cash Flow %s Yr1'!H141="","",'Cash Flow %s Yr1'!H141*'Expenses Summary'!$U100))</f>
        <v>601.93117247999999</v>
      </c>
      <c r="I145" s="60">
        <f>IF('Expenses Summary'!$U100="","",IF('Cash Flow %s Yr1'!I141="","",'Cash Flow %s Yr1'!I141*'Expenses Summary'!$U100))</f>
        <v>601.93117247999999</v>
      </c>
      <c r="J145" s="60">
        <f>IF('Expenses Summary'!$U100="","",IF('Cash Flow %s Yr1'!J141="","",'Cash Flow %s Yr1'!J141*'Expenses Summary'!$U100))</f>
        <v>601.93117247999999</v>
      </c>
      <c r="K145" s="60">
        <f>IF('Expenses Summary'!$U100="","",IF('Cash Flow %s Yr1'!K141="","",'Cash Flow %s Yr1'!K141*'Expenses Summary'!$U100))</f>
        <v>601.93117247999999</v>
      </c>
      <c r="L145" s="60">
        <f>IF('Expenses Summary'!$U100="","",IF('Cash Flow %s Yr1'!L141="","",'Cash Flow %s Yr1'!L141*'Expenses Summary'!$U100))</f>
        <v>601.93117247999999</v>
      </c>
      <c r="M145" s="60">
        <f>IF('Expenses Summary'!$U100="","",IF('Cash Flow %s Yr1'!M141="","",'Cash Flow %s Yr1'!M141*'Expenses Summary'!$U100))</f>
        <v>601.93117247999999</v>
      </c>
      <c r="N145" s="60">
        <f>IF('Expenses Summary'!$U100="","",IF('Cash Flow %s Yr1'!N141="","",'Cash Flow %s Yr1'!N141*'Expenses Summary'!$U100))</f>
        <v>601.93117247999999</v>
      </c>
      <c r="O145" s="60">
        <f>IF('Expenses Summary'!$U100="","",IF('Cash Flow %s Yr1'!O141="","",'Cash Flow %s Yr1'!O141*'Expenses Summary'!$U100))</f>
        <v>601.93117247999999</v>
      </c>
      <c r="P145" s="123"/>
      <c r="Q145" s="123"/>
      <c r="R145" s="123"/>
    </row>
    <row r="146" spans="1:18" s="30" customFormat="1" outlineLevel="1" x14ac:dyDescent="0.3">
      <c r="A146" s="35"/>
      <c r="B146" s="133" t="str">
        <f>'Expenses Summary'!B101</f>
        <v>7010</v>
      </c>
      <c r="C146" s="133" t="str">
        <f>'Expenses Summary'!C101</f>
        <v>Special Education Encroachment</v>
      </c>
      <c r="D146" s="60" t="str">
        <f>IF('Expenses Summary'!$U101="","",IF('Cash Flow %s Yr1'!D142="","",'Cash Flow %s Yr1'!D142*'Expenses Summary'!$U101))</f>
        <v/>
      </c>
      <c r="E146" s="60" t="str">
        <f>IF('Expenses Summary'!$U101="","",IF('Cash Flow %s Yr1'!E142="","",'Cash Flow %s Yr1'!E142*'Expenses Summary'!$U101))</f>
        <v/>
      </c>
      <c r="F146" s="60">
        <f>IF('Expenses Summary'!$U101="","",IF('Cash Flow %s Yr1'!F142="","",'Cash Flow %s Yr1'!F142*'Expenses Summary'!$U101))</f>
        <v>11000</v>
      </c>
      <c r="G146" s="60">
        <f>IF('Expenses Summary'!$U101="","",IF('Cash Flow %s Yr1'!G142="","",'Cash Flow %s Yr1'!G142*'Expenses Summary'!$U101))</f>
        <v>11000</v>
      </c>
      <c r="H146" s="60">
        <f>IF('Expenses Summary'!$U101="","",IF('Cash Flow %s Yr1'!H142="","",'Cash Flow %s Yr1'!H142*'Expenses Summary'!$U101))</f>
        <v>11000</v>
      </c>
      <c r="I146" s="60">
        <f>IF('Expenses Summary'!$U101="","",IF('Cash Flow %s Yr1'!I142="","",'Cash Flow %s Yr1'!I142*'Expenses Summary'!$U101))</f>
        <v>11000</v>
      </c>
      <c r="J146" s="60">
        <f>IF('Expenses Summary'!$U101="","",IF('Cash Flow %s Yr1'!J142="","",'Cash Flow %s Yr1'!J142*'Expenses Summary'!$U101))</f>
        <v>11000</v>
      </c>
      <c r="K146" s="60">
        <f>IF('Expenses Summary'!$U101="","",IF('Cash Flow %s Yr1'!K142="","",'Cash Flow %s Yr1'!K142*'Expenses Summary'!$U101))</f>
        <v>11000</v>
      </c>
      <c r="L146" s="60">
        <f>IF('Expenses Summary'!$U101="","",IF('Cash Flow %s Yr1'!L142="","",'Cash Flow %s Yr1'!L142*'Expenses Summary'!$U101))</f>
        <v>11000</v>
      </c>
      <c r="M146" s="60">
        <f>IF('Expenses Summary'!$U101="","",IF('Cash Flow %s Yr1'!M142="","",'Cash Flow %s Yr1'!M142*'Expenses Summary'!$U101))</f>
        <v>11000</v>
      </c>
      <c r="N146" s="60">
        <f>IF('Expenses Summary'!$U101="","",IF('Cash Flow %s Yr1'!N142="","",'Cash Flow %s Yr1'!N142*'Expenses Summary'!$U101))</f>
        <v>11000</v>
      </c>
      <c r="O146" s="60">
        <f>IF('Expenses Summary'!$U101="","",IF('Cash Flow %s Yr1'!O142="","",'Cash Flow %s Yr1'!O142*'Expenses Summary'!$U101))</f>
        <v>11000</v>
      </c>
      <c r="P146" s="123"/>
      <c r="Q146" s="123"/>
      <c r="R146" s="123"/>
    </row>
    <row r="147" spans="1:18" s="30" customFormat="1" outlineLevel="1" x14ac:dyDescent="0.3">
      <c r="A147" s="35"/>
      <c r="B147" s="133" t="e">
        <f>'Expenses Summary'!#REF!</f>
        <v>#REF!</v>
      </c>
      <c r="C147" s="133" t="e">
        <f>'Expenses Summary'!#REF!</f>
        <v>#REF!</v>
      </c>
      <c r="D147" s="60" t="e">
        <f>IF('Expenses Summary'!#REF!="","",IF('Cash Flow %s Yr1'!D143="","",'Cash Flow %s Yr1'!D143*'Expenses Summary'!#REF!))</f>
        <v>#REF!</v>
      </c>
      <c r="E147" s="60" t="e">
        <f>IF('Expenses Summary'!#REF!="","",IF('Cash Flow %s Yr1'!E143="","",'Cash Flow %s Yr1'!E143*'Expenses Summary'!#REF!))</f>
        <v>#REF!</v>
      </c>
      <c r="F147" s="60" t="e">
        <f>IF('Expenses Summary'!#REF!="","",IF('Cash Flow %s Yr1'!F143="","",'Cash Flow %s Yr1'!F143*'Expenses Summary'!#REF!))</f>
        <v>#REF!</v>
      </c>
      <c r="G147" s="60" t="e">
        <f>IF('Expenses Summary'!#REF!="","",IF('Cash Flow %s Yr1'!G143="","",'Cash Flow %s Yr1'!G143*'Expenses Summary'!#REF!))</f>
        <v>#REF!</v>
      </c>
      <c r="H147" s="60" t="e">
        <f>IF('Expenses Summary'!#REF!="","",IF('Cash Flow %s Yr1'!H143="","",'Cash Flow %s Yr1'!H143*'Expenses Summary'!#REF!))</f>
        <v>#REF!</v>
      </c>
      <c r="I147" s="60" t="e">
        <f>IF('Expenses Summary'!#REF!="","",IF('Cash Flow %s Yr1'!I143="","",'Cash Flow %s Yr1'!I143*'Expenses Summary'!#REF!))</f>
        <v>#REF!</v>
      </c>
      <c r="J147" s="60" t="e">
        <f>IF('Expenses Summary'!#REF!="","",IF('Cash Flow %s Yr1'!J143="","",'Cash Flow %s Yr1'!J143*'Expenses Summary'!#REF!))</f>
        <v>#REF!</v>
      </c>
      <c r="K147" s="60" t="e">
        <f>IF('Expenses Summary'!#REF!="","",IF('Cash Flow %s Yr1'!K143="","",'Cash Flow %s Yr1'!K143*'Expenses Summary'!#REF!))</f>
        <v>#REF!</v>
      </c>
      <c r="L147" s="60" t="e">
        <f>IF('Expenses Summary'!#REF!="","",IF('Cash Flow %s Yr1'!L143="","",'Cash Flow %s Yr1'!L143*'Expenses Summary'!#REF!))</f>
        <v>#REF!</v>
      </c>
      <c r="M147" s="60" t="e">
        <f>IF('Expenses Summary'!#REF!="","",IF('Cash Flow %s Yr1'!M143="","",'Cash Flow %s Yr1'!M143*'Expenses Summary'!#REF!))</f>
        <v>#REF!</v>
      </c>
      <c r="N147" s="60" t="e">
        <f>IF('Expenses Summary'!#REF!="","",IF('Cash Flow %s Yr1'!N143="","",'Cash Flow %s Yr1'!N143*'Expenses Summary'!#REF!))</f>
        <v>#REF!</v>
      </c>
      <c r="O147" s="60" t="e">
        <f>IF('Expenses Summary'!#REF!="","",IF('Cash Flow %s Yr1'!O143="","",'Cash Flow %s Yr1'!O143*'Expenses Summary'!#REF!))</f>
        <v>#REF!</v>
      </c>
      <c r="P147" s="123"/>
      <c r="Q147" s="123"/>
      <c r="R147" s="123"/>
    </row>
    <row r="148" spans="1:18" s="30" customFormat="1" x14ac:dyDescent="0.3">
      <c r="A148" s="35"/>
      <c r="B148" s="133" t="str">
        <f>'Expenses Summary'!B102</f>
        <v>5999</v>
      </c>
      <c r="C148" s="133" t="str">
        <f>'Expenses Summary'!C102</f>
        <v>Expense Suspense</v>
      </c>
      <c r="D148" s="60" t="str">
        <f>IF('Expenses Summary'!$U102="","",IF('Cash Flow %s Yr1'!D144="","",'Cash Flow %s Yr1'!D144*'Expenses Summary'!$U102))</f>
        <v/>
      </c>
      <c r="E148" s="60" t="str">
        <f>IF('Expenses Summary'!$U102="","",IF('Cash Flow %s Yr1'!E144="","",'Cash Flow %s Yr1'!E144*'Expenses Summary'!$U102))</f>
        <v/>
      </c>
      <c r="F148" s="60" t="str">
        <f>IF('Expenses Summary'!$U102="","",IF('Cash Flow %s Yr1'!F144="","",'Cash Flow %s Yr1'!F144*'Expenses Summary'!$U102))</f>
        <v/>
      </c>
      <c r="G148" s="60" t="str">
        <f>IF('Expenses Summary'!$U102="","",IF('Cash Flow %s Yr1'!G144="","",'Cash Flow %s Yr1'!G144*'Expenses Summary'!$U102))</f>
        <v/>
      </c>
      <c r="H148" s="60" t="str">
        <f>IF('Expenses Summary'!$U102="","",IF('Cash Flow %s Yr1'!H144="","",'Cash Flow %s Yr1'!H144*'Expenses Summary'!$U102))</f>
        <v/>
      </c>
      <c r="I148" s="60" t="str">
        <f>IF('Expenses Summary'!$U102="","",IF('Cash Flow %s Yr1'!I144="","",'Cash Flow %s Yr1'!I144*'Expenses Summary'!$U102))</f>
        <v/>
      </c>
      <c r="J148" s="60" t="str">
        <f>IF('Expenses Summary'!$U102="","",IF('Cash Flow %s Yr1'!J144="","",'Cash Flow %s Yr1'!J144*'Expenses Summary'!$U102))</f>
        <v/>
      </c>
      <c r="K148" s="60" t="str">
        <f>IF('Expenses Summary'!$U102="","",IF('Cash Flow %s Yr1'!K144="","",'Cash Flow %s Yr1'!K144*'Expenses Summary'!$U102))</f>
        <v/>
      </c>
      <c r="L148" s="60" t="str">
        <f>IF('Expenses Summary'!$U102="","",IF('Cash Flow %s Yr1'!L144="","",'Cash Flow %s Yr1'!L144*'Expenses Summary'!$U102))</f>
        <v/>
      </c>
      <c r="M148" s="60" t="str">
        <f>IF('Expenses Summary'!$U102="","",IF('Cash Flow %s Yr1'!M144="","",'Cash Flow %s Yr1'!M144*'Expenses Summary'!$U102))</f>
        <v/>
      </c>
      <c r="N148" s="60" t="str">
        <f>IF('Expenses Summary'!$U102="","",IF('Cash Flow %s Yr1'!N144="","",'Cash Flow %s Yr1'!N144*'Expenses Summary'!$U102))</f>
        <v/>
      </c>
      <c r="O148" s="60" t="str">
        <f>IF('Expenses Summary'!$U102="","",IF('Cash Flow %s Yr1'!O144="","",'Cash Flow %s Yr1'!O144*'Expenses Summary'!$U102))</f>
        <v/>
      </c>
      <c r="P148" s="123"/>
      <c r="Q148" s="123"/>
      <c r="R148" s="123"/>
    </row>
    <row r="149" spans="1:18" s="30" customFormat="1" x14ac:dyDescent="0.3">
      <c r="A149" s="35"/>
      <c r="B149" s="32" t="s">
        <v>559</v>
      </c>
      <c r="C149" s="33" t="s">
        <v>720</v>
      </c>
      <c r="D149" s="165" t="e">
        <f>IF(SUM(D115:D148)&gt;0,SUM(D115:D148),"")</f>
        <v>#REF!</v>
      </c>
      <c r="E149" s="165" t="e">
        <f t="shared" ref="E149:O149" si="10">IF(SUM(E115:E148)&gt;0,SUM(E115:E148),"")</f>
        <v>#REF!</v>
      </c>
      <c r="F149" s="165" t="e">
        <f t="shared" si="10"/>
        <v>#REF!</v>
      </c>
      <c r="G149" s="165" t="e">
        <f t="shared" si="10"/>
        <v>#REF!</v>
      </c>
      <c r="H149" s="165" t="e">
        <f t="shared" si="10"/>
        <v>#REF!</v>
      </c>
      <c r="I149" s="165" t="e">
        <f t="shared" si="10"/>
        <v>#REF!</v>
      </c>
      <c r="J149" s="165" t="e">
        <f t="shared" si="10"/>
        <v>#REF!</v>
      </c>
      <c r="K149" s="165" t="e">
        <f t="shared" si="10"/>
        <v>#REF!</v>
      </c>
      <c r="L149" s="165" t="e">
        <f t="shared" si="10"/>
        <v>#REF!</v>
      </c>
      <c r="M149" s="165" t="e">
        <f t="shared" si="10"/>
        <v>#REF!</v>
      </c>
      <c r="N149" s="165" t="e">
        <f t="shared" si="10"/>
        <v>#REF!</v>
      </c>
      <c r="O149" s="165" t="e">
        <f t="shared" si="10"/>
        <v>#REF!</v>
      </c>
      <c r="P149" s="102"/>
      <c r="Q149" s="102"/>
      <c r="R149" s="102"/>
    </row>
    <row r="150" spans="1:18" s="30" customFormat="1" x14ac:dyDescent="0.3">
      <c r="A150" s="35"/>
      <c r="B150" s="4"/>
      <c r="C150" s="3"/>
      <c r="D150" s="89"/>
      <c r="E150" s="89"/>
      <c r="F150" s="89"/>
      <c r="G150" s="89"/>
      <c r="H150" s="89"/>
      <c r="I150" s="89"/>
      <c r="J150" s="89"/>
      <c r="K150" s="89"/>
      <c r="L150" s="89"/>
      <c r="M150" s="89"/>
      <c r="N150" s="89"/>
      <c r="O150" s="89"/>
      <c r="P150" s="89"/>
      <c r="Q150" s="89"/>
      <c r="R150" s="89"/>
    </row>
    <row r="151" spans="1:18" s="30" customFormat="1" x14ac:dyDescent="0.3">
      <c r="B151" s="33" t="s">
        <v>722</v>
      </c>
      <c r="C151" s="3"/>
      <c r="D151" s="89"/>
      <c r="E151" s="89"/>
      <c r="F151" s="89"/>
      <c r="G151" s="89"/>
      <c r="H151" s="89"/>
      <c r="I151" s="89"/>
      <c r="J151" s="89"/>
      <c r="K151" s="89"/>
      <c r="L151" s="89"/>
      <c r="M151" s="89"/>
      <c r="N151" s="89"/>
      <c r="O151" s="89"/>
      <c r="P151" s="89"/>
      <c r="Q151" s="89"/>
      <c r="R151" s="89"/>
    </row>
    <row r="152" spans="1:18" s="30" customFormat="1" x14ac:dyDescent="0.3">
      <c r="A152" s="35"/>
      <c r="B152" s="133" t="str">
        <f>'Expenses Summary'!B106</f>
        <v>6900</v>
      </c>
      <c r="C152" s="133" t="str">
        <f>'Expenses Summary'!C106</f>
        <v xml:space="preserve">Depreciation Expense      </v>
      </c>
      <c r="D152" s="60">
        <f>IF('Expenses Summary'!$U106="","",IF('Cash Flow %s Yr1'!D148="","",'Cash Flow %s Yr1'!D148*'Expenses Summary'!$U106))</f>
        <v>0</v>
      </c>
      <c r="E152" s="60">
        <f>IF('Expenses Summary'!$U106="","",IF('Cash Flow %s Yr1'!E148="","",'Cash Flow %s Yr1'!E148*'Expenses Summary'!$U106))</f>
        <v>0</v>
      </c>
      <c r="F152" s="60">
        <f>IF('Expenses Summary'!$U106="","",IF('Cash Flow %s Yr1'!F148="","",'Cash Flow %s Yr1'!F148*'Expenses Summary'!$U106))</f>
        <v>0</v>
      </c>
      <c r="G152" s="60">
        <f>IF('Expenses Summary'!$U106="","",IF('Cash Flow %s Yr1'!G148="","",'Cash Flow %s Yr1'!G148*'Expenses Summary'!$U106))</f>
        <v>0</v>
      </c>
      <c r="H152" s="60">
        <f>IF('Expenses Summary'!$U106="","",IF('Cash Flow %s Yr1'!H148="","",'Cash Flow %s Yr1'!H148*'Expenses Summary'!$U106))</f>
        <v>0</v>
      </c>
      <c r="I152" s="60">
        <f>IF('Expenses Summary'!$U106="","",IF('Cash Flow %s Yr1'!I148="","",'Cash Flow %s Yr1'!I148*'Expenses Summary'!$U106))</f>
        <v>0</v>
      </c>
      <c r="J152" s="60">
        <f>IF('Expenses Summary'!$U106="","",IF('Cash Flow %s Yr1'!J148="","",'Cash Flow %s Yr1'!J148*'Expenses Summary'!$U106))</f>
        <v>0</v>
      </c>
      <c r="K152" s="60">
        <f>IF('Expenses Summary'!$U106="","",IF('Cash Flow %s Yr1'!K148="","",'Cash Flow %s Yr1'!K148*'Expenses Summary'!$U106))</f>
        <v>0</v>
      </c>
      <c r="L152" s="60">
        <f>IF('Expenses Summary'!$U106="","",IF('Cash Flow %s Yr1'!L148="","",'Cash Flow %s Yr1'!L148*'Expenses Summary'!$U106))</f>
        <v>0</v>
      </c>
      <c r="M152" s="60">
        <f>IF('Expenses Summary'!$U106="","",IF('Cash Flow %s Yr1'!M148="","",'Cash Flow %s Yr1'!M148*'Expenses Summary'!$U106))</f>
        <v>0</v>
      </c>
      <c r="N152" s="60">
        <f>IF('Expenses Summary'!$U106="","",IF('Cash Flow %s Yr1'!N148="","",'Cash Flow %s Yr1'!N148*'Expenses Summary'!$U106))</f>
        <v>0</v>
      </c>
      <c r="O152" s="60">
        <f>IF('Expenses Summary'!$U106="","",IF('Cash Flow %s Yr1'!O148="","",'Cash Flow %s Yr1'!O148*'Expenses Summary'!$U106))</f>
        <v>2908.72</v>
      </c>
      <c r="P152" s="123"/>
      <c r="Q152" s="123"/>
      <c r="R152" s="123"/>
    </row>
    <row r="153" spans="1:18" s="30" customFormat="1" x14ac:dyDescent="0.3">
      <c r="A153" s="35"/>
      <c r="B153" s="32" t="s">
        <v>560</v>
      </c>
      <c r="C153" s="33" t="s">
        <v>720</v>
      </c>
      <c r="D153" s="165" t="str">
        <f t="shared" ref="D153:O153" si="11">IF(SUM(D151:D152)&gt;0,SUM(D151:D152),"")</f>
        <v/>
      </c>
      <c r="E153" s="165" t="str">
        <f t="shared" si="11"/>
        <v/>
      </c>
      <c r="F153" s="165" t="str">
        <f t="shared" si="11"/>
        <v/>
      </c>
      <c r="G153" s="165" t="str">
        <f t="shared" si="11"/>
        <v/>
      </c>
      <c r="H153" s="165" t="str">
        <f t="shared" si="11"/>
        <v/>
      </c>
      <c r="I153" s="165" t="str">
        <f t="shared" si="11"/>
        <v/>
      </c>
      <c r="J153" s="165" t="str">
        <f t="shared" si="11"/>
        <v/>
      </c>
      <c r="K153" s="165" t="str">
        <f t="shared" si="11"/>
        <v/>
      </c>
      <c r="L153" s="165" t="str">
        <f t="shared" si="11"/>
        <v/>
      </c>
      <c r="M153" s="165" t="str">
        <f t="shared" si="11"/>
        <v/>
      </c>
      <c r="N153" s="165" t="str">
        <f t="shared" si="11"/>
        <v/>
      </c>
      <c r="O153" s="165">
        <f t="shared" si="11"/>
        <v>2908.72</v>
      </c>
      <c r="P153" s="102"/>
      <c r="Q153" s="102"/>
      <c r="R153" s="102"/>
    </row>
    <row r="154" spans="1:18" s="30" customFormat="1" x14ac:dyDescent="0.3">
      <c r="A154" s="35"/>
      <c r="B154" s="4"/>
      <c r="C154" s="3"/>
      <c r="D154" s="89"/>
      <c r="E154" s="98"/>
      <c r="F154" s="98"/>
      <c r="G154" s="89"/>
      <c r="H154" s="89"/>
      <c r="I154" s="89"/>
      <c r="J154" s="89"/>
      <c r="K154" s="89"/>
      <c r="L154" s="89"/>
      <c r="M154" s="89"/>
      <c r="N154" s="89"/>
      <c r="O154" s="89"/>
      <c r="P154" s="89"/>
      <c r="Q154" s="89"/>
      <c r="R154" s="89"/>
    </row>
    <row r="155" spans="1:18" s="30" customFormat="1" x14ac:dyDescent="0.3">
      <c r="B155" s="33" t="s">
        <v>723</v>
      </c>
      <c r="C155" s="3"/>
      <c r="D155" s="89"/>
      <c r="E155" s="98"/>
      <c r="F155" s="98"/>
      <c r="G155" s="89"/>
      <c r="H155" s="89"/>
      <c r="I155" s="89"/>
      <c r="J155" s="89"/>
      <c r="K155" s="89"/>
      <c r="L155" s="89"/>
      <c r="M155" s="89"/>
      <c r="N155" s="89"/>
      <c r="O155" s="89"/>
      <c r="P155" s="89"/>
      <c r="Q155" s="89"/>
      <c r="R155" s="89"/>
    </row>
    <row r="156" spans="1:18" s="30" customFormat="1" x14ac:dyDescent="0.3">
      <c r="A156" s="35"/>
      <c r="B156" s="133" t="str">
        <f>'Expenses Summary'!B110</f>
        <v>7000</v>
      </c>
      <c r="C156" s="133" t="str">
        <f>'Expenses Summary'!C110</f>
        <v>Miscellaneous Expense</v>
      </c>
      <c r="D156" s="60">
        <f>IF('Expenses Summary'!$U110="","",IF('Cash Flow %s Yr1'!D152="","",'Cash Flow %s Yr1'!D152*'Expenses Summary'!$U110))</f>
        <v>0</v>
      </c>
      <c r="E156" s="60">
        <f>IF('Expenses Summary'!$U110="","",IF('Cash Flow %s Yr1'!E152="","",'Cash Flow %s Yr1'!E152*'Expenses Summary'!$U110))</f>
        <v>0</v>
      </c>
      <c r="F156" s="60">
        <f>IF('Expenses Summary'!$U110="","",IF('Cash Flow %s Yr1'!F152="","",'Cash Flow %s Yr1'!F152*'Expenses Summary'!$U110))</f>
        <v>0</v>
      </c>
      <c r="G156" s="60">
        <f>IF('Expenses Summary'!$U110="","",IF('Cash Flow %s Yr1'!G152="","",'Cash Flow %s Yr1'!G152*'Expenses Summary'!$U110))</f>
        <v>0</v>
      </c>
      <c r="H156" s="60">
        <f>IF('Expenses Summary'!$U110="","",IF('Cash Flow %s Yr1'!H152="","",'Cash Flow %s Yr1'!H152*'Expenses Summary'!$U110))</f>
        <v>0</v>
      </c>
      <c r="I156" s="60">
        <f>IF('Expenses Summary'!$U110="","",IF('Cash Flow %s Yr1'!I152="","",'Cash Flow %s Yr1'!I152*'Expenses Summary'!$U110))</f>
        <v>0</v>
      </c>
      <c r="J156" s="60">
        <f>IF('Expenses Summary'!$U110="","",IF('Cash Flow %s Yr1'!J152="","",'Cash Flow %s Yr1'!J152*'Expenses Summary'!$U110))</f>
        <v>0</v>
      </c>
      <c r="K156" s="60">
        <f>IF('Expenses Summary'!$U110="","",IF('Cash Flow %s Yr1'!K152="","",'Cash Flow %s Yr1'!K152*'Expenses Summary'!$U110))</f>
        <v>0</v>
      </c>
      <c r="L156" s="60">
        <f>IF('Expenses Summary'!$U110="","",IF('Cash Flow %s Yr1'!L152="","",'Cash Flow %s Yr1'!L152*'Expenses Summary'!$U110))</f>
        <v>0</v>
      </c>
      <c r="M156" s="60">
        <f>IF('Expenses Summary'!$U110="","",IF('Cash Flow %s Yr1'!M152="","",'Cash Flow %s Yr1'!M152*'Expenses Summary'!$U110))</f>
        <v>0</v>
      </c>
      <c r="N156" s="60">
        <f>IF('Expenses Summary'!$U110="","",IF('Cash Flow %s Yr1'!N152="","",'Cash Flow %s Yr1'!N152*'Expenses Summary'!$U110))</f>
        <v>0</v>
      </c>
      <c r="O156" s="60">
        <f>IF('Expenses Summary'!$U110="","",IF('Cash Flow %s Yr1'!O152="","",'Cash Flow %s Yr1'!O152*'Expenses Summary'!$U110))</f>
        <v>0</v>
      </c>
      <c r="P156" s="123"/>
      <c r="Q156" s="123"/>
      <c r="R156" s="123"/>
    </row>
    <row r="157" spans="1:18" s="30" customFormat="1" x14ac:dyDescent="0.3">
      <c r="A157" s="35"/>
      <c r="B157" s="133" t="str">
        <f>'Expenses Summary'!B111</f>
        <v>7438</v>
      </c>
      <c r="C157" s="133" t="str">
        <f>'Expenses Summary'!C111</f>
        <v xml:space="preserve">Debt </v>
      </c>
      <c r="D157" s="60">
        <f>IF('Expenses Summary'!$U111="","",IF('Cash Flow %s Yr1'!D154="","",'Cash Flow %s Yr1'!D154*'Expenses Summary'!$U111))</f>
        <v>0</v>
      </c>
      <c r="E157" s="60">
        <f>IF('Expenses Summary'!$U111="","",IF('Cash Flow %s Yr1'!E154="","",'Cash Flow %s Yr1'!E154*'Expenses Summary'!$U111))</f>
        <v>0</v>
      </c>
      <c r="F157" s="60">
        <f>IF('Expenses Summary'!$U111="","",IF('Cash Flow %s Yr1'!F154="","",'Cash Flow %s Yr1'!F154*'Expenses Summary'!$U111))</f>
        <v>0</v>
      </c>
      <c r="G157" s="60">
        <f>IF('Expenses Summary'!$U111="","",IF('Cash Flow %s Yr1'!G154="","",'Cash Flow %s Yr1'!G154*'Expenses Summary'!$U111))</f>
        <v>0</v>
      </c>
      <c r="H157" s="60">
        <f>IF('Expenses Summary'!$U111="","",IF('Cash Flow %s Yr1'!H154="","",'Cash Flow %s Yr1'!H154*'Expenses Summary'!$U111))</f>
        <v>0</v>
      </c>
      <c r="I157" s="60">
        <f>IF('Expenses Summary'!$U111="","",IF('Cash Flow %s Yr1'!I154="","",'Cash Flow %s Yr1'!I154*'Expenses Summary'!$U111))</f>
        <v>0</v>
      </c>
      <c r="J157" s="60">
        <f>IF('Expenses Summary'!$U111="","",IF('Cash Flow %s Yr1'!J154="","",'Cash Flow %s Yr1'!J154*'Expenses Summary'!$U111))</f>
        <v>0</v>
      </c>
      <c r="K157" s="60">
        <f>IF('Expenses Summary'!$U111="","",IF('Cash Flow %s Yr1'!K154="","",'Cash Flow %s Yr1'!K154*'Expenses Summary'!$U111))</f>
        <v>0</v>
      </c>
      <c r="L157" s="60">
        <f>IF('Expenses Summary'!$U111="","",IF('Cash Flow %s Yr1'!L154="","",'Cash Flow %s Yr1'!L154*'Expenses Summary'!$U111))</f>
        <v>0</v>
      </c>
      <c r="M157" s="60">
        <f>IF('Expenses Summary'!$U111="","",IF('Cash Flow %s Yr1'!M154="","",'Cash Flow %s Yr1'!M154*'Expenses Summary'!$U111))</f>
        <v>0</v>
      </c>
      <c r="N157" s="60">
        <f>IF('Expenses Summary'!$U111="","",IF('Cash Flow %s Yr1'!N154="","",'Cash Flow %s Yr1'!N154*'Expenses Summary'!$U111))</f>
        <v>0</v>
      </c>
      <c r="O157" s="60">
        <f>IF('Expenses Summary'!$U111="","",IF('Cash Flow %s Yr1'!O154="","",'Cash Flow %s Yr1'!O154*'Expenses Summary'!$U111))</f>
        <v>0</v>
      </c>
      <c r="P157" s="123"/>
      <c r="Q157" s="123"/>
      <c r="R157" s="123"/>
    </row>
    <row r="158" spans="1:18" s="30" customFormat="1" x14ac:dyDescent="0.3">
      <c r="A158" s="35"/>
      <c r="B158" s="133" t="str">
        <f>'Expenses Summary'!B112</f>
        <v>8910</v>
      </c>
      <c r="C158" s="133" t="str">
        <f>'Expenses Summary'!C112</f>
        <v>Transfer in From LLC</v>
      </c>
      <c r="D158" s="60">
        <f>IF('Expenses Summary'!$U112="","",IF('Cash Flow %s Yr1'!D155="","",'Cash Flow %s Yr1'!D155*'Expenses Summary'!$U112))</f>
        <v>0</v>
      </c>
      <c r="E158" s="60">
        <f>IF('Expenses Summary'!$U112="","",IF('Cash Flow %s Yr1'!E155="","",'Cash Flow %s Yr1'!E155*'Expenses Summary'!$U112))</f>
        <v>0</v>
      </c>
      <c r="F158" s="60">
        <f>IF('Expenses Summary'!$U112="","",IF('Cash Flow %s Yr1'!F155="","",'Cash Flow %s Yr1'!F155*'Expenses Summary'!$U112))</f>
        <v>0</v>
      </c>
      <c r="G158" s="60">
        <f>IF('Expenses Summary'!$U112="","",IF('Cash Flow %s Yr1'!G155="","",'Cash Flow %s Yr1'!G155*'Expenses Summary'!$U112))</f>
        <v>0</v>
      </c>
      <c r="H158" s="60">
        <f>IF('Expenses Summary'!$U112="","",IF('Cash Flow %s Yr1'!H155="","",'Cash Flow %s Yr1'!H155*'Expenses Summary'!$U112))</f>
        <v>0</v>
      </c>
      <c r="I158" s="60">
        <f>IF('Expenses Summary'!$U112="","",IF('Cash Flow %s Yr1'!I155="","",'Cash Flow %s Yr1'!I155*'Expenses Summary'!$U112))</f>
        <v>0</v>
      </c>
      <c r="J158" s="60">
        <f>IF('Expenses Summary'!$U112="","",IF('Cash Flow %s Yr1'!J155="","",'Cash Flow %s Yr1'!J155*'Expenses Summary'!$U112))</f>
        <v>0</v>
      </c>
      <c r="K158" s="60">
        <f>IF('Expenses Summary'!$U112="","",IF('Cash Flow %s Yr1'!K155="","",'Cash Flow %s Yr1'!K155*'Expenses Summary'!$U112))</f>
        <v>0</v>
      </c>
      <c r="L158" s="60">
        <f>IF('Expenses Summary'!$U112="","",IF('Cash Flow %s Yr1'!L155="","",'Cash Flow %s Yr1'!L155*'Expenses Summary'!$U112))</f>
        <v>0</v>
      </c>
      <c r="M158" s="60">
        <f>IF('Expenses Summary'!$U112="","",IF('Cash Flow %s Yr1'!M155="","",'Cash Flow %s Yr1'!M155*'Expenses Summary'!$U112))</f>
        <v>0</v>
      </c>
      <c r="N158" s="60">
        <f>IF('Expenses Summary'!$U112="","",IF('Cash Flow %s Yr1'!N155="","",'Cash Flow %s Yr1'!N155*'Expenses Summary'!$U112))</f>
        <v>0</v>
      </c>
      <c r="O158" s="60">
        <f>IF('Expenses Summary'!$U112="","",IF('Cash Flow %s Yr1'!O155="","",'Cash Flow %s Yr1'!O155*'Expenses Summary'!$U112))</f>
        <v>0</v>
      </c>
      <c r="P158" s="123"/>
      <c r="Q158" s="123"/>
      <c r="R158" s="123"/>
    </row>
    <row r="159" spans="1:18" s="30" customFormat="1" x14ac:dyDescent="0.3">
      <c r="A159" s="35"/>
      <c r="B159" s="32" t="s">
        <v>684</v>
      </c>
      <c r="C159" s="33" t="s">
        <v>724</v>
      </c>
      <c r="D159" s="183" t="str">
        <f t="shared" ref="D159:O159" si="12">IF(SUM(D155:D158)&gt;0,SUM(D155:D158),"")</f>
        <v/>
      </c>
      <c r="E159" s="183" t="str">
        <f t="shared" si="12"/>
        <v/>
      </c>
      <c r="F159" s="183" t="str">
        <f t="shared" si="12"/>
        <v/>
      </c>
      <c r="G159" s="183" t="str">
        <f t="shared" si="12"/>
        <v/>
      </c>
      <c r="H159" s="183" t="str">
        <f t="shared" si="12"/>
        <v/>
      </c>
      <c r="I159" s="183" t="str">
        <f t="shared" si="12"/>
        <v/>
      </c>
      <c r="J159" s="183" t="str">
        <f t="shared" si="12"/>
        <v/>
      </c>
      <c r="K159" s="183" t="str">
        <f t="shared" si="12"/>
        <v/>
      </c>
      <c r="L159" s="183" t="str">
        <f t="shared" si="12"/>
        <v/>
      </c>
      <c r="M159" s="183" t="str">
        <f t="shared" si="12"/>
        <v/>
      </c>
      <c r="N159" s="183" t="str">
        <f t="shared" si="12"/>
        <v/>
      </c>
      <c r="O159" s="183" t="str">
        <f t="shared" si="12"/>
        <v/>
      </c>
      <c r="P159" s="126"/>
      <c r="Q159" s="126"/>
      <c r="R159" s="126"/>
    </row>
    <row r="160" spans="1:18" s="30" customFormat="1" x14ac:dyDescent="0.3">
      <c r="A160" s="33" t="s">
        <v>731</v>
      </c>
      <c r="B160" s="4"/>
      <c r="C160" s="3"/>
      <c r="D160" s="165" t="e">
        <f t="shared" ref="D160:O160" si="13">IF(SUM(D159,D153,D149,D113,D93,D81,D68)&gt;0,SUM(D159,D153,D149,D113,D93,D81,D68),"")</f>
        <v>#REF!</v>
      </c>
      <c r="E160" s="165" t="e">
        <f t="shared" si="13"/>
        <v>#REF!</v>
      </c>
      <c r="F160" s="165" t="e">
        <f t="shared" si="13"/>
        <v>#REF!</v>
      </c>
      <c r="G160" s="165" t="e">
        <f t="shared" si="13"/>
        <v>#REF!</v>
      </c>
      <c r="H160" s="165" t="e">
        <f t="shared" si="13"/>
        <v>#REF!</v>
      </c>
      <c r="I160" s="165" t="e">
        <f t="shared" si="13"/>
        <v>#REF!</v>
      </c>
      <c r="J160" s="165" t="e">
        <f t="shared" si="13"/>
        <v>#REF!</v>
      </c>
      <c r="K160" s="165" t="e">
        <f t="shared" si="13"/>
        <v>#REF!</v>
      </c>
      <c r="L160" s="165" t="e">
        <f t="shared" si="13"/>
        <v>#REF!</v>
      </c>
      <c r="M160" s="165" t="e">
        <f t="shared" si="13"/>
        <v>#REF!</v>
      </c>
      <c r="N160" s="165" t="e">
        <f t="shared" si="13"/>
        <v>#REF!</v>
      </c>
      <c r="O160" s="165" t="e">
        <f t="shared" si="13"/>
        <v>#REF!</v>
      </c>
      <c r="P160" s="89"/>
      <c r="Q160" s="89"/>
      <c r="R160" s="89"/>
    </row>
    <row r="161" spans="1:18" s="30" customFormat="1" x14ac:dyDescent="0.3">
      <c r="A161" s="33"/>
      <c r="B161" s="4"/>
      <c r="C161" s="3"/>
      <c r="D161" s="44"/>
      <c r="E161" s="44"/>
      <c r="F161" s="44"/>
      <c r="G161" s="44"/>
      <c r="H161" s="44"/>
      <c r="I161" s="44"/>
      <c r="J161" s="44"/>
      <c r="K161" s="44"/>
      <c r="L161" s="44"/>
      <c r="M161" s="44"/>
      <c r="N161" s="44"/>
      <c r="O161" s="44"/>
      <c r="P161" s="89"/>
      <c r="Q161" s="89"/>
      <c r="R161" s="89"/>
    </row>
    <row r="162" spans="1:18" s="30" customFormat="1" x14ac:dyDescent="0.3">
      <c r="A162" s="35"/>
      <c r="B162" s="33" t="s">
        <v>818</v>
      </c>
      <c r="C162" s="3"/>
      <c r="D162" s="89"/>
      <c r="E162" s="98"/>
      <c r="F162" s="98"/>
      <c r="G162" s="89"/>
      <c r="H162" s="89"/>
      <c r="I162" s="89"/>
      <c r="J162" s="89"/>
      <c r="K162" s="89"/>
      <c r="L162" s="89"/>
      <c r="M162" s="89"/>
      <c r="N162" s="89"/>
      <c r="O162" s="89"/>
      <c r="P162" s="89"/>
      <c r="Q162" s="89"/>
      <c r="R162" s="89"/>
    </row>
    <row r="163" spans="1:18" s="30" customFormat="1" x14ac:dyDescent="0.3">
      <c r="A163" s="35"/>
      <c r="B163" s="62"/>
      <c r="C163" s="62" t="str">
        <f>'Cash Flow %s Yr1'!C159</f>
        <v>Cash balance at previous year end</v>
      </c>
      <c r="D163" s="60" t="e">
        <f>+'Cash Flow $s 22-23'!O173</f>
        <v>#REF!</v>
      </c>
      <c r="E163" s="60"/>
      <c r="F163" s="60"/>
      <c r="G163" s="60"/>
      <c r="H163" s="60"/>
      <c r="I163" s="60"/>
      <c r="J163" s="60"/>
      <c r="K163" s="60"/>
      <c r="L163" s="60"/>
      <c r="M163" s="60"/>
      <c r="N163" s="60"/>
      <c r="O163" s="60"/>
      <c r="P163" s="97"/>
      <c r="Q163" s="97"/>
      <c r="R163" s="97"/>
    </row>
    <row r="164" spans="1:18" s="30" customFormat="1" x14ac:dyDescent="0.3">
      <c r="A164" s="35"/>
      <c r="B164" s="62"/>
      <c r="C164" s="62" t="str">
        <f>'Cash Flow %s Yr1'!C160</f>
        <v>Accounts Receivable</v>
      </c>
      <c r="D164" s="60">
        <f>+'Cash Flow $s 22-23'!P164</f>
        <v>0</v>
      </c>
      <c r="E164" s="60">
        <f>+'Cash Flow $s 22-23'!Q164</f>
        <v>0</v>
      </c>
      <c r="F164" s="60">
        <f>+'Cash Flow $s 21-22'!R164</f>
        <v>0</v>
      </c>
      <c r="G164" s="60">
        <f>'Cash Flow %s Yr1'!G160*'Cash Flow %s Yr1'!$T160</f>
        <v>0</v>
      </c>
      <c r="H164" s="60">
        <f>'Cash Flow %s Yr1'!H160*'Cash Flow %s Yr1'!$T160</f>
        <v>0</v>
      </c>
      <c r="I164" s="60">
        <f>'Cash Flow %s Yr1'!I160*'Cash Flow %s Yr1'!$T160</f>
        <v>0</v>
      </c>
      <c r="J164" s="60">
        <f>'Cash Flow %s Yr1'!J160*'Cash Flow %s Yr1'!$T160</f>
        <v>0</v>
      </c>
      <c r="K164" s="60">
        <f>'Cash Flow %s Yr1'!K160*'Cash Flow %s Yr1'!$T160</f>
        <v>0</v>
      </c>
      <c r="L164" s="60">
        <f>'Cash Flow %s Yr1'!L160*'Cash Flow %s Yr1'!$T160</f>
        <v>0</v>
      </c>
      <c r="M164" s="60">
        <f>'Cash Flow %s Yr1'!M160*'Cash Flow %s Yr1'!$T160</f>
        <v>0</v>
      </c>
      <c r="N164" s="60">
        <f>'Cash Flow %s Yr1'!N160*'Cash Flow %s Yr1'!$T160</f>
        <v>0</v>
      </c>
      <c r="O164" s="60">
        <f>'Cash Flow %s Yr1'!O160*'Cash Flow %s Yr1'!$T160</f>
        <v>0</v>
      </c>
      <c r="P164" s="182">
        <f>P56</f>
        <v>0</v>
      </c>
      <c r="Q164" s="182">
        <f>Q56</f>
        <v>0</v>
      </c>
      <c r="R164" s="182">
        <f>R56</f>
        <v>0</v>
      </c>
    </row>
    <row r="165" spans="1:18" s="30" customFormat="1" x14ac:dyDescent="0.3">
      <c r="A165" s="35"/>
      <c r="B165" s="62"/>
      <c r="C165" s="62" t="str">
        <f>'Cash Flow %s Yr1'!C161</f>
        <v>Accounts Payable</v>
      </c>
      <c r="D165" s="60">
        <v>0</v>
      </c>
      <c r="E165" s="60">
        <v>0</v>
      </c>
      <c r="F165" s="60">
        <v>0</v>
      </c>
      <c r="G165" s="60">
        <f>'Cash Flow %s Yr1'!G161*'Cash Flow %s Yr1'!$T161</f>
        <v>0</v>
      </c>
      <c r="H165" s="60">
        <f>'Cash Flow %s Yr1'!H161*'Cash Flow %s Yr1'!$T161</f>
        <v>0</v>
      </c>
      <c r="I165" s="60">
        <f>'Cash Flow %s Yr1'!I161*'Cash Flow %s Yr1'!$T161</f>
        <v>0</v>
      </c>
      <c r="J165" s="60">
        <f>'Cash Flow %s Yr1'!J161*'Cash Flow %s Yr1'!$T161</f>
        <v>0</v>
      </c>
      <c r="K165" s="60">
        <f>'Cash Flow %s Yr1'!K161*'Cash Flow %s Yr1'!$T161</f>
        <v>0</v>
      </c>
      <c r="L165" s="60">
        <f>'Cash Flow %s Yr1'!L161*'Cash Flow %s Yr1'!$T161</f>
        <v>0</v>
      </c>
      <c r="M165" s="60">
        <f>'Cash Flow %s Yr1'!M161*'Cash Flow %s Yr1'!$T161</f>
        <v>0</v>
      </c>
      <c r="N165" s="60">
        <f>'Cash Flow %s Yr1'!N161*'Cash Flow %s Yr1'!$T161</f>
        <v>0</v>
      </c>
      <c r="O165" s="60">
        <f>'Cash Flow %s Yr1'!O161*'Cash Flow %s Yr1'!$T161</f>
        <v>0</v>
      </c>
      <c r="P165" s="97"/>
      <c r="Q165" s="97"/>
      <c r="R165" s="97"/>
    </row>
    <row r="166" spans="1:18" s="30" customFormat="1" x14ac:dyDescent="0.3">
      <c r="A166" s="35"/>
      <c r="B166" s="62"/>
      <c r="C166" s="62" t="str">
        <f>'Cash Flow %s Yr1'!C162</f>
        <v>Loan Principal Payable</v>
      </c>
      <c r="D166" s="60">
        <f>'Cash Flow %s Yr1'!D162*'Cash Flow %s Yr1'!$T162</f>
        <v>0</v>
      </c>
      <c r="E166" s="60">
        <f>'Cash Flow %s Yr1'!E162*'Cash Flow %s Yr1'!$T162</f>
        <v>0</v>
      </c>
      <c r="F166" s="60">
        <f>'Cash Flow %s Yr1'!F162*'Cash Flow %s Yr1'!$T162</f>
        <v>0</v>
      </c>
      <c r="G166" s="60">
        <f>'Cash Flow %s Yr1'!G162*'Cash Flow %s Yr1'!$T162</f>
        <v>0</v>
      </c>
      <c r="H166" s="60">
        <f>'Cash Flow %s Yr1'!H162*'Cash Flow %s Yr1'!$T162</f>
        <v>0</v>
      </c>
      <c r="I166" s="60">
        <f>'Cash Flow %s Yr1'!I162*'Cash Flow %s Yr1'!$T162</f>
        <v>0</v>
      </c>
      <c r="J166" s="60">
        <f>'Cash Flow %s Yr1'!J162*'Cash Flow %s Yr1'!$T162</f>
        <v>0</v>
      </c>
      <c r="K166" s="60">
        <f>'Cash Flow %s Yr1'!K162*'Cash Flow %s Yr1'!$T162</f>
        <v>0</v>
      </c>
      <c r="L166" s="60">
        <f>'Cash Flow %s Yr1'!L162*'Cash Flow %s Yr1'!$T162</f>
        <v>0</v>
      </c>
      <c r="M166" s="60">
        <f>'Cash Flow %s Yr1'!M162*'Cash Flow %s Yr1'!$T162</f>
        <v>0</v>
      </c>
      <c r="N166" s="60">
        <f>'Cash Flow %s Yr1'!N162*'Cash Flow %s Yr1'!$T162</f>
        <v>0</v>
      </c>
      <c r="O166" s="60">
        <f>'Cash Flow %s Yr1'!O162*'Cash Flow %s Yr1'!$T162</f>
        <v>0</v>
      </c>
      <c r="P166" s="97"/>
      <c r="Q166" s="97"/>
      <c r="R166" s="97"/>
    </row>
    <row r="167" spans="1:18" s="30" customFormat="1" x14ac:dyDescent="0.3">
      <c r="A167" s="35"/>
      <c r="B167" s="118"/>
      <c r="C167" s="33" t="s">
        <v>724</v>
      </c>
      <c r="D167" s="79" t="e">
        <f>D163+D164-D165-D166</f>
        <v>#REF!</v>
      </c>
      <c r="E167" s="79">
        <f t="shared" ref="E167:O167" si="14">E163+E164-E165-E166</f>
        <v>0</v>
      </c>
      <c r="F167" s="79">
        <f t="shared" si="14"/>
        <v>0</v>
      </c>
      <c r="G167" s="79">
        <f t="shared" si="14"/>
        <v>0</v>
      </c>
      <c r="H167" s="79">
        <f t="shared" si="14"/>
        <v>0</v>
      </c>
      <c r="I167" s="79">
        <f t="shared" si="14"/>
        <v>0</v>
      </c>
      <c r="J167" s="79">
        <f t="shared" si="14"/>
        <v>0</v>
      </c>
      <c r="K167" s="79">
        <f t="shared" si="14"/>
        <v>0</v>
      </c>
      <c r="L167" s="79">
        <f t="shared" si="14"/>
        <v>0</v>
      </c>
      <c r="M167" s="79">
        <f t="shared" si="14"/>
        <v>0</v>
      </c>
      <c r="N167" s="79">
        <f t="shared" si="14"/>
        <v>0</v>
      </c>
      <c r="O167" s="79">
        <f t="shared" si="14"/>
        <v>0</v>
      </c>
      <c r="P167" s="102"/>
      <c r="Q167" s="102"/>
      <c r="R167" s="102"/>
    </row>
    <row r="168" spans="1:18" s="39" customFormat="1" ht="16.2" thickBot="1" x14ac:dyDescent="0.35">
      <c r="A168" s="35"/>
      <c r="C168" s="1"/>
      <c r="D168" s="89"/>
      <c r="E168" s="89"/>
      <c r="F168" s="89"/>
      <c r="G168" s="89"/>
      <c r="H168" s="89"/>
      <c r="I168" s="89"/>
      <c r="J168" s="89"/>
      <c r="K168" s="89"/>
      <c r="L168" s="89"/>
      <c r="M168" s="89"/>
      <c r="N168" s="89"/>
      <c r="O168" s="89"/>
      <c r="P168" s="89"/>
      <c r="Q168" s="89"/>
      <c r="R168" s="89"/>
    </row>
    <row r="169" spans="1:18" s="39" customFormat="1" ht="16.2" thickBot="1" x14ac:dyDescent="0.35">
      <c r="A169" s="70" t="s">
        <v>825</v>
      </c>
      <c r="B169" s="125"/>
      <c r="C169" s="71"/>
      <c r="D169" s="285" t="e">
        <f>D56-D160</f>
        <v>#REF!</v>
      </c>
      <c r="E169" s="145" t="e">
        <f t="shared" ref="E169:R169" si="15">E56-E160</f>
        <v>#REF!</v>
      </c>
      <c r="F169" s="145" t="e">
        <f t="shared" si="15"/>
        <v>#REF!</v>
      </c>
      <c r="G169" s="145" t="e">
        <f t="shared" si="15"/>
        <v>#REF!</v>
      </c>
      <c r="H169" s="145" t="e">
        <f t="shared" si="15"/>
        <v>#REF!</v>
      </c>
      <c r="I169" s="145" t="e">
        <f t="shared" si="15"/>
        <v>#REF!</v>
      </c>
      <c r="J169" s="145" t="e">
        <f t="shared" si="15"/>
        <v>#REF!</v>
      </c>
      <c r="K169" s="145" t="e">
        <f t="shared" si="15"/>
        <v>#REF!</v>
      </c>
      <c r="L169" s="145" t="e">
        <f t="shared" si="15"/>
        <v>#REF!</v>
      </c>
      <c r="M169" s="145" t="e">
        <f t="shared" si="15"/>
        <v>#REF!</v>
      </c>
      <c r="N169" s="145" t="e">
        <f t="shared" si="15"/>
        <v>#REF!</v>
      </c>
      <c r="O169" s="145" t="e">
        <f t="shared" si="15"/>
        <v>#REF!</v>
      </c>
      <c r="P169" s="145">
        <f t="shared" si="15"/>
        <v>0</v>
      </c>
      <c r="Q169" s="145">
        <f t="shared" si="15"/>
        <v>0</v>
      </c>
      <c r="R169" s="146">
        <f t="shared" si="15"/>
        <v>0</v>
      </c>
    </row>
    <row r="170" spans="1:18" s="39" customFormat="1" ht="16.2" thickBot="1" x14ac:dyDescent="0.35">
      <c r="A170" s="35"/>
      <c r="C170" s="1"/>
      <c r="D170" s="147"/>
      <c r="E170" s="147"/>
      <c r="F170" s="147"/>
      <c r="G170" s="147"/>
      <c r="H170" s="147"/>
      <c r="I170" s="147"/>
      <c r="J170" s="147"/>
      <c r="K170" s="147"/>
      <c r="L170" s="147"/>
      <c r="M170" s="147"/>
      <c r="N170" s="147"/>
      <c r="O170" s="147"/>
      <c r="P170" s="89"/>
      <c r="Q170" s="89"/>
      <c r="R170" s="89"/>
    </row>
    <row r="171" spans="1:18" s="39" customFormat="1" ht="16.2" thickBot="1" x14ac:dyDescent="0.35">
      <c r="A171" s="70" t="s">
        <v>816</v>
      </c>
      <c r="B171" s="125"/>
      <c r="C171" s="71"/>
      <c r="D171" s="145" t="e">
        <f>D167+D169</f>
        <v>#REF!</v>
      </c>
      <c r="E171" s="145" t="e">
        <f t="shared" ref="E171:O171" si="16">E167+E169</f>
        <v>#REF!</v>
      </c>
      <c r="F171" s="145" t="e">
        <f t="shared" si="16"/>
        <v>#REF!</v>
      </c>
      <c r="G171" s="145" t="e">
        <f t="shared" si="16"/>
        <v>#REF!</v>
      </c>
      <c r="H171" s="145" t="e">
        <f t="shared" si="16"/>
        <v>#REF!</v>
      </c>
      <c r="I171" s="145" t="e">
        <f t="shared" si="16"/>
        <v>#REF!</v>
      </c>
      <c r="J171" s="145" t="e">
        <f t="shared" si="16"/>
        <v>#REF!</v>
      </c>
      <c r="K171" s="145" t="e">
        <f t="shared" si="16"/>
        <v>#REF!</v>
      </c>
      <c r="L171" s="145" t="e">
        <f t="shared" si="16"/>
        <v>#REF!</v>
      </c>
      <c r="M171" s="145" t="e">
        <f t="shared" si="16"/>
        <v>#REF!</v>
      </c>
      <c r="N171" s="145" t="e">
        <f t="shared" si="16"/>
        <v>#REF!</v>
      </c>
      <c r="O171" s="146" t="e">
        <f t="shared" si="16"/>
        <v>#REF!</v>
      </c>
      <c r="P171" s="89"/>
      <c r="Q171" s="89"/>
      <c r="R171" s="89"/>
    </row>
    <row r="172" spans="1:18" s="39" customFormat="1" ht="16.2" thickBot="1" x14ac:dyDescent="0.35">
      <c r="A172" s="35"/>
      <c r="C172" s="1"/>
      <c r="D172" s="89"/>
      <c r="E172" s="89"/>
      <c r="F172" s="89"/>
      <c r="G172" s="89"/>
      <c r="H172" s="89"/>
      <c r="I172" s="89"/>
      <c r="J172" s="89"/>
      <c r="K172" s="89"/>
      <c r="L172" s="89"/>
      <c r="M172" s="89"/>
      <c r="N172" s="89"/>
      <c r="O172" s="89"/>
      <c r="P172" s="89"/>
      <c r="Q172" s="89"/>
      <c r="R172" s="89"/>
    </row>
    <row r="173" spans="1:18" s="39" customFormat="1" ht="16.2" thickBot="1" x14ac:dyDescent="0.35">
      <c r="A173" s="70" t="s">
        <v>826</v>
      </c>
      <c r="B173" s="125"/>
      <c r="C173" s="71"/>
      <c r="D173" s="145" t="e">
        <f>D171</f>
        <v>#REF!</v>
      </c>
      <c r="E173" s="145" t="e">
        <f>D173+E171</f>
        <v>#REF!</v>
      </c>
      <c r="F173" s="145" t="e">
        <f t="shared" ref="F173:O173" si="17">E173+F171</f>
        <v>#REF!</v>
      </c>
      <c r="G173" s="145" t="e">
        <f t="shared" si="17"/>
        <v>#REF!</v>
      </c>
      <c r="H173" s="145" t="e">
        <f t="shared" si="17"/>
        <v>#REF!</v>
      </c>
      <c r="I173" s="145" t="e">
        <f t="shared" si="17"/>
        <v>#REF!</v>
      </c>
      <c r="J173" s="145" t="e">
        <f t="shared" si="17"/>
        <v>#REF!</v>
      </c>
      <c r="K173" s="145" t="e">
        <f t="shared" si="17"/>
        <v>#REF!</v>
      </c>
      <c r="L173" s="145" t="e">
        <f t="shared" si="17"/>
        <v>#REF!</v>
      </c>
      <c r="M173" s="145" t="e">
        <f t="shared" si="17"/>
        <v>#REF!</v>
      </c>
      <c r="N173" s="145" t="e">
        <f t="shared" si="17"/>
        <v>#REF!</v>
      </c>
      <c r="O173" s="146" t="e">
        <f t="shared" si="17"/>
        <v>#REF!</v>
      </c>
      <c r="P173" s="89"/>
      <c r="Q173" s="89"/>
      <c r="R173" s="89"/>
    </row>
    <row r="174" spans="1:18" s="39" customFormat="1" x14ac:dyDescent="0.3">
      <c r="A174" s="35"/>
      <c r="C174" s="1"/>
      <c r="D174" s="89"/>
      <c r="E174" s="89"/>
      <c r="F174" s="89"/>
      <c r="G174" s="89"/>
      <c r="H174" s="89"/>
      <c r="I174" s="89"/>
      <c r="J174" s="89"/>
      <c r="K174" s="89"/>
      <c r="L174" s="89"/>
      <c r="M174" s="89"/>
      <c r="N174" s="89"/>
      <c r="O174" s="89"/>
      <c r="P174" s="89"/>
      <c r="Q174" s="89"/>
      <c r="R174" s="89"/>
    </row>
    <row r="175" spans="1:18" s="39" customFormat="1" x14ac:dyDescent="0.3">
      <c r="A175" s="35"/>
      <c r="C175" s="1"/>
      <c r="D175" s="89"/>
      <c r="E175" s="89"/>
      <c r="F175" s="89"/>
      <c r="G175" s="89"/>
      <c r="H175" s="89"/>
      <c r="I175" s="89"/>
      <c r="J175" s="89"/>
      <c r="K175" s="89"/>
      <c r="L175" s="89"/>
      <c r="M175" s="89"/>
      <c r="N175" s="89"/>
      <c r="O175" s="89"/>
      <c r="P175" s="89"/>
      <c r="Q175" s="89"/>
      <c r="R175" s="89"/>
    </row>
    <row r="176" spans="1:18" s="39" customFormat="1" x14ac:dyDescent="0.3">
      <c r="A176" s="35"/>
      <c r="C176" s="1"/>
      <c r="D176" s="89"/>
      <c r="E176" s="89"/>
      <c r="F176" s="89"/>
      <c r="G176" s="89"/>
      <c r="H176" s="89"/>
      <c r="I176" s="89"/>
      <c r="J176" s="89"/>
      <c r="K176" s="89"/>
      <c r="L176" s="89"/>
      <c r="M176" s="89"/>
      <c r="N176" s="89"/>
      <c r="O176" s="89"/>
      <c r="P176" s="89"/>
      <c r="Q176" s="89"/>
      <c r="R176" s="89"/>
    </row>
  </sheetData>
  <pageMargins left="0.25" right="0.25" top="0.5" bottom="0.5" header="0.25" footer="0.25"/>
  <pageSetup scale="52" fitToHeight="3" orientation="landscape" r:id="rId1"/>
  <headerFooter alignWithMargins="0">
    <oddHeader>&amp;A</oddHeader>
    <oddFooter>Page &amp;P</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249977111117893"/>
    <pageSetUpPr fitToPage="1"/>
  </sheetPr>
  <dimension ref="A1:T172"/>
  <sheetViews>
    <sheetView zoomScale="120" zoomScaleNormal="120" workbookViewId="0">
      <pane xSplit="3" ySplit="6" topLeftCell="D11" activePane="bottomRight" state="frozen"/>
      <selection activeCell="L14" sqref="L14"/>
      <selection pane="topRight" activeCell="L14" sqref="L14"/>
      <selection pane="bottomLeft" activeCell="L14" sqref="L14"/>
      <selection pane="bottomRight" activeCell="D12" sqref="D12"/>
    </sheetView>
  </sheetViews>
  <sheetFormatPr defaultRowHeight="15.6" outlineLevelRow="1" x14ac:dyDescent="0.3"/>
  <cols>
    <col min="1" max="1" width="5.6640625" style="34" customWidth="1"/>
    <col min="2" max="2" width="5.109375" style="39" customWidth="1"/>
    <col min="3" max="3" width="42.5546875" style="1" customWidth="1"/>
    <col min="4" max="18" width="12.44140625" style="89" customWidth="1"/>
    <col min="19" max="19" width="10.33203125" style="1" bestFit="1" customWidth="1"/>
    <col min="20" max="20" width="11.5546875" style="1" bestFit="1" customWidth="1"/>
    <col min="21" max="255" width="9.109375" style="1"/>
    <col min="256" max="256" width="22.88671875" style="1" customWidth="1"/>
    <col min="257" max="511" width="9.109375" style="1"/>
    <col min="512" max="512" width="22.88671875" style="1" customWidth="1"/>
    <col min="513" max="767" width="9.109375" style="1"/>
    <col min="768" max="768" width="22.88671875" style="1" customWidth="1"/>
    <col min="769" max="1023" width="9.109375" style="1"/>
    <col min="1024" max="1024" width="22.88671875" style="1" customWidth="1"/>
    <col min="1025" max="1279" width="9.109375" style="1"/>
    <col min="1280" max="1280" width="22.88671875" style="1" customWidth="1"/>
    <col min="1281" max="1535" width="9.109375" style="1"/>
    <col min="1536" max="1536" width="22.88671875" style="1" customWidth="1"/>
    <col min="1537" max="1791" width="9.109375" style="1"/>
    <col min="1792" max="1792" width="22.88671875" style="1" customWidth="1"/>
    <col min="1793" max="2047" width="9.109375" style="1"/>
    <col min="2048" max="2048" width="22.88671875" style="1" customWidth="1"/>
    <col min="2049" max="2303" width="9.109375" style="1"/>
    <col min="2304" max="2304" width="22.88671875" style="1" customWidth="1"/>
    <col min="2305" max="2559" width="9.109375" style="1"/>
    <col min="2560" max="2560" width="22.88671875" style="1" customWidth="1"/>
    <col min="2561" max="2815" width="9.109375" style="1"/>
    <col min="2816" max="2816" width="22.88671875" style="1" customWidth="1"/>
    <col min="2817" max="3071" width="9.109375" style="1"/>
    <col min="3072" max="3072" width="22.88671875" style="1" customWidth="1"/>
    <col min="3073" max="3327" width="9.109375" style="1"/>
    <col min="3328" max="3328" width="22.88671875" style="1" customWidth="1"/>
    <col min="3329" max="3583" width="9.109375" style="1"/>
    <col min="3584" max="3584" width="22.88671875" style="1" customWidth="1"/>
    <col min="3585" max="3839" width="9.109375" style="1"/>
    <col min="3840" max="3840" width="22.88671875" style="1" customWidth="1"/>
    <col min="3841" max="4095" width="9.109375" style="1"/>
    <col min="4096" max="4096" width="22.88671875" style="1" customWidth="1"/>
    <col min="4097" max="4351" width="9.109375" style="1"/>
    <col min="4352" max="4352" width="22.88671875" style="1" customWidth="1"/>
    <col min="4353" max="4607" width="9.109375" style="1"/>
    <col min="4608" max="4608" width="22.88671875" style="1" customWidth="1"/>
    <col min="4609" max="4863" width="9.109375" style="1"/>
    <col min="4864" max="4864" width="22.88671875" style="1" customWidth="1"/>
    <col min="4865" max="5119" width="9.109375" style="1"/>
    <col min="5120" max="5120" width="22.88671875" style="1" customWidth="1"/>
    <col min="5121" max="5375" width="9.109375" style="1"/>
    <col min="5376" max="5376" width="22.88671875" style="1" customWidth="1"/>
    <col min="5377" max="5631" width="9.109375" style="1"/>
    <col min="5632" max="5632" width="22.88671875" style="1" customWidth="1"/>
    <col min="5633" max="5887" width="9.109375" style="1"/>
    <col min="5888" max="5888" width="22.88671875" style="1" customWidth="1"/>
    <col min="5889" max="6143" width="9.109375" style="1"/>
    <col min="6144" max="6144" width="22.88671875" style="1" customWidth="1"/>
    <col min="6145" max="6399" width="9.109375" style="1"/>
    <col min="6400" max="6400" width="22.88671875" style="1" customWidth="1"/>
    <col min="6401" max="6655" width="9.109375" style="1"/>
    <col min="6656" max="6656" width="22.88671875" style="1" customWidth="1"/>
    <col min="6657" max="6911" width="9.109375" style="1"/>
    <col min="6912" max="6912" width="22.88671875" style="1" customWidth="1"/>
    <col min="6913" max="7167" width="9.109375" style="1"/>
    <col min="7168" max="7168" width="22.88671875" style="1" customWidth="1"/>
    <col min="7169" max="7423" width="9.109375" style="1"/>
    <col min="7424" max="7424" width="22.88671875" style="1" customWidth="1"/>
    <col min="7425" max="7679" width="9.109375" style="1"/>
    <col min="7680" max="7680" width="22.88671875" style="1" customWidth="1"/>
    <col min="7681" max="7935" width="9.109375" style="1"/>
    <col min="7936" max="7936" width="22.88671875" style="1" customWidth="1"/>
    <col min="7937" max="8191" width="9.109375" style="1"/>
    <col min="8192" max="8192" width="22.88671875" style="1" customWidth="1"/>
    <col min="8193" max="8447" width="9.109375" style="1"/>
    <col min="8448" max="8448" width="22.88671875" style="1" customWidth="1"/>
    <col min="8449" max="8703" width="9.109375" style="1"/>
    <col min="8704" max="8704" width="22.88671875" style="1" customWidth="1"/>
    <col min="8705" max="8959" width="9.109375" style="1"/>
    <col min="8960" max="8960" width="22.88671875" style="1" customWidth="1"/>
    <col min="8961" max="9215" width="9.109375" style="1"/>
    <col min="9216" max="9216" width="22.88671875" style="1" customWidth="1"/>
    <col min="9217" max="9471" width="9.109375" style="1"/>
    <col min="9472" max="9472" width="22.88671875" style="1" customWidth="1"/>
    <col min="9473" max="9727" width="9.109375" style="1"/>
    <col min="9728" max="9728" width="22.88671875" style="1" customWidth="1"/>
    <col min="9729" max="9983" width="9.109375" style="1"/>
    <col min="9984" max="9984" width="22.88671875" style="1" customWidth="1"/>
    <col min="9985" max="10239" width="9.109375" style="1"/>
    <col min="10240" max="10240" width="22.88671875" style="1" customWidth="1"/>
    <col min="10241" max="10495" width="9.109375" style="1"/>
    <col min="10496" max="10496" width="22.88671875" style="1" customWidth="1"/>
    <col min="10497" max="10751" width="9.109375" style="1"/>
    <col min="10752" max="10752" width="22.88671875" style="1" customWidth="1"/>
    <col min="10753" max="11007" width="9.109375" style="1"/>
    <col min="11008" max="11008" width="22.88671875" style="1" customWidth="1"/>
    <col min="11009" max="11263" width="9.109375" style="1"/>
    <col min="11264" max="11264" width="22.88671875" style="1" customWidth="1"/>
    <col min="11265" max="11519" width="9.109375" style="1"/>
    <col min="11520" max="11520" width="22.88671875" style="1" customWidth="1"/>
    <col min="11521" max="11775" width="9.109375" style="1"/>
    <col min="11776" max="11776" width="22.88671875" style="1" customWidth="1"/>
    <col min="11777" max="12031" width="9.109375" style="1"/>
    <col min="12032" max="12032" width="22.88671875" style="1" customWidth="1"/>
    <col min="12033" max="12287" width="9.109375" style="1"/>
    <col min="12288" max="12288" width="22.88671875" style="1" customWidth="1"/>
    <col min="12289" max="12543" width="9.109375" style="1"/>
    <col min="12544" max="12544" width="22.88671875" style="1" customWidth="1"/>
    <col min="12545" max="12799" width="9.109375" style="1"/>
    <col min="12800" max="12800" width="22.88671875" style="1" customWidth="1"/>
    <col min="12801" max="13055" width="9.109375" style="1"/>
    <col min="13056" max="13056" width="22.88671875" style="1" customWidth="1"/>
    <col min="13057" max="13311" width="9.109375" style="1"/>
    <col min="13312" max="13312" width="22.88671875" style="1" customWidth="1"/>
    <col min="13313" max="13567" width="9.109375" style="1"/>
    <col min="13568" max="13568" width="22.88671875" style="1" customWidth="1"/>
    <col min="13569" max="13823" width="9.109375" style="1"/>
    <col min="13824" max="13824" width="22.88671875" style="1" customWidth="1"/>
    <col min="13825" max="14079" width="9.109375" style="1"/>
    <col min="14080" max="14080" width="22.88671875" style="1" customWidth="1"/>
    <col min="14081" max="14335" width="9.109375" style="1"/>
    <col min="14336" max="14336" width="22.88671875" style="1" customWidth="1"/>
    <col min="14337" max="14591" width="9.109375" style="1"/>
    <col min="14592" max="14592" width="22.88671875" style="1" customWidth="1"/>
    <col min="14593" max="14847" width="9.109375" style="1"/>
    <col min="14848" max="14848" width="22.88671875" style="1" customWidth="1"/>
    <col min="14849" max="15103" width="9.109375" style="1"/>
    <col min="15104" max="15104" width="22.88671875" style="1" customWidth="1"/>
    <col min="15105" max="15359" width="9.109375" style="1"/>
    <col min="15360" max="15360" width="22.88671875" style="1" customWidth="1"/>
    <col min="15361" max="15615" width="9.109375" style="1"/>
    <col min="15616" max="15616" width="22.88671875" style="1" customWidth="1"/>
    <col min="15617" max="15871" width="9.109375" style="1"/>
    <col min="15872" max="15872" width="22.88671875" style="1" customWidth="1"/>
    <col min="15873" max="16127" width="9.109375" style="1"/>
    <col min="16128" max="16128" width="22.88671875" style="1" customWidth="1"/>
    <col min="16129" max="16384" width="9.109375" style="1"/>
  </cols>
  <sheetData>
    <row r="1" spans="1:20" ht="20.399999999999999" x14ac:dyDescent="0.35">
      <c r="A1" s="21" t="str">
        <f>'Student Info'!$A$1</f>
        <v>Three Rivers - 23-65565-0123737</v>
      </c>
    </row>
    <row r="2" spans="1:20" ht="17.399999999999999" x14ac:dyDescent="0.3">
      <c r="A2" s="20" t="s">
        <v>814</v>
      </c>
    </row>
    <row r="3" spans="1:20" ht="17.399999999999999" x14ac:dyDescent="0.3">
      <c r="A3" s="20" t="str">
        <f>'Student Info'!G6</f>
        <v>2023-24</v>
      </c>
    </row>
    <row r="5" spans="1:20" ht="17.399999999999999" x14ac:dyDescent="0.3">
      <c r="A5" s="28"/>
      <c r="B5" s="40"/>
      <c r="C5" s="28"/>
      <c r="D5" s="90"/>
      <c r="E5" s="90"/>
      <c r="F5" s="90"/>
      <c r="G5" s="90"/>
      <c r="H5" s="90"/>
      <c r="I5" s="90"/>
      <c r="J5" s="90"/>
      <c r="K5" s="90"/>
      <c r="L5" s="90"/>
      <c r="M5" s="90"/>
      <c r="N5" s="90"/>
      <c r="O5" s="90"/>
      <c r="P5" s="90"/>
      <c r="Q5" s="90"/>
      <c r="R5" s="90"/>
    </row>
    <row r="6" spans="1:20"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c r="S6" s="100" t="s">
        <v>676</v>
      </c>
    </row>
    <row r="7" spans="1:20" ht="17.399999999999999" x14ac:dyDescent="0.3">
      <c r="A7" s="45" t="s">
        <v>789</v>
      </c>
      <c r="B7" s="81"/>
      <c r="D7" s="30"/>
      <c r="F7" s="91"/>
      <c r="G7" s="91"/>
      <c r="H7" s="91"/>
      <c r="I7" s="30"/>
      <c r="J7" s="30"/>
      <c r="K7" s="91"/>
      <c r="L7" s="91"/>
      <c r="M7" s="91"/>
      <c r="N7" s="91"/>
      <c r="O7" s="91"/>
      <c r="P7" s="91"/>
      <c r="Q7" s="91"/>
      <c r="R7" s="91"/>
    </row>
    <row r="8" spans="1:20" ht="17.399999999999999" hidden="1" x14ac:dyDescent="0.3">
      <c r="A8" s="45"/>
      <c r="B8" s="81"/>
      <c r="C8" s="119" t="s">
        <v>815</v>
      </c>
      <c r="D8" s="104"/>
      <c r="F8" s="91"/>
      <c r="G8" s="91"/>
      <c r="H8" s="91"/>
      <c r="I8" s="30"/>
      <c r="J8" s="30"/>
      <c r="K8" s="91"/>
      <c r="L8" s="91"/>
      <c r="M8" s="91"/>
      <c r="N8" s="91"/>
      <c r="O8" s="91"/>
      <c r="P8" s="91"/>
      <c r="Q8" s="91"/>
      <c r="R8" s="91"/>
    </row>
    <row r="9" spans="1:20" ht="17.399999999999999" hidden="1" x14ac:dyDescent="0.3">
      <c r="A9" s="45"/>
      <c r="B9" s="81"/>
      <c r="C9" s="83"/>
      <c r="D9" s="93"/>
      <c r="E9" s="108"/>
      <c r="F9" s="108"/>
      <c r="G9" s="108"/>
      <c r="H9" s="108"/>
      <c r="I9" s="108"/>
      <c r="J9" s="108"/>
      <c r="K9" s="108"/>
      <c r="L9" s="109"/>
      <c r="M9" s="108"/>
      <c r="N9" s="108"/>
      <c r="O9" s="109"/>
      <c r="P9" s="108"/>
      <c r="Q9" s="106"/>
      <c r="R9" s="106"/>
      <c r="S9" s="105"/>
    </row>
    <row r="10" spans="1:20" ht="17.399999999999999" hidden="1" x14ac:dyDescent="0.3">
      <c r="A10" s="45"/>
      <c r="B10" s="81"/>
      <c r="C10" s="83"/>
      <c r="D10" s="93"/>
      <c r="E10" s="110"/>
      <c r="F10" s="110"/>
      <c r="G10" s="108"/>
      <c r="H10" s="110"/>
      <c r="I10" s="110"/>
      <c r="J10" s="108"/>
      <c r="K10" s="110"/>
      <c r="L10" s="109"/>
      <c r="M10" s="111"/>
      <c r="N10" s="111"/>
      <c r="O10" s="111"/>
      <c r="P10" s="112"/>
      <c r="Q10" s="93"/>
      <c r="R10" s="106"/>
      <c r="S10" s="105"/>
    </row>
    <row r="11" spans="1:20" s="30" customFormat="1" ht="17.399999999999999" x14ac:dyDescent="0.3">
      <c r="B11" s="66" t="s">
        <v>777</v>
      </c>
      <c r="C11" s="47"/>
      <c r="D11" s="92"/>
      <c r="E11" s="92"/>
      <c r="F11" s="92"/>
      <c r="G11" s="92"/>
      <c r="H11" s="92"/>
      <c r="I11" s="92"/>
      <c r="J11" s="92"/>
      <c r="K11" s="92"/>
      <c r="L11" s="92"/>
      <c r="M11" s="92"/>
      <c r="N11" s="92"/>
      <c r="O11" s="92"/>
      <c r="P11" s="92"/>
      <c r="Q11" s="92"/>
      <c r="R11" s="92"/>
    </row>
    <row r="12" spans="1:20" s="30" customFormat="1" x14ac:dyDescent="0.3">
      <c r="A12" s="48"/>
      <c r="B12" s="61">
        <f>'Revenue Input'!B8</f>
        <v>8011</v>
      </c>
      <c r="C12" s="61" t="str">
        <f>'Revenue Input'!C8</f>
        <v>LCFF for all grades; state aid portion</v>
      </c>
      <c r="D12" s="60">
        <f>IF('Revenue Input'!$H8="","",IF('Cash Flow %s Yr5'!D12="","",'Cash Flow %s Yr5'!D12*'Revenue Input'!$H8))</f>
        <v>25707.300000000003</v>
      </c>
      <c r="E12" s="60">
        <f>IF('Revenue Input'!$H8="","",IF('Cash Flow %s Yr5'!E12="","",'Cash Flow %s Yr5'!E12*'Revenue Input'!$H8))</f>
        <v>25707.300000000003</v>
      </c>
      <c r="F12" s="60">
        <f>IF('Revenue Input'!$H8="","",IF('Cash Flow %s Yr5'!F12="","",'Cash Flow %s Yr5'!F12*'Revenue Input'!$H8))</f>
        <v>46273.14</v>
      </c>
      <c r="G12" s="60">
        <f>IF('Revenue Input'!$H8="","",IF('Cash Flow %s Yr5'!G12="","",'Cash Flow %s Yr5'!G12*'Revenue Input'!$H8))</f>
        <v>46273.14</v>
      </c>
      <c r="H12" s="60">
        <f>IF('Revenue Input'!$H8="","",IF('Cash Flow %s Yr5'!H12="","",'Cash Flow %s Yr5'!H12*'Revenue Input'!$H8))</f>
        <v>46273.14</v>
      </c>
      <c r="I12" s="60">
        <f>IF('Revenue Input'!$H8="","",IF('Cash Flow %s Yr5'!I12="","",'Cash Flow %s Yr5'!I12*'Revenue Input'!$H8))</f>
        <v>46273.14</v>
      </c>
      <c r="J12" s="60">
        <f>IF('Revenue Input'!$H8="","",IF('Cash Flow %s Yr5'!J12="","",'Cash Flow %s Yr5'!J12*'Revenue Input'!$H8))</f>
        <v>46273.14</v>
      </c>
      <c r="K12" s="60">
        <f>IF('Revenue Input'!$H8="","",IF('Cash Flow %s Yr5'!K12="","",'Cash Flow %s Yr5'!K12*'Revenue Input'!$H8))</f>
        <v>46273.14</v>
      </c>
      <c r="L12" s="60">
        <f>IF('Revenue Input'!$H8="","",IF('Cash Flow %s Yr5'!L12="","",'Cash Flow %s Yr5'!L12*'Revenue Input'!$H8))</f>
        <v>46273.14</v>
      </c>
      <c r="M12" s="60">
        <f>IF('Revenue Input'!$H8="","",IF('Cash Flow %s Yr5'!M12="","",'Cash Flow %s Yr5'!M12*'Revenue Input'!$H8))</f>
        <v>46273.14</v>
      </c>
      <c r="N12" s="60">
        <f>IF('Revenue Input'!$H8="","",IF('Cash Flow %s Yr5'!N12="","",'Cash Flow %s Yr5'!N12*'Revenue Input'!$H8))</f>
        <v>46273.14</v>
      </c>
      <c r="O12" s="60">
        <f>IF('Revenue Input'!$H8="","",IF('Cash Flow %s Yr5'!O12="","",'Cash Flow %s Yr5'!O12*'Revenue Input'!$H8))</f>
        <v>46273.14</v>
      </c>
      <c r="P12" s="60">
        <f>IF('Revenue Input'!$H8="","",IF('Cash Flow %s Yr5'!P12="","",'Cash Flow %s Yr5'!P12*'Revenue Input'!$H8))</f>
        <v>0</v>
      </c>
      <c r="Q12" s="60">
        <f>IF('Revenue Input'!$H8="","",IF('Cash Flow %s Yr5'!Q12="","",'Cash Flow %s Yr5'!Q12*'Revenue Input'!$H8))</f>
        <v>0</v>
      </c>
      <c r="R12" s="60">
        <f>IF('Revenue Input'!$H8="","",IF('Cash Flow %s Yr5'!R12="","",'Cash Flow %s Yr5'!R12*'Revenue Input'!$H8))</f>
        <v>0</v>
      </c>
      <c r="S12" s="105">
        <f>IF(SUM(D12:R12)&gt;0,SUM(D12:R12)/'Revenue Input'!$H8,"")</f>
        <v>1.0000000000000002</v>
      </c>
      <c r="T12" s="178">
        <f>SUM(D12:R12)</f>
        <v>514146.00000000012</v>
      </c>
    </row>
    <row r="13" spans="1:20" s="30" customFormat="1" x14ac:dyDescent="0.3">
      <c r="A13" s="48"/>
      <c r="B13" s="61">
        <f>'Revenue Input'!B9</f>
        <v>8012</v>
      </c>
      <c r="C13" s="61" t="str">
        <f>'Revenue Input'!C9</f>
        <v>LCFF for all grades; EPA portion</v>
      </c>
      <c r="D13" s="60">
        <f>IF('Revenue Input'!$H9="","",IF('Cash Flow %s Yr4'!D13="","",'Cash Flow %s Yr4'!D13*'Revenue Input'!$H9))</f>
        <v>0</v>
      </c>
      <c r="E13" s="60">
        <f>IF('Revenue Input'!$H9="","",IF('Cash Flow %s Yr4'!E13="","",'Cash Flow %s Yr4'!E13*'Revenue Input'!$H9))</f>
        <v>0</v>
      </c>
      <c r="F13" s="60">
        <f>IF('Revenue Input'!$H9="","",IF('Cash Flow %s Yr4'!F13="","",'Cash Flow %s Yr4'!F13*'Revenue Input'!$H9))</f>
        <v>22682.5</v>
      </c>
      <c r="G13" s="60">
        <f>IF('Revenue Input'!$H9="","",IF('Cash Flow %s Yr4'!G13="","",'Cash Flow %s Yr4'!G13*'Revenue Input'!$H9))</f>
        <v>0</v>
      </c>
      <c r="H13" s="60">
        <f>IF('Revenue Input'!$H9="","",IF('Cash Flow %s Yr4'!H13="","",'Cash Flow %s Yr4'!H13*'Revenue Input'!$H9))</f>
        <v>0</v>
      </c>
      <c r="I13" s="60">
        <f>IF('Revenue Input'!$H9="","",IF('Cash Flow %s Yr4'!I13="","",'Cash Flow %s Yr4'!I13*'Revenue Input'!$H9))</f>
        <v>22682.5</v>
      </c>
      <c r="J13" s="60">
        <f>IF('Revenue Input'!$H9="","",IF('Cash Flow %s Yr4'!J13="","",'Cash Flow %s Yr4'!J13*'Revenue Input'!$H9))</f>
        <v>0</v>
      </c>
      <c r="K13" s="60">
        <f>IF('Revenue Input'!$H9="","",IF('Cash Flow %s Yr4'!K13="","",'Cash Flow %s Yr4'!K13*'Revenue Input'!$H9))</f>
        <v>0</v>
      </c>
      <c r="L13" s="60">
        <f>IF('Revenue Input'!$H9="","",IF('Cash Flow %s Yr4'!L13="","",'Cash Flow %s Yr4'!L13*'Revenue Input'!$H9))</f>
        <v>22682.5</v>
      </c>
      <c r="M13" s="60">
        <f>IF('Revenue Input'!$H9="","",IF('Cash Flow %s Yr4'!M13="","",'Cash Flow %s Yr4'!M13*'Revenue Input'!$H9))</f>
        <v>0</v>
      </c>
      <c r="N13" s="60">
        <f>IF('Revenue Input'!$H9="","",IF('Cash Flow %s Yr4'!N13="","",'Cash Flow %s Yr4'!N13*'Revenue Input'!$H9))</f>
        <v>0</v>
      </c>
      <c r="O13" s="60">
        <f>IF('Revenue Input'!$H9="","",IF('Cash Flow %s Yr4'!O13="","",'Cash Flow %s Yr4'!O13*'Revenue Input'!$H9))</f>
        <v>22682.5</v>
      </c>
      <c r="P13" s="60">
        <f>IF('Revenue Input'!$H9="","",IF('Cash Flow %s Yr4'!P13="","",'Cash Flow %s Yr4'!P13*'Revenue Input'!$H9))</f>
        <v>0</v>
      </c>
      <c r="Q13" s="60">
        <f>IF('Revenue Input'!$H9="","",IF('Cash Flow %s Yr4'!Q13="","",'Cash Flow %s Yr4'!Q13*'Revenue Input'!$H9))</f>
        <v>0</v>
      </c>
      <c r="R13" s="60">
        <f>IF('Revenue Input'!$H9="","",IF('Cash Flow %s Yr4'!R13="","",'Cash Flow %s Yr4'!R13*'Revenue Input'!$H9))</f>
        <v>0</v>
      </c>
      <c r="S13" s="105">
        <f>IF(SUM(D13:R13)&gt;0,SUM(D13:R13)/'Revenue Input'!$H9,"")</f>
        <v>1</v>
      </c>
    </row>
    <row r="14" spans="1:20" s="30" customFormat="1" x14ac:dyDescent="0.3">
      <c r="A14" s="48"/>
      <c r="B14" s="61">
        <f>'Revenue Input'!B10</f>
        <v>8096</v>
      </c>
      <c r="C14" s="61" t="str">
        <f>'Revenue Input'!C10</f>
        <v>In-Lieu of Property Taxes, all grades</v>
      </c>
      <c r="D14" s="60">
        <f>IF('Revenue Input'!$H10="","",IF('Cash Flow %s Yr4'!D14="","",'Cash Flow %s Yr4'!D14*'Revenue Input'!$H10))</f>
        <v>0</v>
      </c>
      <c r="E14" s="60">
        <f>IF('Revenue Input'!$H10="","",IF('Cash Flow %s Yr4'!E14="","",'Cash Flow %s Yr4'!E14*'Revenue Input'!$H10))</f>
        <v>23101.200000000001</v>
      </c>
      <c r="F14" s="60">
        <f>IF('Revenue Input'!$H10="","",IF('Cash Flow %s Yr4'!F14="","",'Cash Flow %s Yr4'!F14*'Revenue Input'!$H10))</f>
        <v>46202.400000000001</v>
      </c>
      <c r="G14" s="60">
        <f>IF('Revenue Input'!$H10="","",IF('Cash Flow %s Yr4'!G14="","",'Cash Flow %s Yr4'!G14*'Revenue Input'!$H10))</f>
        <v>30801.600000000002</v>
      </c>
      <c r="H14" s="60">
        <f>IF('Revenue Input'!$H10="","",IF('Cash Flow %s Yr4'!H14="","",'Cash Flow %s Yr4'!H14*'Revenue Input'!$H10))</f>
        <v>30801.600000000002</v>
      </c>
      <c r="I14" s="60">
        <f>IF('Revenue Input'!$H10="","",IF('Cash Flow %s Yr4'!I14="","",'Cash Flow %s Yr4'!I14*'Revenue Input'!$H10))</f>
        <v>30801.600000000002</v>
      </c>
      <c r="J14" s="60">
        <f>IF('Revenue Input'!$H10="","",IF('Cash Flow %s Yr4'!J14="","",'Cash Flow %s Yr4'!J14*'Revenue Input'!$H10))</f>
        <v>30801.600000000002</v>
      </c>
      <c r="K14" s="60">
        <f>IF('Revenue Input'!$H10="","",IF('Cash Flow %s Yr4'!K14="","",'Cash Flow %s Yr4'!K14*'Revenue Input'!$H10))</f>
        <v>30801.600000000002</v>
      </c>
      <c r="L14" s="60">
        <f>IF('Revenue Input'!$H10="","",IF('Cash Flow %s Yr4'!L14="","",'Cash Flow %s Yr4'!L14*'Revenue Input'!$H10))</f>
        <v>53902.8</v>
      </c>
      <c r="M14" s="60">
        <f>IF('Revenue Input'!$H10="","",IF('Cash Flow %s Yr4'!M14="","",'Cash Flow %s Yr4'!M14*'Revenue Input'!$H10))</f>
        <v>26951.4</v>
      </c>
      <c r="N14" s="60">
        <f>IF('Revenue Input'!$H10="","",IF('Cash Flow %s Yr4'!N14="","",'Cash Flow %s Yr4'!N14*'Revenue Input'!$H10))</f>
        <v>26951.4</v>
      </c>
      <c r="O14" s="60">
        <f>IF('Revenue Input'!$H10="","",IF('Cash Flow %s Yr4'!O14="","",'Cash Flow %s Yr4'!O14*'Revenue Input'!$H10))</f>
        <v>53902.8</v>
      </c>
      <c r="P14" s="60">
        <f>IF('Revenue Input'!$H10="","",IF('Cash Flow %s Yr4'!P14="","",'Cash Flow %s Yr4'!P14*'Revenue Input'!$H10))</f>
        <v>0</v>
      </c>
      <c r="Q14" s="60">
        <f>IF('Revenue Input'!$H10="","",IF('Cash Flow %s Yr4'!Q14="","",'Cash Flow %s Yr4'!Q14*'Revenue Input'!$H10))</f>
        <v>0</v>
      </c>
      <c r="R14" s="60">
        <f>IF('Revenue Input'!$H10="","",IF('Cash Flow %s Yr4'!R14="","",'Cash Flow %s Yr4'!R14*'Revenue Input'!$H10))</f>
        <v>0</v>
      </c>
      <c r="S14" s="105">
        <f>IF(SUM(D14:R14)&gt;0,SUM(D14:R14)/'Revenue Input'!$H10,"")</f>
        <v>1.0000000000000002</v>
      </c>
    </row>
    <row r="15" spans="1:20" s="30" customFormat="1" x14ac:dyDescent="0.3">
      <c r="A15" s="48"/>
      <c r="B15" s="61">
        <f>'Revenue Input'!B11</f>
        <v>8019</v>
      </c>
      <c r="C15" s="61" t="str">
        <f>'Revenue Input'!C11</f>
        <v>Prior Year Income / Adjustments</v>
      </c>
      <c r="D15" s="60"/>
      <c r="E15" s="60"/>
      <c r="F15" s="60"/>
      <c r="G15" s="60" t="str">
        <f>IF('Revenue Input'!$H11="","",IF('Cash Flow %s Yr4'!G15="","",'Cash Flow %s Yr4'!G15*'Revenue Input'!$H11))</f>
        <v/>
      </c>
      <c r="H15" s="60" t="str">
        <f>IF('Revenue Input'!$H11="","",IF('Cash Flow %s Yr4'!H15="","",'Cash Flow %s Yr4'!H15*'Revenue Input'!$H11))</f>
        <v/>
      </c>
      <c r="I15" s="60" t="str">
        <f>IF('Revenue Input'!$H11="","",IF('Cash Flow %s Yr4'!I15="","",'Cash Flow %s Yr4'!I15*'Revenue Input'!$H11))</f>
        <v/>
      </c>
      <c r="J15" s="60" t="str">
        <f>IF('Revenue Input'!$H11="","",IF('Cash Flow %s Yr4'!J15="","",'Cash Flow %s Yr4'!J15*'Revenue Input'!$H11))</f>
        <v/>
      </c>
      <c r="K15" s="60" t="str">
        <f>IF('Revenue Input'!$H11="","",IF('Cash Flow %s Yr4'!K15="","",'Cash Flow %s Yr4'!K15*'Revenue Input'!$H11))</f>
        <v/>
      </c>
      <c r="L15" s="60" t="str">
        <f>IF('Revenue Input'!$H11="","",IF('Cash Flow %s Yr4'!L15="","",'Cash Flow %s Yr4'!L15*'Revenue Input'!$H11))</f>
        <v/>
      </c>
      <c r="M15" s="60" t="str">
        <f>IF('Revenue Input'!$H11="","",IF('Cash Flow %s Yr4'!M15="","",'Cash Flow %s Yr4'!M15*'Revenue Input'!$H11))</f>
        <v/>
      </c>
      <c r="N15" s="60" t="str">
        <f>IF('Revenue Input'!$H11="","",IF('Cash Flow %s Yr4'!N15="","",'Cash Flow %s Yr4'!N15*'Revenue Input'!$H11))</f>
        <v/>
      </c>
      <c r="O15" s="60" t="str">
        <f>IF('Revenue Input'!$H11="","",IF('Cash Flow %s Yr4'!O15="","",'Cash Flow %s Yr4'!O15*'Revenue Input'!$H11))</f>
        <v/>
      </c>
      <c r="P15" s="60" t="str">
        <f>IF('Revenue Input'!$H11="","",IF('Cash Flow %s Yr4'!P15="","",'Cash Flow %s Yr4'!P15*'Revenue Input'!$H11))</f>
        <v/>
      </c>
      <c r="Q15" s="60" t="str">
        <f>IF('Revenue Input'!$H11="","",IF('Cash Flow %s Yr4'!Q15="","",'Cash Flow %s Yr4'!Q15*'Revenue Input'!$H11))</f>
        <v/>
      </c>
      <c r="R15" s="60" t="str">
        <f>IF('Revenue Input'!$H11="","",IF('Cash Flow %s Yr4'!R15="","",'Cash Flow %s Yr4'!R15*'Revenue Input'!$H11))</f>
        <v/>
      </c>
      <c r="S15" s="105" t="str">
        <f>IF(SUM(D15:R15)&gt;0,SUM(D15:R15)/'Revenue Input'!$H11,"")</f>
        <v/>
      </c>
    </row>
    <row r="16" spans="1:20" s="30" customFormat="1" x14ac:dyDescent="0.3">
      <c r="A16" s="48"/>
      <c r="B16" s="61">
        <f>'Revenue Input'!B30</f>
        <v>8520</v>
      </c>
      <c r="C16" s="61" t="str">
        <f>'Revenue Input'!C30</f>
        <v>State Child Nutrition Program</v>
      </c>
      <c r="D16" s="60" t="str">
        <f>IF('Revenue Input'!$H30="","",IF('Cash Flow %s Yr4'!D16="","",'Cash Flow %s Yr4'!D16*'Revenue Input'!$H30))</f>
        <v/>
      </c>
      <c r="E16" s="60" t="str">
        <f>IF('Revenue Input'!$H30="","",IF('Cash Flow %s Yr4'!E16="","",'Cash Flow %s Yr4'!E16*'Revenue Input'!$H30))</f>
        <v/>
      </c>
      <c r="F16" s="60" t="str">
        <f>IF('Revenue Input'!$H30="","",IF('Cash Flow %s Yr4'!F16="","",'Cash Flow %s Yr4'!F16*'Revenue Input'!$H30))</f>
        <v/>
      </c>
      <c r="G16" s="60" t="str">
        <f>IF('Revenue Input'!$H30="","",IF('Cash Flow %s Yr4'!G16="","",'Cash Flow %s Yr4'!G16*'Revenue Input'!$H30))</f>
        <v/>
      </c>
      <c r="H16" s="60" t="str">
        <f>IF('Revenue Input'!$H30="","",IF('Cash Flow %s Yr4'!H16="","",'Cash Flow %s Yr4'!H16*'Revenue Input'!$H30))</f>
        <v/>
      </c>
      <c r="I16" s="60" t="str">
        <f>IF('Revenue Input'!$H30="","",IF('Cash Flow %s Yr4'!I16="","",'Cash Flow %s Yr4'!I16*'Revenue Input'!$H30))</f>
        <v/>
      </c>
      <c r="J16" s="60" t="str">
        <f>IF('Revenue Input'!$H30="","",IF('Cash Flow %s Yr4'!J16="","",'Cash Flow %s Yr4'!J16*'Revenue Input'!$H30))</f>
        <v/>
      </c>
      <c r="K16" s="60" t="str">
        <f>IF('Revenue Input'!$H30="","",IF('Cash Flow %s Yr4'!K16="","",'Cash Flow %s Yr4'!K16*'Revenue Input'!$H30))</f>
        <v/>
      </c>
      <c r="L16" s="60" t="str">
        <f>IF('Revenue Input'!$H30="","",IF('Cash Flow %s Yr4'!L16="","",'Cash Flow %s Yr4'!L16*'Revenue Input'!$H30))</f>
        <v/>
      </c>
      <c r="M16" s="60" t="str">
        <f>IF('Revenue Input'!$H30="","",IF('Cash Flow %s Yr4'!M16="","",'Cash Flow %s Yr4'!M16*'Revenue Input'!$H30))</f>
        <v/>
      </c>
      <c r="N16" s="60" t="str">
        <f>IF('Revenue Input'!$H30="","",IF('Cash Flow %s Yr4'!N16="","",'Cash Flow %s Yr4'!N16*'Revenue Input'!$H30))</f>
        <v/>
      </c>
      <c r="O16" s="60" t="str">
        <f>IF('Revenue Input'!$H30="","",IF('Cash Flow %s Yr4'!O16="","",'Cash Flow %s Yr4'!O16*'Revenue Input'!$H30))</f>
        <v/>
      </c>
      <c r="P16" s="60" t="str">
        <f>IF('Revenue Input'!$H30="","",IF('Cash Flow %s Yr4'!P16="","",'Cash Flow %s Yr4'!P16*'Revenue Input'!$H30))</f>
        <v/>
      </c>
      <c r="Q16" s="60" t="str">
        <f>IF('Revenue Input'!$H30="","",IF('Cash Flow %s Yr4'!Q16="","",'Cash Flow %s Yr4'!Q16*'Revenue Input'!$H30))</f>
        <v/>
      </c>
      <c r="R16" s="60" t="str">
        <f>IF('Revenue Input'!$H30="","",IF('Cash Flow %s Yr4'!R16="","",'Cash Flow %s Yr4'!R16*'Revenue Input'!$H30))</f>
        <v/>
      </c>
      <c r="S16" s="105" t="str">
        <f>IF(SUM(D16:R16)&gt;0,SUM(D16:R16)/'Revenue Input'!$H30,"")</f>
        <v/>
      </c>
    </row>
    <row r="17" spans="1:19" s="30" customFormat="1" x14ac:dyDescent="0.3">
      <c r="A17" s="48"/>
      <c r="B17" s="61">
        <f>'Revenue Input'!B31</f>
        <v>8550</v>
      </c>
      <c r="C17" s="61" t="str">
        <f>'Revenue Input'!C31</f>
        <v>Mandate Block Grant</v>
      </c>
      <c r="D17" s="60">
        <f>IF('Revenue Input'!$H31="","",IF('Cash Flow %s Yr4'!D17="","",'Cash Flow %s Yr4'!D17*'Revenue Input'!$H31))</f>
        <v>0</v>
      </c>
      <c r="E17" s="60">
        <f>IF('Revenue Input'!$H31="","",IF('Cash Flow %s Yr4'!E17="","",'Cash Flow %s Yr4'!E17*'Revenue Input'!$H31))</f>
        <v>0</v>
      </c>
      <c r="F17" s="60">
        <f>IF('Revenue Input'!$H31="","",IF('Cash Flow %s Yr4'!F17="","",'Cash Flow %s Yr4'!F17*'Revenue Input'!$H31))</f>
        <v>0</v>
      </c>
      <c r="G17" s="60">
        <f>IF('Revenue Input'!$H31="","",IF('Cash Flow %s Yr4'!G17="","",'Cash Flow %s Yr4'!G17*'Revenue Input'!$H31))</f>
        <v>0</v>
      </c>
      <c r="H17" s="60">
        <f>IF('Revenue Input'!$H31="","",IF('Cash Flow %s Yr4'!H17="","",'Cash Flow %s Yr4'!H17*'Revenue Input'!$H31))</f>
        <v>0</v>
      </c>
      <c r="I17" s="60">
        <f>IF('Revenue Input'!$H31="","",IF('Cash Flow %s Yr4'!I17="","",'Cash Flow %s Yr4'!I17*'Revenue Input'!$H31))</f>
        <v>1037.93615</v>
      </c>
      <c r="J17" s="60">
        <f>IF('Revenue Input'!$H31="","",IF('Cash Flow %s Yr4'!J17="","",'Cash Flow %s Yr4'!J17*'Revenue Input'!$H31))</f>
        <v>0</v>
      </c>
      <c r="K17" s="60">
        <f>IF('Revenue Input'!$H31="","",IF('Cash Flow %s Yr4'!K17="","",'Cash Flow %s Yr4'!K17*'Revenue Input'!$H31))</f>
        <v>1037.93615</v>
      </c>
      <c r="L17" s="60">
        <f>IF('Revenue Input'!$H31="","",IF('Cash Flow %s Yr4'!L17="","",'Cash Flow %s Yr4'!L17*'Revenue Input'!$H31))</f>
        <v>0</v>
      </c>
      <c r="M17" s="60">
        <f>IF('Revenue Input'!$H31="","",IF('Cash Flow %s Yr4'!M17="","",'Cash Flow %s Yr4'!M17*'Revenue Input'!$H31))</f>
        <v>1037.93615</v>
      </c>
      <c r="N17" s="60">
        <f>IF('Revenue Input'!$H31="","",IF('Cash Flow %s Yr4'!N17="","",'Cash Flow %s Yr4'!N17*'Revenue Input'!$H31))</f>
        <v>0</v>
      </c>
      <c r="O17" s="60">
        <f>IF('Revenue Input'!$H31="","",IF('Cash Flow %s Yr4'!O17="","",'Cash Flow %s Yr4'!O17*'Revenue Input'!$H31))</f>
        <v>1037.93615</v>
      </c>
      <c r="P17" s="60">
        <f>IF('Revenue Input'!$H31="","",IF('Cash Flow %s Yr4'!P17="","",'Cash Flow %s Yr4'!P17*'Revenue Input'!$H31))</f>
        <v>0</v>
      </c>
      <c r="Q17" s="60">
        <f>IF('Revenue Input'!$H31="","",IF('Cash Flow %s Yr4'!Q17="","",'Cash Flow %s Yr4'!Q17*'Revenue Input'!$H31))</f>
        <v>0</v>
      </c>
      <c r="R17" s="60">
        <f>IF('Revenue Input'!$H31="","",IF('Cash Flow %s Yr4'!R17="","",'Cash Flow %s Yr4'!R17*'Revenue Input'!$H31))</f>
        <v>0</v>
      </c>
      <c r="S17" s="105">
        <f>IF(SUM(D17:R17)&gt;0,SUM(D17:R17)/'Revenue Input'!$H31,"")</f>
        <v>1</v>
      </c>
    </row>
    <row r="18" spans="1:19" s="30" customFormat="1" x14ac:dyDescent="0.3">
      <c r="A18" s="47"/>
      <c r="B18" s="61">
        <f>'Revenue Input'!B32</f>
        <v>8560</v>
      </c>
      <c r="C18" s="61" t="str">
        <f>'Revenue Input'!C32</f>
        <v>Lottery</v>
      </c>
      <c r="D18" s="60">
        <f>IF('Revenue Input'!$H32="","",IF('Cash Flow %s Yr4'!D18="","",'Cash Flow %s Yr4'!D18*'Revenue Input'!$H32))</f>
        <v>0</v>
      </c>
      <c r="E18" s="60">
        <f>IF('Revenue Input'!$H32="","",IF('Cash Flow %s Yr4'!E18="","",'Cash Flow %s Yr4'!E18*'Revenue Input'!$H32))</f>
        <v>0</v>
      </c>
      <c r="F18" s="60">
        <f>IF('Revenue Input'!$H32="","",IF('Cash Flow %s Yr4'!F18="","",'Cash Flow %s Yr4'!F18*'Revenue Input'!$H32))</f>
        <v>0</v>
      </c>
      <c r="G18" s="60">
        <f>IF('Revenue Input'!$H32="","",IF('Cash Flow %s Yr4'!G18="","",'Cash Flow %s Yr4'!G18*'Revenue Input'!$H32))</f>
        <v>0</v>
      </c>
      <c r="H18" s="60">
        <f>IF('Revenue Input'!$H32="","",IF('Cash Flow %s Yr4'!H18="","",'Cash Flow %s Yr4'!H18*'Revenue Input'!$H32))</f>
        <v>1443.854</v>
      </c>
      <c r="I18" s="60">
        <f>IF('Revenue Input'!$H32="","",IF('Cash Flow %s Yr4'!I18="","",'Cash Flow %s Yr4'!I18*'Revenue Input'!$H32))</f>
        <v>1443.854</v>
      </c>
      <c r="J18" s="60">
        <f>IF('Revenue Input'!$H32="","",IF('Cash Flow %s Yr4'!J18="","",'Cash Flow %s Yr4'!J18*'Revenue Input'!$H32))</f>
        <v>1443.854</v>
      </c>
      <c r="K18" s="60">
        <f>IF('Revenue Input'!$H32="","",IF('Cash Flow %s Yr4'!K18="","",'Cash Flow %s Yr4'!K18*'Revenue Input'!$H32))</f>
        <v>1443.854</v>
      </c>
      <c r="L18" s="60">
        <f>IF('Revenue Input'!$H32="","",IF('Cash Flow %s Yr4'!L18="","",'Cash Flow %s Yr4'!L18*'Revenue Input'!$H32))</f>
        <v>1443.854</v>
      </c>
      <c r="M18" s="60">
        <f>IF('Revenue Input'!$H32="","",IF('Cash Flow %s Yr4'!M18="","",'Cash Flow %s Yr4'!M18*'Revenue Input'!$H32))</f>
        <v>1443.854</v>
      </c>
      <c r="N18" s="60">
        <f>IF('Revenue Input'!$H32="","",IF('Cash Flow %s Yr4'!N18="","",'Cash Flow %s Yr4'!N18*'Revenue Input'!$H32))</f>
        <v>1443.854</v>
      </c>
      <c r="O18" s="60">
        <f>IF('Revenue Input'!$H32="","",IF('Cash Flow %s Yr4'!O18="","",'Cash Flow %s Yr4'!O18*'Revenue Input'!$H32))</f>
        <v>4331.5619999999999</v>
      </c>
      <c r="P18" s="60">
        <f>IF('Revenue Input'!$H32="","",IF('Cash Flow %s Yr4'!P18="","",'Cash Flow %s Yr4'!P18*'Revenue Input'!$H32))</f>
        <v>0</v>
      </c>
      <c r="Q18" s="60">
        <f>IF('Revenue Input'!$H32="","",IF('Cash Flow %s Yr4'!Q18="","",'Cash Flow %s Yr4'!Q18*'Revenue Input'!$H32))</f>
        <v>0</v>
      </c>
      <c r="R18" s="60">
        <f>IF('Revenue Input'!$H32="","",IF('Cash Flow %s Yr4'!R18="","",'Cash Flow %s Yr4'!R18*'Revenue Input'!$H32))</f>
        <v>0</v>
      </c>
      <c r="S18" s="105">
        <f>IF(SUM(D18:R18)&gt;0,SUM(D18:R18)/'Revenue Input'!$H32,"")</f>
        <v>1</v>
      </c>
    </row>
    <row r="19" spans="1:19" s="30" customFormat="1" x14ac:dyDescent="0.3">
      <c r="A19" s="48"/>
      <c r="B19" s="61">
        <f>'Revenue Input'!B34</f>
        <v>8590</v>
      </c>
      <c r="C19" s="61" t="str">
        <f>'Revenue Input'!C34</f>
        <v xml:space="preserve">Other State Revenues </v>
      </c>
      <c r="D19" s="60" t="str">
        <f>IF('Revenue Input'!$H34="","",IF('Cash Flow %s Yr4'!D19="","",'Cash Flow %s Yr4'!D19*'Revenue Input'!$H34))</f>
        <v/>
      </c>
      <c r="E19" s="60" t="str">
        <f>IF('Revenue Input'!$H34="","",IF('Cash Flow %s Yr4'!E19="","",'Cash Flow %s Yr4'!E19*'Revenue Input'!$H34))</f>
        <v/>
      </c>
      <c r="F19" s="60" t="str">
        <f>IF('Revenue Input'!$H34="","",IF('Cash Flow %s Yr4'!F19="","",'Cash Flow %s Yr4'!F19*'Revenue Input'!$H34))</f>
        <v/>
      </c>
      <c r="G19" s="60" t="str">
        <f>IF('Revenue Input'!$H34="","",IF('Cash Flow %s Yr4'!G19="","",'Cash Flow %s Yr4'!G19*'Revenue Input'!$H34))</f>
        <v/>
      </c>
      <c r="H19" s="60" t="str">
        <f>IF('Revenue Input'!$H34="","",IF('Cash Flow %s Yr4'!H19="","",'Cash Flow %s Yr4'!H19*'Revenue Input'!$H34))</f>
        <v/>
      </c>
      <c r="I19" s="60" t="str">
        <f>IF('Revenue Input'!$H34="","",IF('Cash Flow %s Yr4'!I19="","",'Cash Flow %s Yr4'!I19*'Revenue Input'!$H34))</f>
        <v/>
      </c>
      <c r="J19" s="60" t="str">
        <f>IF('Revenue Input'!$H34="","",IF('Cash Flow %s Yr4'!J19="","",'Cash Flow %s Yr4'!J19*'Revenue Input'!$H34))</f>
        <v/>
      </c>
      <c r="K19" s="60" t="str">
        <f>IF('Revenue Input'!$H34="","",IF('Cash Flow %s Yr4'!K19="","",'Cash Flow %s Yr4'!K19*'Revenue Input'!$H34))</f>
        <v/>
      </c>
      <c r="L19" s="60" t="str">
        <f>IF('Revenue Input'!$H34="","",IF('Cash Flow %s Yr4'!L19="","",'Cash Flow %s Yr4'!L19*'Revenue Input'!$H34))</f>
        <v/>
      </c>
      <c r="M19" s="60" t="str">
        <f>IF('Revenue Input'!$H34="","",IF('Cash Flow %s Yr4'!M19="","",'Cash Flow %s Yr4'!M19*'Revenue Input'!$H34))</f>
        <v/>
      </c>
      <c r="N19" s="60" t="str">
        <f>IF('Revenue Input'!$H34="","",IF('Cash Flow %s Yr4'!N19="","",'Cash Flow %s Yr4'!N19*'Revenue Input'!$H34))</f>
        <v/>
      </c>
      <c r="O19" s="60" t="str">
        <f>IF('Revenue Input'!$H34="","",IF('Cash Flow %s Yr4'!O19="","",'Cash Flow %s Yr4'!O19*'Revenue Input'!$H34))</f>
        <v/>
      </c>
      <c r="P19" s="60" t="str">
        <f>IF('Revenue Input'!$H34="","",IF('Cash Flow %s Yr4'!P19="","",'Cash Flow %s Yr4'!P19*'Revenue Input'!$H34))</f>
        <v/>
      </c>
      <c r="Q19" s="60" t="str">
        <f>IF('Revenue Input'!$H34="","",IF('Cash Flow %s Yr4'!Q19="","",'Cash Flow %s Yr4'!Q19*'Revenue Input'!$H34))</f>
        <v/>
      </c>
      <c r="R19" s="60" t="str">
        <f>IF('Revenue Input'!$H34="","",IF('Cash Flow %s Yr4'!R19="","",'Cash Flow %s Yr4'!R19*'Revenue Input'!$H34))</f>
        <v/>
      </c>
      <c r="S19" s="105" t="str">
        <f>IF(SUM(D19:R19)&gt;0,SUM(D19:R19)/'Revenue Input'!$H34,"")</f>
        <v/>
      </c>
    </row>
    <row r="20" spans="1:19" s="30" customFormat="1" ht="17.399999999999999" x14ac:dyDescent="0.3">
      <c r="A20" s="45"/>
      <c r="B20" s="61">
        <f>'Revenue Input'!B37</f>
        <v>8591</v>
      </c>
      <c r="C20" s="61" t="str">
        <f>'Revenue Input'!C37</f>
        <v>SB740</v>
      </c>
      <c r="D20" s="60">
        <f>IF('Revenue Input'!$H37="","",IF('Cash Flow %s Yr4'!D20="","",'Cash Flow %s Yr4'!D20*'Revenue Input'!$H37))</f>
        <v>0</v>
      </c>
      <c r="E20" s="60">
        <f>IF('Revenue Input'!$H37="","",IF('Cash Flow %s Yr4'!E20="","",'Cash Flow %s Yr4'!E20*'Revenue Input'!$H37))</f>
        <v>0</v>
      </c>
      <c r="F20" s="60">
        <f>IF('Revenue Input'!$H37="","",IF('Cash Flow %s Yr4'!F20="","",'Cash Flow %s Yr4'!F20*'Revenue Input'!$H37))</f>
        <v>0</v>
      </c>
      <c r="G20" s="60">
        <f>IF('Revenue Input'!$H37="","",IF('Cash Flow %s Yr4'!G20="","",'Cash Flow %s Yr4'!G20*'Revenue Input'!$H37))</f>
        <v>0</v>
      </c>
      <c r="H20" s="60">
        <f>IF('Revenue Input'!$H37="","",IF('Cash Flow %s Yr4'!H20="","",'Cash Flow %s Yr4'!H20*'Revenue Input'!$H37))</f>
        <v>22522.5</v>
      </c>
      <c r="I20" s="60">
        <f>IF('Revenue Input'!$H37="","",IF('Cash Flow %s Yr4'!I20="","",'Cash Flow %s Yr4'!I20*'Revenue Input'!$H37))</f>
        <v>0</v>
      </c>
      <c r="J20" s="60">
        <f>IF('Revenue Input'!$H37="","",IF('Cash Flow %s Yr4'!J20="","",'Cash Flow %s Yr4'!J20*'Revenue Input'!$H37))</f>
        <v>0</v>
      </c>
      <c r="K20" s="60">
        <f>IF('Revenue Input'!$H37="","",IF('Cash Flow %s Yr4'!K20="","",'Cash Flow %s Yr4'!K20*'Revenue Input'!$H37))</f>
        <v>0</v>
      </c>
      <c r="L20" s="60">
        <f>IF('Revenue Input'!$H37="","",IF('Cash Flow %s Yr4'!L20="","",'Cash Flow %s Yr4'!L20*'Revenue Input'!$H37))</f>
        <v>0</v>
      </c>
      <c r="M20" s="60">
        <f>IF('Revenue Input'!$H37="","",IF('Cash Flow %s Yr4'!M20="","",'Cash Flow %s Yr4'!M20*'Revenue Input'!$H37))</f>
        <v>0</v>
      </c>
      <c r="N20" s="60">
        <f>IF('Revenue Input'!$H37="","",IF('Cash Flow %s Yr4'!N20="","",'Cash Flow %s Yr4'!N20*'Revenue Input'!$H37))</f>
        <v>0</v>
      </c>
      <c r="O20" s="60">
        <f>IF('Revenue Input'!$H37="","",IF('Cash Flow %s Yr4'!O20="","",'Cash Flow %s Yr4'!O20*'Revenue Input'!$H37))</f>
        <v>12127.5</v>
      </c>
      <c r="P20" s="60">
        <f>IF('Revenue Input'!$H37="","",IF('Cash Flow %s Yr4'!P20="","",'Cash Flow %s Yr4'!P20*'Revenue Input'!$H37))</f>
        <v>0</v>
      </c>
      <c r="Q20" s="60">
        <f>IF('Revenue Input'!$H37="","",IF('Cash Flow %s Yr4'!Q20="","",'Cash Flow %s Yr4'!Q20*'Revenue Input'!$H37))</f>
        <v>0</v>
      </c>
      <c r="R20" s="60">
        <f>IF('Revenue Input'!$H37="","",IF('Cash Flow %s Yr4'!R20="","",'Cash Flow %s Yr4'!R20*'Revenue Input'!$H37))</f>
        <v>0</v>
      </c>
      <c r="S20" s="105">
        <f>IF(SUM(D20:R20)&gt;0,SUM(D20:R20)/'Revenue Input'!$H37,"")</f>
        <v>1</v>
      </c>
    </row>
    <row r="21" spans="1:19" s="30" customFormat="1" ht="17.399999999999999" x14ac:dyDescent="0.3">
      <c r="A21" s="45"/>
      <c r="B21" s="61">
        <f>'Revenue Input'!B38</f>
        <v>8599</v>
      </c>
      <c r="C21" s="61" t="str">
        <f>'Revenue Input'!C38</f>
        <v>Prior Year State Income</v>
      </c>
      <c r="D21" s="60" t="str">
        <f>IF('Revenue Input'!$H38="","",IF('Cash Flow %s Yr4'!D22="","",'Cash Flow %s Yr4'!D22*'Revenue Input'!$H38))</f>
        <v/>
      </c>
      <c r="E21" s="60" t="str">
        <f>IF('Revenue Input'!$H38="","",IF('Cash Flow %s Yr4'!E22="","",'Cash Flow %s Yr4'!E22*'Revenue Input'!$H38))</f>
        <v/>
      </c>
      <c r="F21" s="60" t="str">
        <f>IF('Revenue Input'!$H38="","",IF('Cash Flow %s Yr4'!F22="","",'Cash Flow %s Yr4'!F22*'Revenue Input'!$H38))</f>
        <v/>
      </c>
      <c r="G21" s="60" t="str">
        <f>IF('Revenue Input'!$H38="","",IF('Cash Flow %s Yr4'!G22="","",'Cash Flow %s Yr4'!G22*'Revenue Input'!$H38))</f>
        <v/>
      </c>
      <c r="H21" s="60" t="str">
        <f>IF('Revenue Input'!$H38="","",IF('Cash Flow %s Yr4'!H22="","",'Cash Flow %s Yr4'!H22*'Revenue Input'!$H38))</f>
        <v/>
      </c>
      <c r="I21" s="60" t="str">
        <f>IF('Revenue Input'!$H38="","",IF('Cash Flow %s Yr4'!I22="","",'Cash Flow %s Yr4'!I22*'Revenue Input'!$H38))</f>
        <v/>
      </c>
      <c r="J21" s="60" t="str">
        <f>IF('Revenue Input'!$H38="","",IF('Cash Flow %s Yr4'!J22="","",'Cash Flow %s Yr4'!J22*'Revenue Input'!$H38))</f>
        <v/>
      </c>
      <c r="K21" s="60" t="str">
        <f>IF('Revenue Input'!$H38="","",IF('Cash Flow %s Yr4'!K22="","",'Cash Flow %s Yr4'!K22*'Revenue Input'!$H38))</f>
        <v/>
      </c>
      <c r="L21" s="60" t="str">
        <f>IF('Revenue Input'!$H38="","",IF('Cash Flow %s Yr4'!L22="","",'Cash Flow %s Yr4'!L22*'Revenue Input'!$H38))</f>
        <v/>
      </c>
      <c r="M21" s="60" t="str">
        <f>IF('Revenue Input'!$H38="","",IF('Cash Flow %s Yr4'!M22="","",'Cash Flow %s Yr4'!M22*'Revenue Input'!$H38))</f>
        <v/>
      </c>
      <c r="N21" s="60" t="str">
        <f>IF('Revenue Input'!$H38="","",IF('Cash Flow %s Yr4'!N22="","",'Cash Flow %s Yr4'!N22*'Revenue Input'!$H38))</f>
        <v/>
      </c>
      <c r="O21" s="60" t="str">
        <f>IF('Revenue Input'!$H38="","",IF('Cash Flow %s Yr4'!O22="","",'Cash Flow %s Yr4'!O22*'Revenue Input'!$H38))</f>
        <v/>
      </c>
      <c r="P21" s="60" t="str">
        <f>IF('Revenue Input'!$H38="","",IF('Cash Flow %s Yr4'!P22="","",'Cash Flow %s Yr4'!P22*'Revenue Input'!$H38))</f>
        <v/>
      </c>
      <c r="Q21" s="60" t="str">
        <f>IF('Revenue Input'!$H38="","",IF('Cash Flow %s Yr4'!Q22="","",'Cash Flow %s Yr4'!Q22*'Revenue Input'!$H38))</f>
        <v/>
      </c>
      <c r="R21" s="60" t="str">
        <f>IF('Revenue Input'!$H38="","",IF('Cash Flow %s Yr4'!R22="","",'Cash Flow %s Yr4'!R22*'Revenue Input'!$H38))</f>
        <v/>
      </c>
      <c r="S21" s="105" t="str">
        <f>IF(SUM(D21:R21)&gt;0,SUM(D21:R21)/'Revenue Input'!$H38,"")</f>
        <v/>
      </c>
    </row>
    <row r="22" spans="1:19" s="30" customFormat="1" ht="17.399999999999999" x14ac:dyDescent="0.3">
      <c r="A22" s="45"/>
      <c r="B22" s="61">
        <f>'Revenue Input'!B39</f>
        <v>8792</v>
      </c>
      <c r="C22" s="61" t="str">
        <f>'Revenue Input'!C39</f>
        <v>Special Education - AB 602</v>
      </c>
      <c r="D22" s="60" t="str">
        <f>IF('Revenue Input'!$H39="","",IF('Cash Flow %s Yr4'!D22="","",'Cash Flow %s Yr4'!D22*'Revenue Input'!$H39))</f>
        <v/>
      </c>
      <c r="E22" s="60" t="str">
        <f>IF('Revenue Input'!$H39="","",IF('Cash Flow %s Yr4'!E22="","",'Cash Flow %s Yr4'!E22*'Revenue Input'!$H39))</f>
        <v/>
      </c>
      <c r="F22" s="60" t="str">
        <f>IF('Revenue Input'!$H39="","",IF('Cash Flow %s Yr4'!F22="","",'Cash Flow %s Yr4'!F22*'Revenue Input'!$H39))</f>
        <v/>
      </c>
      <c r="G22" s="60" t="str">
        <f>IF('Revenue Input'!$H39="","",IF('Cash Flow %s Yr4'!G22="","",'Cash Flow %s Yr4'!G22*'Revenue Input'!$H39))</f>
        <v/>
      </c>
      <c r="H22" s="60" t="str">
        <f>IF('Revenue Input'!$H39="","",IF('Cash Flow %s Yr4'!H22="","",'Cash Flow %s Yr4'!H22*'Revenue Input'!$H39))</f>
        <v/>
      </c>
      <c r="I22" s="60" t="str">
        <f>IF('Revenue Input'!$H39="","",IF('Cash Flow %s Yr4'!I22="","",'Cash Flow %s Yr4'!I22*'Revenue Input'!$H39))</f>
        <v/>
      </c>
      <c r="J22" s="60" t="str">
        <f>IF('Revenue Input'!$H39="","",IF('Cash Flow %s Yr4'!J22="","",'Cash Flow %s Yr4'!J22*'Revenue Input'!$H39))</f>
        <v/>
      </c>
      <c r="K22" s="60" t="str">
        <f>IF('Revenue Input'!$H39="","",IF('Cash Flow %s Yr4'!K22="","",'Cash Flow %s Yr4'!K22*'Revenue Input'!$H39))</f>
        <v/>
      </c>
      <c r="L22" s="60" t="str">
        <f>IF('Revenue Input'!$H39="","",IF('Cash Flow %s Yr4'!L22="","",'Cash Flow %s Yr4'!L22*'Revenue Input'!$H39))</f>
        <v/>
      </c>
      <c r="M22" s="60" t="str">
        <f>IF('Revenue Input'!$H39="","",IF('Cash Flow %s Yr4'!M22="","",'Cash Flow %s Yr4'!M22*'Revenue Input'!$H39))</f>
        <v/>
      </c>
      <c r="N22" s="60" t="str">
        <f>IF('Revenue Input'!$H39="","",IF('Cash Flow %s Yr4'!N22="","",'Cash Flow %s Yr4'!N22*'Revenue Input'!$H39))</f>
        <v/>
      </c>
      <c r="O22" s="60" t="str">
        <f>IF('Revenue Input'!$H39="","",IF('Cash Flow %s Yr4'!O22="","",'Cash Flow %s Yr4'!O22*'Revenue Input'!$H39))</f>
        <v/>
      </c>
      <c r="P22" s="60" t="str">
        <f>IF('Revenue Input'!$H39="","",IF('Cash Flow %s Yr4'!P22="","",'Cash Flow %s Yr4'!P22*'Revenue Input'!$H39))</f>
        <v/>
      </c>
      <c r="Q22" s="60" t="str">
        <f>IF('Revenue Input'!$H39="","",IF('Cash Flow %s Yr4'!Q22="","",'Cash Flow %s Yr4'!Q22*'Revenue Input'!$H39))</f>
        <v/>
      </c>
      <c r="R22" s="60" t="str">
        <f>IF('Revenue Input'!$H39="","",IF('Cash Flow %s Yr4'!R22="","",'Cash Flow %s Yr4'!R22*'Revenue Input'!$H39))</f>
        <v/>
      </c>
      <c r="S22" s="105" t="str">
        <f>IF(SUM(D22:R22)&gt;0,SUM(D22:R22)/'Revenue Input'!$H39,"")</f>
        <v/>
      </c>
    </row>
    <row r="23" spans="1:19" s="30" customFormat="1" ht="17.399999999999999" x14ac:dyDescent="0.3">
      <c r="A23" s="45"/>
      <c r="B23" s="69"/>
      <c r="C23" s="33" t="s">
        <v>720</v>
      </c>
      <c r="D23" s="165">
        <f>SUM(D12:D22)</f>
        <v>25707.300000000003</v>
      </c>
      <c r="E23" s="165">
        <f t="shared" ref="E23:R23" si="0">SUM(E12:E22)</f>
        <v>48808.5</v>
      </c>
      <c r="F23" s="165">
        <f t="shared" si="0"/>
        <v>115158.04000000001</v>
      </c>
      <c r="G23" s="165">
        <f t="shared" si="0"/>
        <v>77074.740000000005</v>
      </c>
      <c r="H23" s="165">
        <f t="shared" si="0"/>
        <v>101041.09400000001</v>
      </c>
      <c r="I23" s="165">
        <f t="shared" si="0"/>
        <v>102239.03015000001</v>
      </c>
      <c r="J23" s="165">
        <f t="shared" si="0"/>
        <v>78518.594000000012</v>
      </c>
      <c r="K23" s="165">
        <f t="shared" si="0"/>
        <v>79556.530150000006</v>
      </c>
      <c r="L23" s="165">
        <f t="shared" si="0"/>
        <v>124302.29400000001</v>
      </c>
      <c r="M23" s="165">
        <f t="shared" si="0"/>
        <v>75706.330150000009</v>
      </c>
      <c r="N23" s="165">
        <f t="shared" si="0"/>
        <v>74668.394000000015</v>
      </c>
      <c r="O23" s="165">
        <f t="shared" si="0"/>
        <v>140355.43815</v>
      </c>
      <c r="P23" s="165">
        <f t="shared" si="0"/>
        <v>0</v>
      </c>
      <c r="Q23" s="165">
        <f t="shared" si="0"/>
        <v>0</v>
      </c>
      <c r="R23" s="165">
        <f t="shared" si="0"/>
        <v>0</v>
      </c>
      <c r="S23" s="105"/>
    </row>
    <row r="24" spans="1:19" s="30" customFormat="1" ht="17.399999999999999" x14ac:dyDescent="0.3">
      <c r="A24" s="45"/>
      <c r="B24" s="68"/>
      <c r="C24" s="48"/>
      <c r="D24" s="120"/>
      <c r="E24" s="120"/>
      <c r="F24" s="120"/>
      <c r="G24" s="120"/>
      <c r="H24" s="120"/>
      <c r="I24" s="120"/>
      <c r="J24" s="120"/>
      <c r="K24" s="120"/>
      <c r="L24" s="120"/>
      <c r="M24" s="120"/>
      <c r="N24" s="120"/>
      <c r="O24" s="120"/>
      <c r="P24" s="120"/>
      <c r="Q24" s="120"/>
      <c r="R24" s="120"/>
    </row>
    <row r="25" spans="1:19" s="30" customFormat="1" ht="17.399999999999999" x14ac:dyDescent="0.3">
      <c r="B25" s="45" t="s">
        <v>781</v>
      </c>
      <c r="C25" s="48"/>
      <c r="D25" s="120"/>
      <c r="E25" s="120"/>
      <c r="F25" s="120"/>
      <c r="G25" s="120"/>
      <c r="H25" s="120"/>
      <c r="I25" s="120"/>
      <c r="J25" s="120"/>
      <c r="K25" s="120"/>
      <c r="L25" s="120"/>
      <c r="M25" s="120"/>
      <c r="N25" s="120"/>
      <c r="O25" s="120"/>
      <c r="P25" s="120"/>
      <c r="Q25" s="120"/>
      <c r="R25" s="120"/>
    </row>
    <row r="26" spans="1:19" s="30" customFormat="1" ht="17.399999999999999" x14ac:dyDescent="0.3">
      <c r="A26" s="45"/>
      <c r="B26" s="61">
        <f>'Revenue Input'!B15</f>
        <v>8181</v>
      </c>
      <c r="C26" s="61" t="str">
        <f>'Revenue Input'!C15</f>
        <v>Special Education - Federal IDEA</v>
      </c>
      <c r="D26" s="60" t="str">
        <f>IF('Revenue Input'!$H15="","",IF('Cash Flow %s Yr4'!D26="","",'Cash Flow %s Yr4'!D26*'Revenue Input'!$H15))</f>
        <v/>
      </c>
      <c r="E26" s="60" t="str">
        <f>IF('Revenue Input'!$H15="","",IF('Cash Flow %s Yr4'!E26="","",'Cash Flow %s Yr4'!E26*'Revenue Input'!$H15))</f>
        <v/>
      </c>
      <c r="F26" s="60" t="str">
        <f>IF('Revenue Input'!$H15="","",IF('Cash Flow %s Yr4'!F26="","",'Cash Flow %s Yr4'!F26*'Revenue Input'!$H15))</f>
        <v/>
      </c>
      <c r="G26" s="60" t="str">
        <f>IF('Revenue Input'!$H15="","",IF('Cash Flow %s Yr4'!G26="","",'Cash Flow %s Yr4'!G26*'Revenue Input'!$H15))</f>
        <v/>
      </c>
      <c r="H26" s="60" t="str">
        <f>IF('Revenue Input'!$H15="","",IF('Cash Flow %s Yr4'!H26="","",'Cash Flow %s Yr4'!H26*'Revenue Input'!$H15))</f>
        <v/>
      </c>
      <c r="I26" s="60" t="str">
        <f>IF('Revenue Input'!$H15="","",IF('Cash Flow %s Yr4'!I26="","",'Cash Flow %s Yr4'!I26*'Revenue Input'!$H15))</f>
        <v/>
      </c>
      <c r="J26" s="60" t="str">
        <f>IF('Revenue Input'!$H15="","",IF('Cash Flow %s Yr4'!J26="","",'Cash Flow %s Yr4'!J26*'Revenue Input'!$H15))</f>
        <v/>
      </c>
      <c r="K26" s="60" t="str">
        <f>IF('Revenue Input'!$H15="","",IF('Cash Flow %s Yr4'!K26="","",'Cash Flow %s Yr4'!K26*'Revenue Input'!$H15))</f>
        <v/>
      </c>
      <c r="L26" s="60" t="str">
        <f>IF('Revenue Input'!$H15="","",IF('Cash Flow %s Yr4'!L26="","",'Cash Flow %s Yr4'!L26*'Revenue Input'!$H15))</f>
        <v/>
      </c>
      <c r="M26" s="60" t="str">
        <f>IF('Revenue Input'!$H15="","",IF('Cash Flow %s Yr4'!M26="","",'Cash Flow %s Yr4'!M26*'Revenue Input'!$H15))</f>
        <v/>
      </c>
      <c r="N26" s="60" t="str">
        <f>IF('Revenue Input'!$H15="","",IF('Cash Flow %s Yr4'!N26="","",'Cash Flow %s Yr4'!N26*'Revenue Input'!$H15))</f>
        <v/>
      </c>
      <c r="O26" s="60" t="str">
        <f>IF('Revenue Input'!$H15="","",IF('Cash Flow %s Yr4'!O26="","",'Cash Flow %s Yr4'!O26*'Revenue Input'!$H15))</f>
        <v/>
      </c>
      <c r="P26" s="60" t="str">
        <f>IF('Revenue Input'!$H15="","",IF('Cash Flow %s Yr4'!P26="","",'Cash Flow %s Yr4'!P26*'Revenue Input'!$H15))</f>
        <v/>
      </c>
      <c r="Q26" s="60" t="str">
        <f>IF('Revenue Input'!$H15="","",IF('Cash Flow %s Yr4'!Q26="","",'Cash Flow %s Yr4'!Q26*'Revenue Input'!$H15))</f>
        <v/>
      </c>
      <c r="R26" s="60" t="str">
        <f>IF('Revenue Input'!$H15="","",IF('Cash Flow %s Yr4'!R26="","",'Cash Flow %s Yr4'!R26*'Revenue Input'!$H15))</f>
        <v/>
      </c>
      <c r="S26" s="105" t="str">
        <f>IF(SUM(D26:R26)&gt;0,SUM(D26:R26)/'Revenue Input'!$H15,"")</f>
        <v/>
      </c>
    </row>
    <row r="27" spans="1:19" s="30" customFormat="1" ht="17.399999999999999" x14ac:dyDescent="0.3">
      <c r="A27" s="45"/>
      <c r="B27" s="61">
        <f>'Revenue Input'!B17</f>
        <v>8290</v>
      </c>
      <c r="C27" s="61" t="str">
        <f>'Revenue Input'!C17</f>
        <v>All Other Federal Revenue, GEER/CRF</v>
      </c>
      <c r="D27" s="60" t="str">
        <f>IF('Revenue Input'!$H17="","",IF('Cash Flow %s Yr4'!D27="","",'Cash Flow %s Yr4'!D27*'Revenue Input'!$H17))</f>
        <v/>
      </c>
      <c r="E27" s="60" t="str">
        <f>IF('Revenue Input'!$H17="","",IF('Cash Flow %s Yr4'!E27="","",'Cash Flow %s Yr4'!E27*'Revenue Input'!$H17))</f>
        <v/>
      </c>
      <c r="F27" s="60" t="str">
        <f>IF('Revenue Input'!$H17="","",IF('Cash Flow %s Yr4'!F27="","",'Cash Flow %s Yr4'!F27*'Revenue Input'!$H17))</f>
        <v/>
      </c>
      <c r="G27" s="60" t="str">
        <f>IF('Revenue Input'!$H17="","",IF('Cash Flow %s Yr4'!G27="","",'Cash Flow %s Yr4'!G27*'Revenue Input'!$H17))</f>
        <v/>
      </c>
      <c r="H27" s="60" t="str">
        <f>IF('Revenue Input'!$H17="","",IF('Cash Flow %s Yr4'!H27="","",'Cash Flow %s Yr4'!H27*'Revenue Input'!$H17))</f>
        <v/>
      </c>
      <c r="I27" s="60" t="str">
        <f>IF('Revenue Input'!$H17="","",IF('Cash Flow %s Yr4'!I27="","",'Cash Flow %s Yr4'!I27*'Revenue Input'!$H17))</f>
        <v/>
      </c>
      <c r="J27" s="60" t="str">
        <f>IF('Revenue Input'!$H17="","",IF('Cash Flow %s Yr4'!J27="","",'Cash Flow %s Yr4'!J27*'Revenue Input'!$H17))</f>
        <v/>
      </c>
      <c r="K27" s="60" t="str">
        <f>IF('Revenue Input'!$H17="","",IF('Cash Flow %s Yr4'!K27="","",'Cash Flow %s Yr4'!K27*'Revenue Input'!$H17))</f>
        <v/>
      </c>
      <c r="L27" s="60" t="str">
        <f>IF('Revenue Input'!$H17="","",IF('Cash Flow %s Yr4'!L27="","",'Cash Flow %s Yr4'!L27*'Revenue Input'!$H17))</f>
        <v/>
      </c>
      <c r="M27" s="60" t="str">
        <f>IF('Revenue Input'!$H17="","",IF('Cash Flow %s Yr4'!M27="","",'Cash Flow %s Yr4'!M27*'Revenue Input'!$H17))</f>
        <v/>
      </c>
      <c r="N27" s="60" t="str">
        <f>IF('Revenue Input'!$H17="","",IF('Cash Flow %s Yr4'!N27="","",'Cash Flow %s Yr4'!N27*'Revenue Input'!$H17))</f>
        <v/>
      </c>
      <c r="O27" s="60" t="str">
        <f>IF('Revenue Input'!$H17="","",IF('Cash Flow %s Yr4'!O27="","",'Cash Flow %s Yr4'!O27*'Revenue Input'!$H17))</f>
        <v/>
      </c>
      <c r="P27" s="60" t="str">
        <f>IF('Revenue Input'!$H17="","",IF('Cash Flow %s Yr4'!P27="","",'Cash Flow %s Yr4'!P27*'Revenue Input'!$H17))</f>
        <v/>
      </c>
      <c r="Q27" s="60" t="str">
        <f>IF('Revenue Input'!$H17="","",IF('Cash Flow %s Yr4'!Q27="","",'Cash Flow %s Yr4'!Q27*'Revenue Input'!$H17))</f>
        <v/>
      </c>
      <c r="R27" s="60" t="str">
        <f>IF('Revenue Input'!$H17="","",IF('Cash Flow %s Yr4'!R27="","",'Cash Flow %s Yr4'!R27*'Revenue Input'!$H17))</f>
        <v/>
      </c>
      <c r="S27" s="105" t="str">
        <f>IF(SUM(D27:R27)&gt;0,SUM(D27:R27)/'Revenue Input'!$H17,"")</f>
        <v/>
      </c>
    </row>
    <row r="28" spans="1:19" s="30" customFormat="1" ht="17.399999999999999" x14ac:dyDescent="0.3">
      <c r="A28" s="45"/>
      <c r="B28" s="61">
        <f>'Revenue Input'!B21</f>
        <v>8291</v>
      </c>
      <c r="C28" s="61" t="str">
        <f>'Revenue Input'!C21</f>
        <v>Title I</v>
      </c>
      <c r="D28" s="60">
        <f>IF('Revenue Input'!$H21="","",IF('Cash Flow %s Yr4'!D28="","",'Cash Flow %s Yr4'!D28*'Revenue Input'!$H21))</f>
        <v>0</v>
      </c>
      <c r="E28" s="60">
        <f>IF('Revenue Input'!$H21="","",IF('Cash Flow %s Yr4'!E28="","",'Cash Flow %s Yr4'!E28*'Revenue Input'!$H21))</f>
        <v>0</v>
      </c>
      <c r="F28" s="60">
        <f>IF('Revenue Input'!$H21="","",IF('Cash Flow %s Yr4'!F28="","",'Cash Flow %s Yr4'!F28*'Revenue Input'!$H21))</f>
        <v>0</v>
      </c>
      <c r="G28" s="60">
        <f>IF('Revenue Input'!$H21="","",IF('Cash Flow %s Yr4'!G28="","",'Cash Flow %s Yr4'!G28*'Revenue Input'!$H21))</f>
        <v>0</v>
      </c>
      <c r="H28" s="60">
        <f>IF('Revenue Input'!$H21="","",IF('Cash Flow %s Yr4'!H28="","",'Cash Flow %s Yr4'!H28*'Revenue Input'!$H21))</f>
        <v>0</v>
      </c>
      <c r="I28" s="60">
        <f>IF('Revenue Input'!$H21="","",IF('Cash Flow %s Yr4'!I28="","",'Cash Flow %s Yr4'!I28*'Revenue Input'!$H21))</f>
        <v>0</v>
      </c>
      <c r="J28" s="60">
        <f>IF('Revenue Input'!$H21="","",IF('Cash Flow %s Yr4'!J28="","",'Cash Flow %s Yr4'!J28*'Revenue Input'!$H21))</f>
        <v>7971.75</v>
      </c>
      <c r="K28" s="60">
        <f>IF('Revenue Input'!$H21="","",IF('Cash Flow %s Yr4'!K28="","",'Cash Flow %s Yr4'!K28*'Revenue Input'!$H21))</f>
        <v>0</v>
      </c>
      <c r="L28" s="60">
        <f>IF('Revenue Input'!$H21="","",IF('Cash Flow %s Yr4'!L28="","",'Cash Flow %s Yr4'!L28*'Revenue Input'!$H21))</f>
        <v>0</v>
      </c>
      <c r="M28" s="60">
        <f>IF('Revenue Input'!$H21="","",IF('Cash Flow %s Yr4'!M28="","",'Cash Flow %s Yr4'!M28*'Revenue Input'!$H21))</f>
        <v>15943.5</v>
      </c>
      <c r="N28" s="60">
        <f>IF('Revenue Input'!$H21="","",IF('Cash Flow %s Yr4'!N28="","",'Cash Flow %s Yr4'!N28*'Revenue Input'!$H21))</f>
        <v>0</v>
      </c>
      <c r="O28" s="60">
        <f>IF('Revenue Input'!$H21="","",IF('Cash Flow %s Yr4'!O28="","",'Cash Flow %s Yr4'!O28*'Revenue Input'!$H21))</f>
        <v>7971.75</v>
      </c>
      <c r="P28" s="60">
        <f>IF('Revenue Input'!$H21="","",IF('Cash Flow %s Yr4'!P28="","",'Cash Flow %s Yr4'!P28*'Revenue Input'!$H21))</f>
        <v>0</v>
      </c>
      <c r="Q28" s="60">
        <f>IF('Revenue Input'!$H21="","",IF('Cash Flow %s Yr4'!Q28="","",'Cash Flow %s Yr4'!Q28*'Revenue Input'!$H21))</f>
        <v>0</v>
      </c>
      <c r="R28" s="60">
        <f>IF('Revenue Input'!$H21="","",IF('Cash Flow %s Yr4'!R28="","",'Cash Flow %s Yr4'!R28*'Revenue Input'!$H21))</f>
        <v>0</v>
      </c>
      <c r="S28" s="105">
        <f>IF(SUM(D28:R28)&gt;0,SUM(D28:R28)/'Revenue Input'!$H21,"")</f>
        <v>1</v>
      </c>
    </row>
    <row r="29" spans="1:19" s="30" customFormat="1" ht="17.399999999999999" x14ac:dyDescent="0.3">
      <c r="A29" s="45"/>
      <c r="B29" s="61">
        <f>'Revenue Input'!B22</f>
        <v>8292</v>
      </c>
      <c r="C29" s="61" t="str">
        <f>'Revenue Input'!C22</f>
        <v>Title II</v>
      </c>
      <c r="D29" s="60">
        <f>IF('Revenue Input'!$H22="","",IF('Cash Flow %s Yr4'!D29="","",'Cash Flow %s Yr4'!D29*'Revenue Input'!$H22))</f>
        <v>0</v>
      </c>
      <c r="E29" s="60">
        <f>IF('Revenue Input'!$H22="","",IF('Cash Flow %s Yr4'!E29="","",'Cash Flow %s Yr4'!E29*'Revenue Input'!$H22))</f>
        <v>0</v>
      </c>
      <c r="F29" s="60">
        <f>IF('Revenue Input'!$H22="","",IF('Cash Flow %s Yr4'!F29="","",'Cash Flow %s Yr4'!F29*'Revenue Input'!$H22))</f>
        <v>0</v>
      </c>
      <c r="G29" s="60">
        <f>IF('Revenue Input'!$H22="","",IF('Cash Flow %s Yr4'!G29="","",'Cash Flow %s Yr4'!G29*'Revenue Input'!$H22))</f>
        <v>0</v>
      </c>
      <c r="H29" s="60">
        <f>IF('Revenue Input'!$H22="","",IF('Cash Flow %s Yr4'!H29="","",'Cash Flow %s Yr4'!H29*'Revenue Input'!$H22))</f>
        <v>0</v>
      </c>
      <c r="I29" s="60">
        <f>IF('Revenue Input'!$H22="","",IF('Cash Flow %s Yr4'!I29="","",'Cash Flow %s Yr4'!I29*'Revenue Input'!$H22))</f>
        <v>0</v>
      </c>
      <c r="J29" s="60">
        <f>IF('Revenue Input'!$H22="","",IF('Cash Flow %s Yr4'!J29="","",'Cash Flow %s Yr4'!J29*'Revenue Input'!$H22))</f>
        <v>1140</v>
      </c>
      <c r="K29" s="60">
        <f>IF('Revenue Input'!$H22="","",IF('Cash Flow %s Yr4'!K29="","",'Cash Flow %s Yr4'!K29*'Revenue Input'!$H22))</f>
        <v>0</v>
      </c>
      <c r="L29" s="60">
        <f>IF('Revenue Input'!$H22="","",IF('Cash Flow %s Yr4'!L29="","",'Cash Flow %s Yr4'!L29*'Revenue Input'!$H22))</f>
        <v>0</v>
      </c>
      <c r="M29" s="60">
        <f>IF('Revenue Input'!$H22="","",IF('Cash Flow %s Yr4'!M29="","",'Cash Flow %s Yr4'!M29*'Revenue Input'!$H22))</f>
        <v>2280</v>
      </c>
      <c r="N29" s="60">
        <f>IF('Revenue Input'!$H22="","",IF('Cash Flow %s Yr4'!N29="","",'Cash Flow %s Yr4'!N29*'Revenue Input'!$H22))</f>
        <v>0</v>
      </c>
      <c r="O29" s="60">
        <f>IF('Revenue Input'!$H22="","",IF('Cash Flow %s Yr4'!O29="","",'Cash Flow %s Yr4'!O29*'Revenue Input'!$H22))</f>
        <v>1140</v>
      </c>
      <c r="P29" s="60">
        <f>IF('Revenue Input'!$H22="","",IF('Cash Flow %s Yr4'!P29="","",'Cash Flow %s Yr4'!P29*'Revenue Input'!$H22))</f>
        <v>0</v>
      </c>
      <c r="Q29" s="60">
        <f>IF('Revenue Input'!$H22="","",IF('Cash Flow %s Yr4'!Q29="","",'Cash Flow %s Yr4'!Q29*'Revenue Input'!$H22))</f>
        <v>0</v>
      </c>
      <c r="R29" s="60">
        <f>IF('Revenue Input'!$H22="","",IF('Cash Flow %s Yr4'!R29="","",'Cash Flow %s Yr4'!R29*'Revenue Input'!$H22))</f>
        <v>0</v>
      </c>
      <c r="S29" s="105">
        <f>IF(SUM(D29:R29)&gt;0,SUM(D29:R29)/'Revenue Input'!$H22,"")</f>
        <v>1</v>
      </c>
    </row>
    <row r="30" spans="1:19" s="30" customFormat="1" ht="17.399999999999999" x14ac:dyDescent="0.3">
      <c r="A30" s="45"/>
      <c r="B30" s="61">
        <f>'Revenue Input'!B23</f>
        <v>8293</v>
      </c>
      <c r="C30" s="61" t="str">
        <f>'Revenue Input'!C23</f>
        <v>Title III</v>
      </c>
      <c r="D30" s="60" t="str">
        <f>IF('Revenue Input'!$H23="","",IF('Cash Flow %s Yr4'!D30="","",'Cash Flow %s Yr4'!D30*'Revenue Input'!$H23))</f>
        <v/>
      </c>
      <c r="E30" s="60" t="str">
        <f>IF('Revenue Input'!$H23="","",IF('Cash Flow %s Yr4'!E30="","",'Cash Flow %s Yr4'!E30*'Revenue Input'!$H23))</f>
        <v/>
      </c>
      <c r="F30" s="60" t="str">
        <f>IF('Revenue Input'!$H23="","",IF('Cash Flow %s Yr4'!F30="","",'Cash Flow %s Yr4'!F30*'Revenue Input'!$H23))</f>
        <v/>
      </c>
      <c r="G30" s="60" t="str">
        <f>IF('Revenue Input'!$H23="","",IF('Cash Flow %s Yr4'!G30="","",'Cash Flow %s Yr4'!G30*'Revenue Input'!$H23))</f>
        <v/>
      </c>
      <c r="H30" s="60" t="str">
        <f>IF('Revenue Input'!$H23="","",IF('Cash Flow %s Yr4'!H30="","",'Cash Flow %s Yr4'!H30*'Revenue Input'!$H23))</f>
        <v/>
      </c>
      <c r="I30" s="60" t="str">
        <f>IF('Revenue Input'!$H23="","",IF('Cash Flow %s Yr4'!I30="","",'Cash Flow %s Yr4'!I30*'Revenue Input'!$H23))</f>
        <v/>
      </c>
      <c r="J30" s="60" t="str">
        <f>IF('Revenue Input'!$H23="","",IF('Cash Flow %s Yr4'!J30="","",'Cash Flow %s Yr4'!J30*'Revenue Input'!$H23))</f>
        <v/>
      </c>
      <c r="K30" s="60" t="str">
        <f>IF('Revenue Input'!$H23="","",IF('Cash Flow %s Yr4'!K30="","",'Cash Flow %s Yr4'!K30*'Revenue Input'!$H23))</f>
        <v/>
      </c>
      <c r="L30" s="60" t="str">
        <f>IF('Revenue Input'!$H23="","",IF('Cash Flow %s Yr4'!L30="","",'Cash Flow %s Yr4'!L30*'Revenue Input'!$H23))</f>
        <v/>
      </c>
      <c r="M30" s="60" t="str">
        <f>IF('Revenue Input'!$H23="","",IF('Cash Flow %s Yr4'!M30="","",'Cash Flow %s Yr4'!M30*'Revenue Input'!$H23))</f>
        <v/>
      </c>
      <c r="N30" s="60" t="str">
        <f>IF('Revenue Input'!$H23="","",IF('Cash Flow %s Yr4'!N30="","",'Cash Flow %s Yr4'!N30*'Revenue Input'!$H23))</f>
        <v/>
      </c>
      <c r="O30" s="60" t="str">
        <f>IF('Revenue Input'!$H23="","",IF('Cash Flow %s Yr4'!O30="","",'Cash Flow %s Yr4'!O30*'Revenue Input'!$H23))</f>
        <v/>
      </c>
      <c r="P30" s="60" t="str">
        <f>IF('Revenue Input'!$H23="","",IF('Cash Flow %s Yr4'!P30="","",'Cash Flow %s Yr4'!P30*'Revenue Input'!$H23))</f>
        <v/>
      </c>
      <c r="Q30" s="60" t="str">
        <f>IF('Revenue Input'!$H23="","",IF('Cash Flow %s Yr4'!Q30="","",'Cash Flow %s Yr4'!Q30*'Revenue Input'!$H23))</f>
        <v/>
      </c>
      <c r="R30" s="60" t="str">
        <f>IF('Revenue Input'!$H23="","",IF('Cash Flow %s Yr4'!R30="","",'Cash Flow %s Yr4'!R30*'Revenue Input'!$H23))</f>
        <v/>
      </c>
      <c r="S30" s="105" t="str">
        <f>IF(SUM(D30:R30)&gt;0,SUM(D30:R30)/'Revenue Input'!$H23,"")</f>
        <v/>
      </c>
    </row>
    <row r="31" spans="1:19" s="30" customFormat="1" ht="17.399999999999999" x14ac:dyDescent="0.3">
      <c r="A31" s="45"/>
      <c r="B31" s="61">
        <f>'Revenue Input'!B24</f>
        <v>8294</v>
      </c>
      <c r="C31" s="61" t="str">
        <f>'Revenue Input'!C24</f>
        <v>Title IV</v>
      </c>
      <c r="D31" s="60">
        <f>IF('Revenue Input'!$H24="","",IF('Cash Flow %s Yr4'!D31="","",'Cash Flow %s Yr4'!D31*'Revenue Input'!$H24))</f>
        <v>0</v>
      </c>
      <c r="E31" s="60">
        <f>IF('Revenue Input'!$H24="","",IF('Cash Flow %s Yr4'!E31="","",'Cash Flow %s Yr4'!E31*'Revenue Input'!$H24))</f>
        <v>0</v>
      </c>
      <c r="F31" s="60">
        <f>IF('Revenue Input'!$H24="","",IF('Cash Flow %s Yr4'!F31="","",'Cash Flow %s Yr4'!F31*'Revenue Input'!$H24))</f>
        <v>0</v>
      </c>
      <c r="G31" s="60">
        <f>IF('Revenue Input'!$H24="","",IF('Cash Flow %s Yr4'!G31="","",'Cash Flow %s Yr4'!G31*'Revenue Input'!$H24))</f>
        <v>0</v>
      </c>
      <c r="H31" s="60">
        <f>IF('Revenue Input'!$H24="","",IF('Cash Flow %s Yr4'!H31="","",'Cash Flow %s Yr4'!H31*'Revenue Input'!$H24))</f>
        <v>0</v>
      </c>
      <c r="I31" s="60">
        <f>IF('Revenue Input'!$H24="","",IF('Cash Flow %s Yr4'!I31="","",'Cash Flow %s Yr4'!I31*'Revenue Input'!$H24))</f>
        <v>0</v>
      </c>
      <c r="J31" s="60">
        <f>IF('Revenue Input'!$H24="","",IF('Cash Flow %s Yr4'!J31="","",'Cash Flow %s Yr4'!J31*'Revenue Input'!$H24))</f>
        <v>2500</v>
      </c>
      <c r="K31" s="60">
        <f>IF('Revenue Input'!$H24="","",IF('Cash Flow %s Yr4'!K31="","",'Cash Flow %s Yr4'!K31*'Revenue Input'!$H24))</f>
        <v>0</v>
      </c>
      <c r="L31" s="60">
        <f>IF('Revenue Input'!$H24="","",IF('Cash Flow %s Yr4'!L31="","",'Cash Flow %s Yr4'!L31*'Revenue Input'!$H24))</f>
        <v>0</v>
      </c>
      <c r="M31" s="60">
        <f>IF('Revenue Input'!$H24="","",IF('Cash Flow %s Yr4'!M31="","",'Cash Flow %s Yr4'!M31*'Revenue Input'!$H24))</f>
        <v>5000</v>
      </c>
      <c r="N31" s="60">
        <f>IF('Revenue Input'!$H24="","",IF('Cash Flow %s Yr4'!N31="","",'Cash Flow %s Yr4'!N31*'Revenue Input'!$H24))</f>
        <v>0</v>
      </c>
      <c r="O31" s="60">
        <f>IF('Revenue Input'!$H24="","",IF('Cash Flow %s Yr4'!O31="","",'Cash Flow %s Yr4'!O31*'Revenue Input'!$H24))</f>
        <v>2500</v>
      </c>
      <c r="P31" s="60">
        <f>IF('Revenue Input'!$H24="","",IF('Cash Flow %s Yr4'!P31="","",'Cash Flow %s Yr4'!P31*'Revenue Input'!$H24))</f>
        <v>0</v>
      </c>
      <c r="Q31" s="60">
        <f>IF('Revenue Input'!$H24="","",IF('Cash Flow %s Yr4'!Q31="","",'Cash Flow %s Yr4'!Q31*'Revenue Input'!$H24))</f>
        <v>0</v>
      </c>
      <c r="R31" s="60">
        <f>IF('Revenue Input'!$H24="","",IF('Cash Flow %s Yr4'!R31="","",'Cash Flow %s Yr4'!R31*'Revenue Input'!$H24))</f>
        <v>0</v>
      </c>
      <c r="S31" s="105">
        <f>IF(SUM(D31:R31)&gt;0,SUM(D31:R31)/'Revenue Input'!$H24,"")</f>
        <v>1</v>
      </c>
    </row>
    <row r="32" spans="1:19" s="30" customFormat="1" ht="17.399999999999999" x14ac:dyDescent="0.3">
      <c r="A32" s="45"/>
      <c r="B32" s="61">
        <f>'Revenue Input'!B25</f>
        <v>8295</v>
      </c>
      <c r="C32" s="61" t="str">
        <f>'Revenue Input'!C25</f>
        <v>Title V</v>
      </c>
      <c r="D32" s="60" t="str">
        <f>IF('Revenue Input'!$H25="","",IF('Cash Flow %s Yr4'!D32="","",'Cash Flow %s Yr4'!D32*'Revenue Input'!$H25))</f>
        <v/>
      </c>
      <c r="E32" s="60" t="str">
        <f>IF('Revenue Input'!$H25="","",IF('Cash Flow %s Yr4'!E32="","",'Cash Flow %s Yr4'!E32*'Revenue Input'!$H25))</f>
        <v/>
      </c>
      <c r="F32" s="60" t="str">
        <f>IF('Revenue Input'!$H25="","",IF('Cash Flow %s Yr4'!F32="","",'Cash Flow %s Yr4'!F32*'Revenue Input'!$H25))</f>
        <v/>
      </c>
      <c r="G32" s="60" t="str">
        <f>IF('Revenue Input'!$H25="","",IF('Cash Flow %s Yr4'!G32="","",'Cash Flow %s Yr4'!G32*'Revenue Input'!$H25))</f>
        <v/>
      </c>
      <c r="H32" s="60" t="str">
        <f>IF('Revenue Input'!$H25="","",IF('Cash Flow %s Yr4'!H32="","",'Cash Flow %s Yr4'!H32*'Revenue Input'!$H25))</f>
        <v/>
      </c>
      <c r="I32" s="60" t="str">
        <f>IF('Revenue Input'!$H25="","",IF('Cash Flow %s Yr4'!I32="","",'Cash Flow %s Yr4'!I32*'Revenue Input'!$H25))</f>
        <v/>
      </c>
      <c r="J32" s="60" t="str">
        <f>IF('Revenue Input'!$H25="","",IF('Cash Flow %s Yr4'!J32="","",'Cash Flow %s Yr4'!J32*'Revenue Input'!$H25))</f>
        <v/>
      </c>
      <c r="K32" s="60" t="str">
        <f>IF('Revenue Input'!$H25="","",IF('Cash Flow %s Yr4'!K32="","",'Cash Flow %s Yr4'!K32*'Revenue Input'!$H25))</f>
        <v/>
      </c>
      <c r="L32" s="60" t="str">
        <f>IF('Revenue Input'!$H25="","",IF('Cash Flow %s Yr4'!L32="","",'Cash Flow %s Yr4'!L32*'Revenue Input'!$H25))</f>
        <v/>
      </c>
      <c r="M32" s="60" t="str">
        <f>IF('Revenue Input'!$H25="","",IF('Cash Flow %s Yr4'!M32="","",'Cash Flow %s Yr4'!M32*'Revenue Input'!$H25))</f>
        <v/>
      </c>
      <c r="N32" s="60" t="str">
        <f>IF('Revenue Input'!$H25="","",IF('Cash Flow %s Yr4'!N32="","",'Cash Flow %s Yr4'!N32*'Revenue Input'!$H25))</f>
        <v/>
      </c>
      <c r="O32" s="60" t="str">
        <f>IF('Revenue Input'!$H25="","",IF('Cash Flow %s Yr4'!O32="","",'Cash Flow %s Yr4'!O32*'Revenue Input'!$H25))</f>
        <v/>
      </c>
      <c r="P32" s="60" t="str">
        <f>IF('Revenue Input'!$H25="","",IF('Cash Flow %s Yr4'!P32="","",'Cash Flow %s Yr4'!P32*'Revenue Input'!$H25))</f>
        <v/>
      </c>
      <c r="Q32" s="60" t="str">
        <f>IF('Revenue Input'!$H25="","",IF('Cash Flow %s Yr4'!Q32="","",'Cash Flow %s Yr4'!Q32*'Revenue Input'!$H25))</f>
        <v/>
      </c>
      <c r="R32" s="60" t="str">
        <f>IF('Revenue Input'!$H25="","",IF('Cash Flow %s Yr4'!R32="","",'Cash Flow %s Yr4'!R32*'Revenue Input'!$H25))</f>
        <v/>
      </c>
      <c r="S32" s="105" t="str">
        <f>IF(SUM(D32:R32)&gt;0,SUM(D32:R32)/'Revenue Input'!$H25,"")</f>
        <v/>
      </c>
    </row>
    <row r="33" spans="1:19" s="30" customFormat="1" ht="17.399999999999999" x14ac:dyDescent="0.3">
      <c r="A33" s="45"/>
      <c r="B33" s="61">
        <f>'Revenue Input'!B26</f>
        <v>8299</v>
      </c>
      <c r="C33" s="61" t="str">
        <f>'Revenue Input'!C26</f>
        <v>Prior Year Federal Revenue</v>
      </c>
      <c r="D33" s="60" t="str">
        <f>IF('Revenue Input'!$H26="","",IF('Cash Flow %s Yr4'!D33="","",'Cash Flow %s Yr4'!D33*'Revenue Input'!$H26))</f>
        <v/>
      </c>
      <c r="E33" s="60" t="str">
        <f>IF('Revenue Input'!$H26="","",IF('Cash Flow %s Yr4'!E33="","",'Cash Flow %s Yr4'!E33*'Revenue Input'!$H26))</f>
        <v/>
      </c>
      <c r="F33" s="60" t="str">
        <f>IF('Revenue Input'!$H26="","",IF('Cash Flow %s Yr4'!F33="","",'Cash Flow %s Yr4'!F33*'Revenue Input'!$H26))</f>
        <v/>
      </c>
      <c r="G33" s="60" t="str">
        <f>IF('Revenue Input'!$H26="","",IF('Cash Flow %s Yr4'!G33="","",'Cash Flow %s Yr4'!G33*'Revenue Input'!$H26))</f>
        <v/>
      </c>
      <c r="H33" s="60" t="str">
        <f>IF('Revenue Input'!$H26="","",IF('Cash Flow %s Yr4'!H33="","",'Cash Flow %s Yr4'!H33*'Revenue Input'!$H26))</f>
        <v/>
      </c>
      <c r="I33" s="60" t="str">
        <f>IF('Revenue Input'!$H26="","",IF('Cash Flow %s Yr4'!I33="","",'Cash Flow %s Yr4'!I33*'Revenue Input'!$H26))</f>
        <v/>
      </c>
      <c r="J33" s="60" t="str">
        <f>IF('Revenue Input'!$H26="","",IF('Cash Flow %s Yr4'!J33="","",'Cash Flow %s Yr4'!J33*'Revenue Input'!$H26))</f>
        <v/>
      </c>
      <c r="K33" s="60" t="str">
        <f>IF('Revenue Input'!$H26="","",IF('Cash Flow %s Yr4'!K33="","",'Cash Flow %s Yr4'!K33*'Revenue Input'!$H26))</f>
        <v/>
      </c>
      <c r="L33" s="60" t="str">
        <f>IF('Revenue Input'!$H26="","",IF('Cash Flow %s Yr4'!L33="","",'Cash Flow %s Yr4'!L33*'Revenue Input'!$H26))</f>
        <v/>
      </c>
      <c r="M33" s="60" t="str">
        <f>IF('Revenue Input'!$H26="","",IF('Cash Flow %s Yr4'!M33="","",'Cash Flow %s Yr4'!M33*'Revenue Input'!$H26))</f>
        <v/>
      </c>
      <c r="N33" s="60" t="str">
        <f>IF('Revenue Input'!$H26="","",IF('Cash Flow %s Yr4'!N33="","",'Cash Flow %s Yr4'!N33*'Revenue Input'!$H26))</f>
        <v/>
      </c>
      <c r="O33" s="60" t="str">
        <f>IF('Revenue Input'!$H26="","",IF('Cash Flow %s Yr4'!O33="","",'Cash Flow %s Yr4'!O33*'Revenue Input'!$H26))</f>
        <v/>
      </c>
      <c r="P33" s="60" t="str">
        <f>IF('Revenue Input'!$H26="","",IF('Cash Flow %s Yr4'!P33="","",'Cash Flow %s Yr4'!P33*'Revenue Input'!$H26))</f>
        <v/>
      </c>
      <c r="Q33" s="60" t="str">
        <f>IF('Revenue Input'!$H26="","",IF('Cash Flow %s Yr4'!Q33="","",'Cash Flow %s Yr4'!Q33*'Revenue Input'!$H26))</f>
        <v/>
      </c>
      <c r="R33" s="60" t="str">
        <f>IF('Revenue Input'!$H26="","",IF('Cash Flow %s Yr4'!R33="","",'Cash Flow %s Yr4'!R33*'Revenue Input'!$H26))</f>
        <v/>
      </c>
      <c r="S33" s="105" t="str">
        <f>IF(SUM(D33:R33)&gt;0,SUM(D33:R33)/'Revenue Input'!$H26,"")</f>
        <v/>
      </c>
    </row>
    <row r="34" spans="1:19" s="30" customFormat="1" ht="17.399999999999999" x14ac:dyDescent="0.3">
      <c r="A34" s="45"/>
      <c r="B34" s="69"/>
      <c r="C34" s="33" t="s">
        <v>720</v>
      </c>
      <c r="D34" s="165">
        <f>SUM(D26:D33)</f>
        <v>0</v>
      </c>
      <c r="E34" s="165">
        <f t="shared" ref="E34:R34" si="1">SUM(E26:E33)</f>
        <v>0</v>
      </c>
      <c r="F34" s="165">
        <f t="shared" si="1"/>
        <v>0</v>
      </c>
      <c r="G34" s="165">
        <f t="shared" si="1"/>
        <v>0</v>
      </c>
      <c r="H34" s="165">
        <f t="shared" si="1"/>
        <v>0</v>
      </c>
      <c r="I34" s="165">
        <f t="shared" si="1"/>
        <v>0</v>
      </c>
      <c r="J34" s="165">
        <f t="shared" si="1"/>
        <v>11611.75</v>
      </c>
      <c r="K34" s="165">
        <f t="shared" si="1"/>
        <v>0</v>
      </c>
      <c r="L34" s="165">
        <f t="shared" si="1"/>
        <v>0</v>
      </c>
      <c r="M34" s="165">
        <f t="shared" si="1"/>
        <v>23223.5</v>
      </c>
      <c r="N34" s="165">
        <f t="shared" si="1"/>
        <v>0</v>
      </c>
      <c r="O34" s="165">
        <f t="shared" si="1"/>
        <v>11611.75</v>
      </c>
      <c r="P34" s="165">
        <f t="shared" si="1"/>
        <v>0</v>
      </c>
      <c r="Q34" s="165">
        <f t="shared" si="1"/>
        <v>0</v>
      </c>
      <c r="R34" s="165">
        <f t="shared" si="1"/>
        <v>0</v>
      </c>
      <c r="S34" s="101"/>
    </row>
    <row r="35" spans="1:19" s="30" customFormat="1" ht="17.399999999999999" x14ac:dyDescent="0.3">
      <c r="A35" s="45"/>
      <c r="B35" s="68"/>
      <c r="C35" s="48"/>
      <c r="D35" s="120"/>
      <c r="E35" s="120"/>
      <c r="F35" s="120"/>
      <c r="G35" s="120"/>
      <c r="H35" s="120"/>
      <c r="I35" s="120"/>
      <c r="J35" s="120"/>
      <c r="K35" s="120"/>
      <c r="L35" s="120"/>
      <c r="M35" s="120"/>
      <c r="N35" s="120"/>
      <c r="O35" s="120"/>
      <c r="P35" s="120"/>
      <c r="Q35" s="120"/>
      <c r="R35" s="120"/>
    </row>
    <row r="36" spans="1:19" s="30" customFormat="1" ht="17.399999999999999" x14ac:dyDescent="0.3">
      <c r="B36" s="45" t="s">
        <v>790</v>
      </c>
      <c r="C36" s="48"/>
      <c r="D36" s="120"/>
      <c r="E36" s="120"/>
      <c r="F36" s="120"/>
      <c r="G36" s="120"/>
      <c r="H36" s="120"/>
      <c r="I36" s="120"/>
      <c r="J36" s="120"/>
      <c r="K36" s="120"/>
      <c r="L36" s="120"/>
      <c r="M36" s="120"/>
      <c r="N36" s="120"/>
      <c r="O36" s="120"/>
      <c r="P36" s="120"/>
      <c r="Q36" s="120"/>
      <c r="R36" s="120"/>
    </row>
    <row r="37" spans="1:19" s="30" customFormat="1" ht="17.399999999999999" x14ac:dyDescent="0.3">
      <c r="A37" s="45"/>
      <c r="B37" s="61">
        <f>'Revenue Input'!B44</f>
        <v>8660</v>
      </c>
      <c r="C37" s="61" t="str">
        <f>'Revenue Input'!C44</f>
        <v>Interest</v>
      </c>
      <c r="D37" s="60">
        <f>IF('Revenue Input'!$H44="","",IF('Cash Flow %s Yr4'!D37="","",'Cash Flow %s Yr4'!D37*'Revenue Input'!$H44))</f>
        <v>890.00900000000001</v>
      </c>
      <c r="E37" s="60">
        <f>IF('Revenue Input'!$H44="","",IF('Cash Flow %s Yr4'!E37="","",'Cash Flow %s Yr4'!E37*'Revenue Input'!$H44))</f>
        <v>890.00900000000001</v>
      </c>
      <c r="F37" s="60">
        <f>IF('Revenue Input'!$H44="","",IF('Cash Flow %s Yr4'!F37="","",'Cash Flow %s Yr4'!F37*'Revenue Input'!$H44))</f>
        <v>890.00900000000001</v>
      </c>
      <c r="G37" s="60">
        <f>IF('Revenue Input'!$H44="","",IF('Cash Flow %s Yr4'!G37="","",'Cash Flow %s Yr4'!G37*'Revenue Input'!$H44))</f>
        <v>890.00900000000001</v>
      </c>
      <c r="H37" s="60">
        <f>IF('Revenue Input'!$H44="","",IF('Cash Flow %s Yr4'!H37="","",'Cash Flow %s Yr4'!H37*'Revenue Input'!$H44))</f>
        <v>890.00900000000001</v>
      </c>
      <c r="I37" s="60">
        <f>IF('Revenue Input'!$H44="","",IF('Cash Flow %s Yr4'!I37="","",'Cash Flow %s Yr4'!I37*'Revenue Input'!$H44))</f>
        <v>890.00900000000001</v>
      </c>
      <c r="J37" s="60">
        <f>IF('Revenue Input'!$H44="","",IF('Cash Flow %s Yr4'!J37="","",'Cash Flow %s Yr4'!J37*'Revenue Input'!$H44))</f>
        <v>890.00900000000001</v>
      </c>
      <c r="K37" s="60">
        <f>IF('Revenue Input'!$H44="","",IF('Cash Flow %s Yr4'!K37="","",'Cash Flow %s Yr4'!K37*'Revenue Input'!$H44))</f>
        <v>890.00900000000001</v>
      </c>
      <c r="L37" s="60">
        <f>IF('Revenue Input'!$H44="","",IF('Cash Flow %s Yr4'!L37="","",'Cash Flow %s Yr4'!L37*'Revenue Input'!$H44))</f>
        <v>900.73200000000008</v>
      </c>
      <c r="M37" s="60">
        <f>IF('Revenue Input'!$H44="","",IF('Cash Flow %s Yr4'!M37="","",'Cash Flow %s Yr4'!M37*'Revenue Input'!$H44))</f>
        <v>900.73200000000008</v>
      </c>
      <c r="N37" s="60">
        <f>IF('Revenue Input'!$H44="","",IF('Cash Flow %s Yr4'!N37="","",'Cash Flow %s Yr4'!N37*'Revenue Input'!$H44))</f>
        <v>900.73200000000008</v>
      </c>
      <c r="O37" s="60">
        <f>IF('Revenue Input'!$H44="","",IF('Cash Flow %s Yr4'!O37="","",'Cash Flow %s Yr4'!O37*'Revenue Input'!$H44))</f>
        <v>900.73200000000008</v>
      </c>
      <c r="P37" s="60">
        <f>IF('Revenue Input'!$H44="","",IF('Cash Flow %s Yr4'!P37="","",'Cash Flow %s Yr4'!P37*'Revenue Input'!$H44))</f>
        <v>0</v>
      </c>
      <c r="Q37" s="60">
        <f>IF('Revenue Input'!$H44="","",IF('Cash Flow %s Yr4'!Q37="","",'Cash Flow %s Yr4'!Q37*'Revenue Input'!$H44))</f>
        <v>0</v>
      </c>
      <c r="R37" s="60">
        <f>IF('Revenue Input'!$H44="","",IF('Cash Flow %s Yr4'!R37="","",'Cash Flow %s Yr4'!R37*'Revenue Input'!$H44))</f>
        <v>0</v>
      </c>
      <c r="S37" s="105">
        <f>IF(SUM(D37:R37)&gt;0,SUM(D37:R37)/'Revenue Input'!$H44,"")</f>
        <v>1</v>
      </c>
    </row>
    <row r="38" spans="1:19" s="30" customFormat="1" ht="17.399999999999999" x14ac:dyDescent="0.3">
      <c r="A38" s="45"/>
      <c r="B38" s="61">
        <f>'Revenue Input'!B45</f>
        <v>8682</v>
      </c>
      <c r="C38" s="61" t="str">
        <f>'Revenue Input'!C45</f>
        <v>Foundation Grants / Donations</v>
      </c>
      <c r="D38" s="60">
        <f>IF('Revenue Input'!$H45="","",IF('Cash Flow %s Yr4'!D38="","",'Cash Flow %s Yr4'!D38*'Revenue Input'!$H45))</f>
        <v>0</v>
      </c>
      <c r="E38" s="60">
        <f>IF('Revenue Input'!$H45="","",IF('Cash Flow %s Yr4'!E38="","",'Cash Flow %s Yr4'!E38*'Revenue Input'!$H45))</f>
        <v>0</v>
      </c>
      <c r="F38" s="60">
        <f>IF('Revenue Input'!$H45="","",IF('Cash Flow %s Yr4'!F38="","",'Cash Flow %s Yr4'!F38*'Revenue Input'!$H45))</f>
        <v>303.60000000000002</v>
      </c>
      <c r="G38" s="60">
        <f>IF('Revenue Input'!$H45="","",IF('Cash Flow %s Yr4'!G38="","",'Cash Flow %s Yr4'!G38*'Revenue Input'!$H45))</f>
        <v>303.60000000000002</v>
      </c>
      <c r="H38" s="60">
        <f>IF('Revenue Input'!$H45="","",IF('Cash Flow %s Yr4'!H38="","",'Cash Flow %s Yr4'!H38*'Revenue Input'!$H45))</f>
        <v>303.60000000000002</v>
      </c>
      <c r="I38" s="60">
        <f>IF('Revenue Input'!$H45="","",IF('Cash Flow %s Yr4'!I38="","",'Cash Flow %s Yr4'!I38*'Revenue Input'!$H45))</f>
        <v>303.60000000000002</v>
      </c>
      <c r="J38" s="60">
        <f>IF('Revenue Input'!$H45="","",IF('Cash Flow %s Yr4'!J38="","",'Cash Flow %s Yr4'!J38*'Revenue Input'!$H45))</f>
        <v>303.60000000000002</v>
      </c>
      <c r="K38" s="60">
        <f>IF('Revenue Input'!$H45="","",IF('Cash Flow %s Yr4'!K38="","",'Cash Flow %s Yr4'!K38*'Revenue Input'!$H45))</f>
        <v>303.60000000000002</v>
      </c>
      <c r="L38" s="60">
        <f>IF('Revenue Input'!$H45="","",IF('Cash Flow %s Yr4'!L38="","",'Cash Flow %s Yr4'!L38*'Revenue Input'!$H45))</f>
        <v>303.60000000000002</v>
      </c>
      <c r="M38" s="60">
        <f>IF('Revenue Input'!$H45="","",IF('Cash Flow %s Yr4'!M38="","",'Cash Flow %s Yr4'!M38*'Revenue Input'!$H45))</f>
        <v>303.60000000000002</v>
      </c>
      <c r="N38" s="60">
        <f>IF('Revenue Input'!$H45="","",IF('Cash Flow %s Yr4'!N38="","",'Cash Flow %s Yr4'!N38*'Revenue Input'!$H45))</f>
        <v>303.60000000000002</v>
      </c>
      <c r="O38" s="60">
        <f>IF('Revenue Input'!$H45="","",IF('Cash Flow %s Yr4'!O38="","",'Cash Flow %s Yr4'!O38*'Revenue Input'!$H45))</f>
        <v>303.60000000000002</v>
      </c>
      <c r="P38" s="60">
        <f>IF('Revenue Input'!$H45="","",IF('Cash Flow %s Yr4'!P38="","",'Cash Flow %s Yr4'!P38*'Revenue Input'!$H45))</f>
        <v>0</v>
      </c>
      <c r="Q38" s="60">
        <f>IF('Revenue Input'!$H45="","",IF('Cash Flow %s Yr4'!Q38="","",'Cash Flow %s Yr4'!Q38*'Revenue Input'!$H45))</f>
        <v>0</v>
      </c>
      <c r="R38" s="60">
        <f>IF('Revenue Input'!$H45="","",IF('Cash Flow %s Yr4'!R38="","",'Cash Flow %s Yr4'!R38*'Revenue Input'!$H45))</f>
        <v>0</v>
      </c>
      <c r="S38" s="105">
        <f>IF(SUM(D38:R38)&gt;0,SUM(D38:R38)/'Revenue Input'!$H45,"")</f>
        <v>0.99999999999999989</v>
      </c>
    </row>
    <row r="39" spans="1:19" s="30" customFormat="1" ht="17.399999999999999" x14ac:dyDescent="0.3">
      <c r="A39" s="45"/>
      <c r="B39" s="61">
        <f>'Revenue Input'!B46</f>
        <v>8684</v>
      </c>
      <c r="C39" s="61" t="str">
        <f>'Revenue Input'!C46</f>
        <v>Student  Body (ASB) Fundraising Revenue</v>
      </c>
      <c r="D39" s="60" t="str">
        <f>IF('Revenue Input'!$H46="","",IF('Cash Flow %s Yr4'!D39="","",'Cash Flow %s Yr4'!D39*'Revenue Input'!$H46))</f>
        <v/>
      </c>
      <c r="E39" s="60" t="str">
        <f>IF('Revenue Input'!$H46="","",IF('Cash Flow %s Yr4'!E39="","",'Cash Flow %s Yr4'!E39*'Revenue Input'!$H46))</f>
        <v/>
      </c>
      <c r="F39" s="60" t="str">
        <f>IF('Revenue Input'!$H46="","",IF('Cash Flow %s Yr4'!F39="","",'Cash Flow %s Yr4'!F39*'Revenue Input'!$H46))</f>
        <v/>
      </c>
      <c r="G39" s="60" t="str">
        <f>IF('Revenue Input'!$H46="","",IF('Cash Flow %s Yr4'!G39="","",'Cash Flow %s Yr4'!G39*'Revenue Input'!$H46))</f>
        <v/>
      </c>
      <c r="H39" s="60" t="str">
        <f>IF('Revenue Input'!$H46="","",IF('Cash Flow %s Yr4'!H39="","",'Cash Flow %s Yr4'!H39*'Revenue Input'!$H46))</f>
        <v/>
      </c>
      <c r="I39" s="60" t="str">
        <f>IF('Revenue Input'!$H46="","",IF('Cash Flow %s Yr4'!I39="","",'Cash Flow %s Yr4'!I39*'Revenue Input'!$H46))</f>
        <v/>
      </c>
      <c r="J39" s="60" t="str">
        <f>IF('Revenue Input'!$H46="","",IF('Cash Flow %s Yr4'!J39="","",'Cash Flow %s Yr4'!J39*'Revenue Input'!$H46))</f>
        <v/>
      </c>
      <c r="K39" s="60" t="str">
        <f>IF('Revenue Input'!$H46="","",IF('Cash Flow %s Yr4'!K39="","",'Cash Flow %s Yr4'!K39*'Revenue Input'!$H46))</f>
        <v/>
      </c>
      <c r="L39" s="60" t="str">
        <f>IF('Revenue Input'!$H46="","",IF('Cash Flow %s Yr4'!L39="","",'Cash Flow %s Yr4'!L39*'Revenue Input'!$H46))</f>
        <v/>
      </c>
      <c r="M39" s="60" t="str">
        <f>IF('Revenue Input'!$H46="","",IF('Cash Flow %s Yr4'!M39="","",'Cash Flow %s Yr4'!M39*'Revenue Input'!$H46))</f>
        <v/>
      </c>
      <c r="N39" s="60" t="str">
        <f>IF('Revenue Input'!$H46="","",IF('Cash Flow %s Yr4'!N39="","",'Cash Flow %s Yr4'!N39*'Revenue Input'!$H46))</f>
        <v/>
      </c>
      <c r="O39" s="60" t="str">
        <f>IF('Revenue Input'!$H46="","",IF('Cash Flow %s Yr4'!O39="","",'Cash Flow %s Yr4'!O39*'Revenue Input'!$H46))</f>
        <v/>
      </c>
      <c r="P39" s="60" t="str">
        <f>IF('Revenue Input'!$H46="","",IF('Cash Flow %s Yr4'!P39="","",'Cash Flow %s Yr4'!P39*'Revenue Input'!$H46))</f>
        <v/>
      </c>
      <c r="Q39" s="60" t="str">
        <f>IF('Revenue Input'!$H46="","",IF('Cash Flow %s Yr4'!Q39="","",'Cash Flow %s Yr4'!Q39*'Revenue Input'!$H46))</f>
        <v/>
      </c>
      <c r="R39" s="60" t="str">
        <f>IF('Revenue Input'!$H46="","",IF('Cash Flow %s Yr4'!R39="","",'Cash Flow %s Yr4'!R39*'Revenue Input'!$H46))</f>
        <v/>
      </c>
      <c r="S39" s="105" t="str">
        <f>IF(SUM(D39:R39)&gt;0,SUM(D39:R39)/'Revenue Input'!$H46,"")</f>
        <v/>
      </c>
    </row>
    <row r="40" spans="1:19" s="30" customFormat="1" x14ac:dyDescent="0.3">
      <c r="A40" s="47"/>
      <c r="B40" s="61">
        <f>'Revenue Input'!B47</f>
        <v>8685</v>
      </c>
      <c r="C40" s="61" t="str">
        <f>'Revenue Input'!C47</f>
        <v>School Site Fundraising</v>
      </c>
      <c r="D40" s="60">
        <f>IF('Revenue Input'!$H47="","",IF('Cash Flow %s Yr4'!D40="","",'Cash Flow %s Yr4'!D40*'Revenue Input'!$H47))</f>
        <v>0</v>
      </c>
      <c r="E40" s="60">
        <f>IF('Revenue Input'!$H47="","",IF('Cash Flow %s Yr4'!E40="","",'Cash Flow %s Yr4'!E40*'Revenue Input'!$H47))</f>
        <v>0</v>
      </c>
      <c r="F40" s="60">
        <f>IF('Revenue Input'!$H47="","",IF('Cash Flow %s Yr4'!F40="","",'Cash Flow %s Yr4'!F40*'Revenue Input'!$H47))</f>
        <v>1793.9</v>
      </c>
      <c r="G40" s="60">
        <f>IF('Revenue Input'!$H47="","",IF('Cash Flow %s Yr4'!G40="","",'Cash Flow %s Yr4'!G40*'Revenue Input'!$H47))</f>
        <v>1793.9</v>
      </c>
      <c r="H40" s="60">
        <f>IF('Revenue Input'!$H47="","",IF('Cash Flow %s Yr4'!H40="","",'Cash Flow %s Yr4'!H40*'Revenue Input'!$H47))</f>
        <v>1793.9</v>
      </c>
      <c r="I40" s="60">
        <f>IF('Revenue Input'!$H47="","",IF('Cash Flow %s Yr4'!I40="","",'Cash Flow %s Yr4'!I40*'Revenue Input'!$H47))</f>
        <v>1793.9</v>
      </c>
      <c r="J40" s="60">
        <f>IF('Revenue Input'!$H47="","",IF('Cash Flow %s Yr4'!J40="","",'Cash Flow %s Yr4'!J40*'Revenue Input'!$H47))</f>
        <v>1793.9</v>
      </c>
      <c r="K40" s="60">
        <f>IF('Revenue Input'!$H47="","",IF('Cash Flow %s Yr4'!K40="","",'Cash Flow %s Yr4'!K40*'Revenue Input'!$H47))</f>
        <v>1793.9</v>
      </c>
      <c r="L40" s="60">
        <f>IF('Revenue Input'!$H47="","",IF('Cash Flow %s Yr4'!L40="","",'Cash Flow %s Yr4'!L40*'Revenue Input'!$H47))</f>
        <v>1793.9</v>
      </c>
      <c r="M40" s="60">
        <f>IF('Revenue Input'!$H47="","",IF('Cash Flow %s Yr4'!M40="","",'Cash Flow %s Yr4'!M40*'Revenue Input'!$H47))</f>
        <v>1793.9</v>
      </c>
      <c r="N40" s="60">
        <f>IF('Revenue Input'!$H47="","",IF('Cash Flow %s Yr4'!N40="","",'Cash Flow %s Yr4'!N40*'Revenue Input'!$H47))</f>
        <v>1793.9</v>
      </c>
      <c r="O40" s="60">
        <f>IF('Revenue Input'!$H47="","",IF('Cash Flow %s Yr4'!O40="","",'Cash Flow %s Yr4'!O40*'Revenue Input'!$H47))</f>
        <v>1793.9</v>
      </c>
      <c r="P40" s="60">
        <f>IF('Revenue Input'!$H47="","",IF('Cash Flow %s Yr4'!P40="","",'Cash Flow %s Yr4'!P40*'Revenue Input'!$H47))</f>
        <v>0</v>
      </c>
      <c r="Q40" s="60">
        <f>IF('Revenue Input'!$H47="","",IF('Cash Flow %s Yr4'!Q40="","",'Cash Flow %s Yr4'!Q40*'Revenue Input'!$H47))</f>
        <v>0</v>
      </c>
      <c r="R40" s="60">
        <f>IF('Revenue Input'!$H47="","",IF('Cash Flow %s Yr4'!R40="","",'Cash Flow %s Yr4'!R40*'Revenue Input'!$H47))</f>
        <v>0</v>
      </c>
      <c r="S40" s="105">
        <f>IF(SUM(D40:R40)&gt;0,SUM(D40:R40)/'Revenue Input'!$H47,"")</f>
        <v>1</v>
      </c>
    </row>
    <row r="41" spans="1:19" s="30" customFormat="1" x14ac:dyDescent="0.3">
      <c r="A41" s="48"/>
      <c r="B41" s="61">
        <f>'Revenue Input'!B48</f>
        <v>8686</v>
      </c>
      <c r="C41" s="61" t="str">
        <f>'Revenue Input'!C48</f>
        <v>Donations</v>
      </c>
      <c r="D41" s="60" t="str">
        <f>IF('Revenue Input'!$H48="","",IF('Cash Flow %s Yr4'!D41="","",'Cash Flow %s Yr4'!D41*'Revenue Input'!$H48))</f>
        <v/>
      </c>
      <c r="E41" s="60" t="str">
        <f>IF('Revenue Input'!$H48="","",IF('Cash Flow %s Yr4'!E41="","",'Cash Flow %s Yr4'!E41*'Revenue Input'!$H48))</f>
        <v/>
      </c>
      <c r="F41" s="60" t="str">
        <f>IF('Revenue Input'!$H48="","",IF('Cash Flow %s Yr4'!F41="","",'Cash Flow %s Yr4'!F41*'Revenue Input'!$H48))</f>
        <v/>
      </c>
      <c r="G41" s="60" t="str">
        <f>IF('Revenue Input'!$H48="","",IF('Cash Flow %s Yr4'!G41="","",'Cash Flow %s Yr4'!G41*'Revenue Input'!$H48))</f>
        <v/>
      </c>
      <c r="H41" s="60" t="str">
        <f>IF('Revenue Input'!$H48="","",IF('Cash Flow %s Yr4'!H41="","",'Cash Flow %s Yr4'!H41*'Revenue Input'!$H48))</f>
        <v/>
      </c>
      <c r="I41" s="60" t="str">
        <f>IF('Revenue Input'!$H48="","",IF('Cash Flow %s Yr4'!I41="","",'Cash Flow %s Yr4'!I41*'Revenue Input'!$H48))</f>
        <v/>
      </c>
      <c r="J41" s="60" t="str">
        <f>IF('Revenue Input'!$H48="","",IF('Cash Flow %s Yr4'!J41="","",'Cash Flow %s Yr4'!J41*'Revenue Input'!$H48))</f>
        <v/>
      </c>
      <c r="K41" s="60" t="str">
        <f>IF('Revenue Input'!$H48="","",IF('Cash Flow %s Yr4'!K41="","",'Cash Flow %s Yr4'!K41*'Revenue Input'!$H48))</f>
        <v/>
      </c>
      <c r="L41" s="60" t="str">
        <f>IF('Revenue Input'!$H48="","",IF('Cash Flow %s Yr4'!L41="","",'Cash Flow %s Yr4'!L41*'Revenue Input'!$H48))</f>
        <v/>
      </c>
      <c r="M41" s="60" t="str">
        <f>IF('Revenue Input'!$H48="","",IF('Cash Flow %s Yr4'!M41="","",'Cash Flow %s Yr4'!M41*'Revenue Input'!$H48))</f>
        <v/>
      </c>
      <c r="N41" s="60" t="str">
        <f>IF('Revenue Input'!$H48="","",IF('Cash Flow %s Yr4'!N41="","",'Cash Flow %s Yr4'!N41*'Revenue Input'!$H48))</f>
        <v/>
      </c>
      <c r="O41" s="60" t="str">
        <f>IF('Revenue Input'!$H48="","",IF('Cash Flow %s Yr4'!O41="","",'Cash Flow %s Yr4'!O41*'Revenue Input'!$H48))</f>
        <v/>
      </c>
      <c r="P41" s="60" t="str">
        <f>IF('Revenue Input'!$H48="","",IF('Cash Flow %s Yr4'!P41="","",'Cash Flow %s Yr4'!P41*'Revenue Input'!$H48))</f>
        <v/>
      </c>
      <c r="Q41" s="60" t="str">
        <f>IF('Revenue Input'!$H48="","",IF('Cash Flow %s Yr4'!Q41="","",'Cash Flow %s Yr4'!Q41*'Revenue Input'!$H48))</f>
        <v/>
      </c>
      <c r="R41" s="60" t="str">
        <f>IF('Revenue Input'!$H48="","",IF('Cash Flow %s Yr4'!R41="","",'Cash Flow %s Yr4'!R41*'Revenue Input'!$H48))</f>
        <v/>
      </c>
      <c r="S41" s="105" t="str">
        <f>IF(SUM(D41:R41)&gt;0,SUM(D41:R41)/'Revenue Input'!$H48,"")</f>
        <v/>
      </c>
    </row>
    <row r="42" spans="1:19" s="30" customFormat="1" ht="17.399999999999999" x14ac:dyDescent="0.3">
      <c r="A42" s="45"/>
      <c r="B42" s="61">
        <f>'Revenue Input'!B49</f>
        <v>8687</v>
      </c>
      <c r="C42" s="61" t="str">
        <f>'Revenue Input'!C49</f>
        <v>Fund Development</v>
      </c>
      <c r="D42" s="60" t="str">
        <f>IF('Revenue Input'!$H49="","",IF('Cash Flow %s Yr4'!D42="","",'Cash Flow %s Yr4'!D42*'Revenue Input'!$H49))</f>
        <v/>
      </c>
      <c r="E42" s="60" t="str">
        <f>IF('Revenue Input'!$H49="","",IF('Cash Flow %s Yr4'!E42="","",'Cash Flow %s Yr4'!E42*'Revenue Input'!$H49))</f>
        <v/>
      </c>
      <c r="F42" s="60" t="str">
        <f>IF('Revenue Input'!$H49="","",IF('Cash Flow %s Yr4'!F42="","",'Cash Flow %s Yr4'!F42*'Revenue Input'!$H49))</f>
        <v/>
      </c>
      <c r="G42" s="60" t="str">
        <f>IF('Revenue Input'!$H49="","",IF('Cash Flow %s Yr4'!G42="","",'Cash Flow %s Yr4'!G42*'Revenue Input'!$H49))</f>
        <v/>
      </c>
      <c r="H42" s="60" t="str">
        <f>IF('Revenue Input'!$H49="","",IF('Cash Flow %s Yr4'!H42="","",'Cash Flow %s Yr4'!H42*'Revenue Input'!$H49))</f>
        <v/>
      </c>
      <c r="I42" s="60" t="str">
        <f>IF('Revenue Input'!$H49="","",IF('Cash Flow %s Yr4'!I42="","",'Cash Flow %s Yr4'!I42*'Revenue Input'!$H49))</f>
        <v/>
      </c>
      <c r="J42" s="60" t="str">
        <f>IF('Revenue Input'!$H49="","",IF('Cash Flow %s Yr4'!J42="","",'Cash Flow %s Yr4'!J42*'Revenue Input'!$H49))</f>
        <v/>
      </c>
      <c r="K42" s="60" t="str">
        <f>IF('Revenue Input'!$H49="","",IF('Cash Flow %s Yr4'!K42="","",'Cash Flow %s Yr4'!K42*'Revenue Input'!$H49))</f>
        <v/>
      </c>
      <c r="L42" s="60" t="str">
        <f>IF('Revenue Input'!$H49="","",IF('Cash Flow %s Yr4'!L42="","",'Cash Flow %s Yr4'!L42*'Revenue Input'!$H49))</f>
        <v/>
      </c>
      <c r="M42" s="60" t="str">
        <f>IF('Revenue Input'!$H49="","",IF('Cash Flow %s Yr4'!M42="","",'Cash Flow %s Yr4'!M42*'Revenue Input'!$H49))</f>
        <v/>
      </c>
      <c r="N42" s="60" t="str">
        <f>IF('Revenue Input'!$H49="","",IF('Cash Flow %s Yr4'!N42="","",'Cash Flow %s Yr4'!N42*'Revenue Input'!$H49))</f>
        <v/>
      </c>
      <c r="O42" s="60" t="str">
        <f>IF('Revenue Input'!$H49="","",IF('Cash Flow %s Yr4'!O42="","",'Cash Flow %s Yr4'!O42*'Revenue Input'!$H49))</f>
        <v/>
      </c>
      <c r="P42" s="60" t="str">
        <f>IF('Revenue Input'!$H49="","",IF('Cash Flow %s Yr4'!P42="","",'Cash Flow %s Yr4'!P42*'Revenue Input'!$H49))</f>
        <v/>
      </c>
      <c r="Q42" s="60" t="str">
        <f>IF('Revenue Input'!$H49="","",IF('Cash Flow %s Yr4'!Q42="","",'Cash Flow %s Yr4'!Q42*'Revenue Input'!$H49))</f>
        <v/>
      </c>
      <c r="R42" s="60" t="str">
        <f>IF('Revenue Input'!$H49="","",IF('Cash Flow %s Yr4'!R42="","",'Cash Flow %s Yr4'!R42*'Revenue Input'!$H49))</f>
        <v/>
      </c>
      <c r="S42" s="105" t="str">
        <f>IF(SUM(D42:R42)&gt;0,SUM(D42:R42)/'Revenue Input'!$H49,"")</f>
        <v/>
      </c>
    </row>
    <row r="43" spans="1:19" s="30" customFormat="1" ht="17.399999999999999" x14ac:dyDescent="0.3">
      <c r="A43" s="45"/>
      <c r="B43" s="61">
        <f>'Revenue Input'!B50</f>
        <v>8688</v>
      </c>
      <c r="C43" s="61" t="str">
        <f>'Revenue Input'!C50</f>
        <v>In Kind Contributions</v>
      </c>
      <c r="D43" s="60" t="str">
        <f>IF('Revenue Input'!$H50="","",IF('Cash Flow %s Yr4'!D43="","",'Cash Flow %s Yr4'!D43*'Revenue Input'!$H50))</f>
        <v/>
      </c>
      <c r="E43" s="60" t="str">
        <f>IF('Revenue Input'!$H50="","",IF('Cash Flow %s Yr4'!E43="","",'Cash Flow %s Yr4'!E43*'Revenue Input'!$H50))</f>
        <v/>
      </c>
      <c r="F43" s="60" t="str">
        <f>IF('Revenue Input'!$H50="","",IF('Cash Flow %s Yr4'!F43="","",'Cash Flow %s Yr4'!F43*'Revenue Input'!$H50))</f>
        <v/>
      </c>
      <c r="G43" s="60" t="str">
        <f>IF('Revenue Input'!$H50="","",IF('Cash Flow %s Yr4'!G43="","",'Cash Flow %s Yr4'!G43*'Revenue Input'!$H50))</f>
        <v/>
      </c>
      <c r="H43" s="60" t="str">
        <f>IF('Revenue Input'!$H50="","",IF('Cash Flow %s Yr4'!H43="","",'Cash Flow %s Yr4'!H43*'Revenue Input'!$H50))</f>
        <v/>
      </c>
      <c r="I43" s="60" t="str">
        <f>IF('Revenue Input'!$H50="","",IF('Cash Flow %s Yr4'!I43="","",'Cash Flow %s Yr4'!I43*'Revenue Input'!$H50))</f>
        <v/>
      </c>
      <c r="J43" s="60" t="str">
        <f>IF('Revenue Input'!$H50="","",IF('Cash Flow %s Yr4'!J43="","",'Cash Flow %s Yr4'!J43*'Revenue Input'!$H50))</f>
        <v/>
      </c>
      <c r="K43" s="60" t="str">
        <f>IF('Revenue Input'!$H50="","",IF('Cash Flow %s Yr4'!K43="","",'Cash Flow %s Yr4'!K43*'Revenue Input'!$H50))</f>
        <v/>
      </c>
      <c r="L43" s="60" t="str">
        <f>IF('Revenue Input'!$H50="","",IF('Cash Flow %s Yr4'!L43="","",'Cash Flow %s Yr4'!L43*'Revenue Input'!$H50))</f>
        <v/>
      </c>
      <c r="M43" s="60" t="str">
        <f>IF('Revenue Input'!$H50="","",IF('Cash Flow %s Yr4'!M43="","",'Cash Flow %s Yr4'!M43*'Revenue Input'!$H50))</f>
        <v/>
      </c>
      <c r="N43" s="60" t="str">
        <f>IF('Revenue Input'!$H50="","",IF('Cash Flow %s Yr4'!N43="","",'Cash Flow %s Yr4'!N43*'Revenue Input'!$H50))</f>
        <v/>
      </c>
      <c r="O43" s="60" t="str">
        <f>IF('Revenue Input'!$H50="","",IF('Cash Flow %s Yr4'!O43="","",'Cash Flow %s Yr4'!O43*'Revenue Input'!$H50))</f>
        <v/>
      </c>
      <c r="P43" s="60" t="str">
        <f>IF('Revenue Input'!$H50="","",IF('Cash Flow %s Yr4'!P43="","",'Cash Flow %s Yr4'!P43*'Revenue Input'!$H50))</f>
        <v/>
      </c>
      <c r="Q43" s="60" t="str">
        <f>IF('Revenue Input'!$H50="","",IF('Cash Flow %s Yr4'!Q43="","",'Cash Flow %s Yr4'!Q43*'Revenue Input'!$H50))</f>
        <v/>
      </c>
      <c r="R43" s="60" t="str">
        <f>IF('Revenue Input'!$H50="","",IF('Cash Flow %s Yr4'!R43="","",'Cash Flow %s Yr4'!R43*'Revenue Input'!$H50))</f>
        <v/>
      </c>
      <c r="S43" s="105" t="str">
        <f>IF(SUM(D43:R43)&gt;0,SUM(D43:R43)/'Revenue Input'!$H50,"")</f>
        <v/>
      </c>
    </row>
    <row r="44" spans="1:19" s="30" customFormat="1" ht="17.399999999999999" x14ac:dyDescent="0.3">
      <c r="A44" s="45"/>
      <c r="B44" s="61" t="e">
        <f>'Revenue Input'!#REF!</f>
        <v>#REF!</v>
      </c>
      <c r="C44" s="61" t="e">
        <f>'Revenue Input'!#REF!</f>
        <v>#REF!</v>
      </c>
      <c r="D44" s="60" t="e">
        <f>IF('Revenue Input'!#REF!="","",IF('Cash Flow %s Yr4'!D44="","",'Cash Flow %s Yr4'!D44*'Revenue Input'!#REF!))</f>
        <v>#REF!</v>
      </c>
      <c r="E44" s="60" t="e">
        <f>IF('Revenue Input'!#REF!="","",IF('Cash Flow %s Yr4'!E44="","",'Cash Flow %s Yr4'!E44*'Revenue Input'!#REF!))</f>
        <v>#REF!</v>
      </c>
      <c r="F44" s="60" t="e">
        <f>IF('Revenue Input'!#REF!="","",IF('Cash Flow %s Yr4'!F44="","",'Cash Flow %s Yr4'!F44*'Revenue Input'!#REF!))</f>
        <v>#REF!</v>
      </c>
      <c r="G44" s="60" t="e">
        <f>IF('Revenue Input'!#REF!="","",IF('Cash Flow %s Yr4'!G44="","",'Cash Flow %s Yr4'!G44*'Revenue Input'!#REF!))</f>
        <v>#REF!</v>
      </c>
      <c r="H44" s="60" t="e">
        <f>IF('Revenue Input'!#REF!="","",IF('Cash Flow %s Yr4'!H44="","",'Cash Flow %s Yr4'!H44*'Revenue Input'!#REF!))</f>
        <v>#REF!</v>
      </c>
      <c r="I44" s="60" t="e">
        <f>IF('Revenue Input'!#REF!="","",IF('Cash Flow %s Yr4'!I44="","",'Cash Flow %s Yr4'!I44*'Revenue Input'!#REF!))</f>
        <v>#REF!</v>
      </c>
      <c r="J44" s="60" t="e">
        <f>IF('Revenue Input'!#REF!="","",IF('Cash Flow %s Yr4'!J44="","",'Cash Flow %s Yr4'!J44*'Revenue Input'!#REF!))</f>
        <v>#REF!</v>
      </c>
      <c r="K44" s="60" t="e">
        <f>IF('Revenue Input'!#REF!="","",IF('Cash Flow %s Yr4'!K44="","",'Cash Flow %s Yr4'!K44*'Revenue Input'!#REF!))</f>
        <v>#REF!</v>
      </c>
      <c r="L44" s="60" t="e">
        <f>IF('Revenue Input'!#REF!="","",IF('Cash Flow %s Yr4'!L44="","",'Cash Flow %s Yr4'!L44*'Revenue Input'!#REF!))</f>
        <v>#REF!</v>
      </c>
      <c r="M44" s="60" t="e">
        <f>IF('Revenue Input'!#REF!="","",IF('Cash Flow %s Yr4'!M44="","",'Cash Flow %s Yr4'!M44*'Revenue Input'!#REF!))</f>
        <v>#REF!</v>
      </c>
      <c r="N44" s="60" t="e">
        <f>IF('Revenue Input'!#REF!="","",IF('Cash Flow %s Yr4'!N44="","",'Cash Flow %s Yr4'!N44*'Revenue Input'!#REF!))</f>
        <v>#REF!</v>
      </c>
      <c r="O44" s="60" t="e">
        <f>IF('Revenue Input'!#REF!="","",IF('Cash Flow %s Yr4'!O44="","",'Cash Flow %s Yr4'!O44*'Revenue Input'!#REF!))</f>
        <v>#REF!</v>
      </c>
      <c r="P44" s="60" t="e">
        <f>IF('Revenue Input'!#REF!="","",IF('Cash Flow %s Yr4'!P44="","",'Cash Flow %s Yr4'!P44*'Revenue Input'!#REF!))</f>
        <v>#REF!</v>
      </c>
      <c r="Q44" s="60" t="e">
        <f>IF('Revenue Input'!#REF!="","",IF('Cash Flow %s Yr4'!Q44="","",'Cash Flow %s Yr4'!Q44*'Revenue Input'!#REF!))</f>
        <v>#REF!</v>
      </c>
      <c r="R44" s="60" t="e">
        <f>IF('Revenue Input'!#REF!="","",IF('Cash Flow %s Yr4'!R44="","",'Cash Flow %s Yr4'!R44*'Revenue Input'!#REF!))</f>
        <v>#REF!</v>
      </c>
      <c r="S44" s="105" t="e">
        <f>IF(SUM(D44:R44)&gt;0,SUM(D44:R44)/'Revenue Input'!#REF!,"")</f>
        <v>#REF!</v>
      </c>
    </row>
    <row r="45" spans="1:19" s="30" customFormat="1" ht="17.399999999999999" x14ac:dyDescent="0.3">
      <c r="A45" s="45"/>
      <c r="B45" s="61" t="e">
        <f>'Revenue Input'!#REF!</f>
        <v>#REF!</v>
      </c>
      <c r="C45" s="61" t="e">
        <f>'Revenue Input'!#REF!</f>
        <v>#REF!</v>
      </c>
      <c r="D45" s="60" t="e">
        <f>IF('Revenue Input'!#REF!="","",IF('Cash Flow %s Yr4'!D45="","",'Cash Flow %s Yr4'!D45*'Revenue Input'!#REF!))</f>
        <v>#REF!</v>
      </c>
      <c r="E45" s="60" t="e">
        <f>IF('Revenue Input'!#REF!="","",IF('Cash Flow %s Yr4'!E45="","",'Cash Flow %s Yr4'!E45*'Revenue Input'!#REF!))</f>
        <v>#REF!</v>
      </c>
      <c r="F45" s="60" t="e">
        <f>IF('Revenue Input'!#REF!="","",IF('Cash Flow %s Yr4'!F45="","",'Cash Flow %s Yr4'!F45*'Revenue Input'!#REF!))</f>
        <v>#REF!</v>
      </c>
      <c r="G45" s="60" t="e">
        <f>IF('Revenue Input'!#REF!="","",IF('Cash Flow %s Yr4'!G45="","",'Cash Flow %s Yr4'!G45*'Revenue Input'!#REF!))</f>
        <v>#REF!</v>
      </c>
      <c r="H45" s="60" t="e">
        <f>IF('Revenue Input'!#REF!="","",IF('Cash Flow %s Yr4'!H45="","",'Cash Flow %s Yr4'!H45*'Revenue Input'!#REF!))</f>
        <v>#REF!</v>
      </c>
      <c r="I45" s="60" t="e">
        <f>IF('Revenue Input'!#REF!="","",IF('Cash Flow %s Yr4'!I45="","",'Cash Flow %s Yr4'!I45*'Revenue Input'!#REF!))</f>
        <v>#REF!</v>
      </c>
      <c r="J45" s="60" t="e">
        <f>IF('Revenue Input'!#REF!="","",IF('Cash Flow %s Yr4'!J45="","",'Cash Flow %s Yr4'!J45*'Revenue Input'!#REF!))</f>
        <v>#REF!</v>
      </c>
      <c r="K45" s="60" t="e">
        <f>IF('Revenue Input'!#REF!="","",IF('Cash Flow %s Yr4'!K45="","",'Cash Flow %s Yr4'!K45*'Revenue Input'!#REF!))</f>
        <v>#REF!</v>
      </c>
      <c r="L45" s="60" t="e">
        <f>IF('Revenue Input'!#REF!="","",IF('Cash Flow %s Yr4'!L45="","",'Cash Flow %s Yr4'!L45*'Revenue Input'!#REF!))</f>
        <v>#REF!</v>
      </c>
      <c r="M45" s="60" t="e">
        <f>IF('Revenue Input'!#REF!="","",IF('Cash Flow %s Yr4'!M45="","",'Cash Flow %s Yr4'!M45*'Revenue Input'!#REF!))</f>
        <v>#REF!</v>
      </c>
      <c r="N45" s="60" t="e">
        <f>IF('Revenue Input'!#REF!="","",IF('Cash Flow %s Yr4'!N45="","",'Cash Flow %s Yr4'!N45*'Revenue Input'!#REF!))</f>
        <v>#REF!</v>
      </c>
      <c r="O45" s="60" t="e">
        <f>IF('Revenue Input'!#REF!="","",IF('Cash Flow %s Yr4'!O45="","",'Cash Flow %s Yr4'!O45*'Revenue Input'!#REF!))</f>
        <v>#REF!</v>
      </c>
      <c r="P45" s="60" t="e">
        <f>IF('Revenue Input'!#REF!="","",IF('Cash Flow %s Yr4'!P45="","",'Cash Flow %s Yr4'!P45*'Revenue Input'!#REF!))</f>
        <v>#REF!</v>
      </c>
      <c r="Q45" s="60" t="e">
        <f>IF('Revenue Input'!#REF!="","",IF('Cash Flow %s Yr4'!Q45="","",'Cash Flow %s Yr4'!Q45*'Revenue Input'!#REF!))</f>
        <v>#REF!</v>
      </c>
      <c r="R45" s="60" t="e">
        <f>IF('Revenue Input'!#REF!="","",IF('Cash Flow %s Yr4'!R45="","",'Cash Flow %s Yr4'!R45*'Revenue Input'!#REF!))</f>
        <v>#REF!</v>
      </c>
      <c r="S45" s="105" t="e">
        <f>IF(SUM(D45:R45)&gt;0,SUM(D45:R45)/'Revenue Input'!#REF!,"")</f>
        <v>#REF!</v>
      </c>
    </row>
    <row r="46" spans="1:19" s="30" customFormat="1" ht="17.399999999999999" x14ac:dyDescent="0.3">
      <c r="A46" s="45"/>
      <c r="B46" s="61">
        <f>'Revenue Input'!B51</f>
        <v>8689</v>
      </c>
      <c r="C46" s="61" t="str">
        <f>'Revenue Input'!C51</f>
        <v xml:space="preserve">All Other Local Revenue </v>
      </c>
      <c r="D46" s="60" t="str">
        <f>IF('Revenue Input'!$H51="","",IF('Cash Flow %s Yr4'!D49="","",'Cash Flow %s Yr4'!D49*'Revenue Input'!$H51))</f>
        <v/>
      </c>
      <c r="E46" s="60" t="str">
        <f>IF('Revenue Input'!$H51="","",IF('Cash Flow %s Yr4'!E49="","",'Cash Flow %s Yr4'!E49*'Revenue Input'!$H51))</f>
        <v/>
      </c>
      <c r="F46" s="60" t="str">
        <f>IF('Revenue Input'!$H51="","",IF('Cash Flow %s Yr4'!F49="","",'Cash Flow %s Yr4'!F49*'Revenue Input'!$H51))</f>
        <v/>
      </c>
      <c r="G46" s="60" t="str">
        <f>IF('Revenue Input'!$H51="","",IF('Cash Flow %s Yr4'!G49="","",'Cash Flow %s Yr4'!G49*'Revenue Input'!$H51))</f>
        <v/>
      </c>
      <c r="H46" s="60" t="str">
        <f>IF('Revenue Input'!$H51="","",IF('Cash Flow %s Yr4'!H49="","",'Cash Flow %s Yr4'!H49*'Revenue Input'!$H51))</f>
        <v/>
      </c>
      <c r="I46" s="60" t="str">
        <f>IF('Revenue Input'!$H51="","",IF('Cash Flow %s Yr4'!I49="","",'Cash Flow %s Yr4'!I49*'Revenue Input'!$H51))</f>
        <v/>
      </c>
      <c r="J46" s="60" t="str">
        <f>IF('Revenue Input'!$H51="","",IF('Cash Flow %s Yr4'!J49="","",'Cash Flow %s Yr4'!J49*'Revenue Input'!$H51))</f>
        <v/>
      </c>
      <c r="K46" s="60" t="str">
        <f>IF('Revenue Input'!$H51="","",IF('Cash Flow %s Yr4'!K49="","",'Cash Flow %s Yr4'!K49*'Revenue Input'!$H51))</f>
        <v/>
      </c>
      <c r="L46" s="60" t="str">
        <f>IF('Revenue Input'!$H51="","",IF('Cash Flow %s Yr4'!L49="","",'Cash Flow %s Yr4'!L49*'Revenue Input'!$H51))</f>
        <v/>
      </c>
      <c r="M46" s="60" t="str">
        <f>IF('Revenue Input'!$H51="","",IF('Cash Flow %s Yr4'!M49="","",'Cash Flow %s Yr4'!M49*'Revenue Input'!$H51))</f>
        <v/>
      </c>
      <c r="N46" s="60" t="str">
        <f>IF('Revenue Input'!$H51="","",IF('Cash Flow %s Yr4'!N49="","",'Cash Flow %s Yr4'!N49*'Revenue Input'!$H51))</f>
        <v/>
      </c>
      <c r="O46" s="60" t="str">
        <f>IF('Revenue Input'!$H51="","",IF('Cash Flow %s Yr4'!O49="","",'Cash Flow %s Yr4'!O49*'Revenue Input'!$H51))</f>
        <v/>
      </c>
      <c r="P46" s="60" t="str">
        <f>IF('Revenue Input'!$H51="","",IF('Cash Flow %s Yr4'!P49="","",'Cash Flow %s Yr4'!P49*'Revenue Input'!$H51))</f>
        <v/>
      </c>
      <c r="Q46" s="60" t="str">
        <f>IF('Revenue Input'!$H51="","",IF('Cash Flow %s Yr4'!Q49="","",'Cash Flow %s Yr4'!Q49*'Revenue Input'!$H51))</f>
        <v/>
      </c>
      <c r="R46" s="60" t="str">
        <f>IF('Revenue Input'!$H51="","",IF('Cash Flow %s Yr4'!R49="","",'Cash Flow %s Yr4'!R49*'Revenue Input'!$H51))</f>
        <v/>
      </c>
      <c r="S46" s="105" t="str">
        <f>IF(SUM(D46:R46)&gt;0,SUM(D46:R46)/'Revenue Input'!$H51,"")</f>
        <v/>
      </c>
    </row>
    <row r="47" spans="1:19" s="30" customFormat="1" ht="17.399999999999999" x14ac:dyDescent="0.3">
      <c r="A47" s="45"/>
      <c r="B47" s="61">
        <f>'Revenue Input'!B52</f>
        <v>8699</v>
      </c>
      <c r="C47" s="61" t="str">
        <f>'Revenue Input'!C52</f>
        <v xml:space="preserve">All Other Local Revenue </v>
      </c>
      <c r="D47" s="60" t="str">
        <f>IF('Revenue Input'!$H52="","",IF('Cash Flow %s Yr4'!D50="","",'Cash Flow %s Yr4'!D50*'Revenue Input'!$H52))</f>
        <v/>
      </c>
      <c r="E47" s="60" t="str">
        <f>IF('Revenue Input'!$H52="","",IF('Cash Flow %s Yr4'!E50="","",'Cash Flow %s Yr4'!E50*'Revenue Input'!$H52))</f>
        <v/>
      </c>
      <c r="F47" s="60" t="str">
        <f>IF('Revenue Input'!$H52="","",IF('Cash Flow %s Yr4'!F50="","",'Cash Flow %s Yr4'!F50*'Revenue Input'!$H52))</f>
        <v/>
      </c>
      <c r="G47" s="60" t="str">
        <f>IF('Revenue Input'!$H52="","",IF('Cash Flow %s Yr4'!G50="","",'Cash Flow %s Yr4'!G50*'Revenue Input'!$H52))</f>
        <v/>
      </c>
      <c r="H47" s="60" t="str">
        <f>IF('Revenue Input'!$H52="","",IF('Cash Flow %s Yr4'!H50="","",'Cash Flow %s Yr4'!H50*'Revenue Input'!$H52))</f>
        <v/>
      </c>
      <c r="I47" s="60" t="str">
        <f>IF('Revenue Input'!$H52="","",IF('Cash Flow %s Yr4'!I50="","",'Cash Flow %s Yr4'!I50*'Revenue Input'!$H52))</f>
        <v/>
      </c>
      <c r="J47" s="60" t="str">
        <f>IF('Revenue Input'!$H52="","",IF('Cash Flow %s Yr4'!J50="","",'Cash Flow %s Yr4'!J50*'Revenue Input'!$H52))</f>
        <v/>
      </c>
      <c r="K47" s="60" t="str">
        <f>IF('Revenue Input'!$H52="","",IF('Cash Flow %s Yr4'!K50="","",'Cash Flow %s Yr4'!K50*'Revenue Input'!$H52))</f>
        <v/>
      </c>
      <c r="L47" s="60" t="str">
        <f>IF('Revenue Input'!$H52="","",IF('Cash Flow %s Yr4'!L50="","",'Cash Flow %s Yr4'!L50*'Revenue Input'!$H52))</f>
        <v/>
      </c>
      <c r="M47" s="60" t="str">
        <f>IF('Revenue Input'!$H52="","",IF('Cash Flow %s Yr4'!M50="","",'Cash Flow %s Yr4'!M50*'Revenue Input'!$H52))</f>
        <v/>
      </c>
      <c r="N47" s="60" t="str">
        <f>IF('Revenue Input'!$H52="","",IF('Cash Flow %s Yr4'!N50="","",'Cash Flow %s Yr4'!N50*'Revenue Input'!$H52))</f>
        <v/>
      </c>
      <c r="O47" s="60" t="str">
        <f>IF('Revenue Input'!$H52="","",IF('Cash Flow %s Yr4'!O50="","",'Cash Flow %s Yr4'!O50*'Revenue Input'!$H52))</f>
        <v/>
      </c>
      <c r="P47" s="60" t="str">
        <f>IF('Revenue Input'!$H52="","",IF('Cash Flow %s Yr4'!P50="","",'Cash Flow %s Yr4'!P50*'Revenue Input'!$H52))</f>
        <v/>
      </c>
      <c r="Q47" s="60" t="str">
        <f>IF('Revenue Input'!$H52="","",IF('Cash Flow %s Yr4'!Q50="","",'Cash Flow %s Yr4'!Q50*'Revenue Input'!$H52))</f>
        <v/>
      </c>
      <c r="R47" s="60" t="str">
        <f>IF('Revenue Input'!$H52="","",IF('Cash Flow %s Yr4'!R50="","",'Cash Flow %s Yr4'!R50*'Revenue Input'!$H52))</f>
        <v/>
      </c>
      <c r="S47" s="105" t="str">
        <f>IF(SUM(D47:R47)&gt;0,SUM(D47:R47)/'Revenue Input'!$H52,"")</f>
        <v/>
      </c>
    </row>
    <row r="48" spans="1:19" s="30" customFormat="1" ht="17.399999999999999" x14ac:dyDescent="0.3">
      <c r="A48" s="45"/>
      <c r="B48" s="61">
        <f>'Revenue Input'!B53</f>
        <v>8792</v>
      </c>
      <c r="C48" s="61" t="str">
        <f>'Revenue Input'!C53</f>
        <v>SPED State/Other Transfers of Apportionments from County</v>
      </c>
      <c r="D48" s="60" t="str">
        <f>IF('Revenue Input'!$H53="","",IF('Cash Flow %s Yr4'!D51="","",'Cash Flow %s Yr4'!D51*'Revenue Input'!$H53))</f>
        <v/>
      </c>
      <c r="E48" s="60" t="str">
        <f>IF('Revenue Input'!$H53="","",IF('Cash Flow %s Yr4'!E51="","",'Cash Flow %s Yr4'!E51*'Revenue Input'!$H53))</f>
        <v/>
      </c>
      <c r="F48" s="60" t="str">
        <f>IF('Revenue Input'!$H53="","",IF('Cash Flow %s Yr4'!F51="","",'Cash Flow %s Yr4'!F51*'Revenue Input'!$H53))</f>
        <v/>
      </c>
      <c r="G48" s="60" t="str">
        <f>IF('Revenue Input'!$H53="","",IF('Cash Flow %s Yr4'!G51="","",'Cash Flow %s Yr4'!G51*'Revenue Input'!$H53))</f>
        <v/>
      </c>
      <c r="H48" s="60" t="str">
        <f>IF('Revenue Input'!$H53="","",IF('Cash Flow %s Yr4'!H51="","",'Cash Flow %s Yr4'!H51*'Revenue Input'!$H53))</f>
        <v/>
      </c>
      <c r="I48" s="60" t="str">
        <f>IF('Revenue Input'!$H53="","",IF('Cash Flow %s Yr4'!I51="","",'Cash Flow %s Yr4'!I51*'Revenue Input'!$H53))</f>
        <v/>
      </c>
      <c r="J48" s="60" t="str">
        <f>IF('Revenue Input'!$H53="","",IF('Cash Flow %s Yr4'!J51="","",'Cash Flow %s Yr4'!J51*'Revenue Input'!$H53))</f>
        <v/>
      </c>
      <c r="K48" s="60" t="str">
        <f>IF('Revenue Input'!$H53="","",IF('Cash Flow %s Yr4'!K51="","",'Cash Flow %s Yr4'!K51*'Revenue Input'!$H53))</f>
        <v/>
      </c>
      <c r="L48" s="60" t="str">
        <f>IF('Revenue Input'!$H53="","",IF('Cash Flow %s Yr4'!L51="","",'Cash Flow %s Yr4'!L51*'Revenue Input'!$H53))</f>
        <v/>
      </c>
      <c r="M48" s="60" t="str">
        <f>IF('Revenue Input'!$H53="","",IF('Cash Flow %s Yr4'!M51="","",'Cash Flow %s Yr4'!M51*'Revenue Input'!$H53))</f>
        <v/>
      </c>
      <c r="N48" s="60" t="str">
        <f>IF('Revenue Input'!$H53="","",IF('Cash Flow %s Yr4'!N51="","",'Cash Flow %s Yr4'!N51*'Revenue Input'!$H53))</f>
        <v/>
      </c>
      <c r="O48" s="60" t="str">
        <f>IF('Revenue Input'!$H53="","",IF('Cash Flow %s Yr4'!O51="","",'Cash Flow %s Yr4'!O51*'Revenue Input'!$H53))</f>
        <v/>
      </c>
      <c r="P48" s="60" t="str">
        <f>IF('Revenue Input'!$H53="","",IF('Cash Flow %s Yr4'!P51="","",'Cash Flow %s Yr4'!P51*'Revenue Input'!$H53))</f>
        <v/>
      </c>
      <c r="Q48" s="60" t="str">
        <f>IF('Revenue Input'!$H53="","",IF('Cash Flow %s Yr4'!Q51="","",'Cash Flow %s Yr4'!Q51*'Revenue Input'!$H53))</f>
        <v/>
      </c>
      <c r="R48" s="60" t="str">
        <f>IF('Revenue Input'!$H53="","",IF('Cash Flow %s Yr4'!R51="","",'Cash Flow %s Yr4'!R51*'Revenue Input'!$H53))</f>
        <v/>
      </c>
      <c r="S48" s="105" t="str">
        <f>IF(SUM(D48:R48)&gt;0,SUM(D48:R48)/'Revenue Input'!$H53,"")</f>
        <v/>
      </c>
    </row>
    <row r="49" spans="1:19" s="30" customFormat="1" ht="17.399999999999999" x14ac:dyDescent="0.3">
      <c r="A49" s="45"/>
      <c r="B49" s="61">
        <f>'Revenue Input'!B55</f>
        <v>8984</v>
      </c>
      <c r="C49" s="61" t="str">
        <f>'Revenue Input'!C55</f>
        <v>Student Body (ASB Fundraising)</v>
      </c>
      <c r="D49" s="60" t="str">
        <f>IF('Revenue Input'!$H55="","",IF('Cash Flow %s Yr4'!D52="","",'Cash Flow %s Yr4'!D52*'Revenue Input'!$H55))</f>
        <v/>
      </c>
      <c r="E49" s="60" t="str">
        <f>IF('Revenue Input'!$H55="","",IF('Cash Flow %s Yr4'!E52="","",'Cash Flow %s Yr4'!E52*'Revenue Input'!$H55))</f>
        <v/>
      </c>
      <c r="F49" s="60" t="str">
        <f>IF('Revenue Input'!$H55="","",IF('Cash Flow %s Yr4'!F52="","",'Cash Flow %s Yr4'!F52*'Revenue Input'!$H55))</f>
        <v/>
      </c>
      <c r="G49" s="60" t="str">
        <f>IF('Revenue Input'!$H55="","",IF('Cash Flow %s Yr4'!G52="","",'Cash Flow %s Yr4'!G52*'Revenue Input'!$H55))</f>
        <v/>
      </c>
      <c r="H49" s="60" t="str">
        <f>IF('Revenue Input'!$H55="","",IF('Cash Flow %s Yr4'!H52="","",'Cash Flow %s Yr4'!H52*'Revenue Input'!$H55))</f>
        <v/>
      </c>
      <c r="I49" s="60" t="str">
        <f>IF('Revenue Input'!$H55="","",IF('Cash Flow %s Yr4'!I52="","",'Cash Flow %s Yr4'!I52*'Revenue Input'!$H55))</f>
        <v/>
      </c>
      <c r="J49" s="60" t="str">
        <f>IF('Revenue Input'!$H55="","",IF('Cash Flow %s Yr4'!J52="","",'Cash Flow %s Yr4'!J52*'Revenue Input'!$H55))</f>
        <v/>
      </c>
      <c r="K49" s="60" t="str">
        <f>IF('Revenue Input'!$H55="","",IF('Cash Flow %s Yr4'!K52="","",'Cash Flow %s Yr4'!K52*'Revenue Input'!$H55))</f>
        <v/>
      </c>
      <c r="L49" s="60" t="str">
        <f>IF('Revenue Input'!$H55="","",IF('Cash Flow %s Yr4'!L52="","",'Cash Flow %s Yr4'!L52*'Revenue Input'!$H55))</f>
        <v/>
      </c>
      <c r="M49" s="60" t="str">
        <f>IF('Revenue Input'!$H55="","",IF('Cash Flow %s Yr4'!M52="","",'Cash Flow %s Yr4'!M52*'Revenue Input'!$H55))</f>
        <v/>
      </c>
      <c r="N49" s="60" t="str">
        <f>IF('Revenue Input'!$H55="","",IF('Cash Flow %s Yr4'!N52="","",'Cash Flow %s Yr4'!N52*'Revenue Input'!$H55))</f>
        <v/>
      </c>
      <c r="O49" s="60" t="str">
        <f>IF('Revenue Input'!$H55="","",IF('Cash Flow %s Yr4'!O52="","",'Cash Flow %s Yr4'!O52*'Revenue Input'!$H55))</f>
        <v/>
      </c>
      <c r="P49" s="60" t="str">
        <f>IF('Revenue Input'!$H55="","",IF('Cash Flow %s Yr4'!P52="","",'Cash Flow %s Yr4'!P52*'Revenue Input'!$H55))</f>
        <v/>
      </c>
      <c r="Q49" s="60" t="str">
        <f>IF('Revenue Input'!$H55="","",IF('Cash Flow %s Yr4'!Q52="","",'Cash Flow %s Yr4'!Q52*'Revenue Input'!$H55))</f>
        <v/>
      </c>
      <c r="R49" s="60" t="str">
        <f>IF('Revenue Input'!$H55="","",IF('Cash Flow %s Yr4'!R52="","",'Cash Flow %s Yr4'!R52*'Revenue Input'!$H55))</f>
        <v/>
      </c>
      <c r="S49" s="105" t="str">
        <f>IF(SUM(D49:R49)&gt;0,SUM(D49:R49)/'Revenue Input'!$H55,"")</f>
        <v/>
      </c>
    </row>
    <row r="50" spans="1:19" s="30" customFormat="1" ht="17.399999999999999" x14ac:dyDescent="0.3">
      <c r="A50" s="45"/>
      <c r="B50" s="68"/>
      <c r="C50" s="33" t="s">
        <v>720</v>
      </c>
      <c r="D50" s="183" t="e">
        <f t="shared" ref="D50:R50" si="2">SUM(D37:D49)</f>
        <v>#REF!</v>
      </c>
      <c r="E50" s="183" t="e">
        <f t="shared" si="2"/>
        <v>#REF!</v>
      </c>
      <c r="F50" s="183" t="e">
        <f t="shared" si="2"/>
        <v>#REF!</v>
      </c>
      <c r="G50" s="183" t="e">
        <f t="shared" si="2"/>
        <v>#REF!</v>
      </c>
      <c r="H50" s="183" t="e">
        <f t="shared" si="2"/>
        <v>#REF!</v>
      </c>
      <c r="I50" s="183" t="e">
        <f t="shared" si="2"/>
        <v>#REF!</v>
      </c>
      <c r="J50" s="183" t="e">
        <f t="shared" si="2"/>
        <v>#REF!</v>
      </c>
      <c r="K50" s="183" t="e">
        <f t="shared" si="2"/>
        <v>#REF!</v>
      </c>
      <c r="L50" s="183" t="e">
        <f t="shared" si="2"/>
        <v>#REF!</v>
      </c>
      <c r="M50" s="183" t="e">
        <f t="shared" si="2"/>
        <v>#REF!</v>
      </c>
      <c r="N50" s="183" t="e">
        <f t="shared" si="2"/>
        <v>#REF!</v>
      </c>
      <c r="O50" s="183" t="e">
        <f t="shared" si="2"/>
        <v>#REF!</v>
      </c>
      <c r="P50" s="183" t="e">
        <f t="shared" si="2"/>
        <v>#REF!</v>
      </c>
      <c r="Q50" s="183" t="e">
        <f t="shared" si="2"/>
        <v>#REF!</v>
      </c>
      <c r="R50" s="183" t="e">
        <f t="shared" si="2"/>
        <v>#REF!</v>
      </c>
      <c r="S50" s="101"/>
    </row>
    <row r="51" spans="1:19" s="30" customFormat="1" ht="17.399999999999999" x14ac:dyDescent="0.3">
      <c r="A51" s="45"/>
      <c r="B51" s="47" t="s">
        <v>676</v>
      </c>
      <c r="C51" s="48"/>
      <c r="D51" s="184" t="e">
        <f t="shared" ref="D51:R51" si="3">SUM(D50,D34,D23)</f>
        <v>#REF!</v>
      </c>
      <c r="E51" s="184" t="e">
        <f t="shared" si="3"/>
        <v>#REF!</v>
      </c>
      <c r="F51" s="184" t="e">
        <f t="shared" si="3"/>
        <v>#REF!</v>
      </c>
      <c r="G51" s="184" t="e">
        <f t="shared" si="3"/>
        <v>#REF!</v>
      </c>
      <c r="H51" s="184" t="e">
        <f t="shared" si="3"/>
        <v>#REF!</v>
      </c>
      <c r="I51" s="184" t="e">
        <f t="shared" si="3"/>
        <v>#REF!</v>
      </c>
      <c r="J51" s="184" t="e">
        <f t="shared" si="3"/>
        <v>#REF!</v>
      </c>
      <c r="K51" s="184" t="e">
        <f t="shared" si="3"/>
        <v>#REF!</v>
      </c>
      <c r="L51" s="184" t="e">
        <f t="shared" si="3"/>
        <v>#REF!</v>
      </c>
      <c r="M51" s="184" t="e">
        <f t="shared" si="3"/>
        <v>#REF!</v>
      </c>
      <c r="N51" s="184" t="e">
        <f t="shared" si="3"/>
        <v>#REF!</v>
      </c>
      <c r="O51" s="184" t="e">
        <f t="shared" si="3"/>
        <v>#REF!</v>
      </c>
      <c r="P51" s="184" t="e">
        <f t="shared" si="3"/>
        <v>#REF!</v>
      </c>
      <c r="Q51" s="184" t="e">
        <f t="shared" si="3"/>
        <v>#REF!</v>
      </c>
      <c r="R51" s="184" t="e">
        <f t="shared" si="3"/>
        <v>#REF!</v>
      </c>
      <c r="S51" s="101"/>
    </row>
    <row r="52" spans="1:19" s="30" customFormat="1" ht="17.399999999999999" x14ac:dyDescent="0.3">
      <c r="A52" s="45"/>
      <c r="B52" s="68"/>
      <c r="C52" s="48"/>
      <c r="D52" s="121"/>
      <c r="E52" s="121"/>
      <c r="F52" s="121"/>
      <c r="G52" s="121"/>
      <c r="H52" s="121"/>
      <c r="I52" s="121"/>
      <c r="J52" s="121"/>
      <c r="K52" s="121"/>
      <c r="L52" s="121"/>
      <c r="M52" s="121"/>
      <c r="N52" s="121"/>
      <c r="O52" s="121"/>
      <c r="P52" s="121"/>
      <c r="Q52" s="121"/>
      <c r="R52" s="121"/>
    </row>
    <row r="53" spans="1:19" s="30" customFormat="1" ht="17.399999999999999" x14ac:dyDescent="0.3">
      <c r="A53" s="45" t="s">
        <v>796</v>
      </c>
      <c r="B53" s="69"/>
      <c r="C53" s="33"/>
      <c r="D53" s="122"/>
      <c r="E53" s="122"/>
      <c r="F53" s="122"/>
      <c r="G53" s="122"/>
      <c r="H53" s="122"/>
      <c r="I53" s="122"/>
      <c r="J53" s="122"/>
      <c r="K53" s="122"/>
      <c r="L53" s="122"/>
      <c r="M53" s="122"/>
      <c r="N53" s="122"/>
      <c r="O53" s="122"/>
      <c r="P53" s="122"/>
      <c r="Q53" s="122"/>
      <c r="R53" s="122"/>
    </row>
    <row r="54" spans="1:19" x14ac:dyDescent="0.3">
      <c r="A54" s="1"/>
      <c r="B54" s="33" t="s">
        <v>732</v>
      </c>
      <c r="C54" s="3"/>
      <c r="D54" s="101"/>
      <c r="E54" s="101"/>
      <c r="F54" s="101"/>
      <c r="G54" s="101"/>
      <c r="H54" s="101"/>
      <c r="I54" s="101"/>
      <c r="J54" s="101"/>
      <c r="K54" s="101"/>
      <c r="L54" s="101"/>
      <c r="M54" s="101"/>
      <c r="N54" s="101"/>
      <c r="O54" s="101"/>
      <c r="P54" s="101"/>
      <c r="Q54" s="101"/>
      <c r="R54" s="101"/>
    </row>
    <row r="55" spans="1:19" x14ac:dyDescent="0.3">
      <c r="A55" s="35"/>
      <c r="B55" s="63" t="str">
        <f>'Expenses Summary'!B8</f>
        <v>1100</v>
      </c>
      <c r="C55" s="63" t="str">
        <f>'Expenses Summary'!C8</f>
        <v>Teachers'  Salaries</v>
      </c>
      <c r="D55" s="60">
        <f>IF('Expenses Summary'!$U8="","",IF('Cash Flow %s Yr4'!D55="","",'Cash Flow %s Yr4'!D55*'Expenses Summary'!$U8))</f>
        <v>4408.1668079999999</v>
      </c>
      <c r="E55" s="60">
        <f>IF('Expenses Summary'!$U8="","",IF('Cash Flow %s Yr4'!E55="","",'Cash Flow %s Yr4'!E55*'Expenses Summary'!$U8))</f>
        <v>11020.417020000001</v>
      </c>
      <c r="F55" s="60">
        <f>IF('Expenses Summary'!$U8="","",IF('Cash Flow %s Yr4'!F55="","",'Cash Flow %s Yr4'!F55*'Expenses Summary'!$U8))</f>
        <v>22040.834040000002</v>
      </c>
      <c r="G55" s="60">
        <f>IF('Expenses Summary'!$U8="","",IF('Cash Flow %s Yr4'!G55="","",'Cash Flow %s Yr4'!G55*'Expenses Summary'!$U8))</f>
        <v>22040.834040000002</v>
      </c>
      <c r="H55" s="60">
        <f>IF('Expenses Summary'!$U8="","",IF('Cash Flow %s Yr4'!H55="","",'Cash Flow %s Yr4'!H55*'Expenses Summary'!$U8))</f>
        <v>22040.834040000002</v>
      </c>
      <c r="I55" s="60">
        <f>IF('Expenses Summary'!$U8="","",IF('Cash Flow %s Yr4'!I55="","",'Cash Flow %s Yr4'!I55*'Expenses Summary'!$U8))</f>
        <v>22040.834040000002</v>
      </c>
      <c r="J55" s="60">
        <f>IF('Expenses Summary'!$U8="","",IF('Cash Flow %s Yr4'!J55="","",'Cash Flow %s Yr4'!J55*'Expenses Summary'!$U8))</f>
        <v>22040.834040000002</v>
      </c>
      <c r="K55" s="60">
        <f>IF('Expenses Summary'!$U8="","",IF('Cash Flow %s Yr4'!K55="","",'Cash Flow %s Yr4'!K55*'Expenses Summary'!$U8))</f>
        <v>22040.834040000002</v>
      </c>
      <c r="L55" s="60">
        <f>IF('Expenses Summary'!$U8="","",IF('Cash Flow %s Yr4'!L55="","",'Cash Flow %s Yr4'!L55*'Expenses Summary'!$U8))</f>
        <v>22040.834040000002</v>
      </c>
      <c r="M55" s="60">
        <f>IF('Expenses Summary'!$U8="","",IF('Cash Flow %s Yr4'!M55="","",'Cash Flow %s Yr4'!M55*'Expenses Summary'!$U8))</f>
        <v>22040.834040000002</v>
      </c>
      <c r="N55" s="60">
        <f>IF('Expenses Summary'!$U8="","",IF('Cash Flow %s Yr4'!N55="","",'Cash Flow %s Yr4'!N55*'Expenses Summary'!$U8))</f>
        <v>22040.834040000002</v>
      </c>
      <c r="O55" s="60">
        <f>IF('Expenses Summary'!$U8="","",IF('Cash Flow %s Yr4'!O55="","",'Cash Flow %s Yr4'!O55*'Expenses Summary'!$U8))</f>
        <v>6612.250211999999</v>
      </c>
      <c r="P55" s="123"/>
      <c r="Q55" s="123"/>
      <c r="R55" s="123"/>
      <c r="S55" s="105">
        <f>IF(SUM(D55:R55)&gt;0,SUM(D55:R55)/'Expenses Summary'!$U8,"")</f>
        <v>1</v>
      </c>
    </row>
    <row r="56" spans="1:19" x14ac:dyDescent="0.3">
      <c r="A56" s="35"/>
      <c r="B56" s="63" t="str">
        <f>'Expenses Summary'!B9</f>
        <v>1105</v>
      </c>
      <c r="C56" s="63" t="str">
        <f>'Expenses Summary'!C9</f>
        <v>Teachers'  Stipend</v>
      </c>
      <c r="D56" s="60">
        <f>IF('Expenses Summary'!$U9="","",IF('Cash Flow %s Yr4'!D56="","",'Cash Flow %s Yr4'!D56*'Expenses Summary'!$U9))</f>
        <v>0</v>
      </c>
      <c r="E56" s="60">
        <f>IF('Expenses Summary'!$U9="","",IF('Cash Flow %s Yr4'!E56="","",'Cash Flow %s Yr4'!E56*'Expenses Summary'!$U9))</f>
        <v>0</v>
      </c>
      <c r="F56" s="60">
        <f>IF('Expenses Summary'!$U9="","",IF('Cash Flow %s Yr4'!F56="","",'Cash Flow %s Yr4'!F56*'Expenses Summary'!$U9))</f>
        <v>0</v>
      </c>
      <c r="G56" s="60">
        <f>IF('Expenses Summary'!$U9="","",IF('Cash Flow %s Yr4'!G56="","",'Cash Flow %s Yr4'!G56*'Expenses Summary'!$U9))</f>
        <v>0</v>
      </c>
      <c r="H56" s="60">
        <f>IF('Expenses Summary'!$U9="","",IF('Cash Flow %s Yr4'!H56="","",'Cash Flow %s Yr4'!H56*'Expenses Summary'!$U9))</f>
        <v>0</v>
      </c>
      <c r="I56" s="60">
        <f>IF('Expenses Summary'!$U9="","",IF('Cash Flow %s Yr4'!I56="","",'Cash Flow %s Yr4'!I56*'Expenses Summary'!$U9))</f>
        <v>1000</v>
      </c>
      <c r="J56" s="60">
        <f>IF('Expenses Summary'!$U9="","",IF('Cash Flow %s Yr4'!J56="","",'Cash Flow %s Yr4'!J56*'Expenses Summary'!$U9))</f>
        <v>0</v>
      </c>
      <c r="K56" s="60">
        <f>IF('Expenses Summary'!$U9="","",IF('Cash Flow %s Yr4'!K56="","",'Cash Flow %s Yr4'!K56*'Expenses Summary'!$U9))</f>
        <v>0</v>
      </c>
      <c r="L56" s="60">
        <f>IF('Expenses Summary'!$U9="","",IF('Cash Flow %s Yr4'!L56="","",'Cash Flow %s Yr4'!L56*'Expenses Summary'!$U9))</f>
        <v>0</v>
      </c>
      <c r="M56" s="60">
        <f>IF('Expenses Summary'!$U9="","",IF('Cash Flow %s Yr4'!M56="","",'Cash Flow %s Yr4'!M56*'Expenses Summary'!$U9))</f>
        <v>0</v>
      </c>
      <c r="N56" s="60">
        <f>IF('Expenses Summary'!$U9="","",IF('Cash Flow %s Yr4'!N56="","",'Cash Flow %s Yr4'!N56*'Expenses Summary'!$U9))</f>
        <v>0</v>
      </c>
      <c r="O56" s="60">
        <f>IF('Expenses Summary'!$U9="","",IF('Cash Flow %s Yr4'!O56="","",'Cash Flow %s Yr4'!O56*'Expenses Summary'!$U9))</f>
        <v>1000</v>
      </c>
      <c r="P56" s="123"/>
      <c r="Q56" s="123"/>
      <c r="R56" s="123"/>
      <c r="S56" s="105">
        <f>IF(SUM(D56:R56)&gt;0,SUM(D56:R56)/'Expenses Summary'!$U9,"")</f>
        <v>1</v>
      </c>
    </row>
    <row r="57" spans="1:19" x14ac:dyDescent="0.3">
      <c r="A57" s="35"/>
      <c r="B57" s="63" t="str">
        <f>'Expenses Summary'!B10</f>
        <v>1120</v>
      </c>
      <c r="C57" s="63" t="str">
        <f>'Expenses Summary'!C10</f>
        <v>Substitute Expense</v>
      </c>
      <c r="D57" s="60">
        <f>IF('Expenses Summary'!$U10="","",IF('Cash Flow %s Yr4'!D57="","",'Cash Flow %s Yr4'!D57*'Expenses Summary'!$U10))</f>
        <v>0</v>
      </c>
      <c r="E57" s="60">
        <f>IF('Expenses Summary'!$U10="","",IF('Cash Flow %s Yr4'!E57="","",'Cash Flow %s Yr4'!E57*'Expenses Summary'!$U10))</f>
        <v>0</v>
      </c>
      <c r="F57" s="60">
        <f>IF('Expenses Summary'!$U10="","",IF('Cash Flow %s Yr4'!F57="","",'Cash Flow %s Yr4'!F57*'Expenses Summary'!$U10))</f>
        <v>0</v>
      </c>
      <c r="G57" s="60">
        <f>IF('Expenses Summary'!$U10="","",IF('Cash Flow %s Yr4'!G57="","",'Cash Flow %s Yr4'!G57*'Expenses Summary'!$U10))</f>
        <v>0</v>
      </c>
      <c r="H57" s="60">
        <f>IF('Expenses Summary'!$U10="","",IF('Cash Flow %s Yr4'!H57="","",'Cash Flow %s Yr4'!H57*'Expenses Summary'!$U10))</f>
        <v>0</v>
      </c>
      <c r="I57" s="60">
        <f>IF('Expenses Summary'!$U10="","",IF('Cash Flow %s Yr4'!I57="","",'Cash Flow %s Yr4'!I57*'Expenses Summary'!$U10))</f>
        <v>0</v>
      </c>
      <c r="J57" s="60">
        <f>IF('Expenses Summary'!$U10="","",IF('Cash Flow %s Yr4'!J57="","",'Cash Flow %s Yr4'!J57*'Expenses Summary'!$U10))</f>
        <v>0</v>
      </c>
      <c r="K57" s="60">
        <f>IF('Expenses Summary'!$U10="","",IF('Cash Flow %s Yr4'!K57="","",'Cash Flow %s Yr4'!K57*'Expenses Summary'!$U10))</f>
        <v>0</v>
      </c>
      <c r="L57" s="60">
        <f>IF('Expenses Summary'!$U10="","",IF('Cash Flow %s Yr4'!L57="","",'Cash Flow %s Yr4'!L57*'Expenses Summary'!$U10))</f>
        <v>0</v>
      </c>
      <c r="M57" s="60">
        <f>IF('Expenses Summary'!$U10="","",IF('Cash Flow %s Yr4'!M57="","",'Cash Flow %s Yr4'!M57*'Expenses Summary'!$U10))</f>
        <v>0</v>
      </c>
      <c r="N57" s="60">
        <f>IF('Expenses Summary'!$U10="","",IF('Cash Flow %s Yr4'!N57="","",'Cash Flow %s Yr4'!N57*'Expenses Summary'!$U10))</f>
        <v>0</v>
      </c>
      <c r="O57" s="60">
        <f>IF('Expenses Summary'!$U10="","",IF('Cash Flow %s Yr4'!O57="","",'Cash Flow %s Yr4'!O57*'Expenses Summary'!$U10))</f>
        <v>0</v>
      </c>
      <c r="P57" s="123"/>
      <c r="Q57" s="123"/>
      <c r="R57" s="123"/>
      <c r="S57" s="105" t="str">
        <f>IF(SUM(D57:R57)&gt;0,SUM(D57:R57)/'Expenses Summary'!$U10,"")</f>
        <v/>
      </c>
    </row>
    <row r="58" spans="1:19" x14ac:dyDescent="0.3">
      <c r="A58" s="35"/>
      <c r="B58" s="63" t="str">
        <f>'Expenses Summary'!B11</f>
        <v>1200</v>
      </c>
      <c r="C58" s="63" t="str">
        <f>'Expenses Summary'!C11</f>
        <v>Certificated Pupil Support Salaries</v>
      </c>
      <c r="D58" s="60">
        <f>IF('Expenses Summary'!$U11="","",IF('Cash Flow %s Yr4'!D58="","",'Cash Flow %s Yr4'!D58*'Expenses Summary'!$U11))</f>
        <v>0</v>
      </c>
      <c r="E58" s="60">
        <f>IF('Expenses Summary'!$U11="","",IF('Cash Flow %s Yr4'!E58="","",'Cash Flow %s Yr4'!E58*'Expenses Summary'!$U11))</f>
        <v>0</v>
      </c>
      <c r="F58" s="60">
        <f>IF('Expenses Summary'!$U11="","",IF('Cash Flow %s Yr4'!F58="","",'Cash Flow %s Yr4'!F58*'Expenses Summary'!$U11))</f>
        <v>0</v>
      </c>
      <c r="G58" s="60">
        <f>IF('Expenses Summary'!$U11="","",IF('Cash Flow %s Yr4'!G58="","",'Cash Flow %s Yr4'!G58*'Expenses Summary'!$U11))</f>
        <v>0</v>
      </c>
      <c r="H58" s="60">
        <f>IF('Expenses Summary'!$U11="","",IF('Cash Flow %s Yr4'!H58="","",'Cash Flow %s Yr4'!H58*'Expenses Summary'!$U11))</f>
        <v>0</v>
      </c>
      <c r="I58" s="60">
        <f>IF('Expenses Summary'!$U11="","",IF('Cash Flow %s Yr4'!I58="","",'Cash Flow %s Yr4'!I58*'Expenses Summary'!$U11))</f>
        <v>0</v>
      </c>
      <c r="J58" s="60">
        <f>IF('Expenses Summary'!$U11="","",IF('Cash Flow %s Yr4'!J58="","",'Cash Flow %s Yr4'!J58*'Expenses Summary'!$U11))</f>
        <v>0</v>
      </c>
      <c r="K58" s="60">
        <f>IF('Expenses Summary'!$U11="","",IF('Cash Flow %s Yr4'!K58="","",'Cash Flow %s Yr4'!K58*'Expenses Summary'!$U11))</f>
        <v>0</v>
      </c>
      <c r="L58" s="60">
        <f>IF('Expenses Summary'!$U11="","",IF('Cash Flow %s Yr4'!L58="","",'Cash Flow %s Yr4'!L58*'Expenses Summary'!$U11))</f>
        <v>0</v>
      </c>
      <c r="M58" s="60">
        <f>IF('Expenses Summary'!$U11="","",IF('Cash Flow %s Yr4'!M58="","",'Cash Flow %s Yr4'!M58*'Expenses Summary'!$U11))</f>
        <v>0</v>
      </c>
      <c r="N58" s="60">
        <f>IF('Expenses Summary'!$U11="","",IF('Cash Flow %s Yr4'!N58="","",'Cash Flow %s Yr4'!N58*'Expenses Summary'!$U11))</f>
        <v>0</v>
      </c>
      <c r="O58" s="60">
        <f>IF('Expenses Summary'!$U11="","",IF('Cash Flow %s Yr4'!O58="","",'Cash Flow %s Yr4'!O58*'Expenses Summary'!$U11))</f>
        <v>0</v>
      </c>
      <c r="P58" s="123"/>
      <c r="Q58" s="123"/>
      <c r="R58" s="123"/>
      <c r="S58" s="105" t="str">
        <f>IF(SUM(D58:R58)&gt;0,SUM(D58:R58)/'Expenses Summary'!$U11,"")</f>
        <v/>
      </c>
    </row>
    <row r="59" spans="1:19" x14ac:dyDescent="0.3">
      <c r="A59" s="35"/>
      <c r="B59" s="63" t="str">
        <f>'Expenses Summary'!B13</f>
        <v>1300</v>
      </c>
      <c r="C59" s="63" t="str">
        <f>'Expenses Summary'!C13</f>
        <v>Certificated Supervisor and Administrator Salaries</v>
      </c>
      <c r="D59" s="60">
        <f>IF('Expenses Summary'!$U13="","",IF('Cash Flow %s Yr4'!D59="","",'Cash Flow %s Yr4'!D59*'Expenses Summary'!$U13))</f>
        <v>5943.6922500000001</v>
      </c>
      <c r="E59" s="60">
        <f>IF('Expenses Summary'!$U13="","",IF('Cash Flow %s Yr4'!E59="","",'Cash Flow %s Yr4'!E59*'Expenses Summary'!$U13))</f>
        <v>5943.6922500000001</v>
      </c>
      <c r="F59" s="60">
        <f>IF('Expenses Summary'!$U13="","",IF('Cash Flow %s Yr4'!F59="","",'Cash Flow %s Yr4'!F59*'Expenses Summary'!$U13))</f>
        <v>5943.6922500000001</v>
      </c>
      <c r="G59" s="60">
        <f>IF('Expenses Summary'!$U13="","",IF('Cash Flow %s Yr4'!G59="","",'Cash Flow %s Yr4'!G59*'Expenses Summary'!$U13))</f>
        <v>5943.6922500000001</v>
      </c>
      <c r="H59" s="60">
        <f>IF('Expenses Summary'!$U13="","",IF('Cash Flow %s Yr4'!H59="","",'Cash Flow %s Yr4'!H59*'Expenses Summary'!$U13))</f>
        <v>5943.6922500000001</v>
      </c>
      <c r="I59" s="60">
        <f>IF('Expenses Summary'!$U13="","",IF('Cash Flow %s Yr4'!I59="","",'Cash Flow %s Yr4'!I59*'Expenses Summary'!$U13))</f>
        <v>5943.6922500000001</v>
      </c>
      <c r="J59" s="60">
        <f>IF('Expenses Summary'!$U13="","",IF('Cash Flow %s Yr4'!J59="","",'Cash Flow %s Yr4'!J59*'Expenses Summary'!$U13))</f>
        <v>5943.6922500000001</v>
      </c>
      <c r="K59" s="60">
        <f>IF('Expenses Summary'!$U13="","",IF('Cash Flow %s Yr4'!K59="","",'Cash Flow %s Yr4'!K59*'Expenses Summary'!$U13))</f>
        <v>5943.6922500000001</v>
      </c>
      <c r="L59" s="60">
        <f>IF('Expenses Summary'!$U13="","",IF('Cash Flow %s Yr4'!L59="","",'Cash Flow %s Yr4'!L59*'Expenses Summary'!$U13))</f>
        <v>6015.3030000000008</v>
      </c>
      <c r="M59" s="60">
        <f>IF('Expenses Summary'!$U13="","",IF('Cash Flow %s Yr4'!M59="","",'Cash Flow %s Yr4'!M59*'Expenses Summary'!$U13))</f>
        <v>6015.3030000000008</v>
      </c>
      <c r="N59" s="60">
        <f>IF('Expenses Summary'!$U13="","",IF('Cash Flow %s Yr4'!N59="","",'Cash Flow %s Yr4'!N59*'Expenses Summary'!$U13))</f>
        <v>6015.3030000000008</v>
      </c>
      <c r="O59" s="60">
        <f>IF('Expenses Summary'!$U13="","",IF('Cash Flow %s Yr4'!O59="","",'Cash Flow %s Yr4'!O59*'Expenses Summary'!$U13))</f>
        <v>6015.3030000000008</v>
      </c>
      <c r="P59" s="123"/>
      <c r="Q59" s="123"/>
      <c r="R59" s="123"/>
      <c r="S59" s="105">
        <f>IF(SUM(D59:R59)&gt;0,SUM(D59:R59)/'Expenses Summary'!$U13,"")</f>
        <v>1</v>
      </c>
    </row>
    <row r="60" spans="1:19" x14ac:dyDescent="0.3">
      <c r="A60" s="35"/>
      <c r="B60" s="63" t="str">
        <f>'Expenses Summary'!B14</f>
        <v>1305</v>
      </c>
      <c r="C60" s="63" t="str">
        <f>'Expenses Summary'!C14</f>
        <v>Certificated Supervisor and Administrator Bonuses</v>
      </c>
      <c r="D60" s="60">
        <f>IF('Expenses Summary'!$U14="","",IF('Cash Flow %s Yr4'!D60="","",'Cash Flow %s Yr4'!D60*'Expenses Summary'!$U14))</f>
        <v>0</v>
      </c>
      <c r="E60" s="60">
        <f>IF('Expenses Summary'!$U14="","",IF('Cash Flow %s Yr4'!E60="","",'Cash Flow %s Yr4'!E60*'Expenses Summary'!$U14))</f>
        <v>0</v>
      </c>
      <c r="F60" s="60">
        <f>IF('Expenses Summary'!$U14="","",IF('Cash Flow %s Yr4'!F60="","",'Cash Flow %s Yr4'!F60*'Expenses Summary'!$U14))</f>
        <v>0</v>
      </c>
      <c r="G60" s="60">
        <f>IF('Expenses Summary'!$U14="","",IF('Cash Flow %s Yr4'!G60="","",'Cash Flow %s Yr4'!G60*'Expenses Summary'!$U14))</f>
        <v>0</v>
      </c>
      <c r="H60" s="60">
        <f>IF('Expenses Summary'!$U14="","",IF('Cash Flow %s Yr4'!H60="","",'Cash Flow %s Yr4'!H60*'Expenses Summary'!$U14))</f>
        <v>0</v>
      </c>
      <c r="I60" s="60">
        <f>IF('Expenses Summary'!$U14="","",IF('Cash Flow %s Yr4'!I60="","",'Cash Flow %s Yr4'!I60*'Expenses Summary'!$U14))</f>
        <v>0</v>
      </c>
      <c r="J60" s="60">
        <f>IF('Expenses Summary'!$U14="","",IF('Cash Flow %s Yr4'!J60="","",'Cash Flow %s Yr4'!J60*'Expenses Summary'!$U14))</f>
        <v>0</v>
      </c>
      <c r="K60" s="60">
        <f>IF('Expenses Summary'!$U14="","",IF('Cash Flow %s Yr4'!K60="","",'Cash Flow %s Yr4'!K60*'Expenses Summary'!$U14))</f>
        <v>0</v>
      </c>
      <c r="L60" s="60">
        <f>IF('Expenses Summary'!$U14="","",IF('Cash Flow %s Yr4'!L60="","",'Cash Flow %s Yr4'!L60*'Expenses Summary'!$U14))</f>
        <v>0</v>
      </c>
      <c r="M60" s="60">
        <f>IF('Expenses Summary'!$U14="","",IF('Cash Flow %s Yr4'!M60="","",'Cash Flow %s Yr4'!M60*'Expenses Summary'!$U14))</f>
        <v>0</v>
      </c>
      <c r="N60" s="60">
        <f>IF('Expenses Summary'!$U14="","",IF('Cash Flow %s Yr4'!N60="","",'Cash Flow %s Yr4'!N60*'Expenses Summary'!$U14))</f>
        <v>0</v>
      </c>
      <c r="O60" s="60">
        <f>IF('Expenses Summary'!$U14="","",IF('Cash Flow %s Yr4'!O60="","",'Cash Flow %s Yr4'!O60*'Expenses Summary'!$U14))</f>
        <v>0</v>
      </c>
      <c r="P60" s="123"/>
      <c r="Q60" s="123"/>
      <c r="R60" s="123"/>
      <c r="S60" s="105" t="str">
        <f>IF(SUM(D60:R60)&gt;0,SUM(D60:R60)/'Expenses Summary'!$U14,"")</f>
        <v/>
      </c>
    </row>
    <row r="61" spans="1:19" x14ac:dyDescent="0.3">
      <c r="A61" s="35"/>
      <c r="B61" s="63" t="str">
        <f>'Expenses Summary'!B15</f>
        <v>1900</v>
      </c>
      <c r="C61" s="63" t="str">
        <f>'Expenses Summary'!C15</f>
        <v>Other Certificated Salaries</v>
      </c>
      <c r="D61" s="60">
        <f>IF('Expenses Summary'!$U15="","",IF('Cash Flow %s Yr4'!D61="","",'Cash Flow %s Yr4'!D61*'Expenses Summary'!$U15))</f>
        <v>0</v>
      </c>
      <c r="E61" s="60">
        <f>IF('Expenses Summary'!$U15="","",IF('Cash Flow %s Yr4'!E61="","",'Cash Flow %s Yr4'!E61*'Expenses Summary'!$U15))</f>
        <v>0</v>
      </c>
      <c r="F61" s="60">
        <f>IF('Expenses Summary'!$U15="","",IF('Cash Flow %s Yr4'!F61="","",'Cash Flow %s Yr4'!F61*'Expenses Summary'!$U15))</f>
        <v>0</v>
      </c>
      <c r="G61" s="60">
        <f>IF('Expenses Summary'!$U15="","",IF('Cash Flow %s Yr4'!G61="","",'Cash Flow %s Yr4'!G61*'Expenses Summary'!$U15))</f>
        <v>0</v>
      </c>
      <c r="H61" s="60">
        <f>IF('Expenses Summary'!$U15="","",IF('Cash Flow %s Yr4'!H61="","",'Cash Flow %s Yr4'!H61*'Expenses Summary'!$U15))</f>
        <v>0</v>
      </c>
      <c r="I61" s="60">
        <f>IF('Expenses Summary'!$U15="","",IF('Cash Flow %s Yr4'!I61="","",'Cash Flow %s Yr4'!I61*'Expenses Summary'!$U15))</f>
        <v>0</v>
      </c>
      <c r="J61" s="60">
        <f>IF('Expenses Summary'!$U15="","",IF('Cash Flow %s Yr4'!J61="","",'Cash Flow %s Yr4'!J61*'Expenses Summary'!$U15))</f>
        <v>0</v>
      </c>
      <c r="K61" s="60">
        <f>IF('Expenses Summary'!$U15="","",IF('Cash Flow %s Yr4'!K61="","",'Cash Flow %s Yr4'!K61*'Expenses Summary'!$U15))</f>
        <v>0</v>
      </c>
      <c r="L61" s="60">
        <f>IF('Expenses Summary'!$U15="","",IF('Cash Flow %s Yr4'!L61="","",'Cash Flow %s Yr4'!L61*'Expenses Summary'!$U15))</f>
        <v>0</v>
      </c>
      <c r="M61" s="60">
        <f>IF('Expenses Summary'!$U15="","",IF('Cash Flow %s Yr4'!M61="","",'Cash Flow %s Yr4'!M61*'Expenses Summary'!$U15))</f>
        <v>0</v>
      </c>
      <c r="N61" s="60">
        <f>IF('Expenses Summary'!$U15="","",IF('Cash Flow %s Yr4'!N61="","",'Cash Flow %s Yr4'!N61*'Expenses Summary'!$U15))</f>
        <v>0</v>
      </c>
      <c r="O61" s="60">
        <f>IF('Expenses Summary'!$U15="","",IF('Cash Flow %s Yr4'!O61="","",'Cash Flow %s Yr4'!O61*'Expenses Summary'!$U15))</f>
        <v>0</v>
      </c>
      <c r="P61" s="123"/>
      <c r="Q61" s="123"/>
      <c r="R61" s="123"/>
      <c r="S61" s="105" t="str">
        <f>IF(SUM(D61:R61)&gt;0,SUM(D61:R61)/'Expenses Summary'!$U15,"")</f>
        <v/>
      </c>
    </row>
    <row r="62" spans="1:19" x14ac:dyDescent="0.3">
      <c r="A62" s="35"/>
      <c r="B62" s="63" t="str">
        <f>'Expenses Summary'!B16</f>
        <v>1910</v>
      </c>
      <c r="C62" s="63" t="str">
        <f>'Expenses Summary'!C16</f>
        <v>Other Certificated Overtime</v>
      </c>
      <c r="D62" s="60">
        <f>IF('Expenses Summary'!$U16="","",IF('Cash Flow %s Yr4'!D62="","",'Cash Flow %s Yr4'!D62*'Expenses Summary'!$U16))</f>
        <v>0</v>
      </c>
      <c r="E62" s="60">
        <f>IF('Expenses Summary'!$U16="","",IF('Cash Flow %s Yr4'!E62="","",'Cash Flow %s Yr4'!E62*'Expenses Summary'!$U16))</f>
        <v>0</v>
      </c>
      <c r="F62" s="60">
        <f>IF('Expenses Summary'!$U16="","",IF('Cash Flow %s Yr4'!F62="","",'Cash Flow %s Yr4'!F62*'Expenses Summary'!$U16))</f>
        <v>0</v>
      </c>
      <c r="G62" s="60">
        <f>IF('Expenses Summary'!$U16="","",IF('Cash Flow %s Yr4'!G62="","",'Cash Flow %s Yr4'!G62*'Expenses Summary'!$U16))</f>
        <v>0</v>
      </c>
      <c r="H62" s="60">
        <f>IF('Expenses Summary'!$U16="","",IF('Cash Flow %s Yr4'!H62="","",'Cash Flow %s Yr4'!H62*'Expenses Summary'!$U16))</f>
        <v>0</v>
      </c>
      <c r="I62" s="60">
        <f>IF('Expenses Summary'!$U16="","",IF('Cash Flow %s Yr4'!I62="","",'Cash Flow %s Yr4'!I62*'Expenses Summary'!$U16))</f>
        <v>0</v>
      </c>
      <c r="J62" s="60">
        <f>IF('Expenses Summary'!$U16="","",IF('Cash Flow %s Yr4'!J62="","",'Cash Flow %s Yr4'!J62*'Expenses Summary'!$U16))</f>
        <v>0</v>
      </c>
      <c r="K62" s="60">
        <f>IF('Expenses Summary'!$U16="","",IF('Cash Flow %s Yr4'!K62="","",'Cash Flow %s Yr4'!K62*'Expenses Summary'!$U16))</f>
        <v>0</v>
      </c>
      <c r="L62" s="60">
        <f>IF('Expenses Summary'!$U16="","",IF('Cash Flow %s Yr4'!L62="","",'Cash Flow %s Yr4'!L62*'Expenses Summary'!$U16))</f>
        <v>0</v>
      </c>
      <c r="M62" s="60">
        <f>IF('Expenses Summary'!$U16="","",IF('Cash Flow %s Yr4'!M62="","",'Cash Flow %s Yr4'!M62*'Expenses Summary'!$U16))</f>
        <v>0</v>
      </c>
      <c r="N62" s="60">
        <f>IF('Expenses Summary'!$U16="","",IF('Cash Flow %s Yr4'!N62="","",'Cash Flow %s Yr4'!N62*'Expenses Summary'!$U16))</f>
        <v>0</v>
      </c>
      <c r="O62" s="60">
        <f>IF('Expenses Summary'!$U16="","",IF('Cash Flow %s Yr4'!O62="","",'Cash Flow %s Yr4'!O62*'Expenses Summary'!$U16))</f>
        <v>0</v>
      </c>
      <c r="P62" s="123"/>
      <c r="Q62" s="123"/>
      <c r="R62" s="123"/>
      <c r="S62" s="105" t="str">
        <f>IF(SUM(D62:R62)&gt;0,SUM(D62:R62)/'Expenses Summary'!$U16,"")</f>
        <v/>
      </c>
    </row>
    <row r="63" spans="1:19" x14ac:dyDescent="0.3">
      <c r="A63" s="35"/>
      <c r="B63" s="35" t="s">
        <v>555</v>
      </c>
      <c r="C63" s="33" t="s">
        <v>720</v>
      </c>
      <c r="D63" s="165">
        <f t="shared" ref="D63:I63" si="4">IF(SUM(D54:D62)&gt;0,SUM(D54:D62),"")</f>
        <v>10351.859058</v>
      </c>
      <c r="E63" s="165">
        <f t="shared" si="4"/>
        <v>16964.109270000001</v>
      </c>
      <c r="F63" s="165">
        <f t="shared" si="4"/>
        <v>27984.526290000002</v>
      </c>
      <c r="G63" s="165">
        <f t="shared" si="4"/>
        <v>27984.526290000002</v>
      </c>
      <c r="H63" s="165">
        <f t="shared" si="4"/>
        <v>27984.526290000002</v>
      </c>
      <c r="I63" s="165">
        <f t="shared" si="4"/>
        <v>28984.526290000002</v>
      </c>
      <c r="J63" s="165">
        <f t="shared" ref="J63:O63" si="5">IF(SUM(J54:J62)&gt;0,SUM(J54:J62),"")</f>
        <v>27984.526290000002</v>
      </c>
      <c r="K63" s="165">
        <f t="shared" si="5"/>
        <v>27984.526290000002</v>
      </c>
      <c r="L63" s="165">
        <f t="shared" si="5"/>
        <v>28056.137040000001</v>
      </c>
      <c r="M63" s="165">
        <f t="shared" si="5"/>
        <v>28056.137040000001</v>
      </c>
      <c r="N63" s="165">
        <f t="shared" si="5"/>
        <v>28056.137040000001</v>
      </c>
      <c r="O63" s="165">
        <f t="shared" si="5"/>
        <v>13627.553211999999</v>
      </c>
      <c r="P63" s="121"/>
      <c r="Q63" s="121"/>
      <c r="R63" s="121"/>
      <c r="S63" s="101"/>
    </row>
    <row r="64" spans="1:19" s="30" customFormat="1" x14ac:dyDescent="0.3">
      <c r="A64" s="35"/>
      <c r="B64" s="39"/>
      <c r="C64" s="3"/>
      <c r="D64" s="124"/>
      <c r="E64" s="124"/>
      <c r="F64" s="124"/>
      <c r="G64" s="124"/>
      <c r="H64" s="124"/>
      <c r="I64" s="124"/>
      <c r="J64" s="124"/>
      <c r="K64" s="124"/>
      <c r="L64" s="124"/>
      <c r="M64" s="124"/>
      <c r="N64" s="124"/>
      <c r="O64" s="124"/>
      <c r="P64" s="124"/>
      <c r="Q64" s="124"/>
      <c r="R64" s="124"/>
    </row>
    <row r="65" spans="1:19" s="30" customFormat="1" x14ac:dyDescent="0.3">
      <c r="B65" s="5" t="s">
        <v>733</v>
      </c>
      <c r="C65" s="3"/>
      <c r="D65" s="124"/>
      <c r="E65" s="124"/>
      <c r="F65" s="124"/>
      <c r="G65" s="124"/>
      <c r="H65" s="124"/>
      <c r="I65" s="124"/>
      <c r="J65" s="124"/>
      <c r="K65" s="124"/>
      <c r="L65" s="124"/>
      <c r="M65" s="124"/>
      <c r="N65" s="124"/>
      <c r="O65" s="124"/>
      <c r="P65" s="124"/>
      <c r="Q65" s="124"/>
      <c r="R65" s="124"/>
    </row>
    <row r="66" spans="1:19" s="30" customFormat="1" x14ac:dyDescent="0.3">
      <c r="A66" s="35"/>
      <c r="B66" s="63" t="str">
        <f>'Expenses Summary'!B20</f>
        <v>2100</v>
      </c>
      <c r="C66" s="63" t="str">
        <f>'Expenses Summary'!C20</f>
        <v>Instructional Aide Salaries</v>
      </c>
      <c r="D66" s="60">
        <f>IF('Expenses Summary'!$U20="","",IF('Cash Flow %s Yr4'!D66="","",'Cash Flow %s Yr4'!D66*'Expenses Summary'!$U20))</f>
        <v>0</v>
      </c>
      <c r="E66" s="60">
        <f>IF('Expenses Summary'!$U20="","",IF('Cash Flow %s Yr4'!E66="","",'Cash Flow %s Yr4'!E66*'Expenses Summary'!$U20))</f>
        <v>6525.6489450000008</v>
      </c>
      <c r="F66" s="60">
        <f>IF('Expenses Summary'!$U20="","",IF('Cash Flow %s Yr4'!F66="","",'Cash Flow %s Yr4'!F66*'Expenses Summary'!$U20))</f>
        <v>13051.297890000002</v>
      </c>
      <c r="G66" s="60">
        <f>IF('Expenses Summary'!$U20="","",IF('Cash Flow %s Yr4'!G66="","",'Cash Flow %s Yr4'!G66*'Expenses Summary'!$U20))</f>
        <v>13051.297890000002</v>
      </c>
      <c r="H66" s="60">
        <f>IF('Expenses Summary'!$U20="","",IF('Cash Flow %s Yr4'!H66="","",'Cash Flow %s Yr4'!H66*'Expenses Summary'!$U20))</f>
        <v>13051.297890000002</v>
      </c>
      <c r="I66" s="60">
        <f>IF('Expenses Summary'!$U20="","",IF('Cash Flow %s Yr4'!I66="","",'Cash Flow %s Yr4'!I66*'Expenses Summary'!$U20))</f>
        <v>13051.297890000002</v>
      </c>
      <c r="J66" s="60">
        <f>IF('Expenses Summary'!$U20="","",IF('Cash Flow %s Yr4'!J66="","",'Cash Flow %s Yr4'!J66*'Expenses Summary'!$U20))</f>
        <v>13051.297890000002</v>
      </c>
      <c r="K66" s="60">
        <f>IF('Expenses Summary'!$U20="","",IF('Cash Flow %s Yr4'!K66="","",'Cash Flow %s Yr4'!K66*'Expenses Summary'!$U20))</f>
        <v>13051.297890000002</v>
      </c>
      <c r="L66" s="60">
        <f>IF('Expenses Summary'!$U20="","",IF('Cash Flow %s Yr4'!L66="","",'Cash Flow %s Yr4'!L66*'Expenses Summary'!$U20))</f>
        <v>13051.297890000002</v>
      </c>
      <c r="M66" s="60">
        <f>IF('Expenses Summary'!$U20="","",IF('Cash Flow %s Yr4'!M66="","",'Cash Flow %s Yr4'!M66*'Expenses Summary'!$U20))</f>
        <v>13051.297890000002</v>
      </c>
      <c r="N66" s="60">
        <f>IF('Expenses Summary'!$U20="","",IF('Cash Flow %s Yr4'!N66="","",'Cash Flow %s Yr4'!N66*'Expenses Summary'!$U20))</f>
        <v>13051.297890000002</v>
      </c>
      <c r="O66" s="60">
        <f>IF('Expenses Summary'!$U20="","",IF('Cash Flow %s Yr4'!O66="","",'Cash Flow %s Yr4'!O66*'Expenses Summary'!$U20))</f>
        <v>6525.6489450000008</v>
      </c>
      <c r="P66" s="123"/>
      <c r="Q66" s="123"/>
      <c r="R66" s="123"/>
      <c r="S66" s="105">
        <f>IF(SUM(D66:R66)&gt;0,SUM(D66:R66)/'Expenses Summary'!$U20,"")</f>
        <v>1</v>
      </c>
    </row>
    <row r="67" spans="1:19" s="30" customFormat="1" x14ac:dyDescent="0.3">
      <c r="A67" s="35"/>
      <c r="B67" s="63" t="str">
        <f>'Expenses Summary'!B21</f>
        <v>2110</v>
      </c>
      <c r="C67" s="63" t="str">
        <f>'Expenses Summary'!C21</f>
        <v>Instructional Aide Overtime</v>
      </c>
      <c r="D67" s="60">
        <f>IF('Expenses Summary'!$U21="","",IF('Cash Flow %s Yr4'!D67="","",'Cash Flow %s Yr4'!D67*'Expenses Summary'!$U21))</f>
        <v>0</v>
      </c>
      <c r="E67" s="60">
        <f>IF('Expenses Summary'!$U21="","",IF('Cash Flow %s Yr4'!E67="","",'Cash Flow %s Yr4'!E67*'Expenses Summary'!$U21))</f>
        <v>0</v>
      </c>
      <c r="F67" s="60">
        <f>IF('Expenses Summary'!$U21="","",IF('Cash Flow %s Yr4'!F67="","",'Cash Flow %s Yr4'!F67*'Expenses Summary'!$U21))</f>
        <v>69.3</v>
      </c>
      <c r="G67" s="60">
        <f>IF('Expenses Summary'!$U21="","",IF('Cash Flow %s Yr4'!G67="","",'Cash Flow %s Yr4'!G67*'Expenses Summary'!$U21))</f>
        <v>69.3</v>
      </c>
      <c r="H67" s="60">
        <f>IF('Expenses Summary'!$U21="","",IF('Cash Flow %s Yr4'!H67="","",'Cash Flow %s Yr4'!H67*'Expenses Summary'!$U21))</f>
        <v>69.3</v>
      </c>
      <c r="I67" s="60">
        <f>IF('Expenses Summary'!$U21="","",IF('Cash Flow %s Yr4'!I67="","",'Cash Flow %s Yr4'!I67*'Expenses Summary'!$U21))</f>
        <v>69.3</v>
      </c>
      <c r="J67" s="60">
        <f>IF('Expenses Summary'!$U21="","",IF('Cash Flow %s Yr4'!J67="","",'Cash Flow %s Yr4'!J67*'Expenses Summary'!$U21))</f>
        <v>69.3</v>
      </c>
      <c r="K67" s="60">
        <f>IF('Expenses Summary'!$U21="","",IF('Cash Flow %s Yr4'!K67="","",'Cash Flow %s Yr4'!K67*'Expenses Summary'!$U21))</f>
        <v>69.3</v>
      </c>
      <c r="L67" s="60">
        <f>IF('Expenses Summary'!$U21="","",IF('Cash Flow %s Yr4'!L67="","",'Cash Flow %s Yr4'!L67*'Expenses Summary'!$U21))</f>
        <v>69.3</v>
      </c>
      <c r="M67" s="60">
        <f>IF('Expenses Summary'!$U21="","",IF('Cash Flow %s Yr4'!M67="","",'Cash Flow %s Yr4'!M67*'Expenses Summary'!$U21))</f>
        <v>69.3</v>
      </c>
      <c r="N67" s="60">
        <f>IF('Expenses Summary'!$U21="","",IF('Cash Flow %s Yr4'!N67="","",'Cash Flow %s Yr4'!N67*'Expenses Summary'!$U21))</f>
        <v>69.3</v>
      </c>
      <c r="O67" s="60">
        <f>IF('Expenses Summary'!$U21="","",IF('Cash Flow %s Yr4'!O67="","",'Cash Flow %s Yr4'!O67*'Expenses Summary'!$U21))</f>
        <v>69.3</v>
      </c>
      <c r="P67" s="123"/>
      <c r="Q67" s="123"/>
      <c r="R67" s="123"/>
      <c r="S67" s="105">
        <f>IF(SUM(D67:R67)&gt;0,SUM(D67:R67)/'Expenses Summary'!$U21,"")</f>
        <v>0.99999999999999989</v>
      </c>
    </row>
    <row r="68" spans="1:19" s="30" customFormat="1" x14ac:dyDescent="0.3">
      <c r="A68" s="35"/>
      <c r="B68" s="63" t="str">
        <f>'Expenses Summary'!B22</f>
        <v>2200</v>
      </c>
      <c r="C68" s="63" t="str">
        <f>'Expenses Summary'!C22</f>
        <v>Classified Support Salaries</v>
      </c>
      <c r="D68" s="60">
        <f>IF('Expenses Summary'!$U22="","",IF('Cash Flow %s Yr4'!D68="","",'Cash Flow %s Yr4'!D68*'Expenses Summary'!$U22))</f>
        <v>0</v>
      </c>
      <c r="E68" s="60">
        <f>IF('Expenses Summary'!$U22="","",IF('Cash Flow %s Yr4'!E68="","",'Cash Flow %s Yr4'!E68*'Expenses Summary'!$U22))</f>
        <v>1426.1148250000001</v>
      </c>
      <c r="F68" s="60">
        <f>IF('Expenses Summary'!$U22="","",IF('Cash Flow %s Yr4'!F68="","",'Cash Flow %s Yr4'!F68*'Expenses Summary'!$U22))</f>
        <v>2852.2296500000002</v>
      </c>
      <c r="G68" s="60">
        <f>IF('Expenses Summary'!$U22="","",IF('Cash Flow %s Yr4'!G68="","",'Cash Flow %s Yr4'!G68*'Expenses Summary'!$U22))</f>
        <v>2852.2296500000002</v>
      </c>
      <c r="H68" s="60">
        <f>IF('Expenses Summary'!$U22="","",IF('Cash Flow %s Yr4'!H68="","",'Cash Flow %s Yr4'!H68*'Expenses Summary'!$U22))</f>
        <v>2852.2296500000002</v>
      </c>
      <c r="I68" s="60">
        <f>IF('Expenses Summary'!$U22="","",IF('Cash Flow %s Yr4'!I68="","",'Cash Flow %s Yr4'!I68*'Expenses Summary'!$U22))</f>
        <v>2852.2296500000002</v>
      </c>
      <c r="J68" s="60">
        <f>IF('Expenses Summary'!$U22="","",IF('Cash Flow %s Yr4'!J68="","",'Cash Flow %s Yr4'!J68*'Expenses Summary'!$U22))</f>
        <v>2852.2296500000002</v>
      </c>
      <c r="K68" s="60">
        <f>IF('Expenses Summary'!$U22="","",IF('Cash Flow %s Yr4'!K68="","",'Cash Flow %s Yr4'!K68*'Expenses Summary'!$U22))</f>
        <v>2852.2296500000002</v>
      </c>
      <c r="L68" s="60">
        <f>IF('Expenses Summary'!$U22="","",IF('Cash Flow %s Yr4'!L68="","",'Cash Flow %s Yr4'!L68*'Expenses Summary'!$U22))</f>
        <v>2852.2296500000002</v>
      </c>
      <c r="M68" s="60">
        <f>IF('Expenses Summary'!$U22="","",IF('Cash Flow %s Yr4'!M68="","",'Cash Flow %s Yr4'!M68*'Expenses Summary'!$U22))</f>
        <v>2852.2296500000002</v>
      </c>
      <c r="N68" s="60">
        <f>IF('Expenses Summary'!$U22="","",IF('Cash Flow %s Yr4'!N68="","",'Cash Flow %s Yr4'!N68*'Expenses Summary'!$U22))</f>
        <v>2852.2296500000002</v>
      </c>
      <c r="O68" s="60">
        <f>IF('Expenses Summary'!$U22="","",IF('Cash Flow %s Yr4'!O68="","",'Cash Flow %s Yr4'!O68*'Expenses Summary'!$U22))</f>
        <v>1426.1148250000001</v>
      </c>
      <c r="P68" s="123"/>
      <c r="Q68" s="123"/>
      <c r="R68" s="123"/>
      <c r="S68" s="105">
        <f>IF(SUM(D68:R68)&gt;0,SUM(D68:R68)/'Expenses Summary'!$U22,"")</f>
        <v>1.0000000000000002</v>
      </c>
    </row>
    <row r="69" spans="1:19" s="30" customFormat="1" x14ac:dyDescent="0.3">
      <c r="A69" s="35"/>
      <c r="B69" s="63" t="str">
        <f>'Expenses Summary'!B23</f>
        <v>2210</v>
      </c>
      <c r="C69" s="63" t="str">
        <f>'Expenses Summary'!C23</f>
        <v>Classified Support Overtime</v>
      </c>
      <c r="D69" s="60">
        <f>IF('Expenses Summary'!$U23="","",IF('Cash Flow %s Yr4'!D69="","",'Cash Flow %s Yr4'!D69*'Expenses Summary'!$U23))</f>
        <v>0</v>
      </c>
      <c r="E69" s="60">
        <f>IF('Expenses Summary'!$U23="","",IF('Cash Flow %s Yr4'!E69="","",'Cash Flow %s Yr4'!E69*'Expenses Summary'!$U23))</f>
        <v>0</v>
      </c>
      <c r="F69" s="60">
        <f>IF('Expenses Summary'!$U23="","",IF('Cash Flow %s Yr4'!F69="","",'Cash Flow %s Yr4'!F69*'Expenses Summary'!$U23))</f>
        <v>0</v>
      </c>
      <c r="G69" s="60">
        <f>IF('Expenses Summary'!$U23="","",IF('Cash Flow %s Yr4'!G69="","",'Cash Flow %s Yr4'!G69*'Expenses Summary'!$U23))</f>
        <v>0</v>
      </c>
      <c r="H69" s="60">
        <f>IF('Expenses Summary'!$U23="","",IF('Cash Flow %s Yr4'!H69="","",'Cash Flow %s Yr4'!H69*'Expenses Summary'!$U23))</f>
        <v>0</v>
      </c>
      <c r="I69" s="60">
        <f>IF('Expenses Summary'!$U23="","",IF('Cash Flow %s Yr4'!I69="","",'Cash Flow %s Yr4'!I69*'Expenses Summary'!$U23))</f>
        <v>0</v>
      </c>
      <c r="J69" s="60">
        <f>IF('Expenses Summary'!$U23="","",IF('Cash Flow %s Yr4'!J69="","",'Cash Flow %s Yr4'!J69*'Expenses Summary'!$U23))</f>
        <v>0</v>
      </c>
      <c r="K69" s="60">
        <f>IF('Expenses Summary'!$U23="","",IF('Cash Flow %s Yr4'!K69="","",'Cash Flow %s Yr4'!K69*'Expenses Summary'!$U23))</f>
        <v>0</v>
      </c>
      <c r="L69" s="60">
        <f>IF('Expenses Summary'!$U23="","",IF('Cash Flow %s Yr4'!L69="","",'Cash Flow %s Yr4'!L69*'Expenses Summary'!$U23))</f>
        <v>0</v>
      </c>
      <c r="M69" s="60">
        <f>IF('Expenses Summary'!$U23="","",IF('Cash Flow %s Yr4'!M69="","",'Cash Flow %s Yr4'!M69*'Expenses Summary'!$U23))</f>
        <v>0</v>
      </c>
      <c r="N69" s="60">
        <f>IF('Expenses Summary'!$U23="","",IF('Cash Flow %s Yr4'!N69="","",'Cash Flow %s Yr4'!N69*'Expenses Summary'!$U23))</f>
        <v>0</v>
      </c>
      <c r="O69" s="60">
        <f>IF('Expenses Summary'!$U23="","",IF('Cash Flow %s Yr4'!O69="","",'Cash Flow %s Yr4'!O69*'Expenses Summary'!$U23))</f>
        <v>0</v>
      </c>
      <c r="P69" s="123"/>
      <c r="Q69" s="123"/>
      <c r="R69" s="123"/>
      <c r="S69" s="105" t="str">
        <f>IF(SUM(D69:R69)&gt;0,SUM(D69:R69)/'Expenses Summary'!$U23,"")</f>
        <v/>
      </c>
    </row>
    <row r="70" spans="1:19" s="30" customFormat="1" x14ac:dyDescent="0.3">
      <c r="A70" s="35"/>
      <c r="B70" s="63" t="str">
        <f>'Expenses Summary'!B24</f>
        <v>2300</v>
      </c>
      <c r="C70" s="63" t="str">
        <f>'Expenses Summary'!C24</f>
        <v>Classified Supervisor and Administrator Salaries</v>
      </c>
      <c r="D70" s="60">
        <f>IF('Expenses Summary'!$U24="","",IF('Cash Flow %s Yr4'!D70="","",'Cash Flow %s Yr4'!D70*'Expenses Summary'!$U24))</f>
        <v>0</v>
      </c>
      <c r="E70" s="60">
        <f>IF('Expenses Summary'!$U24="","",IF('Cash Flow %s Yr4'!E70="","",'Cash Flow %s Yr4'!E70*'Expenses Summary'!$U24))</f>
        <v>0</v>
      </c>
      <c r="F70" s="60">
        <f>IF('Expenses Summary'!$U24="","",IF('Cash Flow %s Yr4'!F70="","",'Cash Flow %s Yr4'!F70*'Expenses Summary'!$U24))</f>
        <v>0</v>
      </c>
      <c r="G70" s="60">
        <f>IF('Expenses Summary'!$U24="","",IF('Cash Flow %s Yr4'!G70="","",'Cash Flow %s Yr4'!G70*'Expenses Summary'!$U24))</f>
        <v>0</v>
      </c>
      <c r="H70" s="60">
        <f>IF('Expenses Summary'!$U24="","",IF('Cash Flow %s Yr4'!H70="","",'Cash Flow %s Yr4'!H70*'Expenses Summary'!$U24))</f>
        <v>0</v>
      </c>
      <c r="I70" s="60">
        <f>IF('Expenses Summary'!$U24="","",IF('Cash Flow %s Yr4'!I70="","",'Cash Flow %s Yr4'!I70*'Expenses Summary'!$U24))</f>
        <v>0</v>
      </c>
      <c r="J70" s="60">
        <f>IF('Expenses Summary'!$U24="","",IF('Cash Flow %s Yr4'!J70="","",'Cash Flow %s Yr4'!J70*'Expenses Summary'!$U24))</f>
        <v>0</v>
      </c>
      <c r="K70" s="60">
        <f>IF('Expenses Summary'!$U24="","",IF('Cash Flow %s Yr4'!K70="","",'Cash Flow %s Yr4'!K70*'Expenses Summary'!$U24))</f>
        <v>0</v>
      </c>
      <c r="L70" s="60">
        <f>IF('Expenses Summary'!$U24="","",IF('Cash Flow %s Yr4'!L70="","",'Cash Flow %s Yr4'!L70*'Expenses Summary'!$U24))</f>
        <v>0</v>
      </c>
      <c r="M70" s="60">
        <f>IF('Expenses Summary'!$U24="","",IF('Cash Flow %s Yr4'!M70="","",'Cash Flow %s Yr4'!M70*'Expenses Summary'!$U24))</f>
        <v>0</v>
      </c>
      <c r="N70" s="60">
        <f>IF('Expenses Summary'!$U24="","",IF('Cash Flow %s Yr4'!N70="","",'Cash Flow %s Yr4'!N70*'Expenses Summary'!$U24))</f>
        <v>0</v>
      </c>
      <c r="O70" s="60">
        <f>IF('Expenses Summary'!$U24="","",IF('Cash Flow %s Yr4'!O70="","",'Cash Flow %s Yr4'!O70*'Expenses Summary'!$U24))</f>
        <v>0</v>
      </c>
      <c r="P70" s="123"/>
      <c r="Q70" s="123"/>
      <c r="R70" s="123"/>
      <c r="S70" s="105" t="str">
        <f>IF(SUM(D70:R70)&gt;0,SUM(D70:R70)/'Expenses Summary'!$U24,"")</f>
        <v/>
      </c>
    </row>
    <row r="71" spans="1:19" s="30" customFormat="1" x14ac:dyDescent="0.3">
      <c r="A71" s="35"/>
      <c r="B71" s="63" t="str">
        <f>'Expenses Summary'!B25</f>
        <v>2400</v>
      </c>
      <c r="C71" s="63" t="str">
        <f>'Expenses Summary'!C25</f>
        <v>Clerical, Technical, and Office Staff Salaries</v>
      </c>
      <c r="D71" s="60">
        <f>IF('Expenses Summary'!$U25="","",IF('Cash Flow %s Yr4'!D71="","",'Cash Flow %s Yr4'!D71*'Expenses Summary'!$U25))</f>
        <v>2358.6508051400001</v>
      </c>
      <c r="E71" s="60">
        <f>IF('Expenses Summary'!$U25="","",IF('Cash Flow %s Yr4'!E71="","",'Cash Flow %s Yr4'!E71*'Expenses Summary'!$U25))</f>
        <v>2358.6508051400001</v>
      </c>
      <c r="F71" s="60">
        <f>IF('Expenses Summary'!$U25="","",IF('Cash Flow %s Yr4'!F71="","",'Cash Flow %s Yr4'!F71*'Expenses Summary'!$U25))</f>
        <v>2358.6508051400001</v>
      </c>
      <c r="G71" s="60">
        <f>IF('Expenses Summary'!$U25="","",IF('Cash Flow %s Yr4'!G71="","",'Cash Flow %s Yr4'!G71*'Expenses Summary'!$U25))</f>
        <v>2358.6508051400001</v>
      </c>
      <c r="H71" s="60">
        <f>IF('Expenses Summary'!$U25="","",IF('Cash Flow %s Yr4'!H71="","",'Cash Flow %s Yr4'!H71*'Expenses Summary'!$U25))</f>
        <v>2358.6508051400001</v>
      </c>
      <c r="I71" s="60">
        <f>IF('Expenses Summary'!$U25="","",IF('Cash Flow %s Yr4'!I71="","",'Cash Flow %s Yr4'!I71*'Expenses Summary'!$U25))</f>
        <v>2358.6508051400001</v>
      </c>
      <c r="J71" s="60">
        <f>IF('Expenses Summary'!$U25="","",IF('Cash Flow %s Yr4'!J71="","",'Cash Flow %s Yr4'!J71*'Expenses Summary'!$U25))</f>
        <v>2358.6508051400001</v>
      </c>
      <c r="K71" s="60">
        <f>IF('Expenses Summary'!$U25="","",IF('Cash Flow %s Yr4'!K71="","",'Cash Flow %s Yr4'!K71*'Expenses Summary'!$U25))</f>
        <v>2358.6508051400001</v>
      </c>
      <c r="L71" s="60">
        <f>IF('Expenses Summary'!$U25="","",IF('Cash Flow %s Yr4'!L71="","",'Cash Flow %s Yr4'!L71*'Expenses Summary'!$U25))</f>
        <v>2387.0682847200001</v>
      </c>
      <c r="M71" s="60">
        <f>IF('Expenses Summary'!$U25="","",IF('Cash Flow %s Yr4'!M71="","",'Cash Flow %s Yr4'!M71*'Expenses Summary'!$U25))</f>
        <v>2387.0682847200001</v>
      </c>
      <c r="N71" s="60">
        <f>IF('Expenses Summary'!$U25="","",IF('Cash Flow %s Yr4'!N71="","",'Cash Flow %s Yr4'!N71*'Expenses Summary'!$U25))</f>
        <v>2387.0682847200001</v>
      </c>
      <c r="O71" s="60">
        <f>IF('Expenses Summary'!$U25="","",IF('Cash Flow %s Yr4'!O71="","",'Cash Flow %s Yr4'!O71*'Expenses Summary'!$U25))</f>
        <v>2387.0682847200001</v>
      </c>
      <c r="P71" s="123"/>
      <c r="Q71" s="123"/>
      <c r="R71" s="123"/>
      <c r="S71" s="105">
        <f>IF(SUM(D71:R71)&gt;0,SUM(D71:R71)/'Expenses Summary'!$U25,"")</f>
        <v>1.0000000000000002</v>
      </c>
    </row>
    <row r="72" spans="1:19" s="30" customFormat="1" x14ac:dyDescent="0.3">
      <c r="A72" s="35"/>
      <c r="B72" s="63" t="str">
        <f>'Expenses Summary'!B26</f>
        <v>2410</v>
      </c>
      <c r="C72" s="63" t="str">
        <f>'Expenses Summary'!C26</f>
        <v>Clerical, Technical, and Office Staff Overtime</v>
      </c>
      <c r="D72" s="60">
        <f>IF('Expenses Summary'!$U26="","",IF('Cash Flow %s Yr4'!D72="","",'Cash Flow %s Yr4'!D72*'Expenses Summary'!$U26))</f>
        <v>0</v>
      </c>
      <c r="E72" s="60">
        <f>IF('Expenses Summary'!$U26="","",IF('Cash Flow %s Yr4'!E72="","",'Cash Flow %s Yr4'!E72*'Expenses Summary'!$U26))</f>
        <v>0</v>
      </c>
      <c r="F72" s="60">
        <f>IF('Expenses Summary'!$U26="","",IF('Cash Flow %s Yr4'!F72="","",'Cash Flow %s Yr4'!F72*'Expenses Summary'!$U26))</f>
        <v>0</v>
      </c>
      <c r="G72" s="60">
        <f>IF('Expenses Summary'!$U26="","",IF('Cash Flow %s Yr4'!G72="","",'Cash Flow %s Yr4'!G72*'Expenses Summary'!$U26))</f>
        <v>0</v>
      </c>
      <c r="H72" s="60">
        <f>IF('Expenses Summary'!$U26="","",IF('Cash Flow %s Yr4'!H72="","",'Cash Flow %s Yr4'!H72*'Expenses Summary'!$U26))</f>
        <v>0</v>
      </c>
      <c r="I72" s="60">
        <f>IF('Expenses Summary'!$U26="","",IF('Cash Flow %s Yr4'!I72="","",'Cash Flow %s Yr4'!I72*'Expenses Summary'!$U26))</f>
        <v>0</v>
      </c>
      <c r="J72" s="60">
        <f>IF('Expenses Summary'!$U26="","",IF('Cash Flow %s Yr4'!J72="","",'Cash Flow %s Yr4'!J72*'Expenses Summary'!$U26))</f>
        <v>0</v>
      </c>
      <c r="K72" s="60">
        <f>IF('Expenses Summary'!$U26="","",IF('Cash Flow %s Yr4'!K72="","",'Cash Flow %s Yr4'!K72*'Expenses Summary'!$U26))</f>
        <v>0</v>
      </c>
      <c r="L72" s="60">
        <f>IF('Expenses Summary'!$U26="","",IF('Cash Flow %s Yr4'!L72="","",'Cash Flow %s Yr4'!L72*'Expenses Summary'!$U26))</f>
        <v>0</v>
      </c>
      <c r="M72" s="60">
        <f>IF('Expenses Summary'!$U26="","",IF('Cash Flow %s Yr4'!M72="","",'Cash Flow %s Yr4'!M72*'Expenses Summary'!$U26))</f>
        <v>0</v>
      </c>
      <c r="N72" s="60">
        <f>IF('Expenses Summary'!$U26="","",IF('Cash Flow %s Yr4'!N72="","",'Cash Flow %s Yr4'!N72*'Expenses Summary'!$U26))</f>
        <v>0</v>
      </c>
      <c r="O72" s="60">
        <f>IF('Expenses Summary'!$U26="","",IF('Cash Flow %s Yr4'!O72="","",'Cash Flow %s Yr4'!O72*'Expenses Summary'!$U26))</f>
        <v>0</v>
      </c>
      <c r="P72" s="123"/>
      <c r="Q72" s="123"/>
      <c r="R72" s="123"/>
      <c r="S72" s="105" t="str">
        <f>IF(SUM(D72:R72)&gt;0,SUM(D72:R72)/'Expenses Summary'!$U26,"")</f>
        <v/>
      </c>
    </row>
    <row r="73" spans="1:19" s="30" customFormat="1" x14ac:dyDescent="0.3">
      <c r="A73" s="35"/>
      <c r="B73" s="63" t="str">
        <f>'Expenses Summary'!B27</f>
        <v>2900</v>
      </c>
      <c r="C73" s="63" t="str">
        <f>'Expenses Summary'!C27</f>
        <v>Other Classified Salaries</v>
      </c>
      <c r="D73" s="60">
        <f>IF('Expenses Summary'!$U27="","",IF('Cash Flow %s Yr4'!D73="","",'Cash Flow %s Yr4'!D73*'Expenses Summary'!$U27))</f>
        <v>0</v>
      </c>
      <c r="E73" s="60">
        <f>IF('Expenses Summary'!$U27="","",IF('Cash Flow %s Yr4'!E73="","",'Cash Flow %s Yr4'!E73*'Expenses Summary'!$U27))</f>
        <v>0</v>
      </c>
      <c r="F73" s="60">
        <f>IF('Expenses Summary'!$U27="","",IF('Cash Flow %s Yr4'!F73="","",'Cash Flow %s Yr4'!F73*'Expenses Summary'!$U27))</f>
        <v>0</v>
      </c>
      <c r="G73" s="60">
        <f>IF('Expenses Summary'!$U27="","",IF('Cash Flow %s Yr4'!G73="","",'Cash Flow %s Yr4'!G73*'Expenses Summary'!$U27))</f>
        <v>0</v>
      </c>
      <c r="H73" s="60">
        <f>IF('Expenses Summary'!$U27="","",IF('Cash Flow %s Yr4'!H73="","",'Cash Flow %s Yr4'!H73*'Expenses Summary'!$U27))</f>
        <v>0</v>
      </c>
      <c r="I73" s="60">
        <f>IF('Expenses Summary'!$U27="","",IF('Cash Flow %s Yr4'!I73="","",'Cash Flow %s Yr4'!I73*'Expenses Summary'!$U27))</f>
        <v>0</v>
      </c>
      <c r="J73" s="60">
        <f>IF('Expenses Summary'!$U27="","",IF('Cash Flow %s Yr4'!J73="","",'Cash Flow %s Yr4'!J73*'Expenses Summary'!$U27))</f>
        <v>0</v>
      </c>
      <c r="K73" s="60">
        <f>IF('Expenses Summary'!$U27="","",IF('Cash Flow %s Yr4'!K73="","",'Cash Flow %s Yr4'!K73*'Expenses Summary'!$U27))</f>
        <v>0</v>
      </c>
      <c r="L73" s="60">
        <f>IF('Expenses Summary'!$U27="","",IF('Cash Flow %s Yr4'!L73="","",'Cash Flow %s Yr4'!L73*'Expenses Summary'!$U27))</f>
        <v>0</v>
      </c>
      <c r="M73" s="60">
        <f>IF('Expenses Summary'!$U27="","",IF('Cash Flow %s Yr4'!M73="","",'Cash Flow %s Yr4'!M73*'Expenses Summary'!$U27))</f>
        <v>0</v>
      </c>
      <c r="N73" s="60">
        <f>IF('Expenses Summary'!$U27="","",IF('Cash Flow %s Yr4'!N73="","",'Cash Flow %s Yr4'!N73*'Expenses Summary'!$U27))</f>
        <v>0</v>
      </c>
      <c r="O73" s="60">
        <f>IF('Expenses Summary'!$U27="","",IF('Cash Flow %s Yr4'!O73="","",'Cash Flow %s Yr4'!O73*'Expenses Summary'!$U27))</f>
        <v>0</v>
      </c>
      <c r="P73" s="123"/>
      <c r="Q73" s="123"/>
      <c r="R73" s="123"/>
      <c r="S73" s="105" t="str">
        <f>IF(SUM(D73:R73)&gt;0,SUM(D73:R73)/'Expenses Summary'!$U27,"")</f>
        <v/>
      </c>
    </row>
    <row r="74" spans="1:19" s="30" customFormat="1" x14ac:dyDescent="0.3">
      <c r="A74" s="35"/>
      <c r="B74" s="63" t="str">
        <f>'Expenses Summary'!B28</f>
        <v>2905</v>
      </c>
      <c r="C74" s="63" t="str">
        <f>'Expenses Summary'!C28</f>
        <v>Other Stipends</v>
      </c>
      <c r="D74" s="60">
        <f>IF('Expenses Summary'!$U28="","",IF('Cash Flow %s Yr4'!D74="","",'Cash Flow %s Yr4'!D74*'Expenses Summary'!$U28))</f>
        <v>0</v>
      </c>
      <c r="E74" s="60">
        <f>IF('Expenses Summary'!$U28="","",IF('Cash Flow %s Yr4'!E74="","",'Cash Flow %s Yr4'!E74*'Expenses Summary'!$U28))</f>
        <v>0</v>
      </c>
      <c r="F74" s="60">
        <f>IF('Expenses Summary'!$U28="","",IF('Cash Flow %s Yr4'!F74="","",'Cash Flow %s Yr4'!F74*'Expenses Summary'!$U28))</f>
        <v>0</v>
      </c>
      <c r="G74" s="60">
        <f>IF('Expenses Summary'!$U28="","",IF('Cash Flow %s Yr4'!G74="","",'Cash Flow %s Yr4'!G74*'Expenses Summary'!$U28))</f>
        <v>0</v>
      </c>
      <c r="H74" s="60">
        <f>IF('Expenses Summary'!$U28="","",IF('Cash Flow %s Yr4'!H74="","",'Cash Flow %s Yr4'!H74*'Expenses Summary'!$U28))</f>
        <v>0</v>
      </c>
      <c r="I74" s="60">
        <f>IF('Expenses Summary'!$U28="","",IF('Cash Flow %s Yr4'!I74="","",'Cash Flow %s Yr4'!I74*'Expenses Summary'!$U28))</f>
        <v>0</v>
      </c>
      <c r="J74" s="60">
        <f>IF('Expenses Summary'!$U28="","",IF('Cash Flow %s Yr4'!J74="","",'Cash Flow %s Yr4'!J74*'Expenses Summary'!$U28))</f>
        <v>0</v>
      </c>
      <c r="K74" s="60">
        <f>IF('Expenses Summary'!$U28="","",IF('Cash Flow %s Yr4'!K74="","",'Cash Flow %s Yr4'!K74*'Expenses Summary'!$U28))</f>
        <v>0</v>
      </c>
      <c r="L74" s="60">
        <f>IF('Expenses Summary'!$U28="","",IF('Cash Flow %s Yr4'!L74="","",'Cash Flow %s Yr4'!L74*'Expenses Summary'!$U28))</f>
        <v>0</v>
      </c>
      <c r="M74" s="60">
        <f>IF('Expenses Summary'!$U28="","",IF('Cash Flow %s Yr4'!M74="","",'Cash Flow %s Yr4'!M74*'Expenses Summary'!$U28))</f>
        <v>0</v>
      </c>
      <c r="N74" s="60">
        <f>IF('Expenses Summary'!$U28="","",IF('Cash Flow %s Yr4'!N74="","",'Cash Flow %s Yr4'!N74*'Expenses Summary'!$U28))</f>
        <v>0</v>
      </c>
      <c r="O74" s="60">
        <f>IF('Expenses Summary'!$U28="","",IF('Cash Flow %s Yr4'!O74="","",'Cash Flow %s Yr4'!O74*'Expenses Summary'!$U28))</f>
        <v>0</v>
      </c>
      <c r="P74" s="123"/>
      <c r="Q74" s="123"/>
      <c r="R74" s="123"/>
      <c r="S74" s="105" t="str">
        <f>IF(SUM(D74:R74)&gt;0,SUM(D74:R74)/'Expenses Summary'!$U28,"")</f>
        <v/>
      </c>
    </row>
    <row r="75" spans="1:19" s="30" customFormat="1" x14ac:dyDescent="0.3">
      <c r="A75" s="35"/>
      <c r="B75" s="63" t="str">
        <f>'Expenses Summary'!B29</f>
        <v>2910</v>
      </c>
      <c r="C75" s="63" t="str">
        <f>'Expenses Summary'!C29</f>
        <v>Other Classified Overtime</v>
      </c>
      <c r="D75" s="60">
        <f>IF('Expenses Summary'!$U29="","",IF('Cash Flow %s Yr4'!D75="","",'Cash Flow %s Yr4'!D75*'Expenses Summary'!$U29))</f>
        <v>0</v>
      </c>
      <c r="E75" s="60">
        <f>IF('Expenses Summary'!$U29="","",IF('Cash Flow %s Yr4'!E75="","",'Cash Flow %s Yr4'!E75*'Expenses Summary'!$U29))</f>
        <v>0</v>
      </c>
      <c r="F75" s="60">
        <f>IF('Expenses Summary'!$U29="","",IF('Cash Flow %s Yr4'!F75="","",'Cash Flow %s Yr4'!F75*'Expenses Summary'!$U29))</f>
        <v>0</v>
      </c>
      <c r="G75" s="60">
        <f>IF('Expenses Summary'!$U29="","",IF('Cash Flow %s Yr4'!G75="","",'Cash Flow %s Yr4'!G75*'Expenses Summary'!$U29))</f>
        <v>0</v>
      </c>
      <c r="H75" s="60">
        <f>IF('Expenses Summary'!$U29="","",IF('Cash Flow %s Yr4'!H75="","",'Cash Flow %s Yr4'!H75*'Expenses Summary'!$U29))</f>
        <v>0</v>
      </c>
      <c r="I75" s="60">
        <f>IF('Expenses Summary'!$U29="","",IF('Cash Flow %s Yr4'!I75="","",'Cash Flow %s Yr4'!I75*'Expenses Summary'!$U29))</f>
        <v>0</v>
      </c>
      <c r="J75" s="60">
        <f>IF('Expenses Summary'!$U29="","",IF('Cash Flow %s Yr4'!J75="","",'Cash Flow %s Yr4'!J75*'Expenses Summary'!$U29))</f>
        <v>0</v>
      </c>
      <c r="K75" s="60">
        <f>IF('Expenses Summary'!$U29="","",IF('Cash Flow %s Yr4'!K75="","",'Cash Flow %s Yr4'!K75*'Expenses Summary'!$U29))</f>
        <v>0</v>
      </c>
      <c r="L75" s="60">
        <f>IF('Expenses Summary'!$U29="","",IF('Cash Flow %s Yr4'!L75="","",'Cash Flow %s Yr4'!L75*'Expenses Summary'!$U29))</f>
        <v>0</v>
      </c>
      <c r="M75" s="60">
        <f>IF('Expenses Summary'!$U29="","",IF('Cash Flow %s Yr4'!M75="","",'Cash Flow %s Yr4'!M75*'Expenses Summary'!$U29))</f>
        <v>0</v>
      </c>
      <c r="N75" s="60">
        <f>IF('Expenses Summary'!$U29="","",IF('Cash Flow %s Yr4'!N75="","",'Cash Flow %s Yr4'!N75*'Expenses Summary'!$U29))</f>
        <v>0</v>
      </c>
      <c r="O75" s="60">
        <f>IF('Expenses Summary'!$U29="","",IF('Cash Flow %s Yr4'!O75="","",'Cash Flow %s Yr4'!O75*'Expenses Summary'!$U29))</f>
        <v>0</v>
      </c>
      <c r="P75" s="123"/>
      <c r="Q75" s="123"/>
      <c r="R75" s="123"/>
      <c r="S75" s="105" t="str">
        <f>IF(SUM(D75:R75)&gt;0,SUM(D75:R75)/'Expenses Summary'!$U29,"")</f>
        <v/>
      </c>
    </row>
    <row r="76" spans="1:19" s="30" customFormat="1" x14ac:dyDescent="0.3">
      <c r="A76" s="35"/>
      <c r="B76" s="42" t="s">
        <v>737</v>
      </c>
      <c r="C76" s="33" t="s">
        <v>720</v>
      </c>
      <c r="D76" s="165">
        <f t="shared" ref="D76:I76" si="6">IF(SUM(D65:D75)&gt;0,SUM(D65:D75),"")</f>
        <v>2358.6508051400001</v>
      </c>
      <c r="E76" s="165">
        <f t="shared" si="6"/>
        <v>10310.414575140001</v>
      </c>
      <c r="F76" s="165">
        <f t="shared" si="6"/>
        <v>18331.478345140004</v>
      </c>
      <c r="G76" s="165">
        <f t="shared" si="6"/>
        <v>18331.478345140004</v>
      </c>
      <c r="H76" s="165">
        <f t="shared" si="6"/>
        <v>18331.478345140004</v>
      </c>
      <c r="I76" s="165">
        <f t="shared" si="6"/>
        <v>18331.478345140004</v>
      </c>
      <c r="J76" s="165">
        <f t="shared" ref="J76:O76" si="7">IF(SUM(J65:J75)&gt;0,SUM(J65:J75),"")</f>
        <v>18331.478345140004</v>
      </c>
      <c r="K76" s="165">
        <f t="shared" si="7"/>
        <v>18331.478345140004</v>
      </c>
      <c r="L76" s="165">
        <f t="shared" si="7"/>
        <v>18359.895824720003</v>
      </c>
      <c r="M76" s="165">
        <f t="shared" si="7"/>
        <v>18359.895824720003</v>
      </c>
      <c r="N76" s="165">
        <f t="shared" si="7"/>
        <v>18359.895824720003</v>
      </c>
      <c r="O76" s="165">
        <f t="shared" si="7"/>
        <v>10408.132054720001</v>
      </c>
      <c r="P76" s="94"/>
      <c r="Q76" s="94"/>
      <c r="R76" s="94"/>
      <c r="S76" s="101"/>
    </row>
    <row r="77" spans="1:19" s="30" customFormat="1" x14ac:dyDescent="0.3">
      <c r="A77" s="35"/>
      <c r="B77" s="39"/>
      <c r="C77" s="3"/>
      <c r="D77" s="96"/>
      <c r="E77" s="96"/>
      <c r="F77" s="96"/>
      <c r="G77" s="96"/>
      <c r="H77" s="96"/>
      <c r="I77" s="96"/>
      <c r="J77" s="96"/>
      <c r="K77" s="96"/>
      <c r="L77" s="96"/>
      <c r="M77" s="96"/>
      <c r="N77" s="96"/>
      <c r="O77" s="96"/>
      <c r="P77" s="96"/>
      <c r="Q77" s="96"/>
      <c r="R77" s="96"/>
    </row>
    <row r="78" spans="1:19" s="30" customFormat="1" x14ac:dyDescent="0.3">
      <c r="B78" s="33" t="s">
        <v>734</v>
      </c>
      <c r="C78" s="3"/>
      <c r="D78" s="96"/>
      <c r="E78" s="96"/>
      <c r="F78" s="96"/>
      <c r="G78" s="96"/>
      <c r="H78" s="96"/>
      <c r="I78" s="96"/>
      <c r="J78" s="96"/>
      <c r="K78" s="96"/>
      <c r="L78" s="96"/>
      <c r="M78" s="96"/>
      <c r="N78" s="96"/>
      <c r="O78" s="96"/>
      <c r="P78" s="96"/>
      <c r="Q78" s="96"/>
      <c r="R78" s="96"/>
    </row>
    <row r="79" spans="1:19" s="30" customFormat="1" x14ac:dyDescent="0.3">
      <c r="A79" s="35"/>
      <c r="B79" s="63" t="str">
        <f>'Expenses Summary'!B33</f>
        <v>3101</v>
      </c>
      <c r="C79" s="63" t="str">
        <f>'Expenses Summary'!C33</f>
        <v>State Teachers' Retirement System, certificated positions</v>
      </c>
      <c r="D79" s="60">
        <f>IF('Expenses Summary'!$U33="","",IF('Cash Flow %s Yr4'!D79="","",'Cash Flow %s Yr4'!D79*'Expenses Summary'!$U33))</f>
        <v>1042.1812180880002</v>
      </c>
      <c r="E79" s="60">
        <f>IF('Expenses Summary'!$U33="","",IF('Cash Flow %s Yr4'!E79="","",'Cash Flow %s Yr4'!E79*'Expenses Summary'!$U33))</f>
        <v>2605.4530452200001</v>
      </c>
      <c r="F79" s="60">
        <f>IF('Expenses Summary'!$U33="","",IF('Cash Flow %s Yr4'!F79="","",'Cash Flow %s Yr4'!F79*'Expenses Summary'!$U33))</f>
        <v>5210.9060904400003</v>
      </c>
      <c r="G79" s="60">
        <f>IF('Expenses Summary'!$U33="","",IF('Cash Flow %s Yr4'!G79="","",'Cash Flow %s Yr4'!G79*'Expenses Summary'!$U33))</f>
        <v>5210.9060904400003</v>
      </c>
      <c r="H79" s="60">
        <f>IF('Expenses Summary'!$U33="","",IF('Cash Flow %s Yr4'!H79="","",'Cash Flow %s Yr4'!H79*'Expenses Summary'!$U33))</f>
        <v>5210.9060904400003</v>
      </c>
      <c r="I79" s="60">
        <f>IF('Expenses Summary'!$U33="","",IF('Cash Flow %s Yr4'!I79="","",'Cash Flow %s Yr4'!I79*'Expenses Summary'!$U33))</f>
        <v>5210.9060904400003</v>
      </c>
      <c r="J79" s="60">
        <f>IF('Expenses Summary'!$U33="","",IF('Cash Flow %s Yr4'!J79="","",'Cash Flow %s Yr4'!J79*'Expenses Summary'!$U33))</f>
        <v>5210.9060904400003</v>
      </c>
      <c r="K79" s="60">
        <f>IF('Expenses Summary'!$U33="","",IF('Cash Flow %s Yr4'!K79="","",'Cash Flow %s Yr4'!K79*'Expenses Summary'!$U33))</f>
        <v>5210.9060904400003</v>
      </c>
      <c r="L79" s="60">
        <f>IF('Expenses Summary'!$U33="","",IF('Cash Flow %s Yr4'!L79="","",'Cash Flow %s Yr4'!L79*'Expenses Summary'!$U33))</f>
        <v>5210.9060904400003</v>
      </c>
      <c r="M79" s="60">
        <f>IF('Expenses Summary'!$U33="","",IF('Cash Flow %s Yr4'!M79="","",'Cash Flow %s Yr4'!M79*'Expenses Summary'!$U33))</f>
        <v>5210.9060904400003</v>
      </c>
      <c r="N79" s="60">
        <f>IF('Expenses Summary'!$U33="","",IF('Cash Flow %s Yr4'!N79="","",'Cash Flow %s Yr4'!N79*'Expenses Summary'!$U33))</f>
        <v>5210.9060904400003</v>
      </c>
      <c r="O79" s="60">
        <f>IF('Expenses Summary'!$U33="","",IF('Cash Flow %s Yr4'!O79="","",'Cash Flow %s Yr4'!O79*'Expenses Summary'!$U33))</f>
        <v>1563.271827132</v>
      </c>
      <c r="P79" s="123"/>
      <c r="Q79" s="123"/>
      <c r="R79" s="123"/>
      <c r="S79" s="105">
        <f>IF(SUM(D79:R79)&gt;0,SUM(D79:R79)/'Expenses Summary'!$U33,"")</f>
        <v>1.0000000000000002</v>
      </c>
    </row>
    <row r="80" spans="1:19" s="30" customFormat="1" x14ac:dyDescent="0.3">
      <c r="A80" s="35"/>
      <c r="B80" s="63" t="str">
        <f>'Expenses Summary'!B34</f>
        <v>3202</v>
      </c>
      <c r="C80" s="63" t="str">
        <f>'Expenses Summary'!C34</f>
        <v>Public Employees' Retirement System, classified positions</v>
      </c>
      <c r="D80" s="60">
        <f>IF('Expenses Summary'!$U34="","",IF('Cash Flow %s Yr4'!D80="","",'Cash Flow %s Yr4'!D80*'Expenses Summary'!$U34))</f>
        <v>0</v>
      </c>
      <c r="E80" s="60">
        <f>IF('Expenses Summary'!$U34="","",IF('Cash Flow %s Yr4'!E80="","",'Cash Flow %s Yr4'!E80*'Expenses Summary'!$U34))</f>
        <v>0</v>
      </c>
      <c r="F80" s="60">
        <f>IF('Expenses Summary'!$U34="","",IF('Cash Flow %s Yr4'!F80="","",'Cash Flow %s Yr4'!F80*'Expenses Summary'!$U34))</f>
        <v>0</v>
      </c>
      <c r="G80" s="60">
        <f>IF('Expenses Summary'!$U34="","",IF('Cash Flow %s Yr4'!G80="","",'Cash Flow %s Yr4'!G80*'Expenses Summary'!$U34))</f>
        <v>0</v>
      </c>
      <c r="H80" s="60">
        <f>IF('Expenses Summary'!$U34="","",IF('Cash Flow %s Yr4'!H80="","",'Cash Flow %s Yr4'!H80*'Expenses Summary'!$U34))</f>
        <v>0</v>
      </c>
      <c r="I80" s="60">
        <f>IF('Expenses Summary'!$U34="","",IF('Cash Flow %s Yr4'!I80="","",'Cash Flow %s Yr4'!I80*'Expenses Summary'!$U34))</f>
        <v>0</v>
      </c>
      <c r="J80" s="60">
        <f>IF('Expenses Summary'!$U34="","",IF('Cash Flow %s Yr4'!J80="","",'Cash Flow %s Yr4'!J80*'Expenses Summary'!$U34))</f>
        <v>0</v>
      </c>
      <c r="K80" s="60">
        <f>IF('Expenses Summary'!$U34="","",IF('Cash Flow %s Yr4'!K80="","",'Cash Flow %s Yr4'!K80*'Expenses Summary'!$U34))</f>
        <v>0</v>
      </c>
      <c r="L80" s="60">
        <f>IF('Expenses Summary'!$U34="","",IF('Cash Flow %s Yr4'!L80="","",'Cash Flow %s Yr4'!L80*'Expenses Summary'!$U34))</f>
        <v>0</v>
      </c>
      <c r="M80" s="60">
        <f>IF('Expenses Summary'!$U34="","",IF('Cash Flow %s Yr4'!M80="","",'Cash Flow %s Yr4'!M80*'Expenses Summary'!$U34))</f>
        <v>0</v>
      </c>
      <c r="N80" s="60">
        <f>IF('Expenses Summary'!$U34="","",IF('Cash Flow %s Yr4'!N80="","",'Cash Flow %s Yr4'!N80*'Expenses Summary'!$U34))</f>
        <v>0</v>
      </c>
      <c r="O80" s="60">
        <f>IF('Expenses Summary'!$U34="","",IF('Cash Flow %s Yr4'!O80="","",'Cash Flow %s Yr4'!O80*'Expenses Summary'!$U34))</f>
        <v>0</v>
      </c>
      <c r="P80" s="123"/>
      <c r="Q80" s="123"/>
      <c r="R80" s="123"/>
      <c r="S80" s="105" t="str">
        <f>IF(SUM(D80:R80)&gt;0,SUM(D80:R80)/'Expenses Summary'!$U34,"")</f>
        <v/>
      </c>
    </row>
    <row r="81" spans="1:19" s="30" customFormat="1" x14ac:dyDescent="0.3">
      <c r="A81" s="35"/>
      <c r="B81" s="63" t="str">
        <f>'Expenses Summary'!B35</f>
        <v>3313</v>
      </c>
      <c r="C81" s="63" t="str">
        <f>'Expenses Summary'!C35</f>
        <v>OASDI</v>
      </c>
      <c r="D81" s="60">
        <f>IF('Expenses Summary'!$U35="","",IF('Cash Flow %s Yr4'!D81="","",'Cash Flow %s Yr4'!D81*'Expenses Summary'!$U35))</f>
        <v>1085.9644105837499</v>
      </c>
      <c r="E81" s="60">
        <f>IF('Expenses Summary'!$U35="","",IF('Cash Flow %s Yr4'!E81="","",'Cash Flow %s Yr4'!E81*'Expenses Summary'!$U35))</f>
        <v>1085.9644105837499</v>
      </c>
      <c r="F81" s="60">
        <f>IF('Expenses Summary'!$U35="","",IF('Cash Flow %s Yr4'!F81="","",'Cash Flow %s Yr4'!F81*'Expenses Summary'!$U35))</f>
        <v>1085.9644105837499</v>
      </c>
      <c r="G81" s="60">
        <f>IF('Expenses Summary'!$U35="","",IF('Cash Flow %s Yr4'!G81="","",'Cash Flow %s Yr4'!G81*'Expenses Summary'!$U35))</f>
        <v>1085.9644105837499</v>
      </c>
      <c r="H81" s="60">
        <f>IF('Expenses Summary'!$U35="","",IF('Cash Flow %s Yr4'!H81="","",'Cash Flow %s Yr4'!H81*'Expenses Summary'!$U35))</f>
        <v>1085.9644105837499</v>
      </c>
      <c r="I81" s="60">
        <f>IF('Expenses Summary'!$U35="","",IF('Cash Flow %s Yr4'!I81="","",'Cash Flow %s Yr4'!I81*'Expenses Summary'!$U35))</f>
        <v>1085.9644105837499</v>
      </c>
      <c r="J81" s="60">
        <f>IF('Expenses Summary'!$U35="","",IF('Cash Flow %s Yr4'!J81="","",'Cash Flow %s Yr4'!J81*'Expenses Summary'!$U35))</f>
        <v>1085.9644105837499</v>
      </c>
      <c r="K81" s="60">
        <f>IF('Expenses Summary'!$U35="","",IF('Cash Flow %s Yr4'!K81="","",'Cash Flow %s Yr4'!K81*'Expenses Summary'!$U35))</f>
        <v>1085.9644105837499</v>
      </c>
      <c r="L81" s="60">
        <f>IF('Expenses Summary'!$U35="","",IF('Cash Flow %s Yr4'!L81="","",'Cash Flow %s Yr4'!L81*'Expenses Summary'!$U35))</f>
        <v>1099.0483191450001</v>
      </c>
      <c r="M81" s="60">
        <f>IF('Expenses Summary'!$U35="","",IF('Cash Flow %s Yr4'!M81="","",'Cash Flow %s Yr4'!M81*'Expenses Summary'!$U35))</f>
        <v>1099.0483191450001</v>
      </c>
      <c r="N81" s="60">
        <f>IF('Expenses Summary'!$U35="","",IF('Cash Flow %s Yr4'!N81="","",'Cash Flow %s Yr4'!N81*'Expenses Summary'!$U35))</f>
        <v>1099.0483191450001</v>
      </c>
      <c r="O81" s="60">
        <f>IF('Expenses Summary'!$U35="","",IF('Cash Flow %s Yr4'!O81="","",'Cash Flow %s Yr4'!O81*'Expenses Summary'!$U35))</f>
        <v>1099.0483191450001</v>
      </c>
      <c r="P81" s="123"/>
      <c r="Q81" s="123"/>
      <c r="R81" s="123"/>
      <c r="S81" s="105">
        <f>IF(SUM(D81:R81)&gt;0,SUM(D81:R81)/'Expenses Summary'!$U35,"")</f>
        <v>1.0000000000000002</v>
      </c>
    </row>
    <row r="82" spans="1:19" s="30" customFormat="1" x14ac:dyDescent="0.3">
      <c r="A82" s="35"/>
      <c r="B82" s="63" t="str">
        <f>'Expenses Summary'!B36</f>
        <v>3323</v>
      </c>
      <c r="C82" s="63" t="str">
        <f>'Expenses Summary'!C36</f>
        <v>Medicare</v>
      </c>
      <c r="D82" s="60">
        <f>IF('Expenses Summary'!$U36="","",IF('Cash Flow %s Yr4'!D82="","",'Cash Flow %s Yr4'!D82*'Expenses Summary'!$U36))</f>
        <v>580.28539141482986</v>
      </c>
      <c r="E82" s="60">
        <f>IF('Expenses Summary'!$U36="","",IF('Cash Flow %s Yr4'!E82="","",'Cash Flow %s Yr4'!E82*'Expenses Summary'!$U36))</f>
        <v>580.28539141482986</v>
      </c>
      <c r="F82" s="60">
        <f>IF('Expenses Summary'!$U36="","",IF('Cash Flow %s Yr4'!F82="","",'Cash Flow %s Yr4'!F82*'Expenses Summary'!$U36))</f>
        <v>580.28539141482986</v>
      </c>
      <c r="G82" s="60">
        <f>IF('Expenses Summary'!$U36="","",IF('Cash Flow %s Yr4'!G82="","",'Cash Flow %s Yr4'!G82*'Expenses Summary'!$U36))</f>
        <v>580.28539141482986</v>
      </c>
      <c r="H82" s="60">
        <f>IF('Expenses Summary'!$U36="","",IF('Cash Flow %s Yr4'!H82="","",'Cash Flow %s Yr4'!H82*'Expenses Summary'!$U36))</f>
        <v>580.28539141482986</v>
      </c>
      <c r="I82" s="60">
        <f>IF('Expenses Summary'!$U36="","",IF('Cash Flow %s Yr4'!I82="","",'Cash Flow %s Yr4'!I82*'Expenses Summary'!$U36))</f>
        <v>580.28539141482986</v>
      </c>
      <c r="J82" s="60">
        <f>IF('Expenses Summary'!$U36="","",IF('Cash Flow %s Yr4'!J82="","",'Cash Flow %s Yr4'!J82*'Expenses Summary'!$U36))</f>
        <v>580.28539141482986</v>
      </c>
      <c r="K82" s="60">
        <f>IF('Expenses Summary'!$U36="","",IF('Cash Flow %s Yr4'!K82="","",'Cash Flow %s Yr4'!K82*'Expenses Summary'!$U36))</f>
        <v>580.28539141482986</v>
      </c>
      <c r="L82" s="60">
        <f>IF('Expenses Summary'!$U36="","",IF('Cash Flow %s Yr4'!L82="","",'Cash Flow %s Yr4'!L82*'Expenses Summary'!$U36))</f>
        <v>587.27678167283989</v>
      </c>
      <c r="M82" s="60">
        <f>IF('Expenses Summary'!$U36="","",IF('Cash Flow %s Yr4'!M82="","",'Cash Flow %s Yr4'!M82*'Expenses Summary'!$U36))</f>
        <v>587.27678167283989</v>
      </c>
      <c r="N82" s="60">
        <f>IF('Expenses Summary'!$U36="","",IF('Cash Flow %s Yr4'!N82="","",'Cash Flow %s Yr4'!N82*'Expenses Summary'!$U36))</f>
        <v>587.27678167283989</v>
      </c>
      <c r="O82" s="60">
        <f>IF('Expenses Summary'!$U36="","",IF('Cash Flow %s Yr4'!O82="","",'Cash Flow %s Yr4'!O82*'Expenses Summary'!$U36))</f>
        <v>587.27678167283989</v>
      </c>
      <c r="P82" s="123"/>
      <c r="Q82" s="123"/>
      <c r="R82" s="123"/>
      <c r="S82" s="105">
        <f>IF(SUM(D82:R82)&gt;0,SUM(D82:R82)/'Expenses Summary'!$U36,"")</f>
        <v>1.0000000000000002</v>
      </c>
    </row>
    <row r="83" spans="1:19" s="30" customFormat="1" x14ac:dyDescent="0.3">
      <c r="A83" s="35"/>
      <c r="B83" s="63" t="str">
        <f>'Expenses Summary'!B37</f>
        <v>3403</v>
      </c>
      <c r="C83" s="63" t="str">
        <f>'Expenses Summary'!C37</f>
        <v>Health &amp; Welfare Benefits</v>
      </c>
      <c r="D83" s="60">
        <f>IF('Expenses Summary'!$U37="","",IF('Cash Flow %s Yr4'!D83="","",'Cash Flow %s Yr4'!D83*'Expenses Summary'!$U37))</f>
        <v>4433.8600000000006</v>
      </c>
      <c r="E83" s="60">
        <f>IF('Expenses Summary'!$U37="","",IF('Cash Flow %s Yr4'!E83="","",'Cash Flow %s Yr4'!E83*'Expenses Summary'!$U37))</f>
        <v>4433.8600000000006</v>
      </c>
      <c r="F83" s="60">
        <f>IF('Expenses Summary'!$U37="","",IF('Cash Flow %s Yr4'!F83="","",'Cash Flow %s Yr4'!F83*'Expenses Summary'!$U37))</f>
        <v>4433.8600000000006</v>
      </c>
      <c r="G83" s="60">
        <f>IF('Expenses Summary'!$U37="","",IF('Cash Flow %s Yr4'!G83="","",'Cash Flow %s Yr4'!G83*'Expenses Summary'!$U37))</f>
        <v>4433.8600000000006</v>
      </c>
      <c r="H83" s="60">
        <f>IF('Expenses Summary'!$U37="","",IF('Cash Flow %s Yr4'!H83="","",'Cash Flow %s Yr4'!H83*'Expenses Summary'!$U37))</f>
        <v>4433.8600000000006</v>
      </c>
      <c r="I83" s="60">
        <f>IF('Expenses Summary'!$U37="","",IF('Cash Flow %s Yr4'!I83="","",'Cash Flow %s Yr4'!I83*'Expenses Summary'!$U37))</f>
        <v>4433.8600000000006</v>
      </c>
      <c r="J83" s="60">
        <f>IF('Expenses Summary'!$U37="","",IF('Cash Flow %s Yr4'!J83="","",'Cash Flow %s Yr4'!J83*'Expenses Summary'!$U37))</f>
        <v>4433.8600000000006</v>
      </c>
      <c r="K83" s="60">
        <f>IF('Expenses Summary'!$U37="","",IF('Cash Flow %s Yr4'!K83="","",'Cash Flow %s Yr4'!K83*'Expenses Summary'!$U37))</f>
        <v>4433.8600000000006</v>
      </c>
      <c r="L83" s="60">
        <f>IF('Expenses Summary'!$U37="","",IF('Cash Flow %s Yr4'!L83="","",'Cash Flow %s Yr4'!L83*'Expenses Summary'!$U37))</f>
        <v>4487.2800000000007</v>
      </c>
      <c r="M83" s="60">
        <f>IF('Expenses Summary'!$U37="","",IF('Cash Flow %s Yr4'!M83="","",'Cash Flow %s Yr4'!M83*'Expenses Summary'!$U37))</f>
        <v>4487.2800000000007</v>
      </c>
      <c r="N83" s="60">
        <f>IF('Expenses Summary'!$U37="","",IF('Cash Flow %s Yr4'!N83="","",'Cash Flow %s Yr4'!N83*'Expenses Summary'!$U37))</f>
        <v>4487.2800000000007</v>
      </c>
      <c r="O83" s="60">
        <f>IF('Expenses Summary'!$U37="","",IF('Cash Flow %s Yr4'!O83="","",'Cash Flow %s Yr4'!O83*'Expenses Summary'!$U37))</f>
        <v>4487.2800000000007</v>
      </c>
      <c r="P83" s="123"/>
      <c r="Q83" s="123"/>
      <c r="R83" s="123"/>
      <c r="S83" s="105">
        <f>IF(SUM(D83:R83)&gt;0,SUM(D83:R83)/'Expenses Summary'!$U37,"")</f>
        <v>1</v>
      </c>
    </row>
    <row r="84" spans="1:19" s="30" customFormat="1" x14ac:dyDescent="0.3">
      <c r="A84" s="35"/>
      <c r="B84" s="63" t="str">
        <f>'Expenses Summary'!B38</f>
        <v>3503</v>
      </c>
      <c r="C84" s="63" t="str">
        <f>'Expenses Summary'!C38</f>
        <v>State Unemployment Insurance</v>
      </c>
      <c r="D84" s="60">
        <f>IF('Expenses Summary'!$U38="","",IF('Cash Flow %s Yr4'!D84="","",'Cash Flow %s Yr4'!D84*'Expenses Summary'!$U38))</f>
        <v>531.20000000000005</v>
      </c>
      <c r="E84" s="60">
        <f>IF('Expenses Summary'!$U38="","",IF('Cash Flow %s Yr4'!E84="","",'Cash Flow %s Yr4'!E84*'Expenses Summary'!$U38))</f>
        <v>531.20000000000005</v>
      </c>
      <c r="F84" s="60">
        <f>IF('Expenses Summary'!$U38="","",IF('Cash Flow %s Yr4'!F84="","",'Cash Flow %s Yr4'!F84*'Expenses Summary'!$U38))</f>
        <v>531.20000000000005</v>
      </c>
      <c r="G84" s="60">
        <f>IF('Expenses Summary'!$U38="","",IF('Cash Flow %s Yr4'!G84="","",'Cash Flow %s Yr4'!G84*'Expenses Summary'!$U38))</f>
        <v>531.20000000000005</v>
      </c>
      <c r="H84" s="60">
        <f>IF('Expenses Summary'!$U38="","",IF('Cash Flow %s Yr4'!H84="","",'Cash Flow %s Yr4'!H84*'Expenses Summary'!$U38))</f>
        <v>531.20000000000005</v>
      </c>
      <c r="I84" s="60">
        <f>IF('Expenses Summary'!$U38="","",IF('Cash Flow %s Yr4'!I84="","",'Cash Flow %s Yr4'!I84*'Expenses Summary'!$U38))</f>
        <v>531.20000000000005</v>
      </c>
      <c r="J84" s="60">
        <f>IF('Expenses Summary'!$U38="","",IF('Cash Flow %s Yr4'!J84="","",'Cash Flow %s Yr4'!J84*'Expenses Summary'!$U38))</f>
        <v>531.20000000000005</v>
      </c>
      <c r="K84" s="60">
        <f>IF('Expenses Summary'!$U38="","",IF('Cash Flow %s Yr4'!K84="","",'Cash Flow %s Yr4'!K84*'Expenses Summary'!$U38))</f>
        <v>531.20000000000005</v>
      </c>
      <c r="L84" s="60">
        <f>IF('Expenses Summary'!$U38="","",IF('Cash Flow %s Yr4'!L84="","",'Cash Flow %s Yr4'!L84*'Expenses Summary'!$U38))</f>
        <v>537.6</v>
      </c>
      <c r="M84" s="60">
        <f>IF('Expenses Summary'!$U38="","",IF('Cash Flow %s Yr4'!M84="","",'Cash Flow %s Yr4'!M84*'Expenses Summary'!$U38))</f>
        <v>537.6</v>
      </c>
      <c r="N84" s="60">
        <f>IF('Expenses Summary'!$U38="","",IF('Cash Flow %s Yr4'!N84="","",'Cash Flow %s Yr4'!N84*'Expenses Summary'!$U38))</f>
        <v>537.6</v>
      </c>
      <c r="O84" s="60">
        <f>IF('Expenses Summary'!$U38="","",IF('Cash Flow %s Yr4'!O84="","",'Cash Flow %s Yr4'!O84*'Expenses Summary'!$U38))</f>
        <v>537.6</v>
      </c>
      <c r="P84" s="123"/>
      <c r="Q84" s="123"/>
      <c r="R84" s="123"/>
      <c r="S84" s="105">
        <f>IF(SUM(D84:R84)&gt;0,SUM(D84:R84)/'Expenses Summary'!$U38,"")</f>
        <v>1.0000000000000002</v>
      </c>
    </row>
    <row r="85" spans="1:19" s="30" customFormat="1" x14ac:dyDescent="0.3">
      <c r="A85" s="35"/>
      <c r="B85" s="63" t="str">
        <f>'Expenses Summary'!B39</f>
        <v>3603</v>
      </c>
      <c r="C85" s="63" t="str">
        <f>'Expenses Summary'!C39</f>
        <v>Worker Compensation Insurance</v>
      </c>
      <c r="D85" s="60">
        <f>IF('Expenses Summary'!$U39="","",IF('Cash Flow %s Yr4'!D85="","",'Cash Flow %s Yr4'!D85*'Expenses Summary'!$U39))</f>
        <v>822.53000000000009</v>
      </c>
      <c r="E85" s="60">
        <f>IF('Expenses Summary'!$U39="","",IF('Cash Flow %s Yr4'!E85="","",'Cash Flow %s Yr4'!E85*'Expenses Summary'!$U39))</f>
        <v>822.53000000000009</v>
      </c>
      <c r="F85" s="60">
        <f>IF('Expenses Summary'!$U39="","",IF('Cash Flow %s Yr4'!F85="","",'Cash Flow %s Yr4'!F85*'Expenses Summary'!$U39))</f>
        <v>822.53000000000009</v>
      </c>
      <c r="G85" s="60">
        <f>IF('Expenses Summary'!$U39="","",IF('Cash Flow %s Yr4'!G85="","",'Cash Flow %s Yr4'!G85*'Expenses Summary'!$U39))</f>
        <v>822.53000000000009</v>
      </c>
      <c r="H85" s="60">
        <f>IF('Expenses Summary'!$U39="","",IF('Cash Flow %s Yr4'!H85="","",'Cash Flow %s Yr4'!H85*'Expenses Summary'!$U39))</f>
        <v>822.53000000000009</v>
      </c>
      <c r="I85" s="60">
        <f>IF('Expenses Summary'!$U39="","",IF('Cash Flow %s Yr4'!I85="","",'Cash Flow %s Yr4'!I85*'Expenses Summary'!$U39))</f>
        <v>822.53000000000009</v>
      </c>
      <c r="J85" s="60">
        <f>IF('Expenses Summary'!$U39="","",IF('Cash Flow %s Yr4'!J85="","",'Cash Flow %s Yr4'!J85*'Expenses Summary'!$U39))</f>
        <v>822.53000000000009</v>
      </c>
      <c r="K85" s="60">
        <f>IF('Expenses Summary'!$U39="","",IF('Cash Flow %s Yr4'!K85="","",'Cash Flow %s Yr4'!K85*'Expenses Summary'!$U39))</f>
        <v>822.53000000000009</v>
      </c>
      <c r="L85" s="60">
        <f>IF('Expenses Summary'!$U39="","",IF('Cash Flow %s Yr4'!L85="","",'Cash Flow %s Yr4'!L85*'Expenses Summary'!$U39))</f>
        <v>832.44</v>
      </c>
      <c r="M85" s="60">
        <f>IF('Expenses Summary'!$U39="","",IF('Cash Flow %s Yr4'!M85="","",'Cash Flow %s Yr4'!M85*'Expenses Summary'!$U39))</f>
        <v>832.44</v>
      </c>
      <c r="N85" s="60">
        <f>IF('Expenses Summary'!$U39="","",IF('Cash Flow %s Yr4'!N85="","",'Cash Flow %s Yr4'!N85*'Expenses Summary'!$U39))</f>
        <v>832.44</v>
      </c>
      <c r="O85" s="60">
        <f>IF('Expenses Summary'!$U39="","",IF('Cash Flow %s Yr4'!O85="","",'Cash Flow %s Yr4'!O85*'Expenses Summary'!$U39))</f>
        <v>832.44</v>
      </c>
      <c r="P85" s="123"/>
      <c r="Q85" s="123"/>
      <c r="R85" s="123"/>
      <c r="S85" s="105">
        <f>IF(SUM(D85:R85)&gt;0,SUM(D85:R85)/'Expenses Summary'!$U39,"")</f>
        <v>1.0000000000000002</v>
      </c>
    </row>
    <row r="86" spans="1:19" s="30" customFormat="1" x14ac:dyDescent="0.3">
      <c r="A86" s="35"/>
      <c r="B86" s="63" t="str">
        <f>'Expenses Summary'!B40</f>
        <v>3703</v>
      </c>
      <c r="C86" s="63" t="str">
        <f>'Expenses Summary'!C40</f>
        <v>Other Post Employement Benefits</v>
      </c>
      <c r="D86" s="60">
        <f>IF('Expenses Summary'!$U40="","",IF('Cash Flow %s Yr4'!D86="","",'Cash Flow %s Yr4'!D86*'Expenses Summary'!$U40))</f>
        <v>0</v>
      </c>
      <c r="E86" s="60">
        <f>IF('Expenses Summary'!$U40="","",IF('Cash Flow %s Yr4'!E86="","",'Cash Flow %s Yr4'!E86*'Expenses Summary'!$U40))</f>
        <v>0</v>
      </c>
      <c r="F86" s="60">
        <f>IF('Expenses Summary'!$U40="","",IF('Cash Flow %s Yr4'!F86="","",'Cash Flow %s Yr4'!F86*'Expenses Summary'!$U40))</f>
        <v>0</v>
      </c>
      <c r="G86" s="60">
        <f>IF('Expenses Summary'!$U40="","",IF('Cash Flow %s Yr4'!G86="","",'Cash Flow %s Yr4'!G86*'Expenses Summary'!$U40))</f>
        <v>0</v>
      </c>
      <c r="H86" s="60">
        <f>IF('Expenses Summary'!$U40="","",IF('Cash Flow %s Yr4'!H86="","",'Cash Flow %s Yr4'!H86*'Expenses Summary'!$U40))</f>
        <v>0</v>
      </c>
      <c r="I86" s="60">
        <f>IF('Expenses Summary'!$U40="","",IF('Cash Flow %s Yr4'!I86="","",'Cash Flow %s Yr4'!I86*'Expenses Summary'!$U40))</f>
        <v>0</v>
      </c>
      <c r="J86" s="60">
        <f>IF('Expenses Summary'!$U40="","",IF('Cash Flow %s Yr4'!J86="","",'Cash Flow %s Yr4'!J86*'Expenses Summary'!$U40))</f>
        <v>0</v>
      </c>
      <c r="K86" s="60">
        <f>IF('Expenses Summary'!$U40="","",IF('Cash Flow %s Yr4'!K86="","",'Cash Flow %s Yr4'!K86*'Expenses Summary'!$U40))</f>
        <v>0</v>
      </c>
      <c r="L86" s="60">
        <f>IF('Expenses Summary'!$U40="","",IF('Cash Flow %s Yr4'!L86="","",'Cash Flow %s Yr4'!L86*'Expenses Summary'!$U40))</f>
        <v>0</v>
      </c>
      <c r="M86" s="60">
        <f>IF('Expenses Summary'!$U40="","",IF('Cash Flow %s Yr4'!M86="","",'Cash Flow %s Yr4'!M86*'Expenses Summary'!$U40))</f>
        <v>0</v>
      </c>
      <c r="N86" s="60">
        <f>IF('Expenses Summary'!$U40="","",IF('Cash Flow %s Yr4'!N86="","",'Cash Flow %s Yr4'!N86*'Expenses Summary'!$U40))</f>
        <v>0</v>
      </c>
      <c r="O86" s="60">
        <f>IF('Expenses Summary'!$U40="","",IF('Cash Flow %s Yr4'!O86="","",'Cash Flow %s Yr4'!O86*'Expenses Summary'!$U40))</f>
        <v>0</v>
      </c>
      <c r="P86" s="123"/>
      <c r="Q86" s="123"/>
      <c r="R86" s="123"/>
      <c r="S86" s="105" t="str">
        <f>IF(SUM(D86:R86)&gt;0,SUM(D86:R86)/'Expenses Summary'!$U40,"")</f>
        <v/>
      </c>
    </row>
    <row r="87" spans="1:19" s="30" customFormat="1" x14ac:dyDescent="0.3">
      <c r="A87" s="35"/>
      <c r="B87" s="63" t="str">
        <f>'Expenses Summary'!B41</f>
        <v>3903</v>
      </c>
      <c r="C87" s="63" t="str">
        <f>'Expenses Summary'!C41</f>
        <v>Other Benefits</v>
      </c>
      <c r="D87" s="60">
        <f>IF('Expenses Summary'!$U41="","",IF('Cash Flow %s Yr4'!D87="","",'Cash Flow %s Yr4'!D87*'Expenses Summary'!$U41))</f>
        <v>0</v>
      </c>
      <c r="E87" s="60">
        <f>IF('Expenses Summary'!$U41="","",IF('Cash Flow %s Yr4'!E87="","",'Cash Flow %s Yr4'!E87*'Expenses Summary'!$U41))</f>
        <v>0</v>
      </c>
      <c r="F87" s="60">
        <f>IF('Expenses Summary'!$U41="","",IF('Cash Flow %s Yr4'!F87="","",'Cash Flow %s Yr4'!F87*'Expenses Summary'!$U41))</f>
        <v>0</v>
      </c>
      <c r="G87" s="60">
        <f>IF('Expenses Summary'!$U41="","",IF('Cash Flow %s Yr4'!G87="","",'Cash Flow %s Yr4'!G87*'Expenses Summary'!$U41))</f>
        <v>0</v>
      </c>
      <c r="H87" s="60">
        <f>IF('Expenses Summary'!$U41="","",IF('Cash Flow %s Yr4'!H87="","",'Cash Flow %s Yr4'!H87*'Expenses Summary'!$U41))</f>
        <v>0</v>
      </c>
      <c r="I87" s="60">
        <f>IF('Expenses Summary'!$U41="","",IF('Cash Flow %s Yr4'!I87="","",'Cash Flow %s Yr4'!I87*'Expenses Summary'!$U41))</f>
        <v>0</v>
      </c>
      <c r="J87" s="60">
        <f>IF('Expenses Summary'!$U41="","",IF('Cash Flow %s Yr4'!J87="","",'Cash Flow %s Yr4'!J87*'Expenses Summary'!$U41))</f>
        <v>0</v>
      </c>
      <c r="K87" s="60">
        <f>IF('Expenses Summary'!$U41="","",IF('Cash Flow %s Yr4'!K87="","",'Cash Flow %s Yr4'!K87*'Expenses Summary'!$U41))</f>
        <v>0</v>
      </c>
      <c r="L87" s="60">
        <f>IF('Expenses Summary'!$U41="","",IF('Cash Flow %s Yr4'!L87="","",'Cash Flow %s Yr4'!L87*'Expenses Summary'!$U41))</f>
        <v>0</v>
      </c>
      <c r="M87" s="60">
        <f>IF('Expenses Summary'!$U41="","",IF('Cash Flow %s Yr4'!M87="","",'Cash Flow %s Yr4'!M87*'Expenses Summary'!$U41))</f>
        <v>0</v>
      </c>
      <c r="N87" s="60">
        <f>IF('Expenses Summary'!$U41="","",IF('Cash Flow %s Yr4'!N87="","",'Cash Flow %s Yr4'!N87*'Expenses Summary'!$U41))</f>
        <v>0</v>
      </c>
      <c r="O87" s="60">
        <f>IF('Expenses Summary'!$U41="","",IF('Cash Flow %s Yr4'!O87="","",'Cash Flow %s Yr4'!O87*'Expenses Summary'!$U41))</f>
        <v>0</v>
      </c>
      <c r="P87" s="123"/>
      <c r="Q87" s="123"/>
      <c r="R87" s="123"/>
      <c r="S87" s="105" t="str">
        <f>IF(SUM(D87:R87)&gt;0,SUM(D87:R87)/'Expenses Summary'!$U41,"")</f>
        <v/>
      </c>
    </row>
    <row r="88" spans="1:19" s="30" customFormat="1" x14ac:dyDescent="0.3">
      <c r="A88" s="35"/>
      <c r="B88" s="42" t="s">
        <v>738</v>
      </c>
      <c r="C88" s="33" t="s">
        <v>720</v>
      </c>
      <c r="D88" s="165">
        <f t="shared" ref="D88:O88" si="8">IF(SUM(D78:D87)&gt;0,SUM(D78:D87),"")</f>
        <v>8496.0210200865804</v>
      </c>
      <c r="E88" s="165">
        <f t="shared" si="8"/>
        <v>10059.292847218583</v>
      </c>
      <c r="F88" s="165">
        <f t="shared" si="8"/>
        <v>12664.745892438581</v>
      </c>
      <c r="G88" s="165">
        <f t="shared" si="8"/>
        <v>12664.745892438581</v>
      </c>
      <c r="H88" s="165">
        <f t="shared" si="8"/>
        <v>12664.745892438581</v>
      </c>
      <c r="I88" s="165">
        <f t="shared" si="8"/>
        <v>12664.745892438581</v>
      </c>
      <c r="J88" s="165">
        <f t="shared" si="8"/>
        <v>12664.745892438581</v>
      </c>
      <c r="K88" s="165">
        <f t="shared" si="8"/>
        <v>12664.745892438581</v>
      </c>
      <c r="L88" s="165">
        <f t="shared" si="8"/>
        <v>12754.551191257842</v>
      </c>
      <c r="M88" s="165">
        <f t="shared" si="8"/>
        <v>12754.551191257842</v>
      </c>
      <c r="N88" s="165">
        <f t="shared" si="8"/>
        <v>12754.551191257842</v>
      </c>
      <c r="O88" s="165">
        <f t="shared" si="8"/>
        <v>9106.9169279498419</v>
      </c>
      <c r="P88" s="94"/>
      <c r="Q88" s="94"/>
      <c r="R88" s="94"/>
      <c r="S88" s="105"/>
    </row>
    <row r="89" spans="1:19" s="30" customFormat="1" x14ac:dyDescent="0.3">
      <c r="A89" s="35"/>
      <c r="B89" s="39"/>
      <c r="C89" s="1"/>
      <c r="D89" s="89"/>
      <c r="E89" s="89"/>
      <c r="F89" s="89"/>
      <c r="G89" s="89"/>
      <c r="H89" s="89"/>
      <c r="I89" s="89"/>
      <c r="J89" s="89"/>
      <c r="K89" s="89"/>
      <c r="L89" s="89"/>
      <c r="M89" s="89"/>
      <c r="N89" s="89"/>
      <c r="O89" s="89"/>
      <c r="P89" s="89"/>
      <c r="Q89" s="89"/>
      <c r="R89" s="89"/>
    </row>
    <row r="90" spans="1:19" s="30" customFormat="1" x14ac:dyDescent="0.3">
      <c r="B90" s="33" t="s">
        <v>677</v>
      </c>
      <c r="C90" s="3"/>
      <c r="D90" s="89"/>
      <c r="E90" s="89"/>
      <c r="F90" s="89"/>
      <c r="G90" s="89"/>
      <c r="H90" s="89"/>
      <c r="I90" s="89"/>
      <c r="J90" s="89"/>
      <c r="K90" s="89"/>
      <c r="L90" s="89"/>
      <c r="M90" s="89"/>
      <c r="N90" s="89"/>
      <c r="O90" s="89"/>
      <c r="P90" s="89"/>
      <c r="Q90" s="89"/>
      <c r="R90" s="89"/>
    </row>
    <row r="91" spans="1:19" s="30" customFormat="1" x14ac:dyDescent="0.3">
      <c r="A91" s="35"/>
      <c r="B91" s="133" t="str">
        <f>'Expenses Summary'!B47</f>
        <v>4100</v>
      </c>
      <c r="C91" s="133" t="str">
        <f>'Expenses Summary'!C47</f>
        <v>Approved Textbooks and Core Curricula Materials</v>
      </c>
      <c r="D91" s="60">
        <f>IF('Expenses Summary'!$U47="","",IF('Cash Flow %s Yr4'!D91="","",'Cash Flow %s Yr4'!D91*'Expenses Summary'!$U47))</f>
        <v>2129.2224000000001</v>
      </c>
      <c r="E91" s="60">
        <f>IF('Expenses Summary'!$U47="","",IF('Cash Flow %s Yr4'!E91="","",'Cash Flow %s Yr4'!E91*'Expenses Summary'!$U47))</f>
        <v>2129.2224000000001</v>
      </c>
      <c r="F91" s="60">
        <f>IF('Expenses Summary'!$U47="","",IF('Cash Flow %s Yr4'!F91="","",'Cash Flow %s Yr4'!F91*'Expenses Summary'!$U47))</f>
        <v>2129.2224000000001</v>
      </c>
      <c r="G91" s="60">
        <f>IF('Expenses Summary'!$U47="","",IF('Cash Flow %s Yr4'!G91="","",'Cash Flow %s Yr4'!G91*'Expenses Summary'!$U47))</f>
        <v>2129.2224000000001</v>
      </c>
      <c r="H91" s="60">
        <f>IF('Expenses Summary'!$U47="","",IF('Cash Flow %s Yr4'!H91="","",'Cash Flow %s Yr4'!H91*'Expenses Summary'!$U47))</f>
        <v>2129.2224000000001</v>
      </c>
      <c r="I91" s="60">
        <f>IF('Expenses Summary'!$U47="","",IF('Cash Flow %s Yr4'!I91="","",'Cash Flow %s Yr4'!I91*'Expenses Summary'!$U47))</f>
        <v>2129.2224000000001</v>
      </c>
      <c r="J91" s="60">
        <f>IF('Expenses Summary'!$U47="","",IF('Cash Flow %s Yr4'!J91="","",'Cash Flow %s Yr4'!J91*'Expenses Summary'!$U47))</f>
        <v>2129.2224000000001</v>
      </c>
      <c r="K91" s="60">
        <f>IF('Expenses Summary'!$U47="","",IF('Cash Flow %s Yr4'!K91="","",'Cash Flow %s Yr4'!K91*'Expenses Summary'!$U47))</f>
        <v>2129.2224000000001</v>
      </c>
      <c r="L91" s="60">
        <f>IF('Expenses Summary'!$U47="","",IF('Cash Flow %s Yr4'!L91="","",'Cash Flow %s Yr4'!L91*'Expenses Summary'!$U47))</f>
        <v>2129.2224000000001</v>
      </c>
      <c r="M91" s="60">
        <f>IF('Expenses Summary'!$U47="","",IF('Cash Flow %s Yr4'!M91="","",'Cash Flow %s Yr4'!M91*'Expenses Summary'!$U47))</f>
        <v>2129.2224000000001</v>
      </c>
      <c r="N91" s="60">
        <f>IF('Expenses Summary'!$U47="","",IF('Cash Flow %s Yr4'!N91="","",'Cash Flow %s Yr4'!N91*'Expenses Summary'!$U47))</f>
        <v>0</v>
      </c>
      <c r="O91" s="60">
        <f>IF('Expenses Summary'!$U47="","",IF('Cash Flow %s Yr4'!O91="","",'Cash Flow %s Yr4'!O91*'Expenses Summary'!$U47))</f>
        <v>0</v>
      </c>
      <c r="P91" s="123"/>
      <c r="Q91" s="123"/>
      <c r="R91" s="123"/>
      <c r="S91" s="105">
        <f>IF(SUM(D91:R91)&gt;0,SUM(D91:R91)/'Expenses Summary'!$U47,"")</f>
        <v>0.99999999999999978</v>
      </c>
    </row>
    <row r="92" spans="1:19" x14ac:dyDescent="0.3">
      <c r="A92" s="35"/>
      <c r="B92" s="133" t="str">
        <f>'Expenses Summary'!B48</f>
        <v>4200</v>
      </c>
      <c r="C92" s="133" t="str">
        <f>'Expenses Summary'!C48</f>
        <v>Books and Other Reference Materials</v>
      </c>
      <c r="D92" s="60">
        <f>IF('Expenses Summary'!$U48="","",IF('Cash Flow %s Yr4'!D92="","",'Cash Flow %s Yr4'!D92*'Expenses Summary'!$U48))</f>
        <v>95.81500800000002</v>
      </c>
      <c r="E92" s="60">
        <f>IF('Expenses Summary'!$U48="","",IF('Cash Flow %s Yr4'!E92="","",'Cash Flow %s Yr4'!E92*'Expenses Summary'!$U48))</f>
        <v>191.63001600000004</v>
      </c>
      <c r="F92" s="60">
        <f>IF('Expenses Summary'!$U48="","",IF('Cash Flow %s Yr4'!F92="","",'Cash Flow %s Yr4'!F92*'Expenses Summary'!$U48))</f>
        <v>191.63001600000004</v>
      </c>
      <c r="G92" s="60">
        <f>IF('Expenses Summary'!$U48="","",IF('Cash Flow %s Yr4'!G92="","",'Cash Flow %s Yr4'!G92*'Expenses Summary'!$U48))</f>
        <v>191.63001600000004</v>
      </c>
      <c r="H92" s="60">
        <f>IF('Expenses Summary'!$U48="","",IF('Cash Flow %s Yr4'!H92="","",'Cash Flow %s Yr4'!H92*'Expenses Summary'!$U48))</f>
        <v>191.63001600000004</v>
      </c>
      <c r="I92" s="60">
        <f>IF('Expenses Summary'!$U48="","",IF('Cash Flow %s Yr4'!I92="","",'Cash Flow %s Yr4'!I92*'Expenses Summary'!$U48))</f>
        <v>191.63001600000004</v>
      </c>
      <c r="J92" s="60">
        <f>IF('Expenses Summary'!$U48="","",IF('Cash Flow %s Yr4'!J92="","",'Cash Flow %s Yr4'!J92*'Expenses Summary'!$U48))</f>
        <v>191.63001600000004</v>
      </c>
      <c r="K92" s="60">
        <f>IF('Expenses Summary'!$U48="","",IF('Cash Flow %s Yr4'!K92="","",'Cash Flow %s Yr4'!K92*'Expenses Summary'!$U48))</f>
        <v>191.63001600000004</v>
      </c>
      <c r="L92" s="60">
        <f>IF('Expenses Summary'!$U48="","",IF('Cash Flow %s Yr4'!L92="","",'Cash Flow %s Yr4'!L92*'Expenses Summary'!$U48))</f>
        <v>191.63001600000004</v>
      </c>
      <c r="M92" s="60">
        <f>IF('Expenses Summary'!$U48="","",IF('Cash Flow %s Yr4'!M92="","",'Cash Flow %s Yr4'!M92*'Expenses Summary'!$U48))</f>
        <v>191.63001600000004</v>
      </c>
      <c r="N92" s="60">
        <f>IF('Expenses Summary'!$U48="","",IF('Cash Flow %s Yr4'!N92="","",'Cash Flow %s Yr4'!N92*'Expenses Summary'!$U48))</f>
        <v>95.81500800000002</v>
      </c>
      <c r="O92" s="60">
        <f>IF('Expenses Summary'!$U48="","",IF('Cash Flow %s Yr4'!O92="","",'Cash Flow %s Yr4'!O92*'Expenses Summary'!$U48))</f>
        <v>0</v>
      </c>
      <c r="P92" s="123"/>
      <c r="Q92" s="123"/>
      <c r="R92" s="123"/>
      <c r="S92" s="105">
        <f>IF(SUM(D92:R92)&gt;0,SUM(D92:R92)/'Expenses Summary'!$U48,"")</f>
        <v>1.0000000000000002</v>
      </c>
    </row>
    <row r="93" spans="1:19" x14ac:dyDescent="0.3">
      <c r="A93" s="35"/>
      <c r="B93" s="133" t="str">
        <f>'Expenses Summary'!B49</f>
        <v>4300</v>
      </c>
      <c r="C93" s="133" t="str">
        <f>'Expenses Summary'!C49</f>
        <v>Materials and Supplies</v>
      </c>
      <c r="D93" s="60">
        <f>IF('Expenses Summary'!$U49="","",IF('Cash Flow %s Yr4'!D93="","",'Cash Flow %s Yr4'!D93*'Expenses Summary'!$U49))</f>
        <v>551.38343270400003</v>
      </c>
      <c r="E93" s="60">
        <f>IF('Expenses Summary'!$U49="","",IF('Cash Flow %s Yr4'!E93="","",'Cash Flow %s Yr4'!E93*'Expenses Summary'!$U49))</f>
        <v>551.38343270400003</v>
      </c>
      <c r="F93" s="60">
        <f>IF('Expenses Summary'!$U49="","",IF('Cash Flow %s Yr4'!F93="","",'Cash Flow %s Yr4'!F93*'Expenses Summary'!$U49))</f>
        <v>551.38343270400003</v>
      </c>
      <c r="G93" s="60">
        <f>IF('Expenses Summary'!$U49="","",IF('Cash Flow %s Yr4'!G93="","",'Cash Flow %s Yr4'!G93*'Expenses Summary'!$U49))</f>
        <v>551.38343270400003</v>
      </c>
      <c r="H93" s="60">
        <f>IF('Expenses Summary'!$U49="","",IF('Cash Flow %s Yr4'!H93="","",'Cash Flow %s Yr4'!H93*'Expenses Summary'!$U49))</f>
        <v>551.38343270400003</v>
      </c>
      <c r="I93" s="60">
        <f>IF('Expenses Summary'!$U49="","",IF('Cash Flow %s Yr4'!I93="","",'Cash Flow %s Yr4'!I93*'Expenses Summary'!$U49))</f>
        <v>551.38343270400003</v>
      </c>
      <c r="J93" s="60">
        <f>IF('Expenses Summary'!$U49="","",IF('Cash Flow %s Yr4'!J93="","",'Cash Flow %s Yr4'!J93*'Expenses Summary'!$U49))</f>
        <v>551.38343270400003</v>
      </c>
      <c r="K93" s="60">
        <f>IF('Expenses Summary'!$U49="","",IF('Cash Flow %s Yr4'!K93="","",'Cash Flow %s Yr4'!K93*'Expenses Summary'!$U49))</f>
        <v>551.38343270400003</v>
      </c>
      <c r="L93" s="60">
        <f>IF('Expenses Summary'!$U49="","",IF('Cash Flow %s Yr4'!L93="","",'Cash Flow %s Yr4'!L93*'Expenses Summary'!$U49))</f>
        <v>558.02660659200001</v>
      </c>
      <c r="M93" s="60">
        <f>IF('Expenses Summary'!$U49="","",IF('Cash Flow %s Yr4'!M93="","",'Cash Flow %s Yr4'!M93*'Expenses Summary'!$U49))</f>
        <v>558.02660659200001</v>
      </c>
      <c r="N93" s="60">
        <f>IF('Expenses Summary'!$U49="","",IF('Cash Flow %s Yr4'!N93="","",'Cash Flow %s Yr4'!N93*'Expenses Summary'!$U49))</f>
        <v>558.02660659200001</v>
      </c>
      <c r="O93" s="60">
        <f>IF('Expenses Summary'!$U49="","",IF('Cash Flow %s Yr4'!O93="","",'Cash Flow %s Yr4'!O93*'Expenses Summary'!$U49))</f>
        <v>558.02660659200001</v>
      </c>
      <c r="P93" s="123"/>
      <c r="Q93" s="123"/>
      <c r="R93" s="123"/>
      <c r="S93" s="105">
        <f>IF(SUM(D93:R93)&gt;0,SUM(D93:R93)/'Expenses Summary'!$U49,"")</f>
        <v>1.0000000000000002</v>
      </c>
    </row>
    <row r="94" spans="1:19" x14ac:dyDescent="0.3">
      <c r="A94" s="35"/>
      <c r="B94" s="133" t="str">
        <f>'Expenses Summary'!B50</f>
        <v>4315</v>
      </c>
      <c r="C94" s="133" t="str">
        <f>'Expenses Summary'!C50</f>
        <v>Classroom Materials and Supplies</v>
      </c>
      <c r="D94" s="60">
        <f>IF('Expenses Summary'!$U50="","",IF('Cash Flow %s Yr4'!D94="","",'Cash Flow %s Yr4'!D94*'Expenses Summary'!$U50))</f>
        <v>530.17637760000014</v>
      </c>
      <c r="E94" s="60">
        <f>IF('Expenses Summary'!$U50="","",IF('Cash Flow %s Yr4'!E94="","",'Cash Flow %s Yr4'!E94*'Expenses Summary'!$U50))</f>
        <v>530.17637760000014</v>
      </c>
      <c r="F94" s="60">
        <f>IF('Expenses Summary'!$U50="","",IF('Cash Flow %s Yr4'!F94="","",'Cash Flow %s Yr4'!F94*'Expenses Summary'!$U50))</f>
        <v>530.17637760000014</v>
      </c>
      <c r="G94" s="60">
        <f>IF('Expenses Summary'!$U50="","",IF('Cash Flow %s Yr4'!G94="","",'Cash Flow %s Yr4'!G94*'Expenses Summary'!$U50))</f>
        <v>530.17637760000014</v>
      </c>
      <c r="H94" s="60">
        <f>IF('Expenses Summary'!$U50="","",IF('Cash Flow %s Yr4'!H94="","",'Cash Flow %s Yr4'!H94*'Expenses Summary'!$U50))</f>
        <v>530.17637760000014</v>
      </c>
      <c r="I94" s="60">
        <f>IF('Expenses Summary'!$U50="","",IF('Cash Flow %s Yr4'!I94="","",'Cash Flow %s Yr4'!I94*'Expenses Summary'!$U50))</f>
        <v>530.17637760000014</v>
      </c>
      <c r="J94" s="60">
        <f>IF('Expenses Summary'!$U50="","",IF('Cash Flow %s Yr4'!J94="","",'Cash Flow %s Yr4'!J94*'Expenses Summary'!$U50))</f>
        <v>530.17637760000014</v>
      </c>
      <c r="K94" s="60">
        <f>IF('Expenses Summary'!$U50="","",IF('Cash Flow %s Yr4'!K94="","",'Cash Flow %s Yr4'!K94*'Expenses Summary'!$U50))</f>
        <v>530.17637760000014</v>
      </c>
      <c r="L94" s="60">
        <f>IF('Expenses Summary'!$U50="","",IF('Cash Flow %s Yr4'!L94="","",'Cash Flow %s Yr4'!L94*'Expenses Summary'!$U50))</f>
        <v>530.17637760000014</v>
      </c>
      <c r="M94" s="60">
        <f>IF('Expenses Summary'!$U50="","",IF('Cash Flow %s Yr4'!M94="","",'Cash Flow %s Yr4'!M94*'Expenses Summary'!$U50))</f>
        <v>530.17637760000014</v>
      </c>
      <c r="N94" s="60">
        <f>IF('Expenses Summary'!$U50="","",IF('Cash Flow %s Yr4'!N94="","",'Cash Flow %s Yr4'!N94*'Expenses Summary'!$U50))</f>
        <v>530.17637760000014</v>
      </c>
      <c r="O94" s="60">
        <f>IF('Expenses Summary'!$U50="","",IF('Cash Flow %s Yr4'!O94="","",'Cash Flow %s Yr4'!O94*'Expenses Summary'!$U50))</f>
        <v>530.17637760000014</v>
      </c>
      <c r="P94" s="123"/>
      <c r="Q94" s="123"/>
      <c r="R94" s="123"/>
      <c r="S94" s="105">
        <f>IF(SUM(D94:R94)&gt;0,SUM(D94:R94)/'Expenses Summary'!$U50,"")</f>
        <v>0.99599999999999989</v>
      </c>
    </row>
    <row r="95" spans="1:19" x14ac:dyDescent="0.3">
      <c r="A95" s="35"/>
      <c r="B95" s="133" t="str">
        <f>'Expenses Summary'!B51</f>
        <v>4342</v>
      </c>
      <c r="C95" s="133" t="str">
        <f>'Expenses Summary'!C51</f>
        <v>Materials for Athletics</v>
      </c>
      <c r="D95" s="60">
        <f>IF('Expenses Summary'!$U51="","",IF('Cash Flow %s Yr4'!D95="","",'Cash Flow %s Yr4'!D95*'Expenses Summary'!$U51))</f>
        <v>441.81364800000006</v>
      </c>
      <c r="E95" s="60">
        <f>IF('Expenses Summary'!$U51="","",IF('Cash Flow %s Yr4'!E95="","",'Cash Flow %s Yr4'!E95*'Expenses Summary'!$U51))</f>
        <v>441.81364800000006</v>
      </c>
      <c r="F95" s="60">
        <f>IF('Expenses Summary'!$U51="","",IF('Cash Flow %s Yr4'!F95="","",'Cash Flow %s Yr4'!F95*'Expenses Summary'!$U51))</f>
        <v>441.81364800000006</v>
      </c>
      <c r="G95" s="60">
        <f>IF('Expenses Summary'!$U51="","",IF('Cash Flow %s Yr4'!G95="","",'Cash Flow %s Yr4'!G95*'Expenses Summary'!$U51))</f>
        <v>441.81364800000006</v>
      </c>
      <c r="H95" s="60">
        <f>IF('Expenses Summary'!$U51="","",IF('Cash Flow %s Yr4'!H95="","",'Cash Flow %s Yr4'!H95*'Expenses Summary'!$U51))</f>
        <v>441.81364800000006</v>
      </c>
      <c r="I95" s="60">
        <f>IF('Expenses Summary'!$U51="","",IF('Cash Flow %s Yr4'!I95="","",'Cash Flow %s Yr4'!I95*'Expenses Summary'!$U51))</f>
        <v>441.81364800000006</v>
      </c>
      <c r="J95" s="60">
        <f>IF('Expenses Summary'!$U51="","",IF('Cash Flow %s Yr4'!J95="","",'Cash Flow %s Yr4'!J95*'Expenses Summary'!$U51))</f>
        <v>441.81364800000006</v>
      </c>
      <c r="K95" s="60">
        <f>IF('Expenses Summary'!$U51="","",IF('Cash Flow %s Yr4'!K95="","",'Cash Flow %s Yr4'!K95*'Expenses Summary'!$U51))</f>
        <v>441.81364800000006</v>
      </c>
      <c r="L95" s="60">
        <f>IF('Expenses Summary'!$U51="","",IF('Cash Flow %s Yr4'!L95="","",'Cash Flow %s Yr4'!L95*'Expenses Summary'!$U51))</f>
        <v>447.13670400000007</v>
      </c>
      <c r="M95" s="60">
        <f>IF('Expenses Summary'!$U51="","",IF('Cash Flow %s Yr4'!M95="","",'Cash Flow %s Yr4'!M95*'Expenses Summary'!$U51))</f>
        <v>447.13670400000007</v>
      </c>
      <c r="N95" s="60">
        <f>IF('Expenses Summary'!$U51="","",IF('Cash Flow %s Yr4'!N95="","",'Cash Flow %s Yr4'!N95*'Expenses Summary'!$U51))</f>
        <v>447.13670400000007</v>
      </c>
      <c r="O95" s="60">
        <f>IF('Expenses Summary'!$U51="","",IF('Cash Flow %s Yr4'!O95="","",'Cash Flow %s Yr4'!O95*'Expenses Summary'!$U51))</f>
        <v>447.13670400000007</v>
      </c>
      <c r="P95" s="123"/>
      <c r="Q95" s="123"/>
      <c r="R95" s="123"/>
      <c r="S95" s="105">
        <f>IF(SUM(D95:R95)&gt;0,SUM(D95:R95)/'Expenses Summary'!$U51,"")</f>
        <v>1.0000000000000004</v>
      </c>
    </row>
    <row r="96" spans="1:19" x14ac:dyDescent="0.3">
      <c r="A96" s="35"/>
      <c r="B96" s="133" t="str">
        <f>'Expenses Summary'!B52</f>
        <v>4381</v>
      </c>
      <c r="C96" s="133" t="str">
        <f>'Expenses Summary'!C52</f>
        <v>Materials for Plant Maintenance</v>
      </c>
      <c r="D96" s="60">
        <f>IF('Expenses Summary'!$U52="","",IF('Cash Flow %s Yr4'!D96="","",'Cash Flow %s Yr4'!D96*'Expenses Summary'!$U52))</f>
        <v>88.362729600000023</v>
      </c>
      <c r="E96" s="60">
        <f>IF('Expenses Summary'!$U52="","",IF('Cash Flow %s Yr4'!E96="","",'Cash Flow %s Yr4'!E96*'Expenses Summary'!$U52))</f>
        <v>88.362729600000023</v>
      </c>
      <c r="F96" s="60">
        <f>IF('Expenses Summary'!$U52="","",IF('Cash Flow %s Yr4'!F96="","",'Cash Flow %s Yr4'!F96*'Expenses Summary'!$U52))</f>
        <v>88.362729600000023</v>
      </c>
      <c r="G96" s="60">
        <f>IF('Expenses Summary'!$U52="","",IF('Cash Flow %s Yr4'!G96="","",'Cash Flow %s Yr4'!G96*'Expenses Summary'!$U52))</f>
        <v>88.362729600000023</v>
      </c>
      <c r="H96" s="60">
        <f>IF('Expenses Summary'!$U52="","",IF('Cash Flow %s Yr4'!H96="","",'Cash Flow %s Yr4'!H96*'Expenses Summary'!$U52))</f>
        <v>88.362729600000023</v>
      </c>
      <c r="I96" s="60">
        <f>IF('Expenses Summary'!$U52="","",IF('Cash Flow %s Yr4'!I96="","",'Cash Flow %s Yr4'!I96*'Expenses Summary'!$U52))</f>
        <v>88.362729600000023</v>
      </c>
      <c r="J96" s="60">
        <f>IF('Expenses Summary'!$U52="","",IF('Cash Flow %s Yr4'!J96="","",'Cash Flow %s Yr4'!J96*'Expenses Summary'!$U52))</f>
        <v>88.362729600000023</v>
      </c>
      <c r="K96" s="60">
        <f>IF('Expenses Summary'!$U52="","",IF('Cash Flow %s Yr4'!K96="","",'Cash Flow %s Yr4'!K96*'Expenses Summary'!$U52))</f>
        <v>88.362729600000023</v>
      </c>
      <c r="L96" s="60">
        <f>IF('Expenses Summary'!$U52="","",IF('Cash Flow %s Yr4'!L96="","",'Cash Flow %s Yr4'!L96*'Expenses Summary'!$U52))</f>
        <v>88.362729600000023</v>
      </c>
      <c r="M96" s="60">
        <f>IF('Expenses Summary'!$U52="","",IF('Cash Flow %s Yr4'!M96="","",'Cash Flow %s Yr4'!M96*'Expenses Summary'!$U52))</f>
        <v>88.362729600000023</v>
      </c>
      <c r="N96" s="60">
        <f>IF('Expenses Summary'!$U52="","",IF('Cash Flow %s Yr4'!N96="","",'Cash Flow %s Yr4'!N96*'Expenses Summary'!$U52))</f>
        <v>88.362729600000023</v>
      </c>
      <c r="O96" s="60">
        <f>IF('Expenses Summary'!$U52="","",IF('Cash Flow %s Yr4'!O96="","",'Cash Flow %s Yr4'!O96*'Expenses Summary'!$U52))</f>
        <v>88.362729600000023</v>
      </c>
      <c r="P96" s="123"/>
      <c r="Q96" s="123"/>
      <c r="R96" s="123"/>
      <c r="S96" s="105">
        <f>IF(SUM(D96:R96)&gt;0,SUM(D96:R96)/'Expenses Summary'!$U52,"")</f>
        <v>0.99599999999999977</v>
      </c>
    </row>
    <row r="97" spans="1:19" hidden="1" outlineLevel="1" x14ac:dyDescent="0.3">
      <c r="A97" s="35"/>
      <c r="B97" s="133" t="str">
        <f>'Expenses Summary'!B53</f>
        <v>4400</v>
      </c>
      <c r="C97" s="133" t="str">
        <f>'Expenses Summary'!C53</f>
        <v>Noncapitalized Equipment</v>
      </c>
      <c r="D97" s="60">
        <f>IF('Expenses Summary'!$U53="","",IF('Cash Flow %s Yr4'!D97="","",'Cash Flow %s Yr4'!D97*'Expenses Summary'!$U53))</f>
        <v>0</v>
      </c>
      <c r="E97" s="60">
        <f>IF('Expenses Summary'!$U53="","",IF('Cash Flow %s Yr4'!E97="","",'Cash Flow %s Yr4'!E97*'Expenses Summary'!$U53))</f>
        <v>0</v>
      </c>
      <c r="F97" s="60">
        <f>IF('Expenses Summary'!$U53="","",IF('Cash Flow %s Yr4'!F97="","",'Cash Flow %s Yr4'!F97*'Expenses Summary'!$U53))</f>
        <v>532.30560000000003</v>
      </c>
      <c r="G97" s="60">
        <f>IF('Expenses Summary'!$U53="","",IF('Cash Flow %s Yr4'!G97="","",'Cash Flow %s Yr4'!G97*'Expenses Summary'!$U53))</f>
        <v>532.30560000000003</v>
      </c>
      <c r="H97" s="60">
        <f>IF('Expenses Summary'!$U53="","",IF('Cash Flow %s Yr4'!H97="","",'Cash Flow %s Yr4'!H97*'Expenses Summary'!$U53))</f>
        <v>532.30560000000003</v>
      </c>
      <c r="I97" s="60">
        <f>IF('Expenses Summary'!$U53="","",IF('Cash Flow %s Yr4'!I97="","",'Cash Flow %s Yr4'!I97*'Expenses Summary'!$U53))</f>
        <v>532.30560000000003</v>
      </c>
      <c r="J97" s="60">
        <f>IF('Expenses Summary'!$U53="","",IF('Cash Flow %s Yr4'!J97="","",'Cash Flow %s Yr4'!J97*'Expenses Summary'!$U53))</f>
        <v>532.30560000000003</v>
      </c>
      <c r="K97" s="60">
        <f>IF('Expenses Summary'!$U53="","",IF('Cash Flow %s Yr4'!K97="","",'Cash Flow %s Yr4'!K97*'Expenses Summary'!$U53))</f>
        <v>532.30560000000003</v>
      </c>
      <c r="L97" s="60">
        <f>IF('Expenses Summary'!$U53="","",IF('Cash Flow %s Yr4'!L97="","",'Cash Flow %s Yr4'!L97*'Expenses Summary'!$U53))</f>
        <v>532.30560000000003</v>
      </c>
      <c r="M97" s="60">
        <f>IF('Expenses Summary'!$U53="","",IF('Cash Flow %s Yr4'!M97="","",'Cash Flow %s Yr4'!M97*'Expenses Summary'!$U53))</f>
        <v>532.30560000000003</v>
      </c>
      <c r="N97" s="60">
        <f>IF('Expenses Summary'!$U53="","",IF('Cash Flow %s Yr4'!N97="","",'Cash Flow %s Yr4'!N97*'Expenses Summary'!$U53))</f>
        <v>532.30560000000003</v>
      </c>
      <c r="O97" s="60">
        <f>IF('Expenses Summary'!$U53="","",IF('Cash Flow %s Yr4'!O97="","",'Cash Flow %s Yr4'!O97*'Expenses Summary'!$U53))</f>
        <v>532.30560000000003</v>
      </c>
      <c r="P97" s="123"/>
      <c r="Q97" s="123"/>
      <c r="R97" s="123"/>
      <c r="S97" s="105"/>
    </row>
    <row r="98" spans="1:19" hidden="1" outlineLevel="1" x14ac:dyDescent="0.3">
      <c r="A98" s="35"/>
      <c r="B98" s="133" t="str">
        <f>'Expenses Summary'!B55</f>
        <v>4430</v>
      </c>
      <c r="C98" s="133" t="str">
        <f>'Expenses Summary'!C55</f>
        <v>General Student Equipment</v>
      </c>
      <c r="D98" s="60">
        <f>IF('Expenses Summary'!$U55="","",IF('Cash Flow %s Yr4'!D98="","",'Cash Flow %s Yr4'!D98*'Expenses Summary'!$U55))</f>
        <v>0</v>
      </c>
      <c r="E98" s="60">
        <f>IF('Expenses Summary'!$U55="","",IF('Cash Flow %s Yr4'!E98="","",'Cash Flow %s Yr4'!E98*'Expenses Summary'!$U55))</f>
        <v>0</v>
      </c>
      <c r="F98" s="60">
        <f>IF('Expenses Summary'!$U55="","",IF('Cash Flow %s Yr4'!F98="","",'Cash Flow %s Yr4'!F98*'Expenses Summary'!$U55))</f>
        <v>638.76672000000008</v>
      </c>
      <c r="G98" s="60">
        <f>IF('Expenses Summary'!$U55="","",IF('Cash Flow %s Yr4'!G98="","",'Cash Flow %s Yr4'!G98*'Expenses Summary'!$U55))</f>
        <v>638.76672000000008</v>
      </c>
      <c r="H98" s="60">
        <f>IF('Expenses Summary'!$U55="","",IF('Cash Flow %s Yr4'!H98="","",'Cash Flow %s Yr4'!H98*'Expenses Summary'!$U55))</f>
        <v>638.76672000000008</v>
      </c>
      <c r="I98" s="60">
        <f>IF('Expenses Summary'!$U55="","",IF('Cash Flow %s Yr4'!I98="","",'Cash Flow %s Yr4'!I98*'Expenses Summary'!$U55))</f>
        <v>638.76672000000008</v>
      </c>
      <c r="J98" s="60">
        <f>IF('Expenses Summary'!$U55="","",IF('Cash Flow %s Yr4'!J98="","",'Cash Flow %s Yr4'!J98*'Expenses Summary'!$U55))</f>
        <v>638.76672000000008</v>
      </c>
      <c r="K98" s="60">
        <f>IF('Expenses Summary'!$U55="","",IF('Cash Flow %s Yr4'!K98="","",'Cash Flow %s Yr4'!K98*'Expenses Summary'!$U55))</f>
        <v>638.76672000000008</v>
      </c>
      <c r="L98" s="60">
        <f>IF('Expenses Summary'!$U55="","",IF('Cash Flow %s Yr4'!L98="","",'Cash Flow %s Yr4'!L98*'Expenses Summary'!$U55))</f>
        <v>638.76672000000008</v>
      </c>
      <c r="M98" s="60">
        <f>IF('Expenses Summary'!$U55="","",IF('Cash Flow %s Yr4'!M98="","",'Cash Flow %s Yr4'!M98*'Expenses Summary'!$U55))</f>
        <v>638.76672000000008</v>
      </c>
      <c r="N98" s="60">
        <f>IF('Expenses Summary'!$U55="","",IF('Cash Flow %s Yr4'!N98="","",'Cash Flow %s Yr4'!N98*'Expenses Summary'!$U55))</f>
        <v>638.76672000000008</v>
      </c>
      <c r="O98" s="60">
        <f>IF('Expenses Summary'!$U55="","",IF('Cash Flow %s Yr4'!O98="","",'Cash Flow %s Yr4'!O98*'Expenses Summary'!$U55))</f>
        <v>638.76672000000008</v>
      </c>
      <c r="P98" s="123"/>
      <c r="Q98" s="123"/>
      <c r="R98" s="123"/>
      <c r="S98" s="105"/>
    </row>
    <row r="99" spans="1:19" hidden="1" outlineLevel="1" x14ac:dyDescent="0.3">
      <c r="A99" s="35"/>
      <c r="B99" s="133">
        <f>'Expenses Summary'!B56</f>
        <v>0</v>
      </c>
      <c r="C99" s="133">
        <f>'Expenses Summary'!C56</f>
        <v>0</v>
      </c>
      <c r="D99" s="60">
        <f>IF('Expenses Summary'!$U56="","",IF('Cash Flow %s Yr4'!D99="","",'Cash Flow %s Yr4'!D99*'Expenses Summary'!$U56))</f>
        <v>0</v>
      </c>
      <c r="E99" s="60">
        <f>IF('Expenses Summary'!$U56="","",IF('Cash Flow %s Yr4'!E99="","",'Cash Flow %s Yr4'!E99*'Expenses Summary'!$U56))</f>
        <v>0</v>
      </c>
      <c r="F99" s="60">
        <f>IF('Expenses Summary'!$U56="","",IF('Cash Flow %s Yr4'!F99="","",'Cash Flow %s Yr4'!F99*'Expenses Summary'!$U56))</f>
        <v>0</v>
      </c>
      <c r="G99" s="60">
        <f>IF('Expenses Summary'!$U56="","",IF('Cash Flow %s Yr4'!G99="","",'Cash Flow %s Yr4'!G99*'Expenses Summary'!$U56))</f>
        <v>0</v>
      </c>
      <c r="H99" s="60">
        <f>IF('Expenses Summary'!$U56="","",IF('Cash Flow %s Yr4'!H99="","",'Cash Flow %s Yr4'!H99*'Expenses Summary'!$U56))</f>
        <v>0</v>
      </c>
      <c r="I99" s="60">
        <f>IF('Expenses Summary'!$U56="","",IF('Cash Flow %s Yr4'!I99="","",'Cash Flow %s Yr4'!I99*'Expenses Summary'!$U56))</f>
        <v>0</v>
      </c>
      <c r="J99" s="60">
        <f>IF('Expenses Summary'!$U56="","",IF('Cash Flow %s Yr4'!J99="","",'Cash Flow %s Yr4'!J99*'Expenses Summary'!$U56))</f>
        <v>0</v>
      </c>
      <c r="K99" s="60">
        <f>IF('Expenses Summary'!$U56="","",IF('Cash Flow %s Yr4'!K99="","",'Cash Flow %s Yr4'!K99*'Expenses Summary'!$U56))</f>
        <v>0</v>
      </c>
      <c r="L99" s="60">
        <f>IF('Expenses Summary'!$U56="","",IF('Cash Flow %s Yr4'!L99="","",'Cash Flow %s Yr4'!L99*'Expenses Summary'!$U56))</f>
        <v>0</v>
      </c>
      <c r="M99" s="60">
        <f>IF('Expenses Summary'!$U56="","",IF('Cash Flow %s Yr4'!M99="","",'Cash Flow %s Yr4'!M99*'Expenses Summary'!$U56))</f>
        <v>0</v>
      </c>
      <c r="N99" s="60">
        <f>IF('Expenses Summary'!$U56="","",IF('Cash Flow %s Yr4'!N99="","",'Cash Flow %s Yr4'!N99*'Expenses Summary'!$U56))</f>
        <v>0</v>
      </c>
      <c r="O99" s="60">
        <f>IF('Expenses Summary'!$U56="","",IF('Cash Flow %s Yr4'!O99="","",'Cash Flow %s Yr4'!O99*'Expenses Summary'!$U56))</f>
        <v>0</v>
      </c>
      <c r="P99" s="123"/>
      <c r="Q99" s="123"/>
      <c r="R99" s="123"/>
      <c r="S99" s="105"/>
    </row>
    <row r="100" spans="1:19" hidden="1" outlineLevel="1" x14ac:dyDescent="0.3">
      <c r="A100" s="35"/>
      <c r="B100" s="133">
        <f>'Expenses Summary'!B57</f>
        <v>0</v>
      </c>
      <c r="C100" s="133">
        <f>'Expenses Summary'!C57</f>
        <v>0</v>
      </c>
      <c r="D100" s="60">
        <f>IF('Expenses Summary'!$U57="","",IF('Cash Flow %s Yr4'!D100="","",'Cash Flow %s Yr4'!D100*'Expenses Summary'!$U57))</f>
        <v>0</v>
      </c>
      <c r="E100" s="60">
        <f>IF('Expenses Summary'!$U57="","",IF('Cash Flow %s Yr4'!E100="","",'Cash Flow %s Yr4'!E100*'Expenses Summary'!$U57))</f>
        <v>0</v>
      </c>
      <c r="F100" s="60">
        <f>IF('Expenses Summary'!$U57="","",IF('Cash Flow %s Yr4'!F100="","",'Cash Flow %s Yr4'!F100*'Expenses Summary'!$U57))</f>
        <v>0</v>
      </c>
      <c r="G100" s="60">
        <f>IF('Expenses Summary'!$U57="","",IF('Cash Flow %s Yr4'!G100="","",'Cash Flow %s Yr4'!G100*'Expenses Summary'!$U57))</f>
        <v>0</v>
      </c>
      <c r="H100" s="60">
        <f>IF('Expenses Summary'!$U57="","",IF('Cash Flow %s Yr4'!H100="","",'Cash Flow %s Yr4'!H100*'Expenses Summary'!$U57))</f>
        <v>0</v>
      </c>
      <c r="I100" s="60">
        <f>IF('Expenses Summary'!$U57="","",IF('Cash Flow %s Yr4'!I100="","",'Cash Flow %s Yr4'!I100*'Expenses Summary'!$U57))</f>
        <v>0</v>
      </c>
      <c r="J100" s="60">
        <f>IF('Expenses Summary'!$U57="","",IF('Cash Flow %s Yr4'!J100="","",'Cash Flow %s Yr4'!J100*'Expenses Summary'!$U57))</f>
        <v>0</v>
      </c>
      <c r="K100" s="60">
        <f>IF('Expenses Summary'!$U57="","",IF('Cash Flow %s Yr4'!K100="","",'Cash Flow %s Yr4'!K100*'Expenses Summary'!$U57))</f>
        <v>0</v>
      </c>
      <c r="L100" s="60">
        <f>IF('Expenses Summary'!$U57="","",IF('Cash Flow %s Yr4'!L100="","",'Cash Flow %s Yr4'!L100*'Expenses Summary'!$U57))</f>
        <v>0</v>
      </c>
      <c r="M100" s="60">
        <f>IF('Expenses Summary'!$U57="","",IF('Cash Flow %s Yr4'!M100="","",'Cash Flow %s Yr4'!M100*'Expenses Summary'!$U57))</f>
        <v>0</v>
      </c>
      <c r="N100" s="60">
        <f>IF('Expenses Summary'!$U57="","",IF('Cash Flow %s Yr4'!N100="","",'Cash Flow %s Yr4'!N100*'Expenses Summary'!$U57))</f>
        <v>0</v>
      </c>
      <c r="O100" s="60">
        <f>IF('Expenses Summary'!$U57="","",IF('Cash Flow %s Yr4'!O100="","",'Cash Flow %s Yr4'!O100*'Expenses Summary'!$U57))</f>
        <v>0</v>
      </c>
      <c r="P100" s="123"/>
      <c r="Q100" s="123"/>
      <c r="R100" s="123"/>
      <c r="S100" s="105"/>
    </row>
    <row r="101" spans="1:19" hidden="1" outlineLevel="1" x14ac:dyDescent="0.3">
      <c r="A101" s="35"/>
      <c r="B101" s="133">
        <f>'Expenses Summary'!B58</f>
        <v>0</v>
      </c>
      <c r="C101" s="133">
        <f>'Expenses Summary'!C58</f>
        <v>0</v>
      </c>
      <c r="D101" s="60">
        <f>IF('Expenses Summary'!$U58="","",IF('Cash Flow %s Yr4'!D101="","",'Cash Flow %s Yr4'!D101*'Expenses Summary'!$U58))</f>
        <v>0</v>
      </c>
      <c r="E101" s="60">
        <f>IF('Expenses Summary'!$U58="","",IF('Cash Flow %s Yr4'!E101="","",'Cash Flow %s Yr4'!E101*'Expenses Summary'!$U58))</f>
        <v>0</v>
      </c>
      <c r="F101" s="60">
        <f>IF('Expenses Summary'!$U58="","",IF('Cash Flow %s Yr4'!F101="","",'Cash Flow %s Yr4'!F101*'Expenses Summary'!$U58))</f>
        <v>0</v>
      </c>
      <c r="G101" s="60">
        <f>IF('Expenses Summary'!$U58="","",IF('Cash Flow %s Yr4'!G101="","",'Cash Flow %s Yr4'!G101*'Expenses Summary'!$U58))</f>
        <v>0</v>
      </c>
      <c r="H101" s="60">
        <f>IF('Expenses Summary'!$U58="","",IF('Cash Flow %s Yr4'!H101="","",'Cash Flow %s Yr4'!H101*'Expenses Summary'!$U58))</f>
        <v>0</v>
      </c>
      <c r="I101" s="60">
        <f>IF('Expenses Summary'!$U58="","",IF('Cash Flow %s Yr4'!I101="","",'Cash Flow %s Yr4'!I101*'Expenses Summary'!$U58))</f>
        <v>0</v>
      </c>
      <c r="J101" s="60">
        <f>IF('Expenses Summary'!$U58="","",IF('Cash Flow %s Yr4'!J101="","",'Cash Flow %s Yr4'!J101*'Expenses Summary'!$U58))</f>
        <v>0</v>
      </c>
      <c r="K101" s="60">
        <f>IF('Expenses Summary'!$U58="","",IF('Cash Flow %s Yr4'!K101="","",'Cash Flow %s Yr4'!K101*'Expenses Summary'!$U58))</f>
        <v>0</v>
      </c>
      <c r="L101" s="60">
        <f>IF('Expenses Summary'!$U58="","",IF('Cash Flow %s Yr4'!L101="","",'Cash Flow %s Yr4'!L101*'Expenses Summary'!$U58))</f>
        <v>0</v>
      </c>
      <c r="M101" s="60">
        <f>IF('Expenses Summary'!$U58="","",IF('Cash Flow %s Yr4'!M101="","",'Cash Flow %s Yr4'!M101*'Expenses Summary'!$U58))</f>
        <v>0</v>
      </c>
      <c r="N101" s="60">
        <f>IF('Expenses Summary'!$U58="","",IF('Cash Flow %s Yr4'!N101="","",'Cash Flow %s Yr4'!N101*'Expenses Summary'!$U58))</f>
        <v>0</v>
      </c>
      <c r="O101" s="60">
        <f>IF('Expenses Summary'!$U58="","",IF('Cash Flow %s Yr4'!O101="","",'Cash Flow %s Yr4'!O101*'Expenses Summary'!$U58))</f>
        <v>0</v>
      </c>
      <c r="P101" s="123"/>
      <c r="Q101" s="123"/>
      <c r="R101" s="123"/>
      <c r="S101" s="105"/>
    </row>
    <row r="102" spans="1:19" hidden="1" outlineLevel="1" x14ac:dyDescent="0.3">
      <c r="A102" s="35"/>
      <c r="B102" s="133">
        <f>'Expenses Summary'!B59</f>
        <v>0</v>
      </c>
      <c r="C102" s="133">
        <f>'Expenses Summary'!C59</f>
        <v>0</v>
      </c>
      <c r="D102" s="60">
        <f>IF('Expenses Summary'!$U59="","",IF('Cash Flow %s Yr4'!D102="","",'Cash Flow %s Yr4'!D102*'Expenses Summary'!$U59))</f>
        <v>0</v>
      </c>
      <c r="E102" s="60">
        <f>IF('Expenses Summary'!$U59="","",IF('Cash Flow %s Yr4'!E102="","",'Cash Flow %s Yr4'!E102*'Expenses Summary'!$U59))</f>
        <v>0</v>
      </c>
      <c r="F102" s="60">
        <f>IF('Expenses Summary'!$U59="","",IF('Cash Flow %s Yr4'!F102="","",'Cash Flow %s Yr4'!F102*'Expenses Summary'!$U59))</f>
        <v>0</v>
      </c>
      <c r="G102" s="60">
        <f>IF('Expenses Summary'!$U59="","",IF('Cash Flow %s Yr4'!G102="","",'Cash Flow %s Yr4'!G102*'Expenses Summary'!$U59))</f>
        <v>0</v>
      </c>
      <c r="H102" s="60">
        <f>IF('Expenses Summary'!$U59="","",IF('Cash Flow %s Yr4'!H102="","",'Cash Flow %s Yr4'!H102*'Expenses Summary'!$U59))</f>
        <v>0</v>
      </c>
      <c r="I102" s="60">
        <f>IF('Expenses Summary'!$U59="","",IF('Cash Flow %s Yr4'!I102="","",'Cash Flow %s Yr4'!I102*'Expenses Summary'!$U59))</f>
        <v>0</v>
      </c>
      <c r="J102" s="60">
        <f>IF('Expenses Summary'!$U59="","",IF('Cash Flow %s Yr4'!J102="","",'Cash Flow %s Yr4'!J102*'Expenses Summary'!$U59))</f>
        <v>0</v>
      </c>
      <c r="K102" s="60">
        <f>IF('Expenses Summary'!$U59="","",IF('Cash Flow %s Yr4'!K102="","",'Cash Flow %s Yr4'!K102*'Expenses Summary'!$U59))</f>
        <v>0</v>
      </c>
      <c r="L102" s="60">
        <f>IF('Expenses Summary'!$U59="","",IF('Cash Flow %s Yr4'!L102="","",'Cash Flow %s Yr4'!L102*'Expenses Summary'!$U59))</f>
        <v>0</v>
      </c>
      <c r="M102" s="60">
        <f>IF('Expenses Summary'!$U59="","",IF('Cash Flow %s Yr4'!M102="","",'Cash Flow %s Yr4'!M102*'Expenses Summary'!$U59))</f>
        <v>0</v>
      </c>
      <c r="N102" s="60">
        <f>IF('Expenses Summary'!$U59="","",IF('Cash Flow %s Yr4'!N102="","",'Cash Flow %s Yr4'!N102*'Expenses Summary'!$U59))</f>
        <v>0</v>
      </c>
      <c r="O102" s="60">
        <f>IF('Expenses Summary'!$U59="","",IF('Cash Flow %s Yr4'!O102="","",'Cash Flow %s Yr4'!O102*'Expenses Summary'!$U59))</f>
        <v>0</v>
      </c>
      <c r="P102" s="123"/>
      <c r="Q102" s="123"/>
      <c r="R102" s="123"/>
      <c r="S102" s="105"/>
    </row>
    <row r="103" spans="1:19" hidden="1" outlineLevel="1" x14ac:dyDescent="0.3">
      <c r="A103" s="35"/>
      <c r="B103" s="133">
        <f>'Expenses Summary'!B60</f>
        <v>0</v>
      </c>
      <c r="C103" s="133">
        <f>'Expenses Summary'!C60</f>
        <v>0</v>
      </c>
      <c r="D103" s="60">
        <f>IF('Expenses Summary'!$U60="","",IF('Cash Flow %s Yr4'!D103="","",'Cash Flow %s Yr4'!D103*'Expenses Summary'!$U60))</f>
        <v>0</v>
      </c>
      <c r="E103" s="60">
        <f>IF('Expenses Summary'!$U60="","",IF('Cash Flow %s Yr4'!E103="","",'Cash Flow %s Yr4'!E103*'Expenses Summary'!$U60))</f>
        <v>0</v>
      </c>
      <c r="F103" s="60">
        <f>IF('Expenses Summary'!$U60="","",IF('Cash Flow %s Yr4'!F103="","",'Cash Flow %s Yr4'!F103*'Expenses Summary'!$U60))</f>
        <v>0</v>
      </c>
      <c r="G103" s="60">
        <f>IF('Expenses Summary'!$U60="","",IF('Cash Flow %s Yr4'!G103="","",'Cash Flow %s Yr4'!G103*'Expenses Summary'!$U60))</f>
        <v>0</v>
      </c>
      <c r="H103" s="60">
        <f>IF('Expenses Summary'!$U60="","",IF('Cash Flow %s Yr4'!H103="","",'Cash Flow %s Yr4'!H103*'Expenses Summary'!$U60))</f>
        <v>0</v>
      </c>
      <c r="I103" s="60">
        <f>IF('Expenses Summary'!$U60="","",IF('Cash Flow %s Yr4'!I103="","",'Cash Flow %s Yr4'!I103*'Expenses Summary'!$U60))</f>
        <v>0</v>
      </c>
      <c r="J103" s="60">
        <f>IF('Expenses Summary'!$U60="","",IF('Cash Flow %s Yr4'!J103="","",'Cash Flow %s Yr4'!J103*'Expenses Summary'!$U60))</f>
        <v>0</v>
      </c>
      <c r="K103" s="60">
        <f>IF('Expenses Summary'!$U60="","",IF('Cash Flow %s Yr4'!K103="","",'Cash Flow %s Yr4'!K103*'Expenses Summary'!$U60))</f>
        <v>0</v>
      </c>
      <c r="L103" s="60">
        <f>IF('Expenses Summary'!$U60="","",IF('Cash Flow %s Yr4'!L103="","",'Cash Flow %s Yr4'!L103*'Expenses Summary'!$U60))</f>
        <v>0</v>
      </c>
      <c r="M103" s="60">
        <f>IF('Expenses Summary'!$U60="","",IF('Cash Flow %s Yr4'!M103="","",'Cash Flow %s Yr4'!M103*'Expenses Summary'!$U60))</f>
        <v>0</v>
      </c>
      <c r="N103" s="60">
        <f>IF('Expenses Summary'!$U60="","",IF('Cash Flow %s Yr4'!N103="","",'Cash Flow %s Yr4'!N103*'Expenses Summary'!$U60))</f>
        <v>0</v>
      </c>
      <c r="O103" s="60">
        <f>IF('Expenses Summary'!$U60="","",IF('Cash Flow %s Yr4'!O103="","",'Cash Flow %s Yr4'!O103*'Expenses Summary'!$U60))</f>
        <v>0</v>
      </c>
      <c r="P103" s="123"/>
      <c r="Q103" s="123"/>
      <c r="R103" s="123"/>
      <c r="S103" s="105"/>
    </row>
    <row r="104" spans="1:19" hidden="1" outlineLevel="1" x14ac:dyDescent="0.3">
      <c r="A104" s="35"/>
      <c r="B104" s="133">
        <f>'Expenses Summary'!B61</f>
        <v>0</v>
      </c>
      <c r="C104" s="133">
        <f>'Expenses Summary'!C61</f>
        <v>0</v>
      </c>
      <c r="D104" s="60">
        <f>IF('Expenses Summary'!$U61="","",IF('Cash Flow %s Yr4'!D104="","",'Cash Flow %s Yr4'!D104*'Expenses Summary'!$U61))</f>
        <v>0</v>
      </c>
      <c r="E104" s="60">
        <f>IF('Expenses Summary'!$U61="","",IF('Cash Flow %s Yr4'!E104="","",'Cash Flow %s Yr4'!E104*'Expenses Summary'!$U61))</f>
        <v>0</v>
      </c>
      <c r="F104" s="60">
        <f>IF('Expenses Summary'!$U61="","",IF('Cash Flow %s Yr4'!F104="","",'Cash Flow %s Yr4'!F104*'Expenses Summary'!$U61))</f>
        <v>0</v>
      </c>
      <c r="G104" s="60">
        <f>IF('Expenses Summary'!$U61="","",IF('Cash Flow %s Yr4'!G104="","",'Cash Flow %s Yr4'!G104*'Expenses Summary'!$U61))</f>
        <v>0</v>
      </c>
      <c r="H104" s="60">
        <f>IF('Expenses Summary'!$U61="","",IF('Cash Flow %s Yr4'!H104="","",'Cash Flow %s Yr4'!H104*'Expenses Summary'!$U61))</f>
        <v>0</v>
      </c>
      <c r="I104" s="60">
        <f>IF('Expenses Summary'!$U61="","",IF('Cash Flow %s Yr4'!I104="","",'Cash Flow %s Yr4'!I104*'Expenses Summary'!$U61))</f>
        <v>0</v>
      </c>
      <c r="J104" s="60">
        <f>IF('Expenses Summary'!$U61="","",IF('Cash Flow %s Yr4'!J104="","",'Cash Flow %s Yr4'!J104*'Expenses Summary'!$U61))</f>
        <v>0</v>
      </c>
      <c r="K104" s="60">
        <f>IF('Expenses Summary'!$U61="","",IF('Cash Flow %s Yr4'!K104="","",'Cash Flow %s Yr4'!K104*'Expenses Summary'!$U61))</f>
        <v>0</v>
      </c>
      <c r="L104" s="60">
        <f>IF('Expenses Summary'!$U61="","",IF('Cash Flow %s Yr4'!L104="","",'Cash Flow %s Yr4'!L104*'Expenses Summary'!$U61))</f>
        <v>0</v>
      </c>
      <c r="M104" s="60">
        <f>IF('Expenses Summary'!$U61="","",IF('Cash Flow %s Yr4'!M104="","",'Cash Flow %s Yr4'!M104*'Expenses Summary'!$U61))</f>
        <v>0</v>
      </c>
      <c r="N104" s="60">
        <f>IF('Expenses Summary'!$U61="","",IF('Cash Flow %s Yr4'!N104="","",'Cash Flow %s Yr4'!N104*'Expenses Summary'!$U61))</f>
        <v>0</v>
      </c>
      <c r="O104" s="60">
        <f>IF('Expenses Summary'!$U61="","",IF('Cash Flow %s Yr4'!O104="","",'Cash Flow %s Yr4'!O104*'Expenses Summary'!$U61))</f>
        <v>0</v>
      </c>
      <c r="P104" s="123"/>
      <c r="Q104" s="123"/>
      <c r="R104" s="123"/>
      <c r="S104" s="105"/>
    </row>
    <row r="105" spans="1:19" hidden="1" outlineLevel="1" x14ac:dyDescent="0.3">
      <c r="A105" s="35"/>
      <c r="B105" s="133">
        <f>'Expenses Summary'!B62</f>
        <v>0</v>
      </c>
      <c r="C105" s="133">
        <f>'Expenses Summary'!C62</f>
        <v>0</v>
      </c>
      <c r="D105" s="60">
        <f>IF('Expenses Summary'!$U62="","",IF('Cash Flow %s Yr4'!D105="","",'Cash Flow %s Yr4'!D105*'Expenses Summary'!$U62))</f>
        <v>0</v>
      </c>
      <c r="E105" s="60">
        <f>IF('Expenses Summary'!$U62="","",IF('Cash Flow %s Yr4'!E105="","",'Cash Flow %s Yr4'!E105*'Expenses Summary'!$U62))</f>
        <v>0</v>
      </c>
      <c r="F105" s="60">
        <f>IF('Expenses Summary'!$U62="","",IF('Cash Flow %s Yr4'!F105="","",'Cash Flow %s Yr4'!F105*'Expenses Summary'!$U62))</f>
        <v>0</v>
      </c>
      <c r="G105" s="60">
        <f>IF('Expenses Summary'!$U62="","",IF('Cash Flow %s Yr4'!G105="","",'Cash Flow %s Yr4'!G105*'Expenses Summary'!$U62))</f>
        <v>0</v>
      </c>
      <c r="H105" s="60">
        <f>IF('Expenses Summary'!$U62="","",IF('Cash Flow %s Yr4'!H105="","",'Cash Flow %s Yr4'!H105*'Expenses Summary'!$U62))</f>
        <v>0</v>
      </c>
      <c r="I105" s="60">
        <f>IF('Expenses Summary'!$U62="","",IF('Cash Flow %s Yr4'!I105="","",'Cash Flow %s Yr4'!I105*'Expenses Summary'!$U62))</f>
        <v>0</v>
      </c>
      <c r="J105" s="60">
        <f>IF('Expenses Summary'!$U62="","",IF('Cash Flow %s Yr4'!J105="","",'Cash Flow %s Yr4'!J105*'Expenses Summary'!$U62))</f>
        <v>0</v>
      </c>
      <c r="K105" s="60">
        <f>IF('Expenses Summary'!$U62="","",IF('Cash Flow %s Yr4'!K105="","",'Cash Flow %s Yr4'!K105*'Expenses Summary'!$U62))</f>
        <v>0</v>
      </c>
      <c r="L105" s="60">
        <f>IF('Expenses Summary'!$U62="","",IF('Cash Flow %s Yr4'!L105="","",'Cash Flow %s Yr4'!L105*'Expenses Summary'!$U62))</f>
        <v>0</v>
      </c>
      <c r="M105" s="60">
        <f>IF('Expenses Summary'!$U62="","",IF('Cash Flow %s Yr4'!M105="","",'Cash Flow %s Yr4'!M105*'Expenses Summary'!$U62))</f>
        <v>0</v>
      </c>
      <c r="N105" s="60">
        <f>IF('Expenses Summary'!$U62="","",IF('Cash Flow %s Yr4'!N105="","",'Cash Flow %s Yr4'!N105*'Expenses Summary'!$U62))</f>
        <v>0</v>
      </c>
      <c r="O105" s="60">
        <f>IF('Expenses Summary'!$U62="","",IF('Cash Flow %s Yr4'!O105="","",'Cash Flow %s Yr4'!O105*'Expenses Summary'!$U62))</f>
        <v>0</v>
      </c>
      <c r="P105" s="123"/>
      <c r="Q105" s="123"/>
      <c r="R105" s="123"/>
      <c r="S105" s="105"/>
    </row>
    <row r="106" spans="1:19" hidden="1" outlineLevel="1" x14ac:dyDescent="0.3">
      <c r="A106" s="35"/>
      <c r="B106" s="133">
        <f>'Expenses Summary'!B63</f>
        <v>0</v>
      </c>
      <c r="C106" s="133">
        <f>'Expenses Summary'!C63</f>
        <v>0</v>
      </c>
      <c r="D106" s="60">
        <f>IF('Expenses Summary'!$U63="","",IF('Cash Flow %s Yr4'!D106="","",'Cash Flow %s Yr4'!D106*'Expenses Summary'!$U63))</f>
        <v>0</v>
      </c>
      <c r="E106" s="60">
        <f>IF('Expenses Summary'!$U63="","",IF('Cash Flow %s Yr4'!E106="","",'Cash Flow %s Yr4'!E106*'Expenses Summary'!$U63))</f>
        <v>0</v>
      </c>
      <c r="F106" s="60">
        <f>IF('Expenses Summary'!$U63="","",IF('Cash Flow %s Yr4'!F106="","",'Cash Flow %s Yr4'!F106*'Expenses Summary'!$U63))</f>
        <v>0</v>
      </c>
      <c r="G106" s="60">
        <f>IF('Expenses Summary'!$U63="","",IF('Cash Flow %s Yr4'!G106="","",'Cash Flow %s Yr4'!G106*'Expenses Summary'!$U63))</f>
        <v>0</v>
      </c>
      <c r="H106" s="60">
        <f>IF('Expenses Summary'!$U63="","",IF('Cash Flow %s Yr4'!H106="","",'Cash Flow %s Yr4'!H106*'Expenses Summary'!$U63))</f>
        <v>0</v>
      </c>
      <c r="I106" s="60">
        <f>IF('Expenses Summary'!$U63="","",IF('Cash Flow %s Yr4'!I106="","",'Cash Flow %s Yr4'!I106*'Expenses Summary'!$U63))</f>
        <v>0</v>
      </c>
      <c r="J106" s="60">
        <f>IF('Expenses Summary'!$U63="","",IF('Cash Flow %s Yr4'!J106="","",'Cash Flow %s Yr4'!J106*'Expenses Summary'!$U63))</f>
        <v>0</v>
      </c>
      <c r="K106" s="60">
        <f>IF('Expenses Summary'!$U63="","",IF('Cash Flow %s Yr4'!K106="","",'Cash Flow %s Yr4'!K106*'Expenses Summary'!$U63))</f>
        <v>0</v>
      </c>
      <c r="L106" s="60">
        <f>IF('Expenses Summary'!$U63="","",IF('Cash Flow %s Yr4'!L106="","",'Cash Flow %s Yr4'!L106*'Expenses Summary'!$U63))</f>
        <v>0</v>
      </c>
      <c r="M106" s="60">
        <f>IF('Expenses Summary'!$U63="","",IF('Cash Flow %s Yr4'!M106="","",'Cash Flow %s Yr4'!M106*'Expenses Summary'!$U63))</f>
        <v>0</v>
      </c>
      <c r="N106" s="60">
        <f>IF('Expenses Summary'!$U63="","",IF('Cash Flow %s Yr4'!N106="","",'Cash Flow %s Yr4'!N106*'Expenses Summary'!$U63))</f>
        <v>0</v>
      </c>
      <c r="O106" s="60">
        <f>IF('Expenses Summary'!$U63="","",IF('Cash Flow %s Yr4'!O106="","",'Cash Flow %s Yr4'!O106*'Expenses Summary'!$U63))</f>
        <v>0</v>
      </c>
      <c r="P106" s="123"/>
      <c r="Q106" s="123"/>
      <c r="R106" s="123"/>
      <c r="S106" s="105"/>
    </row>
    <row r="107" spans="1:19" s="30" customFormat="1" collapsed="1" x14ac:dyDescent="0.3">
      <c r="A107" s="35"/>
      <c r="B107" s="133" t="str">
        <f>'Expenses Summary'!B64</f>
        <v>4700</v>
      </c>
      <c r="C107" s="133" t="str">
        <f>'Expenses Summary'!C64</f>
        <v>Food and Food Supplies</v>
      </c>
      <c r="D107" s="60">
        <f>IF('Expenses Summary'!$U64="","",IF('Cash Flow %s Yr4'!D107="","",'Cash Flow %s Yr4'!D107*'Expenses Summary'!$U64))</f>
        <v>0</v>
      </c>
      <c r="E107" s="60">
        <f>IF('Expenses Summary'!$U64="","",IF('Cash Flow %s Yr4'!E107="","",'Cash Flow %s Yr4'!E107*'Expenses Summary'!$U64))</f>
        <v>0</v>
      </c>
      <c r="F107" s="60">
        <f>IF('Expenses Summary'!$U64="","",IF('Cash Flow %s Yr4'!F107="","",'Cash Flow %s Yr4'!F107*'Expenses Summary'!$U64))</f>
        <v>2767.9891200000002</v>
      </c>
      <c r="G107" s="60">
        <f>IF('Expenses Summary'!$U64="","",IF('Cash Flow %s Yr4'!G107="","",'Cash Flow %s Yr4'!G107*'Expenses Summary'!$U64))</f>
        <v>2767.9891200000002</v>
      </c>
      <c r="H107" s="60">
        <f>IF('Expenses Summary'!$U64="","",IF('Cash Flow %s Yr4'!H107="","",'Cash Flow %s Yr4'!H107*'Expenses Summary'!$U64))</f>
        <v>2767.9891200000002</v>
      </c>
      <c r="I107" s="60">
        <f>IF('Expenses Summary'!$U64="","",IF('Cash Flow %s Yr4'!I107="","",'Cash Flow %s Yr4'!I107*'Expenses Summary'!$U64))</f>
        <v>2767.9891200000002</v>
      </c>
      <c r="J107" s="60">
        <f>IF('Expenses Summary'!$U64="","",IF('Cash Flow %s Yr4'!J107="","",'Cash Flow %s Yr4'!J107*'Expenses Summary'!$U64))</f>
        <v>2767.9891200000002</v>
      </c>
      <c r="K107" s="60">
        <f>IF('Expenses Summary'!$U64="","",IF('Cash Flow %s Yr4'!K107="","",'Cash Flow %s Yr4'!K107*'Expenses Summary'!$U64))</f>
        <v>2767.9891200000002</v>
      </c>
      <c r="L107" s="60">
        <f>IF('Expenses Summary'!$U64="","",IF('Cash Flow %s Yr4'!L107="","",'Cash Flow %s Yr4'!L107*'Expenses Summary'!$U64))</f>
        <v>2767.9891200000002</v>
      </c>
      <c r="M107" s="60">
        <f>IF('Expenses Summary'!$U64="","",IF('Cash Flow %s Yr4'!M107="","",'Cash Flow %s Yr4'!M107*'Expenses Summary'!$U64))</f>
        <v>2767.9891200000002</v>
      </c>
      <c r="N107" s="60">
        <f>IF('Expenses Summary'!$U64="","",IF('Cash Flow %s Yr4'!N107="","",'Cash Flow %s Yr4'!N107*'Expenses Summary'!$U64))</f>
        <v>2767.9891200000002</v>
      </c>
      <c r="O107" s="60">
        <f>IF('Expenses Summary'!$U64="","",IF('Cash Flow %s Yr4'!O107="","",'Cash Flow %s Yr4'!O107*'Expenses Summary'!$U64))</f>
        <v>2767.9891200000002</v>
      </c>
      <c r="P107" s="123"/>
      <c r="Q107" s="123"/>
      <c r="R107" s="123"/>
      <c r="S107" s="105">
        <f>IF(SUM(D107:R107)&gt;0,SUM(D107:R107)/'Expenses Summary'!$U64,"")</f>
        <v>0.99999999999999989</v>
      </c>
    </row>
    <row r="108" spans="1:19" s="30" customFormat="1" x14ac:dyDescent="0.3">
      <c r="A108" s="35"/>
      <c r="B108" s="32" t="s">
        <v>558</v>
      </c>
      <c r="C108" s="33" t="s">
        <v>720</v>
      </c>
      <c r="D108" s="165">
        <f t="shared" ref="D108:O108" si="9">IF(SUM(D90:D107)&gt;0,SUM(D90:D107),"")</f>
        <v>3836.7735959040006</v>
      </c>
      <c r="E108" s="165">
        <f t="shared" si="9"/>
        <v>3932.5886039040001</v>
      </c>
      <c r="F108" s="165">
        <f t="shared" si="9"/>
        <v>7871.650043904001</v>
      </c>
      <c r="G108" s="165">
        <f t="shared" si="9"/>
        <v>7871.650043904001</v>
      </c>
      <c r="H108" s="165">
        <f t="shared" si="9"/>
        <v>7871.650043904001</v>
      </c>
      <c r="I108" s="165">
        <f t="shared" si="9"/>
        <v>7871.650043904001</v>
      </c>
      <c r="J108" s="165">
        <f t="shared" si="9"/>
        <v>7871.650043904001</v>
      </c>
      <c r="K108" s="165">
        <f t="shared" si="9"/>
        <v>7871.650043904001</v>
      </c>
      <c r="L108" s="165">
        <f t="shared" si="9"/>
        <v>7883.6162737920004</v>
      </c>
      <c r="M108" s="165">
        <f t="shared" si="9"/>
        <v>7883.6162737920004</v>
      </c>
      <c r="N108" s="165">
        <f t="shared" si="9"/>
        <v>5658.5788657920002</v>
      </c>
      <c r="O108" s="165">
        <f t="shared" si="9"/>
        <v>5562.7638577920006</v>
      </c>
      <c r="P108" s="102"/>
      <c r="Q108" s="102"/>
      <c r="R108" s="102"/>
      <c r="S108" s="101"/>
    </row>
    <row r="109" spans="1:19" s="30" customFormat="1" x14ac:dyDescent="0.3">
      <c r="A109" s="35"/>
      <c r="B109" s="4"/>
      <c r="C109" s="3"/>
      <c r="D109" s="89"/>
      <c r="E109" s="89"/>
      <c r="F109" s="89"/>
      <c r="G109" s="89"/>
      <c r="H109" s="89"/>
      <c r="I109" s="89"/>
      <c r="J109" s="89"/>
      <c r="K109" s="89"/>
      <c r="L109" s="89"/>
      <c r="M109" s="89"/>
      <c r="N109" s="89"/>
      <c r="O109" s="89"/>
      <c r="P109" s="89"/>
      <c r="Q109" s="89"/>
      <c r="R109" s="89"/>
    </row>
    <row r="110" spans="1:19" s="30" customFormat="1" x14ac:dyDescent="0.3">
      <c r="B110" s="5" t="s">
        <v>721</v>
      </c>
      <c r="C110" s="3"/>
      <c r="D110" s="89"/>
      <c r="E110" s="89"/>
      <c r="F110" s="89"/>
      <c r="G110" s="89"/>
      <c r="H110" s="89"/>
      <c r="I110" s="89"/>
      <c r="J110" s="89"/>
      <c r="K110" s="89"/>
      <c r="L110" s="89"/>
      <c r="M110" s="89"/>
      <c r="N110" s="89"/>
      <c r="O110" s="89"/>
      <c r="P110" s="89"/>
      <c r="Q110" s="89"/>
      <c r="R110" s="89"/>
    </row>
    <row r="111" spans="1:19" s="30" customFormat="1" x14ac:dyDescent="0.3">
      <c r="A111" s="35"/>
      <c r="B111" s="133" t="str">
        <f>'Expenses Summary'!B68</f>
        <v>5200</v>
      </c>
      <c r="C111" s="133" t="str">
        <f>'Expenses Summary'!C68</f>
        <v>Travel and Conferences</v>
      </c>
      <c r="D111" s="60">
        <f>IF('Expenses Summary'!$U68="","",IF('Cash Flow %s Yr4'!D111="","",'Cash Flow %s Yr4'!D111*'Expenses Summary'!$U68))</f>
        <v>0</v>
      </c>
      <c r="E111" s="60">
        <f>IF('Expenses Summary'!$U68="","",IF('Cash Flow %s Yr4'!E111="","",'Cash Flow %s Yr4'!E111*'Expenses Summary'!$U68))</f>
        <v>0</v>
      </c>
      <c r="F111" s="60">
        <f>IF('Expenses Summary'!$U68="","",IF('Cash Flow %s Yr4'!F111="","",'Cash Flow %s Yr4'!F111*'Expenses Summary'!$U68))</f>
        <v>492.48914112</v>
      </c>
      <c r="G111" s="60">
        <f>IF('Expenses Summary'!$U68="","",IF('Cash Flow %s Yr4'!G111="","",'Cash Flow %s Yr4'!G111*'Expenses Summary'!$U68))</f>
        <v>164.16304704000004</v>
      </c>
      <c r="H111" s="60">
        <f>IF('Expenses Summary'!$U68="","",IF('Cash Flow %s Yr4'!H111="","",'Cash Flow %s Yr4'!H111*'Expenses Summary'!$U68))</f>
        <v>164.16304704000004</v>
      </c>
      <c r="I111" s="60">
        <f>IF('Expenses Summary'!$U68="","",IF('Cash Flow %s Yr4'!I111="","",'Cash Flow %s Yr4'!I111*'Expenses Summary'!$U68))</f>
        <v>164.16304704000004</v>
      </c>
      <c r="J111" s="60">
        <f>IF('Expenses Summary'!$U68="","",IF('Cash Flow %s Yr4'!J111="","",'Cash Flow %s Yr4'!J111*'Expenses Summary'!$U68))</f>
        <v>164.16304704000004</v>
      </c>
      <c r="K111" s="60">
        <f>IF('Expenses Summary'!$U68="","",IF('Cash Flow %s Yr4'!K111="","",'Cash Flow %s Yr4'!K111*'Expenses Summary'!$U68))</f>
        <v>164.16304704000004</v>
      </c>
      <c r="L111" s="60">
        <f>IF('Expenses Summary'!$U68="","",IF('Cash Flow %s Yr4'!L111="","",'Cash Flow %s Yr4'!L111*'Expenses Summary'!$U68))</f>
        <v>164.16304704000004</v>
      </c>
      <c r="M111" s="60">
        <f>IF('Expenses Summary'!$U68="","",IF('Cash Flow %s Yr4'!M111="","",'Cash Flow %s Yr4'!M111*'Expenses Summary'!$U68))</f>
        <v>164.16304704000004</v>
      </c>
      <c r="N111" s="60">
        <f>IF('Expenses Summary'!$U68="","",IF('Cash Flow %s Yr4'!N111="","",'Cash Flow %s Yr4'!N111*'Expenses Summary'!$U68))</f>
        <v>0</v>
      </c>
      <c r="O111" s="60">
        <f>IF('Expenses Summary'!$U68="","",IF('Cash Flow %s Yr4'!O111="","",'Cash Flow %s Yr4'!O111*'Expenses Summary'!$U68))</f>
        <v>0</v>
      </c>
      <c r="P111" s="123"/>
      <c r="Q111" s="123"/>
      <c r="R111" s="123"/>
      <c r="S111" s="105">
        <f>IF(SUM(D111:R111)&gt;0,SUM(D111:R111)/'Expenses Summary'!$U68,"")</f>
        <v>1.0000000000000002</v>
      </c>
    </row>
    <row r="112" spans="1:19" s="30" customFormat="1" x14ac:dyDescent="0.3">
      <c r="A112" s="35"/>
      <c r="B112" s="133" t="str">
        <f>'Expenses Summary'!B69</f>
        <v>5210</v>
      </c>
      <c r="C112" s="133" t="str">
        <f>'Expenses Summary'!C69</f>
        <v>Training and Development Expense</v>
      </c>
      <c r="D112" s="60">
        <f>IF('Expenses Summary'!$U69="","",IF('Cash Flow %s Yr4'!D112="","",'Cash Flow %s Yr4'!D112*'Expenses Summary'!$U69))</f>
        <v>0</v>
      </c>
      <c r="E112" s="60">
        <f>IF('Expenses Summary'!$U69="","",IF('Cash Flow %s Yr4'!E112="","",'Cash Flow %s Yr4'!E112*'Expenses Summary'!$U69))</f>
        <v>0</v>
      </c>
      <c r="F112" s="60">
        <f>IF('Expenses Summary'!$U69="","",IF('Cash Flow %s Yr4'!F112="","",'Cash Flow %s Yr4'!F112*'Expenses Summary'!$U69))</f>
        <v>1641.6304703999999</v>
      </c>
      <c r="G112" s="60">
        <f>IF('Expenses Summary'!$U69="","",IF('Cash Flow %s Yr4'!G112="","",'Cash Flow %s Yr4'!G112*'Expenses Summary'!$U69))</f>
        <v>547.21015680000005</v>
      </c>
      <c r="H112" s="60">
        <f>IF('Expenses Summary'!$U69="","",IF('Cash Flow %s Yr4'!H112="","",'Cash Flow %s Yr4'!H112*'Expenses Summary'!$U69))</f>
        <v>547.21015680000005</v>
      </c>
      <c r="I112" s="60">
        <f>IF('Expenses Summary'!$U69="","",IF('Cash Flow %s Yr4'!I112="","",'Cash Flow %s Yr4'!I112*'Expenses Summary'!$U69))</f>
        <v>547.21015680000005</v>
      </c>
      <c r="J112" s="60">
        <f>IF('Expenses Summary'!$U69="","",IF('Cash Flow %s Yr4'!J112="","",'Cash Flow %s Yr4'!J112*'Expenses Summary'!$U69))</f>
        <v>547.21015680000005</v>
      </c>
      <c r="K112" s="60">
        <f>IF('Expenses Summary'!$U69="","",IF('Cash Flow %s Yr4'!K112="","",'Cash Flow %s Yr4'!K112*'Expenses Summary'!$U69))</f>
        <v>547.21015680000005</v>
      </c>
      <c r="L112" s="60">
        <f>IF('Expenses Summary'!$U69="","",IF('Cash Flow %s Yr4'!L112="","",'Cash Flow %s Yr4'!L112*'Expenses Summary'!$U69))</f>
        <v>547.21015680000005</v>
      </c>
      <c r="M112" s="60">
        <f>IF('Expenses Summary'!$U69="","",IF('Cash Flow %s Yr4'!M112="","",'Cash Flow %s Yr4'!M112*'Expenses Summary'!$U69))</f>
        <v>547.21015680000005</v>
      </c>
      <c r="N112" s="60">
        <f>IF('Expenses Summary'!$U69="","",IF('Cash Flow %s Yr4'!N112="","",'Cash Flow %s Yr4'!N112*'Expenses Summary'!$U69))</f>
        <v>0</v>
      </c>
      <c r="O112" s="60">
        <f>IF('Expenses Summary'!$U69="","",IF('Cash Flow %s Yr4'!O112="","",'Cash Flow %s Yr4'!O112*'Expenses Summary'!$U69))</f>
        <v>0</v>
      </c>
      <c r="P112" s="123"/>
      <c r="Q112" s="123"/>
      <c r="R112" s="123"/>
      <c r="S112" s="105">
        <f>IF(SUM(D112:R112)&gt;0,SUM(D112:R112)/'Expenses Summary'!$U69,"")</f>
        <v>0.99999999999999989</v>
      </c>
    </row>
    <row r="113" spans="1:19" s="30" customFormat="1" x14ac:dyDescent="0.3">
      <c r="A113" s="35"/>
      <c r="B113" s="133" t="str">
        <f>'Expenses Summary'!B70</f>
        <v>5300</v>
      </c>
      <c r="C113" s="133" t="str">
        <f>'Expenses Summary'!C70</f>
        <v>Dues and Memberships</v>
      </c>
      <c r="D113" s="60">
        <f>IF('Expenses Summary'!$U70="","",IF('Cash Flow %s Yr4'!D113="","",'Cash Flow %s Yr4'!D113*'Expenses Summary'!$U70))</f>
        <v>0</v>
      </c>
      <c r="E113" s="60">
        <f>IF('Expenses Summary'!$U70="","",IF('Cash Flow %s Yr4'!E113="","",'Cash Flow %s Yr4'!E113*'Expenses Summary'!$U70))</f>
        <v>0</v>
      </c>
      <c r="F113" s="60">
        <f>IF('Expenses Summary'!$U70="","",IF('Cash Flow %s Yr4'!F113="","",'Cash Flow %s Yr4'!F113*'Expenses Summary'!$U70))</f>
        <v>3283.2609407999998</v>
      </c>
      <c r="G113" s="60">
        <f>IF('Expenses Summary'!$U70="","",IF('Cash Flow %s Yr4'!G113="","",'Cash Flow %s Yr4'!G113*'Expenses Summary'!$U70))</f>
        <v>1094.4203136000001</v>
      </c>
      <c r="H113" s="60">
        <f>IF('Expenses Summary'!$U70="","",IF('Cash Flow %s Yr4'!H113="","",'Cash Flow %s Yr4'!H113*'Expenses Summary'!$U70))</f>
        <v>1094.4203136000001</v>
      </c>
      <c r="I113" s="60">
        <f>IF('Expenses Summary'!$U70="","",IF('Cash Flow %s Yr4'!I113="","",'Cash Flow %s Yr4'!I113*'Expenses Summary'!$U70))</f>
        <v>1094.4203136000001</v>
      </c>
      <c r="J113" s="60">
        <f>IF('Expenses Summary'!$U70="","",IF('Cash Flow %s Yr4'!J113="","",'Cash Flow %s Yr4'!J113*'Expenses Summary'!$U70))</f>
        <v>1094.4203136000001</v>
      </c>
      <c r="K113" s="60">
        <f>IF('Expenses Summary'!$U70="","",IF('Cash Flow %s Yr4'!K113="","",'Cash Flow %s Yr4'!K113*'Expenses Summary'!$U70))</f>
        <v>1094.4203136000001</v>
      </c>
      <c r="L113" s="60">
        <f>IF('Expenses Summary'!$U70="","",IF('Cash Flow %s Yr4'!L113="","",'Cash Flow %s Yr4'!L113*'Expenses Summary'!$U70))</f>
        <v>1094.4203136000001</v>
      </c>
      <c r="M113" s="60">
        <f>IF('Expenses Summary'!$U70="","",IF('Cash Flow %s Yr4'!M113="","",'Cash Flow %s Yr4'!M113*'Expenses Summary'!$U70))</f>
        <v>1094.4203136000001</v>
      </c>
      <c r="N113" s="60">
        <f>IF('Expenses Summary'!$U70="","",IF('Cash Flow %s Yr4'!N113="","",'Cash Flow %s Yr4'!N113*'Expenses Summary'!$U70))</f>
        <v>0</v>
      </c>
      <c r="O113" s="60">
        <f>IF('Expenses Summary'!$U70="","",IF('Cash Flow %s Yr4'!O113="","",'Cash Flow %s Yr4'!O113*'Expenses Summary'!$U70))</f>
        <v>0</v>
      </c>
      <c r="P113" s="123"/>
      <c r="Q113" s="123"/>
      <c r="R113" s="123"/>
      <c r="S113" s="105">
        <f>IF(SUM(D113:R113)&gt;0,SUM(D113:R113)/'Expenses Summary'!$U70,"")</f>
        <v>0.99999999999999989</v>
      </c>
    </row>
    <row r="114" spans="1:19" s="30" customFormat="1" x14ac:dyDescent="0.3">
      <c r="A114" s="35"/>
      <c r="B114" s="133" t="str">
        <f>'Expenses Summary'!B71</f>
        <v>5400</v>
      </c>
      <c r="C114" s="133" t="str">
        <f>'Expenses Summary'!C71</f>
        <v>Insurance</v>
      </c>
      <c r="D114" s="60">
        <f>IF('Expenses Summary'!$U71="","",IF('Cash Flow %s Yr4'!D114="","",'Cash Flow %s Yr4'!D114*'Expenses Summary'!$U71))</f>
        <v>0</v>
      </c>
      <c r="E114" s="60">
        <f>IF('Expenses Summary'!$U71="","",IF('Cash Flow %s Yr4'!E114="","",'Cash Flow %s Yr4'!E114*'Expenses Summary'!$U71))</f>
        <v>0</v>
      </c>
      <c r="F114" s="60">
        <f>IF('Expenses Summary'!$U71="","",IF('Cash Flow %s Yr4'!F114="","",'Cash Flow %s Yr4'!F114*'Expenses Summary'!$U71))</f>
        <v>7665.2006400000009</v>
      </c>
      <c r="G114" s="60">
        <f>IF('Expenses Summary'!$U71="","",IF('Cash Flow %s Yr4'!G114="","",'Cash Flow %s Yr4'!G114*'Expenses Summary'!$U71))</f>
        <v>2555.0668800000003</v>
      </c>
      <c r="H114" s="60">
        <f>IF('Expenses Summary'!$U71="","",IF('Cash Flow %s Yr4'!H114="","",'Cash Flow %s Yr4'!H114*'Expenses Summary'!$U71))</f>
        <v>2555.0668800000003</v>
      </c>
      <c r="I114" s="60">
        <f>IF('Expenses Summary'!$U71="","",IF('Cash Flow %s Yr4'!I114="","",'Cash Flow %s Yr4'!I114*'Expenses Summary'!$U71))</f>
        <v>2555.0668800000003</v>
      </c>
      <c r="J114" s="60">
        <f>IF('Expenses Summary'!$U71="","",IF('Cash Flow %s Yr4'!J114="","",'Cash Flow %s Yr4'!J114*'Expenses Summary'!$U71))</f>
        <v>2555.0668800000003</v>
      </c>
      <c r="K114" s="60">
        <f>IF('Expenses Summary'!$U71="","",IF('Cash Flow %s Yr4'!K114="","",'Cash Flow %s Yr4'!K114*'Expenses Summary'!$U71))</f>
        <v>2555.0668800000003</v>
      </c>
      <c r="L114" s="60">
        <f>IF('Expenses Summary'!$U71="","",IF('Cash Flow %s Yr4'!L114="","",'Cash Flow %s Yr4'!L114*'Expenses Summary'!$U71))</f>
        <v>2555.0668800000003</v>
      </c>
      <c r="M114" s="60">
        <f>IF('Expenses Summary'!$U71="","",IF('Cash Flow %s Yr4'!M114="","",'Cash Flow %s Yr4'!M114*'Expenses Summary'!$U71))</f>
        <v>2555.0668800000003</v>
      </c>
      <c r="N114" s="60">
        <f>IF('Expenses Summary'!$U71="","",IF('Cash Flow %s Yr4'!N114="","",'Cash Flow %s Yr4'!N114*'Expenses Summary'!$U71))</f>
        <v>0</v>
      </c>
      <c r="O114" s="60">
        <f>IF('Expenses Summary'!$U71="","",IF('Cash Flow %s Yr4'!O114="","",'Cash Flow %s Yr4'!O114*'Expenses Summary'!$U71))</f>
        <v>0</v>
      </c>
      <c r="P114" s="123"/>
      <c r="Q114" s="123"/>
      <c r="R114" s="123"/>
      <c r="S114" s="105">
        <f>IF(SUM(D114:R114)&gt;0,SUM(D114:R114)/'Expenses Summary'!$U71,"")</f>
        <v>0.99999999999999989</v>
      </c>
    </row>
    <row r="115" spans="1:19" s="30" customFormat="1" x14ac:dyDescent="0.3">
      <c r="A115" s="35"/>
      <c r="B115" s="133" t="str">
        <f>'Expenses Summary'!B72</f>
        <v>5450</v>
      </c>
      <c r="C115" s="133" t="str">
        <f>'Expenses Summary'!C72</f>
        <v>Property Tax</v>
      </c>
      <c r="D115" s="60">
        <f>IF('Expenses Summary'!$U72="","",IF('Cash Flow %s Yr4'!D115="","",'Cash Flow %s Yr4'!D115*'Expenses Summary'!$U72))</f>
        <v>0</v>
      </c>
      <c r="E115" s="60">
        <f>IF('Expenses Summary'!$U72="","",IF('Cash Flow %s Yr4'!E115="","",'Cash Flow %s Yr4'!E115*'Expenses Summary'!$U72))</f>
        <v>0</v>
      </c>
      <c r="F115" s="60">
        <f>IF('Expenses Summary'!$U72="","",IF('Cash Flow %s Yr4'!F115="","",'Cash Flow %s Yr4'!F115*'Expenses Summary'!$U72))</f>
        <v>0</v>
      </c>
      <c r="G115" s="60">
        <f>IF('Expenses Summary'!$U72="","",IF('Cash Flow %s Yr4'!G115="","",'Cash Flow %s Yr4'!G115*'Expenses Summary'!$U72))</f>
        <v>0</v>
      </c>
      <c r="H115" s="60">
        <f>IF('Expenses Summary'!$U72="","",IF('Cash Flow %s Yr4'!H115="","",'Cash Flow %s Yr4'!H115*'Expenses Summary'!$U72))</f>
        <v>0</v>
      </c>
      <c r="I115" s="60">
        <f>IF('Expenses Summary'!$U72="","",IF('Cash Flow %s Yr4'!I115="","",'Cash Flow %s Yr4'!I115*'Expenses Summary'!$U72))</f>
        <v>0</v>
      </c>
      <c r="J115" s="60">
        <f>IF('Expenses Summary'!$U72="","",IF('Cash Flow %s Yr4'!J115="","",'Cash Flow %s Yr4'!J115*'Expenses Summary'!$U72))</f>
        <v>0</v>
      </c>
      <c r="K115" s="60">
        <f>IF('Expenses Summary'!$U72="","",IF('Cash Flow %s Yr4'!K115="","",'Cash Flow %s Yr4'!K115*'Expenses Summary'!$U72))</f>
        <v>0</v>
      </c>
      <c r="L115" s="60">
        <f>IF('Expenses Summary'!$U72="","",IF('Cash Flow %s Yr4'!L115="","",'Cash Flow %s Yr4'!L115*'Expenses Summary'!$U72))</f>
        <v>0</v>
      </c>
      <c r="M115" s="60">
        <f>IF('Expenses Summary'!$U72="","",IF('Cash Flow %s Yr4'!M115="","",'Cash Flow %s Yr4'!M115*'Expenses Summary'!$U72))</f>
        <v>0</v>
      </c>
      <c r="N115" s="60">
        <f>IF('Expenses Summary'!$U72="","",IF('Cash Flow %s Yr4'!N115="","",'Cash Flow %s Yr4'!N115*'Expenses Summary'!$U72))</f>
        <v>0</v>
      </c>
      <c r="O115" s="60">
        <f>IF('Expenses Summary'!$U72="","",IF('Cash Flow %s Yr4'!O115="","",'Cash Flow %s Yr4'!O115*'Expenses Summary'!$U72))</f>
        <v>0</v>
      </c>
      <c r="P115" s="123"/>
      <c r="Q115" s="123"/>
      <c r="R115" s="123"/>
      <c r="S115" s="105" t="str">
        <f>IF(SUM(D115:R115)&gt;0,SUM(D115:R115)/'Expenses Summary'!$U72,"")</f>
        <v/>
      </c>
    </row>
    <row r="116" spans="1:19" s="30" customFormat="1" x14ac:dyDescent="0.3">
      <c r="A116" s="35"/>
      <c r="B116" s="133" t="str">
        <f>'Expenses Summary'!B73</f>
        <v>5500</v>
      </c>
      <c r="C116" s="133" t="str">
        <f>'Expenses Summary'!C73</f>
        <v>Operation and Housekeeping Services/Supplies</v>
      </c>
      <c r="D116" s="60">
        <f>IF('Expenses Summary'!$U73="","",IF('Cash Flow %s Yr4'!D116="","",'Cash Flow %s Yr4'!D116*'Expenses Summary'!$U73))</f>
        <v>1767.2545920000002</v>
      </c>
      <c r="E116" s="60">
        <f>IF('Expenses Summary'!$U73="","",IF('Cash Flow %s Yr4'!E116="","",'Cash Flow %s Yr4'!E116*'Expenses Summary'!$U73))</f>
        <v>1767.2545920000002</v>
      </c>
      <c r="F116" s="60">
        <f>IF('Expenses Summary'!$U73="","",IF('Cash Flow %s Yr4'!F116="","",'Cash Flow %s Yr4'!F116*'Expenses Summary'!$U73))</f>
        <v>1767.2545920000002</v>
      </c>
      <c r="G116" s="60">
        <f>IF('Expenses Summary'!$U73="","",IF('Cash Flow %s Yr4'!G116="","",'Cash Flow %s Yr4'!G116*'Expenses Summary'!$U73))</f>
        <v>1767.2545920000002</v>
      </c>
      <c r="H116" s="60">
        <f>IF('Expenses Summary'!$U73="","",IF('Cash Flow %s Yr4'!H116="","",'Cash Flow %s Yr4'!H116*'Expenses Summary'!$U73))</f>
        <v>1767.2545920000002</v>
      </c>
      <c r="I116" s="60">
        <f>IF('Expenses Summary'!$U73="","",IF('Cash Flow %s Yr4'!I116="","",'Cash Flow %s Yr4'!I116*'Expenses Summary'!$U73))</f>
        <v>1767.2545920000002</v>
      </c>
      <c r="J116" s="60">
        <f>IF('Expenses Summary'!$U73="","",IF('Cash Flow %s Yr4'!J116="","",'Cash Flow %s Yr4'!J116*'Expenses Summary'!$U73))</f>
        <v>1767.2545920000002</v>
      </c>
      <c r="K116" s="60">
        <f>IF('Expenses Summary'!$U73="","",IF('Cash Flow %s Yr4'!K116="","",'Cash Flow %s Yr4'!K116*'Expenses Summary'!$U73))</f>
        <v>1767.2545920000002</v>
      </c>
      <c r="L116" s="60">
        <f>IF('Expenses Summary'!$U73="","",IF('Cash Flow %s Yr4'!L116="","",'Cash Flow %s Yr4'!L116*'Expenses Summary'!$U73))</f>
        <v>1788.5468160000003</v>
      </c>
      <c r="M116" s="60">
        <f>IF('Expenses Summary'!$U73="","",IF('Cash Flow %s Yr4'!M116="","",'Cash Flow %s Yr4'!M116*'Expenses Summary'!$U73))</f>
        <v>1788.5468160000003</v>
      </c>
      <c r="N116" s="60">
        <f>IF('Expenses Summary'!$U73="","",IF('Cash Flow %s Yr4'!N116="","",'Cash Flow %s Yr4'!N116*'Expenses Summary'!$U73))</f>
        <v>1788.5468160000003</v>
      </c>
      <c r="O116" s="60">
        <f>IF('Expenses Summary'!$U73="","",IF('Cash Flow %s Yr4'!O116="","",'Cash Flow %s Yr4'!O116*'Expenses Summary'!$U73))</f>
        <v>1788.5468160000003</v>
      </c>
      <c r="P116" s="123"/>
      <c r="Q116" s="123"/>
      <c r="R116" s="123"/>
      <c r="S116" s="105">
        <f>IF(SUM(D116:R116)&gt;0,SUM(D116:R116)/'Expenses Summary'!$U73,"")</f>
        <v>1.0000000000000004</v>
      </c>
    </row>
    <row r="117" spans="1:19" s="30" customFormat="1" x14ac:dyDescent="0.3">
      <c r="A117" s="35"/>
      <c r="B117" s="133" t="str">
        <f>'Expenses Summary'!B74</f>
        <v>5501</v>
      </c>
      <c r="C117" s="133" t="str">
        <f>'Expenses Summary'!C74</f>
        <v>Utilities</v>
      </c>
      <c r="D117" s="60">
        <f>IF('Expenses Summary'!$U74="","",IF('Cash Flow %s Yr4'!D117="","",'Cash Flow %s Yr4'!D117*'Expenses Summary'!$U74))</f>
        <v>0</v>
      </c>
      <c r="E117" s="60">
        <f>IF('Expenses Summary'!$U74="","",IF('Cash Flow %s Yr4'!E117="","",'Cash Flow %s Yr4'!E117*'Expenses Summary'!$U74))</f>
        <v>0</v>
      </c>
      <c r="F117" s="60">
        <f>IF('Expenses Summary'!$U74="","",IF('Cash Flow %s Yr4'!F117="","",'Cash Flow %s Yr4'!F117*'Expenses Summary'!$U74))</f>
        <v>0</v>
      </c>
      <c r="G117" s="60">
        <f>IF('Expenses Summary'!$U74="","",IF('Cash Flow %s Yr4'!G117="","",'Cash Flow %s Yr4'!G117*'Expenses Summary'!$U74))</f>
        <v>0</v>
      </c>
      <c r="H117" s="60">
        <f>IF('Expenses Summary'!$U74="","",IF('Cash Flow %s Yr4'!H117="","",'Cash Flow %s Yr4'!H117*'Expenses Summary'!$U74))</f>
        <v>0</v>
      </c>
      <c r="I117" s="60">
        <f>IF('Expenses Summary'!$U74="","",IF('Cash Flow %s Yr4'!I117="","",'Cash Flow %s Yr4'!I117*'Expenses Summary'!$U74))</f>
        <v>0</v>
      </c>
      <c r="J117" s="60">
        <f>IF('Expenses Summary'!$U74="","",IF('Cash Flow %s Yr4'!J117="","",'Cash Flow %s Yr4'!J117*'Expenses Summary'!$U74))</f>
        <v>0</v>
      </c>
      <c r="K117" s="60">
        <f>IF('Expenses Summary'!$U74="","",IF('Cash Flow %s Yr4'!K117="","",'Cash Flow %s Yr4'!K117*'Expenses Summary'!$U74))</f>
        <v>0</v>
      </c>
      <c r="L117" s="60">
        <f>IF('Expenses Summary'!$U74="","",IF('Cash Flow %s Yr4'!L117="","",'Cash Flow %s Yr4'!L117*'Expenses Summary'!$U74))</f>
        <v>0</v>
      </c>
      <c r="M117" s="60">
        <f>IF('Expenses Summary'!$U74="","",IF('Cash Flow %s Yr4'!M117="","",'Cash Flow %s Yr4'!M117*'Expenses Summary'!$U74))</f>
        <v>0</v>
      </c>
      <c r="N117" s="60">
        <f>IF('Expenses Summary'!$U74="","",IF('Cash Flow %s Yr4'!N117="","",'Cash Flow %s Yr4'!N117*'Expenses Summary'!$U74))</f>
        <v>0</v>
      </c>
      <c r="O117" s="60">
        <f>IF('Expenses Summary'!$U74="","",IF('Cash Flow %s Yr4'!O117="","",'Cash Flow %s Yr4'!O117*'Expenses Summary'!$U74))</f>
        <v>0</v>
      </c>
      <c r="P117" s="123"/>
      <c r="Q117" s="123"/>
      <c r="R117" s="123"/>
      <c r="S117" s="105" t="str">
        <f>IF(SUM(D117:R117)&gt;0,SUM(D117:R117)/'Expenses Summary'!$U74,"")</f>
        <v/>
      </c>
    </row>
    <row r="118" spans="1:19" s="30" customFormat="1" x14ac:dyDescent="0.3">
      <c r="A118" s="35"/>
      <c r="B118" s="133" t="str">
        <f>'Expenses Summary'!B75</f>
        <v>5505</v>
      </c>
      <c r="C118" s="133" t="str">
        <f>'Expenses Summary'!C75</f>
        <v>Student Transportation / Field Trips</v>
      </c>
      <c r="D118" s="60">
        <f>IF('Expenses Summary'!$U75="","",IF('Cash Flow %s Yr4'!D118="","",'Cash Flow %s Yr4'!D118*'Expenses Summary'!$U75))</f>
        <v>0</v>
      </c>
      <c r="E118" s="60">
        <f>IF('Expenses Summary'!$U75="","",IF('Cash Flow %s Yr4'!E118="","",'Cash Flow %s Yr4'!E118*'Expenses Summary'!$U75))</f>
        <v>0</v>
      </c>
      <c r="F118" s="60">
        <f>IF('Expenses Summary'!$U75="","",IF('Cash Flow %s Yr4'!F118="","",'Cash Flow %s Yr4'!F118*'Expenses Summary'!$U75))</f>
        <v>0</v>
      </c>
      <c r="G118" s="60">
        <f>IF('Expenses Summary'!$U75="","",IF('Cash Flow %s Yr4'!G118="","",'Cash Flow %s Yr4'!G118*'Expenses Summary'!$U75))</f>
        <v>0</v>
      </c>
      <c r="H118" s="60">
        <f>IF('Expenses Summary'!$U75="","",IF('Cash Flow %s Yr4'!H118="","",'Cash Flow %s Yr4'!H118*'Expenses Summary'!$U75))</f>
        <v>0</v>
      </c>
      <c r="I118" s="60">
        <f>IF('Expenses Summary'!$U75="","",IF('Cash Flow %s Yr4'!I118="","",'Cash Flow %s Yr4'!I118*'Expenses Summary'!$U75))</f>
        <v>0</v>
      </c>
      <c r="J118" s="60">
        <f>IF('Expenses Summary'!$U75="","",IF('Cash Flow %s Yr4'!J118="","",'Cash Flow %s Yr4'!J118*'Expenses Summary'!$U75))</f>
        <v>0</v>
      </c>
      <c r="K118" s="60">
        <f>IF('Expenses Summary'!$U75="","",IF('Cash Flow %s Yr4'!K118="","",'Cash Flow %s Yr4'!K118*'Expenses Summary'!$U75))</f>
        <v>0</v>
      </c>
      <c r="L118" s="60">
        <f>IF('Expenses Summary'!$U75="","",IF('Cash Flow %s Yr4'!L118="","",'Cash Flow %s Yr4'!L118*'Expenses Summary'!$U75))</f>
        <v>0</v>
      </c>
      <c r="M118" s="60">
        <f>IF('Expenses Summary'!$U75="","",IF('Cash Flow %s Yr4'!M118="","",'Cash Flow %s Yr4'!M118*'Expenses Summary'!$U75))</f>
        <v>0</v>
      </c>
      <c r="N118" s="60">
        <f>IF('Expenses Summary'!$U75="","",IF('Cash Flow %s Yr4'!N118="","",'Cash Flow %s Yr4'!N118*'Expenses Summary'!$U75))</f>
        <v>0</v>
      </c>
      <c r="O118" s="60">
        <f>IF('Expenses Summary'!$U75="","",IF('Cash Flow %s Yr4'!O118="","",'Cash Flow %s Yr4'!O118*'Expenses Summary'!$U75))</f>
        <v>0</v>
      </c>
      <c r="P118" s="123"/>
      <c r="Q118" s="123"/>
      <c r="R118" s="123"/>
      <c r="S118" s="105" t="str">
        <f>IF(SUM(D118:R118)&gt;0,SUM(D118:R118)/'Expenses Summary'!$U75,"")</f>
        <v/>
      </c>
    </row>
    <row r="119" spans="1:19" s="30" customFormat="1" x14ac:dyDescent="0.3">
      <c r="A119" s="35"/>
      <c r="B119" s="133" t="str">
        <f>'Expenses Summary'!B76</f>
        <v>5600</v>
      </c>
      <c r="C119" s="133" t="str">
        <f>'Expenses Summary'!C76</f>
        <v>Space Rental/Leases Expense</v>
      </c>
      <c r="D119" s="60">
        <f>IF('Expenses Summary'!$U76="","",IF('Cash Flow %s Yr4'!D119="","",'Cash Flow %s Yr4'!D119*'Expenses Summary'!$U76))</f>
        <v>4596.6291937920005</v>
      </c>
      <c r="E119" s="60">
        <f>IF('Expenses Summary'!$U76="","",IF('Cash Flow %s Yr4'!E119="","",'Cash Flow %s Yr4'!E119*'Expenses Summary'!$U76))</f>
        <v>4596.6291937920005</v>
      </c>
      <c r="F119" s="60">
        <f>IF('Expenses Summary'!$U76="","",IF('Cash Flow %s Yr4'!F119="","",'Cash Flow %s Yr4'!F119*'Expenses Summary'!$U76))</f>
        <v>4596.6291937920005</v>
      </c>
      <c r="G119" s="60">
        <f>IF('Expenses Summary'!$U76="","",IF('Cash Flow %s Yr4'!G119="","",'Cash Flow %s Yr4'!G119*'Expenses Summary'!$U76))</f>
        <v>4596.6291937920005</v>
      </c>
      <c r="H119" s="60">
        <f>IF('Expenses Summary'!$U76="","",IF('Cash Flow %s Yr4'!H119="","",'Cash Flow %s Yr4'!H119*'Expenses Summary'!$U76))</f>
        <v>4596.6291937920005</v>
      </c>
      <c r="I119" s="60">
        <f>IF('Expenses Summary'!$U76="","",IF('Cash Flow %s Yr4'!I119="","",'Cash Flow %s Yr4'!I119*'Expenses Summary'!$U76))</f>
        <v>4596.6291937920005</v>
      </c>
      <c r="J119" s="60">
        <f>IF('Expenses Summary'!$U76="","",IF('Cash Flow %s Yr4'!J119="","",'Cash Flow %s Yr4'!J119*'Expenses Summary'!$U76))</f>
        <v>4596.6291937920005</v>
      </c>
      <c r="K119" s="60">
        <f>IF('Expenses Summary'!$U76="","",IF('Cash Flow %s Yr4'!K119="","",'Cash Flow %s Yr4'!K119*'Expenses Summary'!$U76))</f>
        <v>4596.6291937920005</v>
      </c>
      <c r="L119" s="60">
        <f>IF('Expenses Summary'!$U76="","",IF('Cash Flow %s Yr4'!L119="","",'Cash Flow %s Yr4'!L119*'Expenses Summary'!$U76))</f>
        <v>4652.0102684160001</v>
      </c>
      <c r="M119" s="60">
        <f>IF('Expenses Summary'!$U76="","",IF('Cash Flow %s Yr4'!M119="","",'Cash Flow %s Yr4'!M119*'Expenses Summary'!$U76))</f>
        <v>4652.0102684160001</v>
      </c>
      <c r="N119" s="60">
        <f>IF('Expenses Summary'!$U76="","",IF('Cash Flow %s Yr4'!N119="","",'Cash Flow %s Yr4'!N119*'Expenses Summary'!$U76))</f>
        <v>4652.0102684160001</v>
      </c>
      <c r="O119" s="60">
        <f>IF('Expenses Summary'!$U76="","",IF('Cash Flow %s Yr4'!O119="","",'Cash Flow %s Yr4'!O119*'Expenses Summary'!$U76))</f>
        <v>4652.0102684160001</v>
      </c>
      <c r="P119" s="123"/>
      <c r="Q119" s="123"/>
      <c r="R119" s="123"/>
      <c r="S119" s="105">
        <f>IF(SUM(D119:R119)&gt;0,SUM(D119:R119)/'Expenses Summary'!$U76,"")</f>
        <v>1.0000000000000002</v>
      </c>
    </row>
    <row r="120" spans="1:19" s="30" customFormat="1" x14ac:dyDescent="0.3">
      <c r="A120" s="35"/>
      <c r="B120" s="133" t="str">
        <f>'Expenses Summary'!B77</f>
        <v>5601</v>
      </c>
      <c r="C120" s="133" t="str">
        <f>'Expenses Summary'!C77</f>
        <v>Building Maintenance</v>
      </c>
      <c r="D120" s="60">
        <f>IF('Expenses Summary'!$U77="","",IF('Cash Flow %s Yr4'!D120="","",'Cash Flow %s Yr4'!D120*'Expenses Summary'!$U77))</f>
        <v>0</v>
      </c>
      <c r="E120" s="60">
        <f>IF('Expenses Summary'!$U77="","",IF('Cash Flow %s Yr4'!E120="","",'Cash Flow %s Yr4'!E120*'Expenses Summary'!$U77))</f>
        <v>0</v>
      </c>
      <c r="F120" s="60">
        <f>IF('Expenses Summary'!$U77="","",IF('Cash Flow %s Yr4'!F120="","",'Cash Flow %s Yr4'!F120*'Expenses Summary'!$U77))</f>
        <v>0</v>
      </c>
      <c r="G120" s="60">
        <f>IF('Expenses Summary'!$U77="","",IF('Cash Flow %s Yr4'!G120="","",'Cash Flow %s Yr4'!G120*'Expenses Summary'!$U77))</f>
        <v>0</v>
      </c>
      <c r="H120" s="60">
        <f>IF('Expenses Summary'!$U77="","",IF('Cash Flow %s Yr4'!H120="","",'Cash Flow %s Yr4'!H120*'Expenses Summary'!$U77))</f>
        <v>0</v>
      </c>
      <c r="I120" s="60">
        <f>IF('Expenses Summary'!$U77="","",IF('Cash Flow %s Yr4'!I120="","",'Cash Flow %s Yr4'!I120*'Expenses Summary'!$U77))</f>
        <v>0</v>
      </c>
      <c r="J120" s="60">
        <f>IF('Expenses Summary'!$U77="","",IF('Cash Flow %s Yr4'!J120="","",'Cash Flow %s Yr4'!J120*'Expenses Summary'!$U77))</f>
        <v>0</v>
      </c>
      <c r="K120" s="60">
        <f>IF('Expenses Summary'!$U77="","",IF('Cash Flow %s Yr4'!K120="","",'Cash Flow %s Yr4'!K120*'Expenses Summary'!$U77))</f>
        <v>0</v>
      </c>
      <c r="L120" s="60">
        <f>IF('Expenses Summary'!$U77="","",IF('Cash Flow %s Yr4'!L120="","",'Cash Flow %s Yr4'!L120*'Expenses Summary'!$U77))</f>
        <v>0</v>
      </c>
      <c r="M120" s="60">
        <f>IF('Expenses Summary'!$U77="","",IF('Cash Flow %s Yr4'!M120="","",'Cash Flow %s Yr4'!M120*'Expenses Summary'!$U77))</f>
        <v>0</v>
      </c>
      <c r="N120" s="60">
        <f>IF('Expenses Summary'!$U77="","",IF('Cash Flow %s Yr4'!N120="","",'Cash Flow %s Yr4'!N120*'Expenses Summary'!$U77))</f>
        <v>0</v>
      </c>
      <c r="O120" s="60">
        <f>IF('Expenses Summary'!$U77="","",IF('Cash Flow %s Yr4'!O120="","",'Cash Flow %s Yr4'!O120*'Expenses Summary'!$U77))</f>
        <v>0</v>
      </c>
      <c r="P120" s="123"/>
      <c r="Q120" s="123"/>
      <c r="R120" s="123"/>
      <c r="S120" s="105" t="str">
        <f>IF(SUM(D120:R120)&gt;0,SUM(D120:R120)/'Expenses Summary'!$U77,"")</f>
        <v/>
      </c>
    </row>
    <row r="121" spans="1:19" s="30" customFormat="1" x14ac:dyDescent="0.3">
      <c r="A121" s="35"/>
      <c r="B121" s="133" t="str">
        <f>'Expenses Summary'!B78</f>
        <v>5602</v>
      </c>
      <c r="C121" s="133" t="str">
        <f>'Expenses Summary'!C78</f>
        <v>Other Space Rental</v>
      </c>
      <c r="D121" s="60">
        <f>IF('Expenses Summary'!$U78="","",IF('Cash Flow %s Yr4'!D121="","",'Cash Flow %s Yr4'!D121*'Expenses Summary'!$U78))</f>
        <v>314.29562565964807</v>
      </c>
      <c r="E121" s="60">
        <f>IF('Expenses Summary'!$U78="","",IF('Cash Flow %s Yr4'!E121="","",'Cash Flow %s Yr4'!E121*'Expenses Summary'!$U78))</f>
        <v>314.29562565964807</v>
      </c>
      <c r="F121" s="60">
        <f>IF('Expenses Summary'!$U78="","",IF('Cash Flow %s Yr4'!F121="","",'Cash Flow %s Yr4'!F121*'Expenses Summary'!$U78))</f>
        <v>314.29562565964807</v>
      </c>
      <c r="G121" s="60">
        <f>IF('Expenses Summary'!$U78="","",IF('Cash Flow %s Yr4'!G121="","",'Cash Flow %s Yr4'!G121*'Expenses Summary'!$U78))</f>
        <v>314.29562565964807</v>
      </c>
      <c r="H121" s="60">
        <f>IF('Expenses Summary'!$U78="","",IF('Cash Flow %s Yr4'!H121="","",'Cash Flow %s Yr4'!H121*'Expenses Summary'!$U78))</f>
        <v>314.29562565964807</v>
      </c>
      <c r="I121" s="60">
        <f>IF('Expenses Summary'!$U78="","",IF('Cash Flow %s Yr4'!I121="","",'Cash Flow %s Yr4'!I121*'Expenses Summary'!$U78))</f>
        <v>314.29562565964807</v>
      </c>
      <c r="J121" s="60">
        <f>IF('Expenses Summary'!$U78="","",IF('Cash Flow %s Yr4'!J121="","",'Cash Flow %s Yr4'!J121*'Expenses Summary'!$U78))</f>
        <v>314.29562565964807</v>
      </c>
      <c r="K121" s="60">
        <f>IF('Expenses Summary'!$U78="","",IF('Cash Flow %s Yr4'!K121="","",'Cash Flow %s Yr4'!K121*'Expenses Summary'!$U78))</f>
        <v>314.29562565964807</v>
      </c>
      <c r="L121" s="60">
        <f>IF('Expenses Summary'!$U78="","",IF('Cash Flow %s Yr4'!L121="","",'Cash Flow %s Yr4'!L121*'Expenses Summary'!$U78))</f>
        <v>318.08231994470407</v>
      </c>
      <c r="M121" s="60">
        <f>IF('Expenses Summary'!$U78="","",IF('Cash Flow %s Yr4'!M121="","",'Cash Flow %s Yr4'!M121*'Expenses Summary'!$U78))</f>
        <v>318.08231994470407</v>
      </c>
      <c r="N121" s="60">
        <f>IF('Expenses Summary'!$U78="","",IF('Cash Flow %s Yr4'!N121="","",'Cash Flow %s Yr4'!N121*'Expenses Summary'!$U78))</f>
        <v>318.08231994470407</v>
      </c>
      <c r="O121" s="60">
        <f>IF('Expenses Summary'!$U78="","",IF('Cash Flow %s Yr4'!O121="","",'Cash Flow %s Yr4'!O121*'Expenses Summary'!$U78))</f>
        <v>318.08231994470407</v>
      </c>
      <c r="P121" s="123"/>
      <c r="Q121" s="123"/>
      <c r="R121" s="123"/>
      <c r="S121" s="105">
        <f>IF(SUM(D121:R121)&gt;0,SUM(D121:R121)/'Expenses Summary'!$U78,"")</f>
        <v>1.0000000000000002</v>
      </c>
    </row>
    <row r="122" spans="1:19" s="30" customFormat="1" x14ac:dyDescent="0.3">
      <c r="A122" s="35"/>
      <c r="B122" s="133" t="str">
        <f>'Expenses Summary'!B79</f>
        <v>5605</v>
      </c>
      <c r="C122" s="133" t="str">
        <f>'Expenses Summary'!C79</f>
        <v>Equipment Rental/Lease Expense</v>
      </c>
      <c r="D122" s="60">
        <f>IF('Expenses Summary'!$U79="","",IF('Cash Flow %s Yr4'!D122="","",'Cash Flow %s Yr4'!D122*'Expenses Summary'!$U79))</f>
        <v>0</v>
      </c>
      <c r="E122" s="60">
        <f>IF('Expenses Summary'!$U79="","",IF('Cash Flow %s Yr4'!E122="","",'Cash Flow %s Yr4'!E122*'Expenses Summary'!$U79))</f>
        <v>0</v>
      </c>
      <c r="F122" s="60">
        <f>IF('Expenses Summary'!$U79="","",IF('Cash Flow %s Yr4'!F122="","",'Cash Flow %s Yr4'!F122*'Expenses Summary'!$U79))</f>
        <v>0</v>
      </c>
      <c r="G122" s="60">
        <f>IF('Expenses Summary'!$U79="","",IF('Cash Flow %s Yr4'!G122="","",'Cash Flow %s Yr4'!G122*'Expenses Summary'!$U79))</f>
        <v>0</v>
      </c>
      <c r="H122" s="60">
        <f>IF('Expenses Summary'!$U79="","",IF('Cash Flow %s Yr4'!H122="","",'Cash Flow %s Yr4'!H122*'Expenses Summary'!$U79))</f>
        <v>0</v>
      </c>
      <c r="I122" s="60">
        <f>IF('Expenses Summary'!$U79="","",IF('Cash Flow %s Yr4'!I122="","",'Cash Flow %s Yr4'!I122*'Expenses Summary'!$U79))</f>
        <v>0</v>
      </c>
      <c r="J122" s="60">
        <f>IF('Expenses Summary'!$U79="","",IF('Cash Flow %s Yr4'!J122="","",'Cash Flow %s Yr4'!J122*'Expenses Summary'!$U79))</f>
        <v>0</v>
      </c>
      <c r="K122" s="60">
        <f>IF('Expenses Summary'!$U79="","",IF('Cash Flow %s Yr4'!K122="","",'Cash Flow %s Yr4'!K122*'Expenses Summary'!$U79))</f>
        <v>0</v>
      </c>
      <c r="L122" s="60">
        <f>IF('Expenses Summary'!$U79="","",IF('Cash Flow %s Yr4'!L122="","",'Cash Flow %s Yr4'!L122*'Expenses Summary'!$U79))</f>
        <v>0</v>
      </c>
      <c r="M122" s="60">
        <f>IF('Expenses Summary'!$U79="","",IF('Cash Flow %s Yr4'!M122="","",'Cash Flow %s Yr4'!M122*'Expenses Summary'!$U79))</f>
        <v>0</v>
      </c>
      <c r="N122" s="60">
        <f>IF('Expenses Summary'!$U79="","",IF('Cash Flow %s Yr4'!N122="","",'Cash Flow %s Yr4'!N122*'Expenses Summary'!$U79))</f>
        <v>0</v>
      </c>
      <c r="O122" s="60">
        <f>IF('Expenses Summary'!$U79="","",IF('Cash Flow %s Yr4'!O122="","",'Cash Flow %s Yr4'!O122*'Expenses Summary'!$U79))</f>
        <v>0</v>
      </c>
      <c r="P122" s="123"/>
      <c r="Q122" s="123"/>
      <c r="R122" s="123"/>
      <c r="S122" s="105" t="str">
        <f>IF(SUM(D122:R122)&gt;0,SUM(D122:R122)/'Expenses Summary'!$U79,"")</f>
        <v/>
      </c>
    </row>
    <row r="123" spans="1:19" s="30" customFormat="1" x14ac:dyDescent="0.3">
      <c r="A123" s="35"/>
      <c r="B123" s="133" t="str">
        <f>'Expenses Summary'!B80</f>
        <v>5610</v>
      </c>
      <c r="C123" s="133" t="str">
        <f>'Expenses Summary'!C80</f>
        <v>Equipment Repair</v>
      </c>
      <c r="D123" s="60">
        <f>IF('Expenses Summary'!$U80="","",IF('Cash Flow %s Yr4'!D123="","",'Cash Flow %s Yr4'!D123*'Expenses Summary'!$U80))</f>
        <v>39.76322832000001</v>
      </c>
      <c r="E123" s="60">
        <f>IF('Expenses Summary'!$U80="","",IF('Cash Flow %s Yr4'!E123="","",'Cash Flow %s Yr4'!E123*'Expenses Summary'!$U80))</f>
        <v>39.76322832000001</v>
      </c>
      <c r="F123" s="60">
        <f>IF('Expenses Summary'!$U80="","",IF('Cash Flow %s Yr4'!F123="","",'Cash Flow %s Yr4'!F123*'Expenses Summary'!$U80))</f>
        <v>39.76322832000001</v>
      </c>
      <c r="G123" s="60">
        <f>IF('Expenses Summary'!$U80="","",IF('Cash Flow %s Yr4'!G123="","",'Cash Flow %s Yr4'!G123*'Expenses Summary'!$U80))</f>
        <v>39.76322832000001</v>
      </c>
      <c r="H123" s="60">
        <f>IF('Expenses Summary'!$U80="","",IF('Cash Flow %s Yr4'!H123="","",'Cash Flow %s Yr4'!H123*'Expenses Summary'!$U80))</f>
        <v>39.76322832000001</v>
      </c>
      <c r="I123" s="60">
        <f>IF('Expenses Summary'!$U80="","",IF('Cash Flow %s Yr4'!I123="","",'Cash Flow %s Yr4'!I123*'Expenses Summary'!$U80))</f>
        <v>39.76322832000001</v>
      </c>
      <c r="J123" s="60">
        <f>IF('Expenses Summary'!$U80="","",IF('Cash Flow %s Yr4'!J123="","",'Cash Flow %s Yr4'!J123*'Expenses Summary'!$U80))</f>
        <v>39.76322832000001</v>
      </c>
      <c r="K123" s="60">
        <f>IF('Expenses Summary'!$U80="","",IF('Cash Flow %s Yr4'!K123="","",'Cash Flow %s Yr4'!K123*'Expenses Summary'!$U80))</f>
        <v>39.76322832000001</v>
      </c>
      <c r="L123" s="60">
        <f>IF('Expenses Summary'!$U80="","",IF('Cash Flow %s Yr4'!L123="","",'Cash Flow %s Yr4'!L123*'Expenses Summary'!$U80))</f>
        <v>40.242303360000008</v>
      </c>
      <c r="M123" s="60">
        <f>IF('Expenses Summary'!$U80="","",IF('Cash Flow %s Yr4'!M123="","",'Cash Flow %s Yr4'!M123*'Expenses Summary'!$U80))</f>
        <v>40.242303360000008</v>
      </c>
      <c r="N123" s="60">
        <f>IF('Expenses Summary'!$U80="","",IF('Cash Flow %s Yr4'!N123="","",'Cash Flow %s Yr4'!N123*'Expenses Summary'!$U80))</f>
        <v>40.242303360000008</v>
      </c>
      <c r="O123" s="60">
        <f>IF('Expenses Summary'!$U80="","",IF('Cash Flow %s Yr4'!O123="","",'Cash Flow %s Yr4'!O123*'Expenses Summary'!$U80))</f>
        <v>40.242303360000008</v>
      </c>
      <c r="P123" s="123"/>
      <c r="Q123" s="123"/>
      <c r="R123" s="123"/>
      <c r="S123" s="105">
        <f>IF(SUM(D123:R123)&gt;0,SUM(D123:R123)/'Expenses Summary'!$U80,"")</f>
        <v>0.99999999999999989</v>
      </c>
    </row>
    <row r="124" spans="1:19" s="30" customFormat="1" x14ac:dyDescent="0.3">
      <c r="A124" s="35"/>
      <c r="B124" s="133" t="str">
        <f>'Expenses Summary'!B81</f>
        <v>5800</v>
      </c>
      <c r="C124" s="133" t="str">
        <f>'Expenses Summary'!C81</f>
        <v>Professional/Consulting Services and Operating Expenditures</v>
      </c>
      <c r="D124" s="60">
        <f>IF('Expenses Summary'!$U81="","",IF('Cash Flow %s Yr4'!D124="","",'Cash Flow %s Yr4'!D124*'Expenses Summary'!$U81))</f>
        <v>265.08818880000007</v>
      </c>
      <c r="E124" s="60">
        <f>IF('Expenses Summary'!$U81="","",IF('Cash Flow %s Yr4'!E124="","",'Cash Flow %s Yr4'!E124*'Expenses Summary'!$U81))</f>
        <v>265.08818880000007</v>
      </c>
      <c r="F124" s="60">
        <f>IF('Expenses Summary'!$U81="","",IF('Cash Flow %s Yr4'!F124="","",'Cash Flow %s Yr4'!F124*'Expenses Summary'!$U81))</f>
        <v>265.08818880000007</v>
      </c>
      <c r="G124" s="60">
        <f>IF('Expenses Summary'!$U81="","",IF('Cash Flow %s Yr4'!G124="","",'Cash Flow %s Yr4'!G124*'Expenses Summary'!$U81))</f>
        <v>265.08818880000007</v>
      </c>
      <c r="H124" s="60">
        <f>IF('Expenses Summary'!$U81="","",IF('Cash Flow %s Yr4'!H124="","",'Cash Flow %s Yr4'!H124*'Expenses Summary'!$U81))</f>
        <v>265.08818880000007</v>
      </c>
      <c r="I124" s="60">
        <f>IF('Expenses Summary'!$U81="","",IF('Cash Flow %s Yr4'!I124="","",'Cash Flow %s Yr4'!I124*'Expenses Summary'!$U81))</f>
        <v>265.08818880000007</v>
      </c>
      <c r="J124" s="60">
        <f>IF('Expenses Summary'!$U81="","",IF('Cash Flow %s Yr4'!J124="","",'Cash Flow %s Yr4'!J124*'Expenses Summary'!$U81))</f>
        <v>265.08818880000007</v>
      </c>
      <c r="K124" s="60">
        <f>IF('Expenses Summary'!$U81="","",IF('Cash Flow %s Yr4'!K124="","",'Cash Flow %s Yr4'!K124*'Expenses Summary'!$U81))</f>
        <v>265.08818880000007</v>
      </c>
      <c r="L124" s="60">
        <f>IF('Expenses Summary'!$U81="","",IF('Cash Flow %s Yr4'!L124="","",'Cash Flow %s Yr4'!L124*'Expenses Summary'!$U81))</f>
        <v>268.28202240000007</v>
      </c>
      <c r="M124" s="60">
        <f>IF('Expenses Summary'!$U81="","",IF('Cash Flow %s Yr4'!M124="","",'Cash Flow %s Yr4'!M124*'Expenses Summary'!$U81))</f>
        <v>268.28202240000007</v>
      </c>
      <c r="N124" s="60">
        <f>IF('Expenses Summary'!$U81="","",IF('Cash Flow %s Yr4'!N124="","",'Cash Flow %s Yr4'!N124*'Expenses Summary'!$U81))</f>
        <v>268.28202240000007</v>
      </c>
      <c r="O124" s="60">
        <f>IF('Expenses Summary'!$U81="","",IF('Cash Flow %s Yr4'!O124="","",'Cash Flow %s Yr4'!O124*'Expenses Summary'!$U81))</f>
        <v>268.28202240000007</v>
      </c>
      <c r="P124" s="123"/>
      <c r="Q124" s="123"/>
      <c r="R124" s="123"/>
      <c r="S124" s="105">
        <f>IF(SUM(D124:R124)&gt;0,SUM(D124:R124)/'Expenses Summary'!$U81,"")</f>
        <v>1.0000000000000002</v>
      </c>
    </row>
    <row r="125" spans="1:19" s="30" customFormat="1" x14ac:dyDescent="0.3">
      <c r="A125" s="35"/>
      <c r="B125" s="133" t="str">
        <f>'Expenses Summary'!B82</f>
        <v>5803</v>
      </c>
      <c r="C125" s="133" t="str">
        <f>'Expenses Summary'!C82</f>
        <v>Banking and Payroll Service Fees</v>
      </c>
      <c r="D125" s="60">
        <f>IF('Expenses Summary'!$U82="","",IF('Cash Flow %s Yr4'!D125="","",'Cash Flow %s Yr4'!D125*'Expenses Summary'!$U82))</f>
        <v>530.17637760000014</v>
      </c>
      <c r="E125" s="60">
        <f>IF('Expenses Summary'!$U82="","",IF('Cash Flow %s Yr4'!E125="","",'Cash Flow %s Yr4'!E125*'Expenses Summary'!$U82))</f>
        <v>530.17637760000014</v>
      </c>
      <c r="F125" s="60">
        <f>IF('Expenses Summary'!$U82="","",IF('Cash Flow %s Yr4'!F125="","",'Cash Flow %s Yr4'!F125*'Expenses Summary'!$U82))</f>
        <v>530.17637760000014</v>
      </c>
      <c r="G125" s="60">
        <f>IF('Expenses Summary'!$U82="","",IF('Cash Flow %s Yr4'!G125="","",'Cash Flow %s Yr4'!G125*'Expenses Summary'!$U82))</f>
        <v>530.17637760000014</v>
      </c>
      <c r="H125" s="60">
        <f>IF('Expenses Summary'!$U82="","",IF('Cash Flow %s Yr4'!H125="","",'Cash Flow %s Yr4'!H125*'Expenses Summary'!$U82))</f>
        <v>530.17637760000014</v>
      </c>
      <c r="I125" s="60">
        <f>IF('Expenses Summary'!$U82="","",IF('Cash Flow %s Yr4'!I125="","",'Cash Flow %s Yr4'!I125*'Expenses Summary'!$U82))</f>
        <v>530.17637760000014</v>
      </c>
      <c r="J125" s="60">
        <f>IF('Expenses Summary'!$U82="","",IF('Cash Flow %s Yr4'!J125="","",'Cash Flow %s Yr4'!J125*'Expenses Summary'!$U82))</f>
        <v>530.17637760000014</v>
      </c>
      <c r="K125" s="60">
        <f>IF('Expenses Summary'!$U82="","",IF('Cash Flow %s Yr4'!K125="","",'Cash Flow %s Yr4'!K125*'Expenses Summary'!$U82))</f>
        <v>530.17637760000014</v>
      </c>
      <c r="L125" s="60">
        <f>IF('Expenses Summary'!$U82="","",IF('Cash Flow %s Yr4'!L125="","",'Cash Flow %s Yr4'!L125*'Expenses Summary'!$U82))</f>
        <v>536.56404480000015</v>
      </c>
      <c r="M125" s="60">
        <f>IF('Expenses Summary'!$U82="","",IF('Cash Flow %s Yr4'!M125="","",'Cash Flow %s Yr4'!M125*'Expenses Summary'!$U82))</f>
        <v>536.56404480000015</v>
      </c>
      <c r="N125" s="60">
        <f>IF('Expenses Summary'!$U82="","",IF('Cash Flow %s Yr4'!N125="","",'Cash Flow %s Yr4'!N125*'Expenses Summary'!$U82))</f>
        <v>536.56404480000015</v>
      </c>
      <c r="O125" s="60">
        <f>IF('Expenses Summary'!$U82="","",IF('Cash Flow %s Yr4'!O125="","",'Cash Flow %s Yr4'!O125*'Expenses Summary'!$U82))</f>
        <v>536.56404480000015</v>
      </c>
      <c r="P125" s="123"/>
      <c r="Q125" s="123"/>
      <c r="R125" s="123"/>
      <c r="S125" s="105">
        <f>IF(SUM(D125:R125)&gt;0,SUM(D125:R125)/'Expenses Summary'!$U82,"")</f>
        <v>1.0000000000000002</v>
      </c>
    </row>
    <row r="126" spans="1:19" s="30" customFormat="1" x14ac:dyDescent="0.3">
      <c r="A126" s="35"/>
      <c r="B126" s="133" t="str">
        <f>'Expenses Summary'!B83</f>
        <v>5805</v>
      </c>
      <c r="C126" s="133" t="str">
        <f>'Expenses Summary'!C83</f>
        <v xml:space="preserve">Legal Services </v>
      </c>
      <c r="D126" s="60">
        <f>IF('Expenses Summary'!$U83="","",IF('Cash Flow %s Yr4'!D126="","",'Cash Flow %s Yr4'!D126*'Expenses Summary'!$U83))</f>
        <v>353.45091840000009</v>
      </c>
      <c r="E126" s="60">
        <f>IF('Expenses Summary'!$U83="","",IF('Cash Flow %s Yr4'!E126="","",'Cash Flow %s Yr4'!E126*'Expenses Summary'!$U83))</f>
        <v>353.45091840000009</v>
      </c>
      <c r="F126" s="60">
        <f>IF('Expenses Summary'!$U83="","",IF('Cash Flow %s Yr4'!F126="","",'Cash Flow %s Yr4'!F126*'Expenses Summary'!$U83))</f>
        <v>353.45091840000009</v>
      </c>
      <c r="G126" s="60">
        <f>IF('Expenses Summary'!$U83="","",IF('Cash Flow %s Yr4'!G126="","",'Cash Flow %s Yr4'!G126*'Expenses Summary'!$U83))</f>
        <v>353.45091840000009</v>
      </c>
      <c r="H126" s="60">
        <f>IF('Expenses Summary'!$U83="","",IF('Cash Flow %s Yr4'!H126="","",'Cash Flow %s Yr4'!H126*'Expenses Summary'!$U83))</f>
        <v>353.45091840000009</v>
      </c>
      <c r="I126" s="60">
        <f>IF('Expenses Summary'!$U83="","",IF('Cash Flow %s Yr4'!I126="","",'Cash Flow %s Yr4'!I126*'Expenses Summary'!$U83))</f>
        <v>353.45091840000009</v>
      </c>
      <c r="J126" s="60">
        <f>IF('Expenses Summary'!$U83="","",IF('Cash Flow %s Yr4'!J126="","",'Cash Flow %s Yr4'!J126*'Expenses Summary'!$U83))</f>
        <v>353.45091840000009</v>
      </c>
      <c r="K126" s="60">
        <f>IF('Expenses Summary'!$U83="","",IF('Cash Flow %s Yr4'!K126="","",'Cash Flow %s Yr4'!K126*'Expenses Summary'!$U83))</f>
        <v>353.45091840000009</v>
      </c>
      <c r="L126" s="60">
        <f>IF('Expenses Summary'!$U83="","",IF('Cash Flow %s Yr4'!L126="","",'Cash Flow %s Yr4'!L126*'Expenses Summary'!$U83))</f>
        <v>357.7093632000001</v>
      </c>
      <c r="M126" s="60">
        <f>IF('Expenses Summary'!$U83="","",IF('Cash Flow %s Yr4'!M126="","",'Cash Flow %s Yr4'!M126*'Expenses Summary'!$U83))</f>
        <v>357.7093632000001</v>
      </c>
      <c r="N126" s="60">
        <f>IF('Expenses Summary'!$U83="","",IF('Cash Flow %s Yr4'!N126="","",'Cash Flow %s Yr4'!N126*'Expenses Summary'!$U83))</f>
        <v>357.7093632000001</v>
      </c>
      <c r="O126" s="60">
        <f>IF('Expenses Summary'!$U83="","",IF('Cash Flow %s Yr4'!O126="","",'Cash Flow %s Yr4'!O126*'Expenses Summary'!$U83))</f>
        <v>357.7093632000001</v>
      </c>
      <c r="P126" s="123"/>
      <c r="Q126" s="123"/>
      <c r="R126" s="123"/>
      <c r="S126" s="105">
        <f>IF(SUM(D126:R126)&gt;0,SUM(D126:R126)/'Expenses Summary'!$U83,"")</f>
        <v>1</v>
      </c>
    </row>
    <row r="127" spans="1:19" s="30" customFormat="1" x14ac:dyDescent="0.3">
      <c r="A127" s="35"/>
      <c r="B127" s="133" t="str">
        <f>'Expenses Summary'!B84</f>
        <v>5806</v>
      </c>
      <c r="C127" s="133" t="str">
        <f>'Expenses Summary'!C84</f>
        <v>Audit Services</v>
      </c>
      <c r="D127" s="60">
        <f>IF('Expenses Summary'!$U84="","",IF('Cash Flow %s Yr4'!D127="","",'Cash Flow %s Yr4'!D127*'Expenses Summary'!$U84))</f>
        <v>0</v>
      </c>
      <c r="E127" s="60">
        <f>IF('Expenses Summary'!$U84="","",IF('Cash Flow %s Yr4'!E127="","",'Cash Flow %s Yr4'!E127*'Expenses Summary'!$U84))</f>
        <v>0</v>
      </c>
      <c r="F127" s="60">
        <f>IF('Expenses Summary'!$U84="","",IF('Cash Flow %s Yr4'!F127="","",'Cash Flow %s Yr4'!F127*'Expenses Summary'!$U84))</f>
        <v>0</v>
      </c>
      <c r="G127" s="60">
        <f>IF('Expenses Summary'!$U84="","",IF('Cash Flow %s Yr4'!G127="","",'Cash Flow %s Yr4'!G127*'Expenses Summary'!$U84))</f>
        <v>0</v>
      </c>
      <c r="H127" s="60">
        <f>IF('Expenses Summary'!$U84="","",IF('Cash Flow %s Yr4'!H127="","",'Cash Flow %s Yr4'!H127*'Expenses Summary'!$U84))</f>
        <v>3193.8336000000004</v>
      </c>
      <c r="I127" s="60">
        <f>IF('Expenses Summary'!$U84="","",IF('Cash Flow %s Yr4'!I127="","",'Cash Flow %s Yr4'!I127*'Expenses Summary'!$U84))</f>
        <v>0</v>
      </c>
      <c r="J127" s="60">
        <f>IF('Expenses Summary'!$U84="","",IF('Cash Flow %s Yr4'!J127="","",'Cash Flow %s Yr4'!J127*'Expenses Summary'!$U84))</f>
        <v>0</v>
      </c>
      <c r="K127" s="60">
        <f>IF('Expenses Summary'!$U84="","",IF('Cash Flow %s Yr4'!K127="","",'Cash Flow %s Yr4'!K127*'Expenses Summary'!$U84))</f>
        <v>0</v>
      </c>
      <c r="L127" s="60">
        <f>IF('Expenses Summary'!$U84="","",IF('Cash Flow %s Yr4'!L127="","",'Cash Flow %s Yr4'!L127*'Expenses Summary'!$U84))</f>
        <v>0</v>
      </c>
      <c r="M127" s="60">
        <f>IF('Expenses Summary'!$U84="","",IF('Cash Flow %s Yr4'!M127="","",'Cash Flow %s Yr4'!M127*'Expenses Summary'!$U84))</f>
        <v>0</v>
      </c>
      <c r="N127" s="60">
        <f>IF('Expenses Summary'!$U84="","",IF('Cash Flow %s Yr4'!N127="","",'Cash Flow %s Yr4'!N127*'Expenses Summary'!$U84))</f>
        <v>3193.8336000000004</v>
      </c>
      <c r="O127" s="60">
        <f>IF('Expenses Summary'!$U84="","",IF('Cash Flow %s Yr4'!O127="","",'Cash Flow %s Yr4'!O127*'Expenses Summary'!$U84))</f>
        <v>0</v>
      </c>
      <c r="P127" s="123"/>
      <c r="Q127" s="123"/>
      <c r="R127" s="123"/>
      <c r="S127" s="105">
        <f>IF(SUM(D127:R127)&gt;0,SUM(D127:R127)/'Expenses Summary'!$U84,"")</f>
        <v>1</v>
      </c>
    </row>
    <row r="128" spans="1:19" s="30" customFormat="1" x14ac:dyDescent="0.3">
      <c r="A128" s="35"/>
      <c r="B128" s="133" t="str">
        <f>'Expenses Summary'!B85</f>
        <v>5810</v>
      </c>
      <c r="C128" s="133" t="str">
        <f>'Expenses Summary'!C85</f>
        <v>Educational Consultants</v>
      </c>
      <c r="D128" s="60">
        <f>IF('Expenses Summary'!$U85="","",IF('Cash Flow %s Yr4'!D128="","",'Cash Flow %s Yr4'!D128*'Expenses Summary'!$U85))</f>
        <v>331.36023600000004</v>
      </c>
      <c r="E128" s="60">
        <f>IF('Expenses Summary'!$U85="","",IF('Cash Flow %s Yr4'!E128="","",'Cash Flow %s Yr4'!E128*'Expenses Summary'!$U85))</f>
        <v>331.36023600000004</v>
      </c>
      <c r="F128" s="60">
        <f>IF('Expenses Summary'!$U85="","",IF('Cash Flow %s Yr4'!F128="","",'Cash Flow %s Yr4'!F128*'Expenses Summary'!$U85))</f>
        <v>331.36023600000004</v>
      </c>
      <c r="G128" s="60">
        <f>IF('Expenses Summary'!$U85="","",IF('Cash Flow %s Yr4'!G128="","",'Cash Flow %s Yr4'!G128*'Expenses Summary'!$U85))</f>
        <v>331.36023600000004</v>
      </c>
      <c r="H128" s="60">
        <f>IF('Expenses Summary'!$U85="","",IF('Cash Flow %s Yr4'!H128="","",'Cash Flow %s Yr4'!H128*'Expenses Summary'!$U85))</f>
        <v>331.36023600000004</v>
      </c>
      <c r="I128" s="60">
        <f>IF('Expenses Summary'!$U85="","",IF('Cash Flow %s Yr4'!I128="","",'Cash Flow %s Yr4'!I128*'Expenses Summary'!$U85))</f>
        <v>331.36023600000004</v>
      </c>
      <c r="J128" s="60">
        <f>IF('Expenses Summary'!$U85="","",IF('Cash Flow %s Yr4'!J128="","",'Cash Flow %s Yr4'!J128*'Expenses Summary'!$U85))</f>
        <v>331.36023600000004</v>
      </c>
      <c r="K128" s="60">
        <f>IF('Expenses Summary'!$U85="","",IF('Cash Flow %s Yr4'!K128="","",'Cash Flow %s Yr4'!K128*'Expenses Summary'!$U85))</f>
        <v>331.36023600000004</v>
      </c>
      <c r="L128" s="60">
        <f>IF('Expenses Summary'!$U85="","",IF('Cash Flow %s Yr4'!L128="","",'Cash Flow %s Yr4'!L128*'Expenses Summary'!$U85))</f>
        <v>335.35252800000006</v>
      </c>
      <c r="M128" s="60">
        <f>IF('Expenses Summary'!$U85="","",IF('Cash Flow %s Yr4'!M128="","",'Cash Flow %s Yr4'!M128*'Expenses Summary'!$U85))</f>
        <v>335.35252800000006</v>
      </c>
      <c r="N128" s="60">
        <f>IF('Expenses Summary'!$U85="","",IF('Cash Flow %s Yr4'!N128="","",'Cash Flow %s Yr4'!N128*'Expenses Summary'!$U85))</f>
        <v>335.35252800000006</v>
      </c>
      <c r="O128" s="60">
        <f>IF('Expenses Summary'!$U85="","",IF('Cash Flow %s Yr4'!O128="","",'Cash Flow %s Yr4'!O128*'Expenses Summary'!$U85))</f>
        <v>335.35252800000006</v>
      </c>
      <c r="P128" s="123"/>
      <c r="Q128" s="123"/>
      <c r="R128" s="123"/>
      <c r="S128" s="105">
        <f>IF(SUM(D128:R128)&gt;0,SUM(D128:R128)/'Expenses Summary'!$U85,"")</f>
        <v>0.99999999999999989</v>
      </c>
    </row>
    <row r="129" spans="1:19" s="30" customFormat="1" x14ac:dyDescent="0.3">
      <c r="A129" s="35"/>
      <c r="B129" s="133" t="str">
        <f>'Expenses Summary'!B86</f>
        <v>5811</v>
      </c>
      <c r="C129" s="133" t="str">
        <f>'Expenses Summary'!C86</f>
        <v>Student Transportation / Events</v>
      </c>
      <c r="D129" s="60">
        <f>IF('Expenses Summary'!$U86="","",IF('Cash Flow %s Yr4'!D129="","",'Cash Flow %s Yr4'!D129*'Expenses Summary'!$U86))</f>
        <v>0</v>
      </c>
      <c r="E129" s="60">
        <f>IF('Expenses Summary'!$U86="","",IF('Cash Flow %s Yr4'!E129="","",'Cash Flow %s Yr4'!E129*'Expenses Summary'!$U86))</f>
        <v>0</v>
      </c>
      <c r="F129" s="60">
        <f>IF('Expenses Summary'!$U86="","",IF('Cash Flow %s Yr4'!F129="","",'Cash Flow %s Yr4'!F129*'Expenses Summary'!$U86))</f>
        <v>0</v>
      </c>
      <c r="G129" s="60">
        <f>IF('Expenses Summary'!$U86="","",IF('Cash Flow %s Yr4'!G129="","",'Cash Flow %s Yr4'!G129*'Expenses Summary'!$U86))</f>
        <v>0</v>
      </c>
      <c r="H129" s="60">
        <f>IF('Expenses Summary'!$U86="","",IF('Cash Flow %s Yr4'!H129="","",'Cash Flow %s Yr4'!H129*'Expenses Summary'!$U86))</f>
        <v>0</v>
      </c>
      <c r="I129" s="60">
        <f>IF('Expenses Summary'!$U86="","",IF('Cash Flow %s Yr4'!I129="","",'Cash Flow %s Yr4'!I129*'Expenses Summary'!$U86))</f>
        <v>0</v>
      </c>
      <c r="J129" s="60">
        <f>IF('Expenses Summary'!$U86="","",IF('Cash Flow %s Yr4'!J129="","",'Cash Flow %s Yr4'!J129*'Expenses Summary'!$U86))</f>
        <v>0</v>
      </c>
      <c r="K129" s="60">
        <f>IF('Expenses Summary'!$U86="","",IF('Cash Flow %s Yr4'!K129="","",'Cash Flow %s Yr4'!K129*'Expenses Summary'!$U86))</f>
        <v>0</v>
      </c>
      <c r="L129" s="60">
        <f>IF('Expenses Summary'!$U86="","",IF('Cash Flow %s Yr4'!L129="","",'Cash Flow %s Yr4'!L129*'Expenses Summary'!$U86))</f>
        <v>0</v>
      </c>
      <c r="M129" s="60">
        <f>IF('Expenses Summary'!$U86="","",IF('Cash Flow %s Yr4'!M129="","",'Cash Flow %s Yr4'!M129*'Expenses Summary'!$U86))</f>
        <v>0</v>
      </c>
      <c r="N129" s="60">
        <f>IF('Expenses Summary'!$U86="","",IF('Cash Flow %s Yr4'!N129="","",'Cash Flow %s Yr4'!N129*'Expenses Summary'!$U86))</f>
        <v>0</v>
      </c>
      <c r="O129" s="60">
        <f>IF('Expenses Summary'!$U86="","",IF('Cash Flow %s Yr4'!O129="","",'Cash Flow %s Yr4'!O129*'Expenses Summary'!$U86))</f>
        <v>0</v>
      </c>
      <c r="P129" s="123"/>
      <c r="Q129" s="123"/>
      <c r="R129" s="123"/>
      <c r="S129" s="105" t="str">
        <f>IF(SUM(D129:R129)&gt;0,SUM(D129:R129)/'Expenses Summary'!$U86,"")</f>
        <v/>
      </c>
    </row>
    <row r="130" spans="1:19" s="30" customFormat="1" x14ac:dyDescent="0.3">
      <c r="A130" s="35"/>
      <c r="B130" s="133" t="str">
        <f>'Expenses Summary'!B88</f>
        <v>5815</v>
      </c>
      <c r="C130" s="133" t="str">
        <f>'Expenses Summary'!C88</f>
        <v>Advertising / Recruiting</v>
      </c>
      <c r="D130" s="60">
        <f>IF('Expenses Summary'!$U88="","",IF('Cash Flow %s Yr4'!D130="","",'Cash Flow %s Yr4'!D130*'Expenses Summary'!$U88))</f>
        <v>44.356227189600013</v>
      </c>
      <c r="E130" s="60">
        <f>IF('Expenses Summary'!$U88="","",IF('Cash Flow %s Yr4'!E130="","",'Cash Flow %s Yr4'!E130*'Expenses Summary'!$U88))</f>
        <v>44.356227189600013</v>
      </c>
      <c r="F130" s="60">
        <f>IF('Expenses Summary'!$U88="","",IF('Cash Flow %s Yr4'!F130="","",'Cash Flow %s Yr4'!F130*'Expenses Summary'!$U88))</f>
        <v>44.356227189600013</v>
      </c>
      <c r="G130" s="60">
        <f>IF('Expenses Summary'!$U88="","",IF('Cash Flow %s Yr4'!G130="","",'Cash Flow %s Yr4'!G130*'Expenses Summary'!$U88))</f>
        <v>44.356227189600013</v>
      </c>
      <c r="H130" s="60">
        <f>IF('Expenses Summary'!$U88="","",IF('Cash Flow %s Yr4'!H130="","",'Cash Flow %s Yr4'!H130*'Expenses Summary'!$U88))</f>
        <v>44.356227189600013</v>
      </c>
      <c r="I130" s="60">
        <f>IF('Expenses Summary'!$U88="","",IF('Cash Flow %s Yr4'!I130="","",'Cash Flow %s Yr4'!I130*'Expenses Summary'!$U88))</f>
        <v>44.356227189600013</v>
      </c>
      <c r="J130" s="60">
        <f>IF('Expenses Summary'!$U88="","",IF('Cash Flow %s Yr4'!J130="","",'Cash Flow %s Yr4'!J130*'Expenses Summary'!$U88))</f>
        <v>44.356227189600013</v>
      </c>
      <c r="K130" s="60">
        <f>IF('Expenses Summary'!$U88="","",IF('Cash Flow %s Yr4'!K130="","",'Cash Flow %s Yr4'!K130*'Expenses Summary'!$U88))</f>
        <v>44.356227189600013</v>
      </c>
      <c r="L130" s="60">
        <f>IF('Expenses Summary'!$U88="","",IF('Cash Flow %s Yr4'!L130="","",'Cash Flow %s Yr4'!L130*'Expenses Summary'!$U88))</f>
        <v>44.356227189600013</v>
      </c>
      <c r="M130" s="60">
        <f>IF('Expenses Summary'!$U88="","",IF('Cash Flow %s Yr4'!M130="","",'Cash Flow %s Yr4'!M130*'Expenses Summary'!$U88))</f>
        <v>44.356227189600013</v>
      </c>
      <c r="N130" s="60">
        <f>IF('Expenses Summary'!$U88="","",IF('Cash Flow %s Yr4'!N130="","",'Cash Flow %s Yr4'!N130*'Expenses Summary'!$U88))</f>
        <v>44.356227189600013</v>
      </c>
      <c r="O130" s="60">
        <f>IF('Expenses Summary'!$U88="","",IF('Cash Flow %s Yr4'!O130="","",'Cash Flow %s Yr4'!O130*'Expenses Summary'!$U88))</f>
        <v>44.386834761600014</v>
      </c>
      <c r="P130" s="123"/>
      <c r="Q130" s="123"/>
      <c r="R130" s="123"/>
      <c r="S130" s="105">
        <f>IF(SUM(D130:R130)&gt;0,SUM(D130:R130)/'Expenses Summary'!$U88,"")</f>
        <v>0.99999949999999993</v>
      </c>
    </row>
    <row r="131" spans="1:19" s="30" customFormat="1" x14ac:dyDescent="0.3">
      <c r="A131" s="35"/>
      <c r="B131" s="133" t="str">
        <f>'Expenses Summary'!B89</f>
        <v>5820</v>
      </c>
      <c r="C131" s="133" t="str">
        <f>'Expenses Summary'!C89</f>
        <v>Fundraising Expense</v>
      </c>
      <c r="D131" s="60">
        <f>IF('Expenses Summary'!$U89="","",IF('Cash Flow %s Yr4'!D131="","",'Cash Flow %s Yr4'!D131*'Expenses Summary'!$U89))</f>
        <v>887.12454379200005</v>
      </c>
      <c r="E131" s="60">
        <f>IF('Expenses Summary'!$U89="","",IF('Cash Flow %s Yr4'!E131="","",'Cash Flow %s Yr4'!E131*'Expenses Summary'!$U89))</f>
        <v>887.12454379200005</v>
      </c>
      <c r="F131" s="60">
        <f>IF('Expenses Summary'!$U89="","",IF('Cash Flow %s Yr4'!F131="","",'Cash Flow %s Yr4'!F131*'Expenses Summary'!$U89))</f>
        <v>887.12454379200005</v>
      </c>
      <c r="G131" s="60">
        <f>IF('Expenses Summary'!$U89="","",IF('Cash Flow %s Yr4'!G131="","",'Cash Flow %s Yr4'!G131*'Expenses Summary'!$U89))</f>
        <v>887.12454379200005</v>
      </c>
      <c r="H131" s="60">
        <f>IF('Expenses Summary'!$U89="","",IF('Cash Flow %s Yr4'!H131="","",'Cash Flow %s Yr4'!H131*'Expenses Summary'!$U89))</f>
        <v>887.12454379200005</v>
      </c>
      <c r="I131" s="60">
        <f>IF('Expenses Summary'!$U89="","",IF('Cash Flow %s Yr4'!I131="","",'Cash Flow %s Yr4'!I131*'Expenses Summary'!$U89))</f>
        <v>887.12454379200005</v>
      </c>
      <c r="J131" s="60">
        <f>IF('Expenses Summary'!$U89="","",IF('Cash Flow %s Yr4'!J131="","",'Cash Flow %s Yr4'!J131*'Expenses Summary'!$U89))</f>
        <v>887.12454379200005</v>
      </c>
      <c r="K131" s="60">
        <f>IF('Expenses Summary'!$U89="","",IF('Cash Flow %s Yr4'!K131="","",'Cash Flow %s Yr4'!K131*'Expenses Summary'!$U89))</f>
        <v>887.12454379200005</v>
      </c>
      <c r="L131" s="60">
        <f>IF('Expenses Summary'!$U89="","",IF('Cash Flow %s Yr4'!L131="","",'Cash Flow %s Yr4'!L131*'Expenses Summary'!$U89))</f>
        <v>887.12454379200005</v>
      </c>
      <c r="M131" s="60">
        <f>IF('Expenses Summary'!$U89="","",IF('Cash Flow %s Yr4'!M131="","",'Cash Flow %s Yr4'!M131*'Expenses Summary'!$U89))</f>
        <v>887.12454379200005</v>
      </c>
      <c r="N131" s="60">
        <f>IF('Expenses Summary'!$U89="","",IF('Cash Flow %s Yr4'!N131="","",'Cash Flow %s Yr4'!N131*'Expenses Summary'!$U89))</f>
        <v>887.12454379200005</v>
      </c>
      <c r="O131" s="60">
        <f>IF('Expenses Summary'!$U89="","",IF('Cash Flow %s Yr4'!O131="","",'Cash Flow %s Yr4'!O131*'Expenses Summary'!$U89))</f>
        <v>887.7366952320001</v>
      </c>
      <c r="P131" s="123"/>
      <c r="Q131" s="123"/>
      <c r="R131" s="123"/>
      <c r="S131" s="105">
        <f>IF(SUM(D131:R131)&gt;0,SUM(D131:R131)/'Expenses Summary'!$U89,"")</f>
        <v>0.99999949999999993</v>
      </c>
    </row>
    <row r="132" spans="1:19" s="30" customFormat="1" x14ac:dyDescent="0.3">
      <c r="A132" s="35"/>
      <c r="B132" s="133" t="str">
        <f>'Expenses Summary'!B91</f>
        <v>5836</v>
      </c>
      <c r="C132" s="133" t="str">
        <f>'Expenses Summary'!C91</f>
        <v>Transportation Services</v>
      </c>
      <c r="D132" s="60" t="str">
        <f>IF('Expenses Summary'!$U91="","",IF('Cash Flow %s Yr4'!D132="","",'Cash Flow %s Yr4'!D132*'Expenses Summary'!$U91))</f>
        <v/>
      </c>
      <c r="E132" s="60" t="str">
        <f>IF('Expenses Summary'!$U91="","",IF('Cash Flow %s Yr4'!E132="","",'Cash Flow %s Yr4'!E132*'Expenses Summary'!$U91))</f>
        <v/>
      </c>
      <c r="F132" s="60" t="str">
        <f>IF('Expenses Summary'!$U91="","",IF('Cash Flow %s Yr4'!F132="","",'Cash Flow %s Yr4'!F132*'Expenses Summary'!$U91))</f>
        <v/>
      </c>
      <c r="G132" s="60" t="str">
        <f>IF('Expenses Summary'!$U91="","",IF('Cash Flow %s Yr4'!G132="","",'Cash Flow %s Yr4'!G132*'Expenses Summary'!$U91))</f>
        <v/>
      </c>
      <c r="H132" s="60" t="str">
        <f>IF('Expenses Summary'!$U91="","",IF('Cash Flow %s Yr4'!H132="","",'Cash Flow %s Yr4'!H132*'Expenses Summary'!$U91))</f>
        <v/>
      </c>
      <c r="I132" s="60" t="str">
        <f>IF('Expenses Summary'!$U91="","",IF('Cash Flow %s Yr4'!I132="","",'Cash Flow %s Yr4'!I132*'Expenses Summary'!$U91))</f>
        <v/>
      </c>
      <c r="J132" s="60" t="str">
        <f>IF('Expenses Summary'!$U91="","",IF('Cash Flow %s Yr4'!J132="","",'Cash Flow %s Yr4'!J132*'Expenses Summary'!$U91))</f>
        <v/>
      </c>
      <c r="K132" s="60" t="str">
        <f>IF('Expenses Summary'!$U91="","",IF('Cash Flow %s Yr4'!K132="","",'Cash Flow %s Yr4'!K132*'Expenses Summary'!$U91))</f>
        <v/>
      </c>
      <c r="L132" s="60" t="str">
        <f>IF('Expenses Summary'!$U91="","",IF('Cash Flow %s Yr4'!L132="","",'Cash Flow %s Yr4'!L132*'Expenses Summary'!$U91))</f>
        <v/>
      </c>
      <c r="M132" s="60" t="str">
        <f>IF('Expenses Summary'!$U91="","",IF('Cash Flow %s Yr4'!M132="","",'Cash Flow %s Yr4'!M132*'Expenses Summary'!$U91))</f>
        <v/>
      </c>
      <c r="N132" s="60" t="str">
        <f>IF('Expenses Summary'!$U91="","",IF('Cash Flow %s Yr4'!N132="","",'Cash Flow %s Yr4'!N132*'Expenses Summary'!$U91))</f>
        <v/>
      </c>
      <c r="O132" s="60" t="str">
        <f>IF('Expenses Summary'!$U91="","",IF('Cash Flow %s Yr4'!O132="","",'Cash Flow %s Yr4'!O132*'Expenses Summary'!$U91))</f>
        <v/>
      </c>
      <c r="P132" s="123"/>
      <c r="Q132" s="123"/>
      <c r="R132" s="123"/>
      <c r="S132" s="105" t="str">
        <f>IF(SUM(D132:R132)&gt;0,SUM(D132:R132)/'Expenses Summary'!$U91,"")</f>
        <v/>
      </c>
    </row>
    <row r="133" spans="1:19" s="30" customFormat="1" hidden="1" outlineLevel="1" x14ac:dyDescent="0.3">
      <c r="A133" s="35"/>
      <c r="B133" s="133" t="str">
        <f>'Expenses Summary'!B92</f>
        <v>5842</v>
      </c>
      <c r="C133" s="133" t="str">
        <f>'Expenses Summary'!C92</f>
        <v>Services Student Athletics</v>
      </c>
      <c r="D133" s="60">
        <f>IF('Expenses Summary'!$U92="","",IF('Cash Flow %s Yr4'!D133="","",'Cash Flow %s Yr4'!D133*'Expenses Summary'!$U92))</f>
        <v>0</v>
      </c>
      <c r="E133" s="60">
        <f>IF('Expenses Summary'!$U92="","",IF('Cash Flow %s Yr4'!E133="","",'Cash Flow %s Yr4'!E133*'Expenses Summary'!$U92))</f>
        <v>0</v>
      </c>
      <c r="F133" s="60">
        <f>IF('Expenses Summary'!$U92="","",IF('Cash Flow %s Yr4'!F133="","",'Cash Flow %s Yr4'!F133*'Expenses Summary'!$U92))</f>
        <v>0</v>
      </c>
      <c r="G133" s="60">
        <f>IF('Expenses Summary'!$U92="","",IF('Cash Flow %s Yr4'!G133="","",'Cash Flow %s Yr4'!G133*'Expenses Summary'!$U92))</f>
        <v>0</v>
      </c>
      <c r="H133" s="60">
        <f>IF('Expenses Summary'!$U92="","",IF('Cash Flow %s Yr4'!H133="","",'Cash Flow %s Yr4'!H133*'Expenses Summary'!$U92))</f>
        <v>0</v>
      </c>
      <c r="I133" s="60">
        <f>IF('Expenses Summary'!$U92="","",IF('Cash Flow %s Yr4'!I133="","",'Cash Flow %s Yr4'!I133*'Expenses Summary'!$U92))</f>
        <v>0</v>
      </c>
      <c r="J133" s="60">
        <f>IF('Expenses Summary'!$U92="","",IF('Cash Flow %s Yr4'!J133="","",'Cash Flow %s Yr4'!J133*'Expenses Summary'!$U92))</f>
        <v>0</v>
      </c>
      <c r="K133" s="60">
        <f>IF('Expenses Summary'!$U92="","",IF('Cash Flow %s Yr4'!K133="","",'Cash Flow %s Yr4'!K133*'Expenses Summary'!$U92))</f>
        <v>0</v>
      </c>
      <c r="L133" s="60">
        <f>IF('Expenses Summary'!$U92="","",IF('Cash Flow %s Yr4'!L133="","",'Cash Flow %s Yr4'!L133*'Expenses Summary'!$U92))</f>
        <v>0</v>
      </c>
      <c r="M133" s="60">
        <f>IF('Expenses Summary'!$U92="","",IF('Cash Flow %s Yr4'!M133="","",'Cash Flow %s Yr4'!M133*'Expenses Summary'!$U92))</f>
        <v>0</v>
      </c>
      <c r="N133" s="60">
        <f>IF('Expenses Summary'!$U92="","",IF('Cash Flow %s Yr4'!N133="","",'Cash Flow %s Yr4'!N133*'Expenses Summary'!$U92))</f>
        <v>0</v>
      </c>
      <c r="O133" s="60">
        <f>IF('Expenses Summary'!$U92="","",IF('Cash Flow %s Yr4'!O133="","",'Cash Flow %s Yr4'!O133*'Expenses Summary'!$U92))</f>
        <v>0</v>
      </c>
      <c r="P133" s="123"/>
      <c r="Q133" s="123"/>
      <c r="R133" s="123"/>
      <c r="S133" s="105"/>
    </row>
    <row r="134" spans="1:19" s="30" customFormat="1" hidden="1" outlineLevel="1" x14ac:dyDescent="0.3">
      <c r="A134" s="35"/>
      <c r="B134" s="133" t="str">
        <f>'Expenses Summary'!B93</f>
        <v>5850</v>
      </c>
      <c r="C134" s="133" t="str">
        <f>'Expenses Summary'!C93</f>
        <v>Scholarships</v>
      </c>
      <c r="D134" s="60" t="str">
        <f>IF('Expenses Summary'!$U93="","",IF('Cash Flow %s Yr4'!D134="","",'Cash Flow %s Yr4'!D134*'Expenses Summary'!$U93))</f>
        <v/>
      </c>
      <c r="E134" s="60" t="str">
        <f>IF('Expenses Summary'!$U93="","",IF('Cash Flow %s Yr4'!E134="","",'Cash Flow %s Yr4'!E134*'Expenses Summary'!$U93))</f>
        <v/>
      </c>
      <c r="F134" s="60" t="str">
        <f>IF('Expenses Summary'!$U93="","",IF('Cash Flow %s Yr4'!F134="","",'Cash Flow %s Yr4'!F134*'Expenses Summary'!$U93))</f>
        <v/>
      </c>
      <c r="G134" s="60" t="str">
        <f>IF('Expenses Summary'!$U93="","",IF('Cash Flow %s Yr4'!G134="","",'Cash Flow %s Yr4'!G134*'Expenses Summary'!$U93))</f>
        <v/>
      </c>
      <c r="H134" s="60" t="str">
        <f>IF('Expenses Summary'!$U93="","",IF('Cash Flow %s Yr4'!H134="","",'Cash Flow %s Yr4'!H134*'Expenses Summary'!$U93))</f>
        <v/>
      </c>
      <c r="I134" s="60" t="str">
        <f>IF('Expenses Summary'!$U93="","",IF('Cash Flow %s Yr4'!I134="","",'Cash Flow %s Yr4'!I134*'Expenses Summary'!$U93))</f>
        <v/>
      </c>
      <c r="J134" s="60" t="str">
        <f>IF('Expenses Summary'!$U93="","",IF('Cash Flow %s Yr4'!J134="","",'Cash Flow %s Yr4'!J134*'Expenses Summary'!$U93))</f>
        <v/>
      </c>
      <c r="K134" s="60" t="str">
        <f>IF('Expenses Summary'!$U93="","",IF('Cash Flow %s Yr4'!K134="","",'Cash Flow %s Yr4'!K134*'Expenses Summary'!$U93))</f>
        <v/>
      </c>
      <c r="L134" s="60" t="str">
        <f>IF('Expenses Summary'!$U93="","",IF('Cash Flow %s Yr4'!L134="","",'Cash Flow %s Yr4'!L134*'Expenses Summary'!$U93))</f>
        <v/>
      </c>
      <c r="M134" s="60" t="str">
        <f>IF('Expenses Summary'!$U93="","",IF('Cash Flow %s Yr4'!M134="","",'Cash Flow %s Yr4'!M134*'Expenses Summary'!$U93))</f>
        <v/>
      </c>
      <c r="N134" s="60" t="str">
        <f>IF('Expenses Summary'!$U93="","",IF('Cash Flow %s Yr4'!N134="","",'Cash Flow %s Yr4'!N134*'Expenses Summary'!$U93))</f>
        <v/>
      </c>
      <c r="O134" s="60" t="str">
        <f>IF('Expenses Summary'!$U93="","",IF('Cash Flow %s Yr4'!O134="","",'Cash Flow %s Yr4'!O134*'Expenses Summary'!$U93))</f>
        <v/>
      </c>
      <c r="P134" s="123"/>
      <c r="Q134" s="123"/>
      <c r="R134" s="123"/>
      <c r="S134" s="105"/>
    </row>
    <row r="135" spans="1:19" s="30" customFormat="1" hidden="1" outlineLevel="1" x14ac:dyDescent="0.3">
      <c r="A135" s="35"/>
      <c r="B135" s="133" t="str">
        <f>'Expenses Summary'!B94</f>
        <v>5873</v>
      </c>
      <c r="C135" s="133" t="str">
        <f>'Expenses Summary'!C94</f>
        <v>Financial Services</v>
      </c>
      <c r="D135" s="60">
        <f>IF('Expenses Summary'!$U94="","",IF('Cash Flow %s Yr4'!D135="","",'Cash Flow %s Yr4'!D135*'Expenses Summary'!$U94))</f>
        <v>0</v>
      </c>
      <c r="E135" s="60">
        <f>IF('Expenses Summary'!$U94="","",IF('Cash Flow %s Yr4'!E135="","",'Cash Flow %s Yr4'!E135*'Expenses Summary'!$U94))</f>
        <v>0</v>
      </c>
      <c r="F135" s="60">
        <f>IF('Expenses Summary'!$U94="","",IF('Cash Flow %s Yr4'!F135="","",'Cash Flow %s Yr4'!F135*'Expenses Summary'!$U94))</f>
        <v>4953.6000000000004</v>
      </c>
      <c r="G135" s="60">
        <f>IF('Expenses Summary'!$U94="","",IF('Cash Flow %s Yr4'!G135="","",'Cash Flow %s Yr4'!G135*'Expenses Summary'!$U94))</f>
        <v>4953.6000000000004</v>
      </c>
      <c r="H135" s="60">
        <f>IF('Expenses Summary'!$U94="","",IF('Cash Flow %s Yr4'!H135="","",'Cash Flow %s Yr4'!H135*'Expenses Summary'!$U94))</f>
        <v>4953.6000000000004</v>
      </c>
      <c r="I135" s="60">
        <f>IF('Expenses Summary'!$U94="","",IF('Cash Flow %s Yr4'!I135="","",'Cash Flow %s Yr4'!I135*'Expenses Summary'!$U94))</f>
        <v>4953.6000000000004</v>
      </c>
      <c r="J135" s="60">
        <f>IF('Expenses Summary'!$U94="","",IF('Cash Flow %s Yr4'!J135="","",'Cash Flow %s Yr4'!J135*'Expenses Summary'!$U94))</f>
        <v>4953.6000000000004</v>
      </c>
      <c r="K135" s="60">
        <f>IF('Expenses Summary'!$U94="","",IF('Cash Flow %s Yr4'!K135="","",'Cash Flow %s Yr4'!K135*'Expenses Summary'!$U94))</f>
        <v>4953.6000000000004</v>
      </c>
      <c r="L135" s="60">
        <f>IF('Expenses Summary'!$U94="","",IF('Cash Flow %s Yr4'!L135="","",'Cash Flow %s Yr4'!L135*'Expenses Summary'!$U94))</f>
        <v>4953.6000000000004</v>
      </c>
      <c r="M135" s="60">
        <f>IF('Expenses Summary'!$U94="","",IF('Cash Flow %s Yr4'!M135="","",'Cash Flow %s Yr4'!M135*'Expenses Summary'!$U94))</f>
        <v>4953.6000000000004</v>
      </c>
      <c r="N135" s="60">
        <f>IF('Expenses Summary'!$U94="","",IF('Cash Flow %s Yr4'!N135="","",'Cash Flow %s Yr4'!N135*'Expenses Summary'!$U94))</f>
        <v>4953.6000000000004</v>
      </c>
      <c r="O135" s="60">
        <f>IF('Expenses Summary'!$U94="","",IF('Cash Flow %s Yr4'!O135="","",'Cash Flow %s Yr4'!O135*'Expenses Summary'!$U94))</f>
        <v>4953.6000000000004</v>
      </c>
      <c r="P135" s="123"/>
      <c r="Q135" s="123"/>
      <c r="R135" s="123"/>
      <c r="S135" s="105"/>
    </row>
    <row r="136" spans="1:19" s="30" customFormat="1" hidden="1" outlineLevel="1" x14ac:dyDescent="0.3">
      <c r="A136" s="35"/>
      <c r="B136" s="133" t="str">
        <f>'Expenses Summary'!B96</f>
        <v>5875</v>
      </c>
      <c r="C136" s="133" t="str">
        <f>'Expenses Summary'!C96</f>
        <v>District Oversight Fee</v>
      </c>
      <c r="D136" s="60">
        <f>IF('Expenses Summary'!$U96="","",IF('Cash Flow %s Yr4'!D136="","",'Cash Flow %s Yr4'!D136*'Expenses Summary'!$U96))</f>
        <v>0</v>
      </c>
      <c r="E136" s="60">
        <f>IF('Expenses Summary'!$U96="","",IF('Cash Flow %s Yr4'!E136="","",'Cash Flow %s Yr4'!E136*'Expenses Summary'!$U96))</f>
        <v>0</v>
      </c>
      <c r="F136" s="60">
        <f>IF('Expenses Summary'!$U96="","",IF('Cash Flow %s Yr4'!F136="","",'Cash Flow %s Yr4'!F136*'Expenses Summary'!$U96))</f>
        <v>989.89600000000019</v>
      </c>
      <c r="G136" s="60">
        <f>IF('Expenses Summary'!$U96="","",IF('Cash Flow %s Yr4'!G136="","",'Cash Flow %s Yr4'!G136*'Expenses Summary'!$U96))</f>
        <v>989.89600000000019</v>
      </c>
      <c r="H136" s="60">
        <f>IF('Expenses Summary'!$U96="","",IF('Cash Flow %s Yr4'!H136="","",'Cash Flow %s Yr4'!H136*'Expenses Summary'!$U96))</f>
        <v>989.89600000000019</v>
      </c>
      <c r="I136" s="60">
        <f>IF('Expenses Summary'!$U96="","",IF('Cash Flow %s Yr4'!I136="","",'Cash Flow %s Yr4'!I136*'Expenses Summary'!$U96))</f>
        <v>989.89600000000019</v>
      </c>
      <c r="J136" s="60">
        <f>IF('Expenses Summary'!$U96="","",IF('Cash Flow %s Yr4'!J136="","",'Cash Flow %s Yr4'!J136*'Expenses Summary'!$U96))</f>
        <v>989.89600000000019</v>
      </c>
      <c r="K136" s="60">
        <f>IF('Expenses Summary'!$U96="","",IF('Cash Flow %s Yr4'!K136="","",'Cash Flow %s Yr4'!K136*'Expenses Summary'!$U96))</f>
        <v>989.89600000000019</v>
      </c>
      <c r="L136" s="60">
        <f>IF('Expenses Summary'!$U96="","",IF('Cash Flow %s Yr4'!L136="","",'Cash Flow %s Yr4'!L136*'Expenses Summary'!$U96))</f>
        <v>989.89600000000019</v>
      </c>
      <c r="M136" s="60">
        <f>IF('Expenses Summary'!$U96="","",IF('Cash Flow %s Yr4'!M136="","",'Cash Flow %s Yr4'!M136*'Expenses Summary'!$U96))</f>
        <v>989.89600000000019</v>
      </c>
      <c r="N136" s="60">
        <f>IF('Expenses Summary'!$U96="","",IF('Cash Flow %s Yr4'!N136="","",'Cash Flow %s Yr4'!N136*'Expenses Summary'!$U96))</f>
        <v>989.89600000000019</v>
      </c>
      <c r="O136" s="60">
        <f>IF('Expenses Summary'!$U96="","",IF('Cash Flow %s Yr4'!O136="","",'Cash Flow %s Yr4'!O136*'Expenses Summary'!$U96))</f>
        <v>989.89600000000019</v>
      </c>
      <c r="P136" s="123"/>
      <c r="Q136" s="123"/>
      <c r="R136" s="123"/>
      <c r="S136" s="105"/>
    </row>
    <row r="137" spans="1:19" s="30" customFormat="1" hidden="1" outlineLevel="1" x14ac:dyDescent="0.3">
      <c r="A137" s="35"/>
      <c r="B137" s="133" t="str">
        <f>'Expenses Summary'!B97</f>
        <v>5877</v>
      </c>
      <c r="C137" s="133" t="str">
        <f>'Expenses Summary'!C97</f>
        <v>IT Services</v>
      </c>
      <c r="D137" s="60">
        <f>IF('Expenses Summary'!$U97="","",IF('Cash Flow %s Yr4'!D137="","",'Cash Flow %s Yr4'!D137*'Expenses Summary'!$U97))</f>
        <v>0</v>
      </c>
      <c r="E137" s="60">
        <f>IF('Expenses Summary'!$U97="","",IF('Cash Flow %s Yr4'!E137="","",'Cash Flow %s Yr4'!E137*'Expenses Summary'!$U97))</f>
        <v>0</v>
      </c>
      <c r="F137" s="60">
        <f>IF('Expenses Summary'!$U97="","",IF('Cash Flow %s Yr4'!F137="","",'Cash Flow %s Yr4'!F137*'Expenses Summary'!$U97))</f>
        <v>106.46112000000004</v>
      </c>
      <c r="G137" s="60">
        <f>IF('Expenses Summary'!$U97="","",IF('Cash Flow %s Yr4'!G137="","",'Cash Flow %s Yr4'!G137*'Expenses Summary'!$U97))</f>
        <v>106.46112000000004</v>
      </c>
      <c r="H137" s="60">
        <f>IF('Expenses Summary'!$U97="","",IF('Cash Flow %s Yr4'!H137="","",'Cash Flow %s Yr4'!H137*'Expenses Summary'!$U97))</f>
        <v>106.46112000000004</v>
      </c>
      <c r="I137" s="60">
        <f>IF('Expenses Summary'!$U97="","",IF('Cash Flow %s Yr4'!I137="","",'Cash Flow %s Yr4'!I137*'Expenses Summary'!$U97))</f>
        <v>106.46112000000004</v>
      </c>
      <c r="J137" s="60">
        <f>IF('Expenses Summary'!$U97="","",IF('Cash Flow %s Yr4'!J137="","",'Cash Flow %s Yr4'!J137*'Expenses Summary'!$U97))</f>
        <v>106.46112000000004</v>
      </c>
      <c r="K137" s="60">
        <f>IF('Expenses Summary'!$U97="","",IF('Cash Flow %s Yr4'!K137="","",'Cash Flow %s Yr4'!K137*'Expenses Summary'!$U97))</f>
        <v>106.46112000000004</v>
      </c>
      <c r="L137" s="60">
        <f>IF('Expenses Summary'!$U97="","",IF('Cash Flow %s Yr4'!L137="","",'Cash Flow %s Yr4'!L137*'Expenses Summary'!$U97))</f>
        <v>106.46112000000004</v>
      </c>
      <c r="M137" s="60">
        <f>IF('Expenses Summary'!$U97="","",IF('Cash Flow %s Yr4'!M137="","",'Cash Flow %s Yr4'!M137*'Expenses Summary'!$U97))</f>
        <v>106.46112000000004</v>
      </c>
      <c r="N137" s="60">
        <f>IF('Expenses Summary'!$U97="","",IF('Cash Flow %s Yr4'!N137="","",'Cash Flow %s Yr4'!N137*'Expenses Summary'!$U97))</f>
        <v>106.46112000000004</v>
      </c>
      <c r="O137" s="60">
        <f>IF('Expenses Summary'!$U97="","",IF('Cash Flow %s Yr4'!O137="","",'Cash Flow %s Yr4'!O137*'Expenses Summary'!$U97))</f>
        <v>106.46112000000004</v>
      </c>
      <c r="P137" s="123"/>
      <c r="Q137" s="123"/>
      <c r="R137" s="123"/>
      <c r="S137" s="105"/>
    </row>
    <row r="138" spans="1:19" s="30" customFormat="1" hidden="1" outlineLevel="1" x14ac:dyDescent="0.3">
      <c r="A138" s="35"/>
      <c r="B138" s="133" t="str">
        <f>'Expenses Summary'!B98</f>
        <v>5885</v>
      </c>
      <c r="C138" s="133" t="str">
        <f>'Expenses Summary'!C98</f>
        <v>Summer School Program</v>
      </c>
      <c r="D138" s="60" t="str">
        <f>IF('Expenses Summary'!$U98="","",IF('Cash Flow %s Yr4'!D138="","",'Cash Flow %s Yr4'!D138*'Expenses Summary'!$U98))</f>
        <v/>
      </c>
      <c r="E138" s="60" t="str">
        <f>IF('Expenses Summary'!$U98="","",IF('Cash Flow %s Yr4'!E138="","",'Cash Flow %s Yr4'!E138*'Expenses Summary'!$U98))</f>
        <v/>
      </c>
      <c r="F138" s="60" t="str">
        <f>IF('Expenses Summary'!$U98="","",IF('Cash Flow %s Yr4'!F138="","",'Cash Flow %s Yr4'!F138*'Expenses Summary'!$U98))</f>
        <v/>
      </c>
      <c r="G138" s="60" t="str">
        <f>IF('Expenses Summary'!$U98="","",IF('Cash Flow %s Yr4'!G138="","",'Cash Flow %s Yr4'!G138*'Expenses Summary'!$U98))</f>
        <v/>
      </c>
      <c r="H138" s="60" t="str">
        <f>IF('Expenses Summary'!$U98="","",IF('Cash Flow %s Yr4'!H138="","",'Cash Flow %s Yr4'!H138*'Expenses Summary'!$U98))</f>
        <v/>
      </c>
      <c r="I138" s="60" t="str">
        <f>IF('Expenses Summary'!$U98="","",IF('Cash Flow %s Yr4'!I138="","",'Cash Flow %s Yr4'!I138*'Expenses Summary'!$U98))</f>
        <v/>
      </c>
      <c r="J138" s="60" t="str">
        <f>IF('Expenses Summary'!$U98="","",IF('Cash Flow %s Yr4'!J138="","",'Cash Flow %s Yr4'!J138*'Expenses Summary'!$U98))</f>
        <v/>
      </c>
      <c r="K138" s="60" t="str">
        <f>IF('Expenses Summary'!$U98="","",IF('Cash Flow %s Yr4'!K138="","",'Cash Flow %s Yr4'!K138*'Expenses Summary'!$U98))</f>
        <v/>
      </c>
      <c r="L138" s="60" t="str">
        <f>IF('Expenses Summary'!$U98="","",IF('Cash Flow %s Yr4'!L138="","",'Cash Flow %s Yr4'!L138*'Expenses Summary'!$U98))</f>
        <v/>
      </c>
      <c r="M138" s="60" t="str">
        <f>IF('Expenses Summary'!$U98="","",IF('Cash Flow %s Yr4'!M138="","",'Cash Flow %s Yr4'!M138*'Expenses Summary'!$U98))</f>
        <v/>
      </c>
      <c r="N138" s="60" t="str">
        <f>IF('Expenses Summary'!$U98="","",IF('Cash Flow %s Yr4'!N138="","",'Cash Flow %s Yr4'!N138*'Expenses Summary'!$U98))</f>
        <v/>
      </c>
      <c r="O138" s="60" t="str">
        <f>IF('Expenses Summary'!$U98="","",IF('Cash Flow %s Yr4'!O138="","",'Cash Flow %s Yr4'!O138*'Expenses Summary'!$U98))</f>
        <v/>
      </c>
      <c r="P138" s="123"/>
      <c r="Q138" s="123"/>
      <c r="R138" s="123"/>
      <c r="S138" s="105"/>
    </row>
    <row r="139" spans="1:19" s="30" customFormat="1" hidden="1" outlineLevel="1" x14ac:dyDescent="0.3">
      <c r="A139" s="35"/>
      <c r="B139" s="133" t="str">
        <f>'Expenses Summary'!B99</f>
        <v>5890</v>
      </c>
      <c r="C139" s="133" t="str">
        <f>'Expenses Summary'!C99</f>
        <v>Interest Expense / Misc. Fees</v>
      </c>
      <c r="D139" s="60">
        <f>IF('Expenses Summary'!$U99="","",IF('Cash Flow %s Yr4'!D139="","",'Cash Flow %s Yr4'!D139*'Expenses Summary'!$U99))</f>
        <v>0</v>
      </c>
      <c r="E139" s="60">
        <f>IF('Expenses Summary'!$U99="","",IF('Cash Flow %s Yr4'!E139="","",'Cash Flow %s Yr4'!E139*'Expenses Summary'!$U99))</f>
        <v>0</v>
      </c>
      <c r="F139" s="60">
        <f>IF('Expenses Summary'!$U99="","",IF('Cash Flow %s Yr4'!F139="","",'Cash Flow %s Yr4'!F139*'Expenses Summary'!$U99))</f>
        <v>0</v>
      </c>
      <c r="G139" s="60">
        <f>IF('Expenses Summary'!$U99="","",IF('Cash Flow %s Yr4'!G139="","",'Cash Flow %s Yr4'!G139*'Expenses Summary'!$U99))</f>
        <v>0</v>
      </c>
      <c r="H139" s="60">
        <f>IF('Expenses Summary'!$U99="","",IF('Cash Flow %s Yr4'!H139="","",'Cash Flow %s Yr4'!H139*'Expenses Summary'!$U99))</f>
        <v>0</v>
      </c>
      <c r="I139" s="60">
        <f>IF('Expenses Summary'!$U99="","",IF('Cash Flow %s Yr4'!I139="","",'Cash Flow %s Yr4'!I139*'Expenses Summary'!$U99))</f>
        <v>0</v>
      </c>
      <c r="J139" s="60">
        <f>IF('Expenses Summary'!$U99="","",IF('Cash Flow %s Yr4'!J139="","",'Cash Flow %s Yr4'!J139*'Expenses Summary'!$U99))</f>
        <v>0</v>
      </c>
      <c r="K139" s="60">
        <f>IF('Expenses Summary'!$U99="","",IF('Cash Flow %s Yr4'!K139="","",'Cash Flow %s Yr4'!K139*'Expenses Summary'!$U99))</f>
        <v>0</v>
      </c>
      <c r="L139" s="60">
        <f>IF('Expenses Summary'!$U99="","",IF('Cash Flow %s Yr4'!L139="","",'Cash Flow %s Yr4'!L139*'Expenses Summary'!$U99))</f>
        <v>0</v>
      </c>
      <c r="M139" s="60">
        <f>IF('Expenses Summary'!$U99="","",IF('Cash Flow %s Yr4'!M139="","",'Cash Flow %s Yr4'!M139*'Expenses Summary'!$U99))</f>
        <v>0</v>
      </c>
      <c r="N139" s="60">
        <f>IF('Expenses Summary'!$U99="","",IF('Cash Flow %s Yr4'!N139="","",'Cash Flow %s Yr4'!N139*'Expenses Summary'!$U99))</f>
        <v>0</v>
      </c>
      <c r="O139" s="60">
        <f>IF('Expenses Summary'!$U99="","",IF('Cash Flow %s Yr4'!O139="","",'Cash Flow %s Yr4'!O139*'Expenses Summary'!$U99))</f>
        <v>0</v>
      </c>
      <c r="P139" s="123"/>
      <c r="Q139" s="123"/>
      <c r="R139" s="123"/>
      <c r="S139" s="105"/>
    </row>
    <row r="140" spans="1:19" s="30" customFormat="1" hidden="1" outlineLevel="1" x14ac:dyDescent="0.3">
      <c r="A140" s="35"/>
      <c r="B140" s="133" t="str">
        <f>'Expenses Summary'!B100</f>
        <v>5900</v>
      </c>
      <c r="C140" s="133" t="str">
        <f>'Expenses Summary'!C100</f>
        <v>Communications</v>
      </c>
      <c r="D140" s="60">
        <f>IF('Expenses Summary'!$U100="","",IF('Cash Flow %s Yr4'!D140="","",'Cash Flow %s Yr4'!D140*'Expenses Summary'!$U100))</f>
        <v>0</v>
      </c>
      <c r="E140" s="60">
        <f>IF('Expenses Summary'!$U100="","",IF('Cash Flow %s Yr4'!E140="","",'Cash Flow %s Yr4'!E140*'Expenses Summary'!$U100))</f>
        <v>0</v>
      </c>
      <c r="F140" s="60">
        <f>IF('Expenses Summary'!$U100="","",IF('Cash Flow %s Yr4'!F140="","",'Cash Flow %s Yr4'!F140*'Expenses Summary'!$U100))</f>
        <v>601.93117247999999</v>
      </c>
      <c r="G140" s="60">
        <f>IF('Expenses Summary'!$U100="","",IF('Cash Flow %s Yr4'!G140="","",'Cash Flow %s Yr4'!G140*'Expenses Summary'!$U100))</f>
        <v>601.93117247999999</v>
      </c>
      <c r="H140" s="60">
        <f>IF('Expenses Summary'!$U100="","",IF('Cash Flow %s Yr4'!H140="","",'Cash Flow %s Yr4'!H140*'Expenses Summary'!$U100))</f>
        <v>601.93117247999999</v>
      </c>
      <c r="I140" s="60">
        <f>IF('Expenses Summary'!$U100="","",IF('Cash Flow %s Yr4'!I140="","",'Cash Flow %s Yr4'!I140*'Expenses Summary'!$U100))</f>
        <v>601.93117247999999</v>
      </c>
      <c r="J140" s="60">
        <f>IF('Expenses Summary'!$U100="","",IF('Cash Flow %s Yr4'!J140="","",'Cash Flow %s Yr4'!J140*'Expenses Summary'!$U100))</f>
        <v>601.93117247999999</v>
      </c>
      <c r="K140" s="60">
        <f>IF('Expenses Summary'!$U100="","",IF('Cash Flow %s Yr4'!K140="","",'Cash Flow %s Yr4'!K140*'Expenses Summary'!$U100))</f>
        <v>601.93117247999999</v>
      </c>
      <c r="L140" s="60">
        <f>IF('Expenses Summary'!$U100="","",IF('Cash Flow %s Yr4'!L140="","",'Cash Flow %s Yr4'!L140*'Expenses Summary'!$U100))</f>
        <v>601.93117247999999</v>
      </c>
      <c r="M140" s="60">
        <f>IF('Expenses Summary'!$U100="","",IF('Cash Flow %s Yr4'!M140="","",'Cash Flow %s Yr4'!M140*'Expenses Summary'!$U100))</f>
        <v>601.93117247999999</v>
      </c>
      <c r="N140" s="60">
        <f>IF('Expenses Summary'!$U100="","",IF('Cash Flow %s Yr4'!N140="","",'Cash Flow %s Yr4'!N140*'Expenses Summary'!$U100))</f>
        <v>601.93117247999999</v>
      </c>
      <c r="O140" s="60">
        <f>IF('Expenses Summary'!$U100="","",IF('Cash Flow %s Yr4'!O140="","",'Cash Flow %s Yr4'!O140*'Expenses Summary'!$U100))</f>
        <v>601.93117247999999</v>
      </c>
      <c r="P140" s="123"/>
      <c r="Q140" s="123"/>
      <c r="R140" s="123"/>
      <c r="S140" s="105"/>
    </row>
    <row r="141" spans="1:19" s="30" customFormat="1" hidden="1" outlineLevel="1" x14ac:dyDescent="0.3">
      <c r="A141" s="35"/>
      <c r="B141" s="133" t="str">
        <f>'Expenses Summary'!B101</f>
        <v>7010</v>
      </c>
      <c r="C141" s="133" t="str">
        <f>'Expenses Summary'!C101</f>
        <v>Special Education Encroachment</v>
      </c>
      <c r="D141" s="60">
        <f>IF('Expenses Summary'!$U101="","",IF('Cash Flow %s Yr4'!D141="","",'Cash Flow %s Yr4'!D141*'Expenses Summary'!$U101))</f>
        <v>0</v>
      </c>
      <c r="E141" s="60">
        <f>IF('Expenses Summary'!$U101="","",IF('Cash Flow %s Yr4'!E141="","",'Cash Flow %s Yr4'!E141*'Expenses Summary'!$U101))</f>
        <v>0</v>
      </c>
      <c r="F141" s="60">
        <f>IF('Expenses Summary'!$U101="","",IF('Cash Flow %s Yr4'!F141="","",'Cash Flow %s Yr4'!F141*'Expenses Summary'!$U101))</f>
        <v>11000</v>
      </c>
      <c r="G141" s="60">
        <f>IF('Expenses Summary'!$U101="","",IF('Cash Flow %s Yr4'!G141="","",'Cash Flow %s Yr4'!G141*'Expenses Summary'!$U101))</f>
        <v>11000</v>
      </c>
      <c r="H141" s="60">
        <f>IF('Expenses Summary'!$U101="","",IF('Cash Flow %s Yr4'!H141="","",'Cash Flow %s Yr4'!H141*'Expenses Summary'!$U101))</f>
        <v>11000</v>
      </c>
      <c r="I141" s="60">
        <f>IF('Expenses Summary'!$U101="","",IF('Cash Flow %s Yr4'!I141="","",'Cash Flow %s Yr4'!I141*'Expenses Summary'!$U101))</f>
        <v>11000</v>
      </c>
      <c r="J141" s="60">
        <f>IF('Expenses Summary'!$U101="","",IF('Cash Flow %s Yr4'!J141="","",'Cash Flow %s Yr4'!J141*'Expenses Summary'!$U101))</f>
        <v>11000</v>
      </c>
      <c r="K141" s="60">
        <f>IF('Expenses Summary'!$U101="","",IF('Cash Flow %s Yr4'!K141="","",'Cash Flow %s Yr4'!K141*'Expenses Summary'!$U101))</f>
        <v>11000</v>
      </c>
      <c r="L141" s="60">
        <f>IF('Expenses Summary'!$U101="","",IF('Cash Flow %s Yr4'!L141="","",'Cash Flow %s Yr4'!L141*'Expenses Summary'!$U101))</f>
        <v>11000</v>
      </c>
      <c r="M141" s="60">
        <f>IF('Expenses Summary'!$U101="","",IF('Cash Flow %s Yr4'!M141="","",'Cash Flow %s Yr4'!M141*'Expenses Summary'!$U101))</f>
        <v>11000</v>
      </c>
      <c r="N141" s="60">
        <f>IF('Expenses Summary'!$U101="","",IF('Cash Flow %s Yr4'!N141="","",'Cash Flow %s Yr4'!N141*'Expenses Summary'!$U101))</f>
        <v>11000</v>
      </c>
      <c r="O141" s="60">
        <f>IF('Expenses Summary'!$U101="","",IF('Cash Flow %s Yr4'!O141="","",'Cash Flow %s Yr4'!O141*'Expenses Summary'!$U101))</f>
        <v>11000</v>
      </c>
      <c r="P141" s="123"/>
      <c r="Q141" s="123"/>
      <c r="R141" s="123"/>
      <c r="S141" s="105"/>
    </row>
    <row r="142" spans="1:19" s="30" customFormat="1" hidden="1" outlineLevel="1" x14ac:dyDescent="0.3">
      <c r="A142" s="35"/>
      <c r="B142" s="133" t="e">
        <f>'Expenses Summary'!#REF!</f>
        <v>#REF!</v>
      </c>
      <c r="C142" s="133" t="e">
        <f>'Expenses Summary'!#REF!</f>
        <v>#REF!</v>
      </c>
      <c r="D142" s="60" t="e">
        <f>IF('Expenses Summary'!#REF!="","",IF('Cash Flow %s Yr4'!D142="","",'Cash Flow %s Yr4'!D142*'Expenses Summary'!#REF!))</f>
        <v>#REF!</v>
      </c>
      <c r="E142" s="60" t="e">
        <f>IF('Expenses Summary'!#REF!="","",IF('Cash Flow %s Yr4'!E142="","",'Cash Flow %s Yr4'!E142*'Expenses Summary'!#REF!))</f>
        <v>#REF!</v>
      </c>
      <c r="F142" s="60" t="e">
        <f>IF('Expenses Summary'!#REF!="","",IF('Cash Flow %s Yr4'!F142="","",'Cash Flow %s Yr4'!F142*'Expenses Summary'!#REF!))</f>
        <v>#REF!</v>
      </c>
      <c r="G142" s="60" t="e">
        <f>IF('Expenses Summary'!#REF!="","",IF('Cash Flow %s Yr4'!G142="","",'Cash Flow %s Yr4'!G142*'Expenses Summary'!#REF!))</f>
        <v>#REF!</v>
      </c>
      <c r="H142" s="60" t="e">
        <f>IF('Expenses Summary'!#REF!="","",IF('Cash Flow %s Yr4'!H142="","",'Cash Flow %s Yr4'!H142*'Expenses Summary'!#REF!))</f>
        <v>#REF!</v>
      </c>
      <c r="I142" s="60" t="e">
        <f>IF('Expenses Summary'!#REF!="","",IF('Cash Flow %s Yr4'!I142="","",'Cash Flow %s Yr4'!I142*'Expenses Summary'!#REF!))</f>
        <v>#REF!</v>
      </c>
      <c r="J142" s="60" t="e">
        <f>IF('Expenses Summary'!#REF!="","",IF('Cash Flow %s Yr4'!J142="","",'Cash Flow %s Yr4'!J142*'Expenses Summary'!#REF!))</f>
        <v>#REF!</v>
      </c>
      <c r="K142" s="60" t="e">
        <f>IF('Expenses Summary'!#REF!="","",IF('Cash Flow %s Yr4'!K142="","",'Cash Flow %s Yr4'!K142*'Expenses Summary'!#REF!))</f>
        <v>#REF!</v>
      </c>
      <c r="L142" s="60" t="e">
        <f>IF('Expenses Summary'!#REF!="","",IF('Cash Flow %s Yr4'!L142="","",'Cash Flow %s Yr4'!L142*'Expenses Summary'!#REF!))</f>
        <v>#REF!</v>
      </c>
      <c r="M142" s="60" t="e">
        <f>IF('Expenses Summary'!#REF!="","",IF('Cash Flow %s Yr4'!M142="","",'Cash Flow %s Yr4'!M142*'Expenses Summary'!#REF!))</f>
        <v>#REF!</v>
      </c>
      <c r="N142" s="60" t="e">
        <f>IF('Expenses Summary'!#REF!="","",IF('Cash Flow %s Yr4'!N142="","",'Cash Flow %s Yr4'!N142*'Expenses Summary'!#REF!))</f>
        <v>#REF!</v>
      </c>
      <c r="O142" s="60" t="e">
        <f>IF('Expenses Summary'!#REF!="","",IF('Cash Flow %s Yr4'!O142="","",'Cash Flow %s Yr4'!O142*'Expenses Summary'!#REF!))</f>
        <v>#REF!</v>
      </c>
      <c r="P142" s="123"/>
      <c r="Q142" s="123"/>
      <c r="R142" s="123"/>
      <c r="S142" s="105" t="e">
        <f>IF(SUM(D142:R142)&gt;0,SUM(D142:R142)/'Expenses Summary'!#REF!,"")</f>
        <v>#REF!</v>
      </c>
    </row>
    <row r="143" spans="1:19" s="30" customFormat="1" collapsed="1" x14ac:dyDescent="0.3">
      <c r="A143" s="35"/>
      <c r="B143" s="133" t="str">
        <f>'Expenses Summary'!B102</f>
        <v>5999</v>
      </c>
      <c r="C143" s="133" t="str">
        <f>'Expenses Summary'!C102</f>
        <v>Expense Suspense</v>
      </c>
      <c r="D143" s="60" t="str">
        <f>IF('Expenses Summary'!$U102="","",IF('Cash Flow %s Yr4'!D143="","",'Cash Flow %s Yr4'!D143*'Expenses Summary'!$U102))</f>
        <v/>
      </c>
      <c r="E143" s="60" t="str">
        <f>IF('Expenses Summary'!$U102="","",IF('Cash Flow %s Yr4'!E143="","",'Cash Flow %s Yr4'!E143*'Expenses Summary'!$U102))</f>
        <v/>
      </c>
      <c r="F143" s="60" t="str">
        <f>IF('Expenses Summary'!$U102="","",IF('Cash Flow %s Yr4'!F143="","",'Cash Flow %s Yr4'!F143*'Expenses Summary'!$U102))</f>
        <v/>
      </c>
      <c r="G143" s="60" t="str">
        <f>IF('Expenses Summary'!$U102="","",IF('Cash Flow %s Yr4'!G143="","",'Cash Flow %s Yr4'!G143*'Expenses Summary'!$U102))</f>
        <v/>
      </c>
      <c r="H143" s="60" t="str">
        <f>IF('Expenses Summary'!$U102="","",IF('Cash Flow %s Yr4'!H143="","",'Cash Flow %s Yr4'!H143*'Expenses Summary'!$U102))</f>
        <v/>
      </c>
      <c r="I143" s="60" t="str">
        <f>IF('Expenses Summary'!$U102="","",IF('Cash Flow %s Yr4'!I143="","",'Cash Flow %s Yr4'!I143*'Expenses Summary'!$U102))</f>
        <v/>
      </c>
      <c r="J143" s="60" t="str">
        <f>IF('Expenses Summary'!$U102="","",IF('Cash Flow %s Yr4'!J143="","",'Cash Flow %s Yr4'!J143*'Expenses Summary'!$U102))</f>
        <v/>
      </c>
      <c r="K143" s="60" t="str">
        <f>IF('Expenses Summary'!$U102="","",IF('Cash Flow %s Yr4'!K143="","",'Cash Flow %s Yr4'!K143*'Expenses Summary'!$U102))</f>
        <v/>
      </c>
      <c r="L143" s="60" t="str">
        <f>IF('Expenses Summary'!$U102="","",IF('Cash Flow %s Yr4'!L143="","",'Cash Flow %s Yr4'!L143*'Expenses Summary'!$U102))</f>
        <v/>
      </c>
      <c r="M143" s="60" t="str">
        <f>IF('Expenses Summary'!$U102="","",IF('Cash Flow %s Yr4'!M143="","",'Cash Flow %s Yr4'!M143*'Expenses Summary'!$U102))</f>
        <v/>
      </c>
      <c r="N143" s="60" t="str">
        <f>IF('Expenses Summary'!$U102="","",IF('Cash Flow %s Yr4'!N143="","",'Cash Flow %s Yr4'!N143*'Expenses Summary'!$U102))</f>
        <v/>
      </c>
      <c r="O143" s="60" t="str">
        <f>IF('Expenses Summary'!$U102="","",IF('Cash Flow %s Yr4'!O143="","",'Cash Flow %s Yr4'!O143*'Expenses Summary'!$U102))</f>
        <v/>
      </c>
      <c r="P143" s="123"/>
      <c r="Q143" s="123"/>
      <c r="R143" s="123"/>
      <c r="S143" s="105" t="str">
        <f>IF(SUM(D143:R143)&gt;0,SUM(D143:R143)/'Expenses Summary'!$U102,"")</f>
        <v/>
      </c>
    </row>
    <row r="144" spans="1:19" s="30" customFormat="1" x14ac:dyDescent="0.3">
      <c r="A144" s="35"/>
      <c r="B144" s="32" t="s">
        <v>559</v>
      </c>
      <c r="C144" s="33" t="s">
        <v>720</v>
      </c>
      <c r="D144" s="165" t="e">
        <f>IF(SUM(D110:D143)&gt;0,SUM(D110:D143),"")</f>
        <v>#REF!</v>
      </c>
      <c r="E144" s="165" t="e">
        <f t="shared" ref="E144:O144" si="10">IF(SUM(E110:E143)&gt;0,SUM(E110:E143),"")</f>
        <v>#REF!</v>
      </c>
      <c r="F144" s="165" t="e">
        <f t="shared" si="10"/>
        <v>#REF!</v>
      </c>
      <c r="G144" s="165" t="e">
        <f t="shared" si="10"/>
        <v>#REF!</v>
      </c>
      <c r="H144" s="165" t="e">
        <f t="shared" si="10"/>
        <v>#REF!</v>
      </c>
      <c r="I144" s="165" t="e">
        <f t="shared" si="10"/>
        <v>#REF!</v>
      </c>
      <c r="J144" s="165" t="e">
        <f t="shared" si="10"/>
        <v>#REF!</v>
      </c>
      <c r="K144" s="165" t="e">
        <f t="shared" si="10"/>
        <v>#REF!</v>
      </c>
      <c r="L144" s="165" t="e">
        <f t="shared" si="10"/>
        <v>#REF!</v>
      </c>
      <c r="M144" s="165" t="e">
        <f t="shared" si="10"/>
        <v>#REF!</v>
      </c>
      <c r="N144" s="165" t="e">
        <f t="shared" si="10"/>
        <v>#REF!</v>
      </c>
      <c r="O144" s="165" t="e">
        <f t="shared" si="10"/>
        <v>#REF!</v>
      </c>
      <c r="P144" s="102"/>
      <c r="Q144" s="102"/>
      <c r="R144" s="102"/>
      <c r="S144" s="101"/>
    </row>
    <row r="145" spans="1:19" s="30" customFormat="1" x14ac:dyDescent="0.3">
      <c r="A145" s="35"/>
      <c r="B145" s="4"/>
      <c r="C145" s="3"/>
      <c r="D145" s="89"/>
      <c r="E145" s="89"/>
      <c r="F145" s="89"/>
      <c r="G145" s="89"/>
      <c r="H145" s="89"/>
      <c r="I145" s="89"/>
      <c r="J145" s="89"/>
      <c r="K145" s="89"/>
      <c r="L145" s="89"/>
      <c r="M145" s="89"/>
      <c r="N145" s="89"/>
      <c r="O145" s="89"/>
      <c r="P145" s="89"/>
      <c r="Q145" s="89"/>
      <c r="R145" s="89"/>
    </row>
    <row r="146" spans="1:19" s="30" customFormat="1" x14ac:dyDescent="0.3">
      <c r="B146" s="33" t="s">
        <v>722</v>
      </c>
      <c r="C146" s="3"/>
      <c r="D146" s="89"/>
      <c r="E146" s="89"/>
      <c r="F146" s="89"/>
      <c r="G146" s="89"/>
      <c r="H146" s="89"/>
      <c r="I146" s="89"/>
      <c r="J146" s="89"/>
      <c r="K146" s="89"/>
      <c r="L146" s="89"/>
      <c r="M146" s="89"/>
      <c r="N146" s="89"/>
      <c r="O146" s="89"/>
      <c r="P146" s="89"/>
      <c r="Q146" s="89"/>
      <c r="R146" s="89"/>
    </row>
    <row r="147" spans="1:19" s="30" customFormat="1" x14ac:dyDescent="0.3">
      <c r="A147" s="35"/>
      <c r="B147" s="133" t="str">
        <f>'Expenses Summary'!B106</f>
        <v>6900</v>
      </c>
      <c r="C147" s="133" t="str">
        <f>'Expenses Summary'!C106</f>
        <v xml:space="preserve">Depreciation Expense      </v>
      </c>
      <c r="D147" s="60">
        <f>IF('Expenses Summary'!$U106="","",IF('Cash Flow %s Yr4'!D147="","",'Cash Flow %s Yr4'!D147*'Expenses Summary'!$U106))</f>
        <v>0</v>
      </c>
      <c r="E147" s="60">
        <f>IF('Expenses Summary'!$U106="","",IF('Cash Flow %s Yr4'!E147="","",'Cash Flow %s Yr4'!E147*'Expenses Summary'!$U106))</f>
        <v>0</v>
      </c>
      <c r="F147" s="60">
        <f>IF('Expenses Summary'!$U106="","",IF('Cash Flow %s Yr4'!F147="","",'Cash Flow %s Yr4'!F147*'Expenses Summary'!$U106))</f>
        <v>0</v>
      </c>
      <c r="G147" s="60">
        <f>IF('Expenses Summary'!$U106="","",IF('Cash Flow %s Yr4'!G147="","",'Cash Flow %s Yr4'!G147*'Expenses Summary'!$U106))</f>
        <v>0</v>
      </c>
      <c r="H147" s="60">
        <f>IF('Expenses Summary'!$U106="","",IF('Cash Flow %s Yr4'!H147="","",'Cash Flow %s Yr4'!H147*'Expenses Summary'!$U106))</f>
        <v>0</v>
      </c>
      <c r="I147" s="60">
        <f>IF('Expenses Summary'!$U106="","",IF('Cash Flow %s Yr4'!I147="","",'Cash Flow %s Yr4'!I147*'Expenses Summary'!$U106))</f>
        <v>0</v>
      </c>
      <c r="J147" s="60">
        <f>IF('Expenses Summary'!$U106="","",IF('Cash Flow %s Yr4'!J147="","",'Cash Flow %s Yr4'!J147*'Expenses Summary'!$U106))</f>
        <v>0</v>
      </c>
      <c r="K147" s="60">
        <f>IF('Expenses Summary'!$U106="","",IF('Cash Flow %s Yr4'!K147="","",'Cash Flow %s Yr4'!K147*'Expenses Summary'!$U106))</f>
        <v>0</v>
      </c>
      <c r="L147" s="60">
        <f>IF('Expenses Summary'!$U106="","",IF('Cash Flow %s Yr4'!L147="","",'Cash Flow %s Yr4'!L147*'Expenses Summary'!$U106))</f>
        <v>0</v>
      </c>
      <c r="M147" s="60">
        <f>IF('Expenses Summary'!$U106="","",IF('Cash Flow %s Yr4'!M147="","",'Cash Flow %s Yr4'!M147*'Expenses Summary'!$U106))</f>
        <v>0</v>
      </c>
      <c r="N147" s="60">
        <f>IF('Expenses Summary'!$U106="","",IF('Cash Flow %s Yr4'!N147="","",'Cash Flow %s Yr4'!N147*'Expenses Summary'!$U106))</f>
        <v>0</v>
      </c>
      <c r="O147" s="60">
        <f>IF('Expenses Summary'!$U106="","",IF('Cash Flow %s Yr4'!O147="","",'Cash Flow %s Yr4'!O147*'Expenses Summary'!$U106))</f>
        <v>2908.72</v>
      </c>
      <c r="P147" s="123"/>
      <c r="Q147" s="123"/>
      <c r="R147" s="123"/>
      <c r="S147" s="105">
        <f>IF(SUM(D147:R147)&gt;0,SUM(D147:R147)/'Expenses Summary'!$U106,"")</f>
        <v>1</v>
      </c>
    </row>
    <row r="148" spans="1:19" s="30" customFormat="1" x14ac:dyDescent="0.3">
      <c r="A148" s="35"/>
      <c r="B148" s="32" t="s">
        <v>560</v>
      </c>
      <c r="C148" s="33" t="s">
        <v>720</v>
      </c>
      <c r="D148" s="165" t="str">
        <f t="shared" ref="D148:O148" si="11">IF(SUM(D146:D147)&gt;0,SUM(D146:D147),"")</f>
        <v/>
      </c>
      <c r="E148" s="165" t="str">
        <f t="shared" si="11"/>
        <v/>
      </c>
      <c r="F148" s="165" t="str">
        <f t="shared" si="11"/>
        <v/>
      </c>
      <c r="G148" s="165" t="str">
        <f t="shared" si="11"/>
        <v/>
      </c>
      <c r="H148" s="165" t="str">
        <f t="shared" si="11"/>
        <v/>
      </c>
      <c r="I148" s="165" t="str">
        <f t="shared" si="11"/>
        <v/>
      </c>
      <c r="J148" s="165" t="str">
        <f t="shared" si="11"/>
        <v/>
      </c>
      <c r="K148" s="165" t="str">
        <f t="shared" si="11"/>
        <v/>
      </c>
      <c r="L148" s="165" t="str">
        <f t="shared" si="11"/>
        <v/>
      </c>
      <c r="M148" s="165" t="str">
        <f t="shared" si="11"/>
        <v/>
      </c>
      <c r="N148" s="165" t="str">
        <f t="shared" si="11"/>
        <v/>
      </c>
      <c r="O148" s="165">
        <f t="shared" si="11"/>
        <v>2908.72</v>
      </c>
      <c r="P148" s="102"/>
      <c r="Q148" s="102"/>
      <c r="R148" s="102"/>
      <c r="S148" s="101"/>
    </row>
    <row r="149" spans="1:19" s="30" customFormat="1" x14ac:dyDescent="0.3">
      <c r="A149" s="35"/>
      <c r="B149" s="4"/>
      <c r="C149" s="3"/>
      <c r="D149" s="98"/>
      <c r="E149" s="98"/>
      <c r="F149" s="98"/>
      <c r="G149" s="89"/>
      <c r="H149" s="89"/>
      <c r="I149" s="89"/>
      <c r="J149" s="89"/>
      <c r="K149" s="89"/>
      <c r="L149" s="89"/>
      <c r="M149" s="89"/>
      <c r="N149" s="89"/>
      <c r="O149" s="89"/>
      <c r="P149" s="89"/>
      <c r="Q149" s="89"/>
      <c r="R149" s="89"/>
    </row>
    <row r="150" spans="1:19" s="30" customFormat="1" x14ac:dyDescent="0.3">
      <c r="B150" s="33" t="s">
        <v>723</v>
      </c>
      <c r="C150" s="3"/>
      <c r="D150" s="98"/>
      <c r="E150" s="98"/>
      <c r="F150" s="98"/>
      <c r="G150" s="89"/>
      <c r="H150" s="89"/>
      <c r="I150" s="89"/>
      <c r="J150" s="89"/>
      <c r="K150" s="89"/>
      <c r="L150" s="89"/>
      <c r="M150" s="89"/>
      <c r="N150" s="89"/>
      <c r="O150" s="89"/>
      <c r="P150" s="89"/>
      <c r="Q150" s="89"/>
      <c r="R150" s="89"/>
    </row>
    <row r="151" spans="1:19" s="30" customFormat="1" x14ac:dyDescent="0.3">
      <c r="A151" s="35"/>
      <c r="B151" s="133" t="str">
        <f>'Expenses Summary'!B110</f>
        <v>7000</v>
      </c>
      <c r="C151" s="133" t="str">
        <f>'Expenses Summary'!C110</f>
        <v>Miscellaneous Expense</v>
      </c>
      <c r="D151" s="60">
        <f>IF('Expenses Summary'!$U110="","",IF('Cash Flow %s Yr4'!D151="","",'Cash Flow %s Yr4'!D151*'Expenses Summary'!$U110))</f>
        <v>0</v>
      </c>
      <c r="E151" s="60">
        <f>IF('Expenses Summary'!$U110="","",IF('Cash Flow %s Yr4'!E151="","",'Cash Flow %s Yr4'!E151*'Expenses Summary'!$U110))</f>
        <v>0</v>
      </c>
      <c r="F151" s="60">
        <f>IF('Expenses Summary'!$U110="","",IF('Cash Flow %s Yr4'!F151="","",'Cash Flow %s Yr4'!F151*'Expenses Summary'!$U110))</f>
        <v>0</v>
      </c>
      <c r="G151" s="60">
        <f>IF('Expenses Summary'!$U110="","",IF('Cash Flow %s Yr4'!G151="","",'Cash Flow %s Yr4'!G151*'Expenses Summary'!$U110))</f>
        <v>0</v>
      </c>
      <c r="H151" s="60">
        <f>IF('Expenses Summary'!$U110="","",IF('Cash Flow %s Yr4'!H151="","",'Cash Flow %s Yr4'!H151*'Expenses Summary'!$U110))</f>
        <v>0</v>
      </c>
      <c r="I151" s="60">
        <f>IF('Expenses Summary'!$U110="","",IF('Cash Flow %s Yr4'!I151="","",'Cash Flow %s Yr4'!I151*'Expenses Summary'!$U110))</f>
        <v>0</v>
      </c>
      <c r="J151" s="60">
        <f>IF('Expenses Summary'!$U110="","",IF('Cash Flow %s Yr4'!J151="","",'Cash Flow %s Yr4'!J151*'Expenses Summary'!$U110))</f>
        <v>0</v>
      </c>
      <c r="K151" s="60">
        <f>IF('Expenses Summary'!$U110="","",IF('Cash Flow %s Yr4'!K151="","",'Cash Flow %s Yr4'!K151*'Expenses Summary'!$U110))</f>
        <v>0</v>
      </c>
      <c r="L151" s="60">
        <f>IF('Expenses Summary'!$U110="","",IF('Cash Flow %s Yr4'!L151="","",'Cash Flow %s Yr4'!L151*'Expenses Summary'!$U110))</f>
        <v>0</v>
      </c>
      <c r="M151" s="60">
        <f>IF('Expenses Summary'!$U110="","",IF('Cash Flow %s Yr4'!M151="","",'Cash Flow %s Yr4'!M151*'Expenses Summary'!$U110))</f>
        <v>0</v>
      </c>
      <c r="N151" s="60">
        <f>IF('Expenses Summary'!$U110="","",IF('Cash Flow %s Yr4'!N151="","",'Cash Flow %s Yr4'!N151*'Expenses Summary'!$U110))</f>
        <v>0</v>
      </c>
      <c r="O151" s="60">
        <f>IF('Expenses Summary'!$U110="","",IF('Cash Flow %s Yr4'!O151="","",'Cash Flow %s Yr4'!O151*'Expenses Summary'!$U110))</f>
        <v>0</v>
      </c>
      <c r="P151" s="123"/>
      <c r="Q151" s="123"/>
      <c r="R151" s="123"/>
      <c r="S151" s="105" t="str">
        <f>IF(SUM(D151:R151)&gt;0,SUM(D151:R151)/'Expenses Summary'!$U110,"")</f>
        <v/>
      </c>
    </row>
    <row r="152" spans="1:19" s="30" customFormat="1" x14ac:dyDescent="0.3">
      <c r="A152" s="35"/>
      <c r="B152" s="133" t="e">
        <f>'Expenses Summary'!#REF!</f>
        <v>#REF!</v>
      </c>
      <c r="C152" s="133" t="e">
        <f>'Expenses Summary'!#REF!</f>
        <v>#REF!</v>
      </c>
      <c r="D152" s="60" t="e">
        <f>IF('Expenses Summary'!#REF!="","",IF('Cash Flow %s Yr4'!D152="","",'Cash Flow %s Yr4'!D152*'Expenses Summary'!#REF!))</f>
        <v>#REF!</v>
      </c>
      <c r="E152" s="60" t="e">
        <f>IF('Expenses Summary'!#REF!="","",IF('Cash Flow %s Yr4'!E152="","",'Cash Flow %s Yr4'!E152*'Expenses Summary'!#REF!))</f>
        <v>#REF!</v>
      </c>
      <c r="F152" s="60" t="e">
        <f>IF('Expenses Summary'!#REF!="","",IF('Cash Flow %s Yr4'!F152="","",'Cash Flow %s Yr4'!F152*'Expenses Summary'!#REF!))</f>
        <v>#REF!</v>
      </c>
      <c r="G152" s="60" t="e">
        <f>IF('Expenses Summary'!#REF!="","",IF('Cash Flow %s Yr4'!G152="","",'Cash Flow %s Yr4'!G152*'Expenses Summary'!#REF!))</f>
        <v>#REF!</v>
      </c>
      <c r="H152" s="60" t="e">
        <f>IF('Expenses Summary'!#REF!="","",IF('Cash Flow %s Yr4'!H152="","",'Cash Flow %s Yr4'!H152*'Expenses Summary'!#REF!))</f>
        <v>#REF!</v>
      </c>
      <c r="I152" s="60" t="e">
        <f>IF('Expenses Summary'!#REF!="","",IF('Cash Flow %s Yr4'!I152="","",'Cash Flow %s Yr4'!I152*'Expenses Summary'!#REF!))</f>
        <v>#REF!</v>
      </c>
      <c r="J152" s="60" t="e">
        <f>IF('Expenses Summary'!#REF!="","",IF('Cash Flow %s Yr4'!J152="","",'Cash Flow %s Yr4'!J152*'Expenses Summary'!#REF!))</f>
        <v>#REF!</v>
      </c>
      <c r="K152" s="60" t="e">
        <f>IF('Expenses Summary'!#REF!="","",IF('Cash Flow %s Yr4'!K152="","",'Cash Flow %s Yr4'!K152*'Expenses Summary'!#REF!))</f>
        <v>#REF!</v>
      </c>
      <c r="L152" s="60" t="e">
        <f>IF('Expenses Summary'!#REF!="","",IF('Cash Flow %s Yr4'!L152="","",'Cash Flow %s Yr4'!L152*'Expenses Summary'!#REF!))</f>
        <v>#REF!</v>
      </c>
      <c r="M152" s="60" t="e">
        <f>IF('Expenses Summary'!#REF!="","",IF('Cash Flow %s Yr4'!M152="","",'Cash Flow %s Yr4'!M152*'Expenses Summary'!#REF!))</f>
        <v>#REF!</v>
      </c>
      <c r="N152" s="60" t="e">
        <f>IF('Expenses Summary'!#REF!="","",IF('Cash Flow %s Yr4'!N152="","",'Cash Flow %s Yr4'!N152*'Expenses Summary'!#REF!))</f>
        <v>#REF!</v>
      </c>
      <c r="O152" s="60" t="e">
        <f>IF('Expenses Summary'!#REF!="","",IF('Cash Flow %s Yr4'!O152="","",'Cash Flow %s Yr4'!O152*'Expenses Summary'!#REF!))</f>
        <v>#REF!</v>
      </c>
      <c r="P152" s="123"/>
      <c r="Q152" s="123"/>
      <c r="R152" s="123"/>
      <c r="S152" s="105" t="e">
        <f>IF(SUM(D152:R152)&gt;0,SUM(D152:R152)/'Expenses Summary'!#REF!,"")</f>
        <v>#REF!</v>
      </c>
    </row>
    <row r="153" spans="1:19" s="30" customFormat="1" x14ac:dyDescent="0.3">
      <c r="A153" s="35"/>
      <c r="B153" s="133" t="str">
        <f>'Expenses Summary'!B111</f>
        <v>7438</v>
      </c>
      <c r="C153" s="133" t="str">
        <f>'Expenses Summary'!C111</f>
        <v xml:space="preserve">Debt </v>
      </c>
      <c r="D153" s="60">
        <f>IF('Expenses Summary'!$U111="","",IF('Cash Flow %s Yr4'!D153="","",'Cash Flow %s Yr4'!D153*'Expenses Summary'!$U111))</f>
        <v>0</v>
      </c>
      <c r="E153" s="60">
        <f>IF('Expenses Summary'!$U111="","",IF('Cash Flow %s Yr4'!E153="","",'Cash Flow %s Yr4'!E153*'Expenses Summary'!$U111))</f>
        <v>0</v>
      </c>
      <c r="F153" s="60">
        <f>IF('Expenses Summary'!$U111="","",IF('Cash Flow %s Yr4'!F153="","",'Cash Flow %s Yr4'!F153*'Expenses Summary'!$U111))</f>
        <v>0</v>
      </c>
      <c r="G153" s="60">
        <f>IF('Expenses Summary'!$U111="","",IF('Cash Flow %s Yr4'!G153="","",'Cash Flow %s Yr4'!G153*'Expenses Summary'!$U111))</f>
        <v>0</v>
      </c>
      <c r="H153" s="60">
        <f>IF('Expenses Summary'!$U111="","",IF('Cash Flow %s Yr4'!H153="","",'Cash Flow %s Yr4'!H153*'Expenses Summary'!$U111))</f>
        <v>0</v>
      </c>
      <c r="I153" s="60">
        <f>IF('Expenses Summary'!$U111="","",IF('Cash Flow %s Yr4'!I153="","",'Cash Flow %s Yr4'!I153*'Expenses Summary'!$U111))</f>
        <v>0</v>
      </c>
      <c r="J153" s="60">
        <f>IF('Expenses Summary'!$U111="","",IF('Cash Flow %s Yr4'!J153="","",'Cash Flow %s Yr4'!J153*'Expenses Summary'!$U111))</f>
        <v>0</v>
      </c>
      <c r="K153" s="60">
        <f>IF('Expenses Summary'!$U111="","",IF('Cash Flow %s Yr4'!K153="","",'Cash Flow %s Yr4'!K153*'Expenses Summary'!$U111))</f>
        <v>0</v>
      </c>
      <c r="L153" s="60">
        <f>IF('Expenses Summary'!$U111="","",IF('Cash Flow %s Yr4'!L153="","",'Cash Flow %s Yr4'!L153*'Expenses Summary'!$U111))</f>
        <v>0</v>
      </c>
      <c r="M153" s="60">
        <f>IF('Expenses Summary'!$U111="","",IF('Cash Flow %s Yr4'!M153="","",'Cash Flow %s Yr4'!M153*'Expenses Summary'!$U111))</f>
        <v>0</v>
      </c>
      <c r="N153" s="60">
        <f>IF('Expenses Summary'!$U111="","",IF('Cash Flow %s Yr4'!N153="","",'Cash Flow %s Yr4'!N153*'Expenses Summary'!$U111))</f>
        <v>0</v>
      </c>
      <c r="O153" s="60">
        <f>IF('Expenses Summary'!$U111="","",IF('Cash Flow %s Yr4'!O153="","",'Cash Flow %s Yr4'!O153*'Expenses Summary'!$U111))</f>
        <v>0</v>
      </c>
      <c r="P153" s="123"/>
      <c r="Q153" s="123"/>
      <c r="R153" s="123"/>
      <c r="S153" s="105" t="str">
        <f>IF(SUM(D153:R153)&gt;0,SUM(D153:R153)/'Expenses Summary'!$U111,"")</f>
        <v/>
      </c>
    </row>
    <row r="154" spans="1:19" s="30" customFormat="1" x14ac:dyDescent="0.3">
      <c r="A154" s="35"/>
      <c r="B154" s="133" t="str">
        <f>'Expenses Summary'!B112</f>
        <v>8910</v>
      </c>
      <c r="C154" s="133" t="str">
        <f>'Expenses Summary'!C112</f>
        <v>Transfer in From LLC</v>
      </c>
      <c r="D154" s="60">
        <f>IF('Expenses Summary'!$U112="","",IF('Cash Flow %s Yr4'!D154="","",'Cash Flow %s Yr4'!D154*'Expenses Summary'!$U112))</f>
        <v>0</v>
      </c>
      <c r="E154" s="60">
        <f>IF('Expenses Summary'!$U112="","",IF('Cash Flow %s Yr4'!E154="","",'Cash Flow %s Yr4'!E154*'Expenses Summary'!$U112))</f>
        <v>0</v>
      </c>
      <c r="F154" s="60">
        <f>IF('Expenses Summary'!$U112="","",IF('Cash Flow %s Yr4'!F154="","",'Cash Flow %s Yr4'!F154*'Expenses Summary'!$U112))</f>
        <v>0</v>
      </c>
      <c r="G154" s="60">
        <f>IF('Expenses Summary'!$U112="","",IF('Cash Flow %s Yr4'!G154="","",'Cash Flow %s Yr4'!G154*'Expenses Summary'!$U112))</f>
        <v>0</v>
      </c>
      <c r="H154" s="60">
        <f>IF('Expenses Summary'!$U112="","",IF('Cash Flow %s Yr4'!H154="","",'Cash Flow %s Yr4'!H154*'Expenses Summary'!$U112))</f>
        <v>0</v>
      </c>
      <c r="I154" s="60">
        <f>IF('Expenses Summary'!$U112="","",IF('Cash Flow %s Yr4'!I154="","",'Cash Flow %s Yr4'!I154*'Expenses Summary'!$U112))</f>
        <v>0</v>
      </c>
      <c r="J154" s="60">
        <f>IF('Expenses Summary'!$U112="","",IF('Cash Flow %s Yr4'!J154="","",'Cash Flow %s Yr4'!J154*'Expenses Summary'!$U112))</f>
        <v>0</v>
      </c>
      <c r="K154" s="60">
        <f>IF('Expenses Summary'!$U112="","",IF('Cash Flow %s Yr4'!K154="","",'Cash Flow %s Yr4'!K154*'Expenses Summary'!$U112))</f>
        <v>0</v>
      </c>
      <c r="L154" s="60">
        <f>IF('Expenses Summary'!$U112="","",IF('Cash Flow %s Yr4'!L154="","",'Cash Flow %s Yr4'!L154*'Expenses Summary'!$U112))</f>
        <v>0</v>
      </c>
      <c r="M154" s="60">
        <f>IF('Expenses Summary'!$U112="","",IF('Cash Flow %s Yr4'!M154="","",'Cash Flow %s Yr4'!M154*'Expenses Summary'!$U112))</f>
        <v>0</v>
      </c>
      <c r="N154" s="60">
        <f>IF('Expenses Summary'!$U112="","",IF('Cash Flow %s Yr4'!N154="","",'Cash Flow %s Yr4'!N154*'Expenses Summary'!$U112))</f>
        <v>0</v>
      </c>
      <c r="O154" s="60">
        <f>IF('Expenses Summary'!$U112="","",IF('Cash Flow %s Yr4'!O154="","",'Cash Flow %s Yr4'!O154*'Expenses Summary'!$U112))</f>
        <v>0</v>
      </c>
      <c r="P154" s="123"/>
      <c r="Q154" s="123"/>
      <c r="R154" s="123"/>
      <c r="S154" s="105" t="str">
        <f>IF(SUM(D154:R154)&gt;0,SUM(D154:R154)/'Expenses Summary'!$U112,"")</f>
        <v/>
      </c>
    </row>
    <row r="155" spans="1:19" s="30" customFormat="1" x14ac:dyDescent="0.3">
      <c r="A155" s="35"/>
      <c r="B155" s="32" t="s">
        <v>684</v>
      </c>
      <c r="C155" s="33" t="s">
        <v>724</v>
      </c>
      <c r="D155" s="183" t="e">
        <f t="shared" ref="D155:O155" si="12">IF(SUM(D150:D154)&gt;0,SUM(D150:D154),"")</f>
        <v>#REF!</v>
      </c>
      <c r="E155" s="183" t="e">
        <f t="shared" si="12"/>
        <v>#REF!</v>
      </c>
      <c r="F155" s="183" t="e">
        <f t="shared" si="12"/>
        <v>#REF!</v>
      </c>
      <c r="G155" s="183" t="e">
        <f t="shared" si="12"/>
        <v>#REF!</v>
      </c>
      <c r="H155" s="183" t="e">
        <f t="shared" si="12"/>
        <v>#REF!</v>
      </c>
      <c r="I155" s="183" t="e">
        <f t="shared" si="12"/>
        <v>#REF!</v>
      </c>
      <c r="J155" s="183" t="e">
        <f t="shared" si="12"/>
        <v>#REF!</v>
      </c>
      <c r="K155" s="183" t="e">
        <f t="shared" si="12"/>
        <v>#REF!</v>
      </c>
      <c r="L155" s="183" t="e">
        <f t="shared" si="12"/>
        <v>#REF!</v>
      </c>
      <c r="M155" s="183" t="e">
        <f t="shared" si="12"/>
        <v>#REF!</v>
      </c>
      <c r="N155" s="183" t="e">
        <f t="shared" si="12"/>
        <v>#REF!</v>
      </c>
      <c r="O155" s="183" t="e">
        <f t="shared" si="12"/>
        <v>#REF!</v>
      </c>
      <c r="P155" s="126"/>
      <c r="Q155" s="126"/>
      <c r="R155" s="126"/>
    </row>
    <row r="156" spans="1:19" s="30" customFormat="1" x14ac:dyDescent="0.3">
      <c r="A156" s="33" t="s">
        <v>731</v>
      </c>
      <c r="B156" s="4"/>
      <c r="C156" s="3"/>
      <c r="D156" s="165" t="e">
        <f t="shared" ref="D156:O156" si="13">IF(SUM(D155,D148,D144,D108,D88,D76,D63)&gt;0,SUM(D155,D148,D144,D108,D88,D76,D63),"")</f>
        <v>#REF!</v>
      </c>
      <c r="E156" s="165" t="e">
        <f t="shared" si="13"/>
        <v>#REF!</v>
      </c>
      <c r="F156" s="165" t="e">
        <f t="shared" si="13"/>
        <v>#REF!</v>
      </c>
      <c r="G156" s="165" t="e">
        <f t="shared" si="13"/>
        <v>#REF!</v>
      </c>
      <c r="H156" s="165" t="e">
        <f t="shared" si="13"/>
        <v>#REF!</v>
      </c>
      <c r="I156" s="165" t="e">
        <f t="shared" si="13"/>
        <v>#REF!</v>
      </c>
      <c r="J156" s="165" t="e">
        <f t="shared" si="13"/>
        <v>#REF!</v>
      </c>
      <c r="K156" s="165" t="e">
        <f t="shared" si="13"/>
        <v>#REF!</v>
      </c>
      <c r="L156" s="165" t="e">
        <f t="shared" si="13"/>
        <v>#REF!</v>
      </c>
      <c r="M156" s="165" t="e">
        <f t="shared" si="13"/>
        <v>#REF!</v>
      </c>
      <c r="N156" s="165" t="e">
        <f t="shared" si="13"/>
        <v>#REF!</v>
      </c>
      <c r="O156" s="165" t="e">
        <f t="shared" si="13"/>
        <v>#REF!</v>
      </c>
      <c r="P156" s="89"/>
      <c r="Q156" s="89"/>
      <c r="R156" s="89"/>
    </row>
    <row r="157" spans="1:19" s="30" customFormat="1" x14ac:dyDescent="0.3">
      <c r="A157" s="33"/>
      <c r="B157" s="4"/>
      <c r="C157" s="3"/>
      <c r="D157" s="44"/>
      <c r="E157" s="44"/>
      <c r="F157" s="44"/>
      <c r="G157" s="44"/>
      <c r="H157" s="44"/>
      <c r="I157" s="44"/>
      <c r="J157" s="44"/>
      <c r="K157" s="44"/>
      <c r="L157" s="44"/>
      <c r="M157" s="44"/>
      <c r="N157" s="44"/>
      <c r="O157" s="44"/>
      <c r="P157" s="89"/>
      <c r="Q157" s="89"/>
      <c r="R157" s="89"/>
    </row>
    <row r="158" spans="1:19" s="30" customFormat="1" x14ac:dyDescent="0.3">
      <c r="A158" s="35"/>
      <c r="B158" s="33" t="s">
        <v>818</v>
      </c>
      <c r="C158" s="3"/>
      <c r="D158" s="98"/>
      <c r="E158" s="98"/>
      <c r="F158" s="98"/>
      <c r="G158" s="89"/>
      <c r="H158" s="89"/>
      <c r="I158" s="89"/>
      <c r="J158" s="89"/>
      <c r="K158" s="89"/>
      <c r="L158" s="89"/>
      <c r="M158" s="89"/>
      <c r="N158" s="89"/>
      <c r="O158" s="89"/>
      <c r="P158" s="89"/>
      <c r="Q158" s="89"/>
      <c r="R158" s="89"/>
    </row>
    <row r="159" spans="1:19" s="30" customFormat="1" x14ac:dyDescent="0.3">
      <c r="A159" s="35"/>
      <c r="B159" s="62"/>
      <c r="C159" s="62" t="str">
        <f>'Cash Flow %s Yr4'!C158</f>
        <v>Cash balance at previous year end</v>
      </c>
      <c r="D159" s="60" t="e">
        <f>#REF!</f>
        <v>#REF!</v>
      </c>
      <c r="E159" s="60">
        <f>'Cash Flow %s Yr4'!E158*'Cash Flow %s Yr4'!$W158</f>
        <v>0</v>
      </c>
      <c r="F159" s="60">
        <f>'Cash Flow %s Yr4'!F158*'Cash Flow %s Yr4'!$W158</f>
        <v>0</v>
      </c>
      <c r="G159" s="60">
        <f>'Cash Flow %s Yr4'!G158*'Cash Flow %s Yr4'!$W158</f>
        <v>0</v>
      </c>
      <c r="H159" s="60">
        <f>'Cash Flow %s Yr4'!H158*'Cash Flow %s Yr4'!$W158</f>
        <v>0</v>
      </c>
      <c r="I159" s="60">
        <f>'Cash Flow %s Yr4'!I158*'Cash Flow %s Yr4'!$W158</f>
        <v>0</v>
      </c>
      <c r="J159" s="60">
        <f>'Cash Flow %s Yr4'!J158*'Cash Flow %s Yr4'!$W158</f>
        <v>0</v>
      </c>
      <c r="K159" s="60">
        <f>'Cash Flow %s Yr4'!K158*'Cash Flow %s Yr4'!$W158</f>
        <v>0</v>
      </c>
      <c r="L159" s="60">
        <f>'Cash Flow %s Yr4'!L158*'Cash Flow %s Yr4'!$W158</f>
        <v>0</v>
      </c>
      <c r="M159" s="60">
        <f>'Cash Flow %s Yr4'!M158*'Cash Flow %s Yr4'!$W158</f>
        <v>0</v>
      </c>
      <c r="N159" s="60">
        <f>'Cash Flow %s Yr4'!N158*'Cash Flow %s Yr4'!$W158</f>
        <v>0</v>
      </c>
      <c r="O159" s="60">
        <f>'Cash Flow %s Yr4'!O158*'Cash Flow %s Yr4'!$W158</f>
        <v>0</v>
      </c>
      <c r="P159" s="97"/>
      <c r="Q159" s="97"/>
      <c r="R159" s="97"/>
    </row>
    <row r="160" spans="1:19" s="30" customFormat="1" x14ac:dyDescent="0.3">
      <c r="A160" s="35"/>
      <c r="B160" s="62"/>
      <c r="C160" s="129" t="str">
        <f>'Cash Flow %s Yr4'!C159</f>
        <v>Accounts Receivable</v>
      </c>
      <c r="D160" s="60" t="e">
        <f>'Cash Flow %s Yr4'!D159*#REF!</f>
        <v>#REF!</v>
      </c>
      <c r="E160" s="60" t="e">
        <f>'Cash Flow %s Yr4'!E159*#REF!</f>
        <v>#REF!</v>
      </c>
      <c r="F160" s="60" t="e">
        <f>'Cash Flow %s Yr4'!F159*#REF!</f>
        <v>#REF!</v>
      </c>
      <c r="G160" s="60" t="e">
        <f>'Cash Flow %s Yr4'!G159*#REF!</f>
        <v>#REF!</v>
      </c>
      <c r="H160" s="60" t="e">
        <f>'Cash Flow %s Yr4'!H159*#REF!</f>
        <v>#REF!</v>
      </c>
      <c r="I160" s="60" t="e">
        <f>'Cash Flow %s Yr4'!I159*#REF!</f>
        <v>#REF!</v>
      </c>
      <c r="J160" s="60" t="e">
        <f>'Cash Flow %s Yr4'!J159*#REF!</f>
        <v>#REF!</v>
      </c>
      <c r="K160" s="60" t="e">
        <f>'Cash Flow %s Yr4'!K159*#REF!</f>
        <v>#REF!</v>
      </c>
      <c r="L160" s="60" t="e">
        <f>'Cash Flow %s Yr4'!L159*#REF!</f>
        <v>#REF!</v>
      </c>
      <c r="M160" s="60" t="e">
        <f>'Cash Flow %s Yr4'!M159*#REF!</f>
        <v>#REF!</v>
      </c>
      <c r="N160" s="60" t="e">
        <f>'Cash Flow %s Yr4'!N159*#REF!</f>
        <v>#REF!</v>
      </c>
      <c r="O160" s="60" t="e">
        <f>'Cash Flow %s Yr4'!O159*#REF!</f>
        <v>#REF!</v>
      </c>
      <c r="P160" s="182" t="e">
        <f>P51</f>
        <v>#REF!</v>
      </c>
      <c r="Q160" s="182" t="e">
        <f>Q51</f>
        <v>#REF!</v>
      </c>
      <c r="R160" s="182" t="e">
        <f>R51</f>
        <v>#REF!</v>
      </c>
    </row>
    <row r="161" spans="1:18" s="30" customFormat="1" x14ac:dyDescent="0.3">
      <c r="A161" s="35"/>
      <c r="B161" s="62"/>
      <c r="C161" s="129" t="str">
        <f>'Cash Flow %s Yr4'!C160</f>
        <v>Accounts Payable</v>
      </c>
      <c r="D161" s="60" t="e">
        <f>'Cash Flow %s Yr4'!D160*#REF!</f>
        <v>#REF!</v>
      </c>
      <c r="E161" s="60" t="e">
        <f>'Cash Flow %s Yr4'!E160*#REF!</f>
        <v>#REF!</v>
      </c>
      <c r="F161" s="60" t="e">
        <f>'Cash Flow %s Yr4'!F160*#REF!</f>
        <v>#REF!</v>
      </c>
      <c r="G161" s="60" t="e">
        <f>'Cash Flow %s Yr4'!G160*#REF!</f>
        <v>#REF!</v>
      </c>
      <c r="H161" s="60" t="e">
        <f>'Cash Flow %s Yr4'!H160*#REF!</f>
        <v>#REF!</v>
      </c>
      <c r="I161" s="60" t="e">
        <f>'Cash Flow %s Yr4'!I160*#REF!</f>
        <v>#REF!</v>
      </c>
      <c r="J161" s="60" t="e">
        <f>'Cash Flow %s Yr4'!J160*#REF!</f>
        <v>#REF!</v>
      </c>
      <c r="K161" s="60" t="e">
        <f>'Cash Flow %s Yr4'!K160*#REF!</f>
        <v>#REF!</v>
      </c>
      <c r="L161" s="60" t="e">
        <f>'Cash Flow %s Yr4'!L160*#REF!</f>
        <v>#REF!</v>
      </c>
      <c r="M161" s="60" t="e">
        <f>'Cash Flow %s Yr4'!M160*#REF!</f>
        <v>#REF!</v>
      </c>
      <c r="N161" s="60" t="e">
        <f>'Cash Flow %s Yr4'!N160*#REF!</f>
        <v>#REF!</v>
      </c>
      <c r="O161" s="60" t="e">
        <f>'Cash Flow %s Yr4'!O160*#REF!</f>
        <v>#REF!</v>
      </c>
      <c r="P161" s="97"/>
      <c r="Q161" s="97"/>
      <c r="R161" s="97"/>
    </row>
    <row r="162" spans="1:18" s="30" customFormat="1" x14ac:dyDescent="0.3">
      <c r="A162" s="35"/>
      <c r="B162" s="62"/>
      <c r="C162" s="129" t="str">
        <f>'Cash Flow %s Yr4'!C161</f>
        <v>Loan Principal Payable</v>
      </c>
      <c r="D162" s="60"/>
      <c r="E162" s="60"/>
      <c r="F162" s="60"/>
      <c r="G162" s="60"/>
      <c r="H162" s="60"/>
      <c r="I162" s="60"/>
      <c r="J162" s="60"/>
      <c r="K162" s="60"/>
      <c r="L162" s="60"/>
      <c r="M162" s="60"/>
      <c r="N162" s="60"/>
      <c r="O162" s="60"/>
      <c r="P162" s="97"/>
      <c r="Q162" s="97"/>
      <c r="R162" s="97"/>
    </row>
    <row r="163" spans="1:18" s="30" customFormat="1" x14ac:dyDescent="0.3">
      <c r="A163" s="35"/>
      <c r="B163" s="118"/>
      <c r="C163" s="33" t="s">
        <v>724</v>
      </c>
      <c r="D163" s="79" t="e">
        <f>D159+D160-D161-D162</f>
        <v>#REF!</v>
      </c>
      <c r="E163" s="79" t="e">
        <f t="shared" ref="E163:O163" si="14">E159+E160-E161-E162</f>
        <v>#REF!</v>
      </c>
      <c r="F163" s="79" t="e">
        <f t="shared" si="14"/>
        <v>#REF!</v>
      </c>
      <c r="G163" s="79" t="e">
        <f t="shared" si="14"/>
        <v>#REF!</v>
      </c>
      <c r="H163" s="79" t="e">
        <f t="shared" si="14"/>
        <v>#REF!</v>
      </c>
      <c r="I163" s="79" t="e">
        <f t="shared" si="14"/>
        <v>#REF!</v>
      </c>
      <c r="J163" s="79" t="e">
        <f t="shared" si="14"/>
        <v>#REF!</v>
      </c>
      <c r="K163" s="79" t="e">
        <f t="shared" si="14"/>
        <v>#REF!</v>
      </c>
      <c r="L163" s="79" t="e">
        <f t="shared" si="14"/>
        <v>#REF!</v>
      </c>
      <c r="M163" s="79" t="e">
        <f t="shared" si="14"/>
        <v>#REF!</v>
      </c>
      <c r="N163" s="79" t="e">
        <f t="shared" si="14"/>
        <v>#REF!</v>
      </c>
      <c r="O163" s="79" t="e">
        <f t="shared" si="14"/>
        <v>#REF!</v>
      </c>
      <c r="P163" s="102"/>
      <c r="Q163" s="102"/>
      <c r="R163" s="102"/>
    </row>
    <row r="164" spans="1:18" s="39" customFormat="1" ht="16.2" thickBot="1" x14ac:dyDescent="0.35">
      <c r="A164" s="35"/>
      <c r="C164" s="1"/>
      <c r="D164" s="89"/>
      <c r="E164" s="89"/>
      <c r="F164" s="89"/>
      <c r="G164" s="89"/>
      <c r="H164" s="89"/>
      <c r="I164" s="89"/>
      <c r="J164" s="89"/>
      <c r="K164" s="89"/>
      <c r="L164" s="89"/>
      <c r="M164" s="89"/>
      <c r="N164" s="89"/>
      <c r="O164" s="89"/>
      <c r="P164" s="89"/>
      <c r="Q164" s="89"/>
      <c r="R164" s="89"/>
    </row>
    <row r="165" spans="1:18" s="39" customFormat="1" ht="16.2" thickBot="1" x14ac:dyDescent="0.35">
      <c r="A165" s="70" t="s">
        <v>825</v>
      </c>
      <c r="B165" s="125"/>
      <c r="C165" s="71"/>
      <c r="D165" s="145" t="e">
        <f t="shared" ref="D165:O165" si="15">D51-D156</f>
        <v>#REF!</v>
      </c>
      <c r="E165" s="145" t="e">
        <f t="shared" si="15"/>
        <v>#REF!</v>
      </c>
      <c r="F165" s="145" t="e">
        <f t="shared" si="15"/>
        <v>#REF!</v>
      </c>
      <c r="G165" s="145" t="e">
        <f t="shared" si="15"/>
        <v>#REF!</v>
      </c>
      <c r="H165" s="145" t="e">
        <f t="shared" si="15"/>
        <v>#REF!</v>
      </c>
      <c r="I165" s="145" t="e">
        <f t="shared" si="15"/>
        <v>#REF!</v>
      </c>
      <c r="J165" s="145" t="e">
        <f t="shared" si="15"/>
        <v>#REF!</v>
      </c>
      <c r="K165" s="145" t="e">
        <f t="shared" si="15"/>
        <v>#REF!</v>
      </c>
      <c r="L165" s="145" t="e">
        <f t="shared" si="15"/>
        <v>#REF!</v>
      </c>
      <c r="M165" s="145" t="e">
        <f t="shared" si="15"/>
        <v>#REF!</v>
      </c>
      <c r="N165" s="145" t="e">
        <f t="shared" si="15"/>
        <v>#REF!</v>
      </c>
      <c r="O165" s="146" t="e">
        <f t="shared" si="15"/>
        <v>#REF!</v>
      </c>
      <c r="P165" s="89"/>
      <c r="Q165" s="89"/>
      <c r="R165" s="89"/>
    </row>
    <row r="166" spans="1:18" s="39" customFormat="1" ht="16.2" thickBot="1" x14ac:dyDescent="0.35">
      <c r="A166" s="35"/>
      <c r="C166" s="1"/>
      <c r="D166" s="147"/>
      <c r="E166" s="147"/>
      <c r="F166" s="147"/>
      <c r="G166" s="147"/>
      <c r="H166" s="147"/>
      <c r="I166" s="147"/>
      <c r="J166" s="147"/>
      <c r="K166" s="147"/>
      <c r="L166" s="147"/>
      <c r="M166" s="147"/>
      <c r="N166" s="147"/>
      <c r="O166" s="147"/>
      <c r="P166" s="89"/>
      <c r="Q166" s="89"/>
      <c r="R166" s="89"/>
    </row>
    <row r="167" spans="1:18" s="39" customFormat="1" ht="16.2" thickBot="1" x14ac:dyDescent="0.35">
      <c r="A167" s="70" t="s">
        <v>816</v>
      </c>
      <c r="B167" s="125"/>
      <c r="C167" s="71"/>
      <c r="D167" s="145" t="e">
        <f>D163+D165</f>
        <v>#REF!</v>
      </c>
      <c r="E167" s="145" t="e">
        <f t="shared" ref="E167:O167" si="16">E163+E165</f>
        <v>#REF!</v>
      </c>
      <c r="F167" s="145" t="e">
        <f t="shared" si="16"/>
        <v>#REF!</v>
      </c>
      <c r="G167" s="145" t="e">
        <f t="shared" si="16"/>
        <v>#REF!</v>
      </c>
      <c r="H167" s="145" t="e">
        <f t="shared" si="16"/>
        <v>#REF!</v>
      </c>
      <c r="I167" s="145" t="e">
        <f t="shared" si="16"/>
        <v>#REF!</v>
      </c>
      <c r="J167" s="145" t="e">
        <f t="shared" si="16"/>
        <v>#REF!</v>
      </c>
      <c r="K167" s="145" t="e">
        <f t="shared" si="16"/>
        <v>#REF!</v>
      </c>
      <c r="L167" s="145" t="e">
        <f t="shared" si="16"/>
        <v>#REF!</v>
      </c>
      <c r="M167" s="145" t="e">
        <f t="shared" si="16"/>
        <v>#REF!</v>
      </c>
      <c r="N167" s="145" t="e">
        <f t="shared" si="16"/>
        <v>#REF!</v>
      </c>
      <c r="O167" s="146" t="e">
        <f t="shared" si="16"/>
        <v>#REF!</v>
      </c>
      <c r="P167" s="89"/>
      <c r="Q167" s="89"/>
      <c r="R167" s="89"/>
    </row>
    <row r="168" spans="1:18" s="39" customFormat="1" ht="16.2" thickBot="1" x14ac:dyDescent="0.35">
      <c r="A168" s="35"/>
      <c r="C168" s="1"/>
      <c r="D168" s="89"/>
      <c r="E168" s="89"/>
      <c r="F168" s="89"/>
      <c r="G168" s="89"/>
      <c r="H168" s="89"/>
      <c r="I168" s="89"/>
      <c r="J168" s="89"/>
      <c r="K168" s="89"/>
      <c r="L168" s="89"/>
      <c r="M168" s="89"/>
      <c r="N168" s="89"/>
      <c r="O168" s="89"/>
      <c r="P168" s="89"/>
      <c r="Q168" s="89"/>
      <c r="R168" s="89"/>
    </row>
    <row r="169" spans="1:18" s="39" customFormat="1" ht="16.2" thickBot="1" x14ac:dyDescent="0.35">
      <c r="A169" s="70" t="s">
        <v>826</v>
      </c>
      <c r="B169" s="125"/>
      <c r="C169" s="71"/>
      <c r="D169" s="145" t="e">
        <f>D167</f>
        <v>#REF!</v>
      </c>
      <c r="E169" s="145" t="e">
        <f>D169+E167</f>
        <v>#REF!</v>
      </c>
      <c r="F169" s="145" t="e">
        <f t="shared" ref="F169:O169" si="17">E169+F167</f>
        <v>#REF!</v>
      </c>
      <c r="G169" s="145" t="e">
        <f t="shared" si="17"/>
        <v>#REF!</v>
      </c>
      <c r="H169" s="145" t="e">
        <f t="shared" si="17"/>
        <v>#REF!</v>
      </c>
      <c r="I169" s="145" t="e">
        <f t="shared" si="17"/>
        <v>#REF!</v>
      </c>
      <c r="J169" s="145" t="e">
        <f t="shared" si="17"/>
        <v>#REF!</v>
      </c>
      <c r="K169" s="145" t="e">
        <f t="shared" si="17"/>
        <v>#REF!</v>
      </c>
      <c r="L169" s="145" t="e">
        <f t="shared" si="17"/>
        <v>#REF!</v>
      </c>
      <c r="M169" s="145" t="e">
        <f t="shared" si="17"/>
        <v>#REF!</v>
      </c>
      <c r="N169" s="145" t="e">
        <f t="shared" si="17"/>
        <v>#REF!</v>
      </c>
      <c r="O169" s="146" t="e">
        <f t="shared" si="17"/>
        <v>#REF!</v>
      </c>
      <c r="P169" s="89"/>
      <c r="Q169" s="89"/>
      <c r="R169" s="89"/>
    </row>
    <row r="170" spans="1:18" s="39" customFormat="1" x14ac:dyDescent="0.3">
      <c r="A170" s="35"/>
      <c r="C170" s="1"/>
      <c r="D170" s="89"/>
      <c r="E170" s="89"/>
      <c r="F170" s="89"/>
      <c r="G170" s="89"/>
      <c r="H170" s="89"/>
      <c r="I170" s="89"/>
      <c r="J170" s="89"/>
      <c r="K170" s="89"/>
      <c r="L170" s="89"/>
      <c r="M170" s="89"/>
      <c r="N170" s="89"/>
      <c r="O170" s="89"/>
      <c r="P170" s="89"/>
      <c r="Q170" s="89"/>
      <c r="R170" s="89"/>
    </row>
    <row r="171" spans="1:18" s="39" customFormat="1" x14ac:dyDescent="0.3">
      <c r="A171" s="35"/>
      <c r="C171" s="1"/>
      <c r="D171" s="89"/>
      <c r="E171" s="89"/>
      <c r="F171" s="89"/>
      <c r="G171" s="89"/>
      <c r="H171" s="89"/>
      <c r="I171" s="89"/>
      <c r="J171" s="89"/>
      <c r="K171" s="89"/>
      <c r="L171" s="89"/>
      <c r="M171" s="89"/>
      <c r="N171" s="89"/>
      <c r="O171" s="89"/>
      <c r="P171" s="89"/>
      <c r="Q171" s="89"/>
      <c r="R171" s="89"/>
    </row>
    <row r="172" spans="1:18" s="39" customFormat="1" x14ac:dyDescent="0.3">
      <c r="A172" s="35"/>
      <c r="C172" s="1"/>
      <c r="D172" s="89"/>
      <c r="E172" s="89"/>
      <c r="F172" s="89"/>
      <c r="G172" s="89"/>
      <c r="H172" s="89"/>
      <c r="I172" s="89"/>
      <c r="J172" s="89"/>
      <c r="K172" s="89"/>
      <c r="L172" s="89"/>
      <c r="M172" s="89"/>
      <c r="N172" s="89"/>
      <c r="O172" s="89"/>
      <c r="P172" s="89"/>
      <c r="Q172" s="89"/>
      <c r="R172" s="89"/>
    </row>
  </sheetData>
  <pageMargins left="0.25" right="0.25" top="0.5" bottom="0.5" header="0.25" footer="0.25"/>
  <pageSetup scale="51" fitToHeight="3" orientation="landscape" r:id="rId1"/>
  <headerFooter alignWithMargins="0">
    <oddHeader>&amp;A</oddHeader>
    <oddFooter>Page &amp;P</oddFooter>
  </headerFooter>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ColWidth="9.109375" defaultRowHeight="15.6" x14ac:dyDescent="0.3"/>
  <cols>
    <col min="1" max="16384" width="9.109375" style="6"/>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X130"/>
  <sheetViews>
    <sheetView zoomScale="90" zoomScaleNormal="90" workbookViewId="0">
      <pane xSplit="3" ySplit="6" topLeftCell="D28" activePane="bottomRight" state="frozen"/>
      <selection activeCell="L16" sqref="L16"/>
      <selection pane="topRight" activeCell="L16" sqref="L16"/>
      <selection pane="bottomLeft" activeCell="L16" sqref="L16"/>
      <selection pane="bottomRight" activeCell="G28" sqref="G28"/>
    </sheetView>
  </sheetViews>
  <sheetFormatPr defaultRowHeight="15.6" outlineLevelCol="2" x14ac:dyDescent="0.3"/>
  <cols>
    <col min="1" max="1" width="5.5546875" style="34" customWidth="1"/>
    <col min="2" max="2" width="6.88671875" style="1" customWidth="1"/>
    <col min="3" max="3" width="61.6640625" style="1" customWidth="1"/>
    <col min="4" max="4" width="17.5546875" style="30" hidden="1" customWidth="1"/>
    <col min="5" max="5" width="17.5546875" style="30" customWidth="1" outlineLevel="1"/>
    <col min="6" max="6" width="3.33203125" style="67" customWidth="1"/>
    <col min="7" max="9" width="17.5546875" style="30" customWidth="1" outlineLevel="1"/>
    <col min="10" max="10" width="3.33203125" style="67" customWidth="1"/>
    <col min="11" max="11" width="13.109375" style="30" customWidth="1" outlineLevel="1"/>
    <col min="12" max="12" width="11.33203125" style="30" customWidth="1" outlineLevel="1"/>
    <col min="13" max="15" width="11.5546875" style="30" customWidth="1" outlineLevel="1"/>
    <col min="16" max="16" width="47.5546875" style="30" customWidth="1" outlineLevel="2"/>
    <col min="17" max="17" width="4.6640625" style="30" customWidth="1" outlineLevel="1"/>
    <col min="18" max="18" width="30" style="30" customWidth="1" outlineLevel="1"/>
    <col min="19" max="19" width="11.5546875" style="1" customWidth="1" outlineLevel="1"/>
    <col min="20" max="23" width="9.109375" style="1" customWidth="1" outlineLevel="1"/>
    <col min="24" max="24" width="9.88671875" style="1" customWidth="1" outlineLevel="1"/>
    <col min="25" max="264" width="9.109375" style="1"/>
    <col min="265" max="265" width="22.88671875" style="1" customWidth="1"/>
    <col min="266" max="520" width="9.109375" style="1"/>
    <col min="521" max="521" width="22.88671875" style="1" customWidth="1"/>
    <col min="522" max="776" width="9.109375" style="1"/>
    <col min="777" max="777" width="22.88671875" style="1" customWidth="1"/>
    <col min="778" max="1032" width="9.109375" style="1"/>
    <col min="1033" max="1033" width="22.88671875" style="1" customWidth="1"/>
    <col min="1034" max="1288" width="9.109375" style="1"/>
    <col min="1289" max="1289" width="22.88671875" style="1" customWidth="1"/>
    <col min="1290" max="1544" width="9.109375" style="1"/>
    <col min="1545" max="1545" width="22.88671875" style="1" customWidth="1"/>
    <col min="1546" max="1800" width="9.109375" style="1"/>
    <col min="1801" max="1801" width="22.88671875" style="1" customWidth="1"/>
    <col min="1802" max="2056" width="9.109375" style="1"/>
    <col min="2057" max="2057" width="22.88671875" style="1" customWidth="1"/>
    <col min="2058" max="2312" width="9.109375" style="1"/>
    <col min="2313" max="2313" width="22.88671875" style="1" customWidth="1"/>
    <col min="2314" max="2568" width="9.109375" style="1"/>
    <col min="2569" max="2569" width="22.88671875" style="1" customWidth="1"/>
    <col min="2570" max="2824" width="9.109375" style="1"/>
    <col min="2825" max="2825" width="22.88671875" style="1" customWidth="1"/>
    <col min="2826" max="3080" width="9.109375" style="1"/>
    <col min="3081" max="3081" width="22.88671875" style="1" customWidth="1"/>
    <col min="3082" max="3336" width="9.109375" style="1"/>
    <col min="3337" max="3337" width="22.88671875" style="1" customWidth="1"/>
    <col min="3338" max="3592" width="9.109375" style="1"/>
    <col min="3593" max="3593" width="22.88671875" style="1" customWidth="1"/>
    <col min="3594" max="3848" width="9.109375" style="1"/>
    <col min="3849" max="3849" width="22.88671875" style="1" customWidth="1"/>
    <col min="3850" max="4104" width="9.109375" style="1"/>
    <col min="4105" max="4105" width="22.88671875" style="1" customWidth="1"/>
    <col min="4106" max="4360" width="9.109375" style="1"/>
    <col min="4361" max="4361" width="22.88671875" style="1" customWidth="1"/>
    <col min="4362" max="4616" width="9.109375" style="1"/>
    <col min="4617" max="4617" width="22.88671875" style="1" customWidth="1"/>
    <col min="4618" max="4872" width="9.109375" style="1"/>
    <col min="4873" max="4873" width="22.88671875" style="1" customWidth="1"/>
    <col min="4874" max="5128" width="9.109375" style="1"/>
    <col min="5129" max="5129" width="22.88671875" style="1" customWidth="1"/>
    <col min="5130" max="5384" width="9.109375" style="1"/>
    <col min="5385" max="5385" width="22.88671875" style="1" customWidth="1"/>
    <col min="5386" max="5640" width="9.109375" style="1"/>
    <col min="5641" max="5641" width="22.88671875" style="1" customWidth="1"/>
    <col min="5642" max="5896" width="9.109375" style="1"/>
    <col min="5897" max="5897" width="22.88671875" style="1" customWidth="1"/>
    <col min="5898" max="6152" width="9.109375" style="1"/>
    <col min="6153" max="6153" width="22.88671875" style="1" customWidth="1"/>
    <col min="6154" max="6408" width="9.109375" style="1"/>
    <col min="6409" max="6409" width="22.88671875" style="1" customWidth="1"/>
    <col min="6410" max="6664" width="9.109375" style="1"/>
    <col min="6665" max="6665" width="22.88671875" style="1" customWidth="1"/>
    <col min="6666" max="6920" width="9.109375" style="1"/>
    <col min="6921" max="6921" width="22.88671875" style="1" customWidth="1"/>
    <col min="6922" max="7176" width="9.109375" style="1"/>
    <col min="7177" max="7177" width="22.88671875" style="1" customWidth="1"/>
    <col min="7178" max="7432" width="9.109375" style="1"/>
    <col min="7433" max="7433" width="22.88671875" style="1" customWidth="1"/>
    <col min="7434" max="7688" width="9.109375" style="1"/>
    <col min="7689" max="7689" width="22.88671875" style="1" customWidth="1"/>
    <col min="7690" max="7944" width="9.109375" style="1"/>
    <col min="7945" max="7945" width="22.88671875" style="1" customWidth="1"/>
    <col min="7946" max="8200" width="9.109375" style="1"/>
    <col min="8201" max="8201" width="22.88671875" style="1" customWidth="1"/>
    <col min="8202" max="8456" width="9.109375" style="1"/>
    <col min="8457" max="8457" width="22.88671875" style="1" customWidth="1"/>
    <col min="8458" max="8712" width="9.109375" style="1"/>
    <col min="8713" max="8713" width="22.88671875" style="1" customWidth="1"/>
    <col min="8714" max="8968" width="9.109375" style="1"/>
    <col min="8969" max="8969" width="22.88671875" style="1" customWidth="1"/>
    <col min="8970" max="9224" width="9.109375" style="1"/>
    <col min="9225" max="9225" width="22.88671875" style="1" customWidth="1"/>
    <col min="9226" max="9480" width="9.109375" style="1"/>
    <col min="9481" max="9481" width="22.88671875" style="1" customWidth="1"/>
    <col min="9482" max="9736" width="9.109375" style="1"/>
    <col min="9737" max="9737" width="22.88671875" style="1" customWidth="1"/>
    <col min="9738" max="9992" width="9.109375" style="1"/>
    <col min="9993" max="9993" width="22.88671875" style="1" customWidth="1"/>
    <col min="9994" max="10248" width="9.109375" style="1"/>
    <col min="10249" max="10249" width="22.88671875" style="1" customWidth="1"/>
    <col min="10250" max="10504" width="9.109375" style="1"/>
    <col min="10505" max="10505" width="22.88671875" style="1" customWidth="1"/>
    <col min="10506" max="10760" width="9.109375" style="1"/>
    <col min="10761" max="10761" width="22.88671875" style="1" customWidth="1"/>
    <col min="10762" max="11016" width="9.109375" style="1"/>
    <col min="11017" max="11017" width="22.88671875" style="1" customWidth="1"/>
    <col min="11018" max="11272" width="9.109375" style="1"/>
    <col min="11273" max="11273" width="22.88671875" style="1" customWidth="1"/>
    <col min="11274" max="11528" width="9.109375" style="1"/>
    <col min="11529" max="11529" width="22.88671875" style="1" customWidth="1"/>
    <col min="11530" max="11784" width="9.109375" style="1"/>
    <col min="11785" max="11785" width="22.88671875" style="1" customWidth="1"/>
    <col min="11786" max="12040" width="9.109375" style="1"/>
    <col min="12041" max="12041" width="22.88671875" style="1" customWidth="1"/>
    <col min="12042" max="12296" width="9.109375" style="1"/>
    <col min="12297" max="12297" width="22.88671875" style="1" customWidth="1"/>
    <col min="12298" max="12552" width="9.109375" style="1"/>
    <col min="12553" max="12553" width="22.88671875" style="1" customWidth="1"/>
    <col min="12554" max="12808" width="9.109375" style="1"/>
    <col min="12809" max="12809" width="22.88671875" style="1" customWidth="1"/>
    <col min="12810" max="13064" width="9.109375" style="1"/>
    <col min="13065" max="13065" width="22.88671875" style="1" customWidth="1"/>
    <col min="13066" max="13320" width="9.109375" style="1"/>
    <col min="13321" max="13321" width="22.88671875" style="1" customWidth="1"/>
    <col min="13322" max="13576" width="9.109375" style="1"/>
    <col min="13577" max="13577" width="22.88671875" style="1" customWidth="1"/>
    <col min="13578" max="13832" width="9.109375" style="1"/>
    <col min="13833" max="13833" width="22.88671875" style="1" customWidth="1"/>
    <col min="13834" max="14088" width="9.109375" style="1"/>
    <col min="14089" max="14089" width="22.88671875" style="1" customWidth="1"/>
    <col min="14090" max="14344" width="9.109375" style="1"/>
    <col min="14345" max="14345" width="22.88671875" style="1" customWidth="1"/>
    <col min="14346" max="14600" width="9.109375" style="1"/>
    <col min="14601" max="14601" width="22.88671875" style="1" customWidth="1"/>
    <col min="14602" max="14856" width="9.109375" style="1"/>
    <col min="14857" max="14857" width="22.88671875" style="1" customWidth="1"/>
    <col min="14858" max="15112" width="9.109375" style="1"/>
    <col min="15113" max="15113" width="22.88671875" style="1" customWidth="1"/>
    <col min="15114" max="15368" width="9.109375" style="1"/>
    <col min="15369" max="15369" width="22.88671875" style="1" customWidth="1"/>
    <col min="15370" max="15624" width="9.109375" style="1"/>
    <col min="15625" max="15625" width="22.88671875" style="1" customWidth="1"/>
    <col min="15626" max="15880" width="9.109375" style="1"/>
    <col min="15881" max="15881" width="22.88671875" style="1" customWidth="1"/>
    <col min="15882" max="16136" width="9.109375" style="1"/>
    <col min="16137" max="16137" width="22.88671875" style="1" customWidth="1"/>
    <col min="16138" max="16384" width="9.109375" style="1"/>
  </cols>
  <sheetData>
    <row r="1" spans="1:24" ht="20.399999999999999" x14ac:dyDescent="0.35">
      <c r="A1" s="21" t="str">
        <f>'Student Info'!$A$1</f>
        <v>Three Rivers - 23-65565-0123737</v>
      </c>
    </row>
    <row r="2" spans="1:24" ht="17.399999999999999" x14ac:dyDescent="0.3">
      <c r="A2" s="20" t="s">
        <v>789</v>
      </c>
      <c r="D2" s="105"/>
      <c r="L2" s="163" t="s">
        <v>1008</v>
      </c>
      <c r="M2" s="164"/>
      <c r="N2" s="164"/>
      <c r="O2" s="164"/>
    </row>
    <row r="3" spans="1:24" ht="17.399999999999999" x14ac:dyDescent="0.3">
      <c r="A3" s="20" t="s">
        <v>1266</v>
      </c>
      <c r="D3" s="30">
        <f>42210/(10189+42210+52399)</f>
        <v>0.40277486211568925</v>
      </c>
      <c r="L3" s="282">
        <v>2.35E-2</v>
      </c>
      <c r="M3" s="282">
        <v>2.5700000000000001E-2</v>
      </c>
      <c r="N3" s="282">
        <v>2.5700000000000001E-2</v>
      </c>
      <c r="O3" s="282">
        <v>2.5700000000000001E-2</v>
      </c>
    </row>
    <row r="4" spans="1:24" ht="9.75" customHeight="1" x14ac:dyDescent="0.3">
      <c r="R4" s="74"/>
    </row>
    <row r="5" spans="1:24" ht="17.399999999999999" x14ac:dyDescent="0.3">
      <c r="A5" s="28"/>
      <c r="B5" s="28"/>
      <c r="C5" s="28" t="s">
        <v>1267</v>
      </c>
      <c r="D5" s="303">
        <f>SUM('Student Info'!D56)</f>
        <v>78.19</v>
      </c>
      <c r="E5" s="306">
        <f>SUM('Student Info'!E56)</f>
        <v>79.05</v>
      </c>
      <c r="F5" s="46"/>
      <c r="G5" s="306">
        <f>SUM('Student Info'!F56)</f>
        <v>86.72</v>
      </c>
      <c r="H5" s="306">
        <f>SUM('Student Info'!G56)</f>
        <v>88.58</v>
      </c>
      <c r="I5" s="306">
        <f>SUM('Student Info'!H56)</f>
        <v>92.34</v>
      </c>
      <c r="J5" s="46"/>
      <c r="K5" s="166" t="s">
        <v>1009</v>
      </c>
      <c r="L5" s="164"/>
      <c r="M5" s="164"/>
      <c r="N5" s="164"/>
      <c r="O5" s="164"/>
    </row>
    <row r="6" spans="1:24" s="30" customFormat="1" ht="18" thickBot="1" x14ac:dyDescent="0.35">
      <c r="A6" s="29"/>
      <c r="B6" s="29" t="s">
        <v>0</v>
      </c>
      <c r="C6" s="29"/>
      <c r="D6" s="31" t="str">
        <f>'Student Info'!D$6</f>
        <v>2020-21</v>
      </c>
      <c r="E6" s="31" t="str">
        <f>'Student Info'!E$6</f>
        <v>2021-22</v>
      </c>
      <c r="F6" s="46"/>
      <c r="G6" s="31" t="str">
        <f>'Student Info'!F$6</f>
        <v>2022-23</v>
      </c>
      <c r="H6" s="31" t="str">
        <f>'Student Info'!G$6</f>
        <v>2023-24</v>
      </c>
      <c r="I6" s="31" t="str">
        <f>'Student Info'!H$6</f>
        <v>2024-25</v>
      </c>
      <c r="J6" s="46"/>
      <c r="K6" s="31" t="str">
        <f>D6</f>
        <v>2020-21</v>
      </c>
      <c r="L6" s="31" t="str">
        <f>E6</f>
        <v>2021-22</v>
      </c>
      <c r="M6" s="31" t="str">
        <f>G6</f>
        <v>2022-23</v>
      </c>
      <c r="N6" s="31" t="str">
        <f>H6</f>
        <v>2023-24</v>
      </c>
      <c r="O6" s="31" t="str">
        <f>I6</f>
        <v>2024-25</v>
      </c>
      <c r="S6" s="1"/>
      <c r="T6" s="1"/>
      <c r="U6" s="1"/>
    </row>
    <row r="7" spans="1:24" s="30" customFormat="1" ht="17.399999999999999" x14ac:dyDescent="0.3">
      <c r="A7" s="66" t="s">
        <v>777</v>
      </c>
      <c r="B7" s="48"/>
      <c r="C7" s="150"/>
      <c r="D7" s="49" t="s">
        <v>1317</v>
      </c>
      <c r="E7" s="49" t="str">
        <f>D7</f>
        <v>FCMAT 12/14</v>
      </c>
      <c r="F7" s="49"/>
      <c r="G7" s="49" t="str">
        <f>E7</f>
        <v>FCMAT 12/14</v>
      </c>
      <c r="H7" s="49" t="str">
        <f>G7</f>
        <v>FCMAT 12/14</v>
      </c>
      <c r="I7" s="49" t="str">
        <f>H7</f>
        <v>FCMAT 12/14</v>
      </c>
      <c r="J7" s="49"/>
      <c r="L7" s="150"/>
      <c r="M7" s="150"/>
      <c r="N7" s="150"/>
      <c r="O7" s="150"/>
      <c r="P7" s="213"/>
      <c r="S7" s="1"/>
      <c r="T7" s="1"/>
      <c r="U7" s="1"/>
    </row>
    <row r="8" spans="1:24" s="30" customFormat="1" x14ac:dyDescent="0.3">
      <c r="A8" s="48"/>
      <c r="B8" s="283">
        <v>8011</v>
      </c>
      <c r="C8" s="128" t="s">
        <v>1184</v>
      </c>
      <c r="D8" s="310">
        <v>413634</v>
      </c>
      <c r="E8" s="337">
        <v>403576</v>
      </c>
      <c r="F8" s="79"/>
      <c r="G8" s="324">
        <v>474388</v>
      </c>
      <c r="H8" s="324">
        <v>514146</v>
      </c>
      <c r="I8" s="324">
        <v>553275.71099999989</v>
      </c>
      <c r="J8" s="79"/>
      <c r="K8" s="343" t="s">
        <v>1197</v>
      </c>
      <c r="L8" s="344"/>
      <c r="M8" s="344"/>
      <c r="N8" s="344"/>
      <c r="O8" s="345"/>
      <c r="P8" s="52" t="s">
        <v>1255</v>
      </c>
      <c r="R8" s="75"/>
      <c r="S8" s="1"/>
      <c r="T8" s="1"/>
      <c r="U8" s="1"/>
      <c r="V8" s="1"/>
      <c r="W8" s="1"/>
      <c r="X8" s="76"/>
    </row>
    <row r="9" spans="1:24" s="30" customFormat="1" x14ac:dyDescent="0.3">
      <c r="A9" s="48"/>
      <c r="B9" s="283">
        <v>8012</v>
      </c>
      <c r="C9" s="128" t="s">
        <v>1185</v>
      </c>
      <c r="D9" s="310">
        <v>136247</v>
      </c>
      <c r="E9" s="337">
        <v>61954</v>
      </c>
      <c r="F9" s="79"/>
      <c r="G9" s="324">
        <v>80740</v>
      </c>
      <c r="H9" s="325">
        <v>90730</v>
      </c>
      <c r="I9" s="324">
        <v>110924.28900000005</v>
      </c>
      <c r="J9" s="79"/>
      <c r="K9" s="346"/>
      <c r="L9" s="347"/>
      <c r="M9" s="347"/>
      <c r="N9" s="347"/>
      <c r="O9" s="348"/>
      <c r="P9" s="52" t="s">
        <v>1255</v>
      </c>
      <c r="Q9" s="209"/>
      <c r="R9" s="75"/>
      <c r="S9" s="1"/>
      <c r="T9" s="1"/>
      <c r="U9" s="1"/>
    </row>
    <row r="10" spans="1:24" s="30" customFormat="1" x14ac:dyDescent="0.3">
      <c r="A10" s="48"/>
      <c r="B10" s="131">
        <v>8096</v>
      </c>
      <c r="C10" s="130" t="s">
        <v>1186</v>
      </c>
      <c r="D10" s="310">
        <v>349761</v>
      </c>
      <c r="E10" s="335">
        <v>362612</v>
      </c>
      <c r="F10" s="79"/>
      <c r="G10" s="286">
        <v>385020</v>
      </c>
      <c r="H10" s="286">
        <v>385020</v>
      </c>
      <c r="I10" s="286">
        <v>385020</v>
      </c>
      <c r="J10" s="79"/>
      <c r="K10" s="215">
        <v>4089</v>
      </c>
      <c r="L10" s="215">
        <f>$K$10</f>
        <v>4089</v>
      </c>
      <c r="M10" s="215">
        <f>$K$10</f>
        <v>4089</v>
      </c>
      <c r="N10" s="215">
        <f>$K$10</f>
        <v>4089</v>
      </c>
      <c r="O10" s="215">
        <f>$K$10</f>
        <v>4089</v>
      </c>
      <c r="P10" s="52" t="s">
        <v>793</v>
      </c>
      <c r="R10" s="75"/>
      <c r="S10" s="1"/>
      <c r="T10" s="1"/>
      <c r="U10" s="1"/>
    </row>
    <row r="11" spans="1:24" s="30" customFormat="1" x14ac:dyDescent="0.3">
      <c r="A11" s="48"/>
      <c r="B11" s="283">
        <v>8019</v>
      </c>
      <c r="C11" s="128" t="s">
        <v>827</v>
      </c>
      <c r="D11" s="286"/>
      <c r="E11" s="60"/>
      <c r="F11" s="79"/>
      <c r="G11" s="60"/>
      <c r="H11" s="60"/>
      <c r="I11" s="60"/>
      <c r="J11" s="79"/>
      <c r="K11" s="54"/>
      <c r="L11" s="54"/>
      <c r="M11" s="54"/>
      <c r="N11" s="54"/>
      <c r="O11" s="54"/>
      <c r="P11" s="52"/>
      <c r="R11" s="75"/>
      <c r="S11" s="1"/>
      <c r="T11" s="1"/>
      <c r="U11" s="1"/>
      <c r="V11" s="1"/>
      <c r="W11" s="1"/>
    </row>
    <row r="12" spans="1:24" s="30" customFormat="1" ht="17.399999999999999" x14ac:dyDescent="0.3">
      <c r="A12" s="45"/>
      <c r="B12" s="338" t="s">
        <v>1252</v>
      </c>
      <c r="C12" s="33"/>
      <c r="D12" s="165">
        <f>SUM(D8:D11)</f>
        <v>899642</v>
      </c>
      <c r="E12" s="165">
        <f>SUM(E8:E11)</f>
        <v>828142</v>
      </c>
      <c r="F12" s="80"/>
      <c r="G12" s="165">
        <f>SUM(G8:G11)</f>
        <v>940148</v>
      </c>
      <c r="H12" s="165">
        <f>SUM(H8:H11)</f>
        <v>989896</v>
      </c>
      <c r="I12" s="165">
        <f>SUM(I8:I11)</f>
        <v>1049220</v>
      </c>
      <c r="J12" s="80"/>
      <c r="K12" s="44"/>
      <c r="L12" s="44"/>
      <c r="M12" s="44"/>
      <c r="N12" s="44"/>
      <c r="O12" s="44"/>
      <c r="P12" s="48"/>
      <c r="S12" s="1"/>
      <c r="T12" s="1"/>
      <c r="U12" s="1"/>
    </row>
    <row r="13" spans="1:24" s="30" customFormat="1" ht="6.75" customHeight="1" x14ac:dyDescent="0.3">
      <c r="A13" s="45"/>
      <c r="B13" s="68"/>
      <c r="C13" s="48"/>
      <c r="D13" s="228"/>
      <c r="E13" s="228"/>
      <c r="F13" s="64"/>
      <c r="G13" s="228"/>
      <c r="H13" s="228"/>
      <c r="I13" s="228"/>
      <c r="J13" s="64"/>
      <c r="K13" s="64"/>
      <c r="L13" s="64"/>
      <c r="M13" s="64"/>
      <c r="N13" s="64"/>
      <c r="O13" s="64"/>
      <c r="P13" s="48"/>
      <c r="Q13" s="67"/>
      <c r="S13" s="1"/>
      <c r="T13" s="1"/>
      <c r="U13" s="1"/>
    </row>
    <row r="14" spans="1:24" s="30" customFormat="1" ht="17.399999999999999" x14ac:dyDescent="0.3">
      <c r="A14" s="45" t="s">
        <v>781</v>
      </c>
      <c r="B14" s="48"/>
      <c r="C14" s="48"/>
      <c r="D14" s="228"/>
      <c r="E14" s="228"/>
      <c r="F14" s="64"/>
      <c r="G14" s="228"/>
      <c r="H14" s="228"/>
      <c r="I14" s="228"/>
      <c r="J14" s="64"/>
      <c r="K14" s="64"/>
      <c r="L14" s="64"/>
      <c r="M14" s="64"/>
      <c r="N14" s="64"/>
      <c r="O14" s="64"/>
      <c r="P14" s="67"/>
      <c r="Q14" s="67"/>
      <c r="R14" s="67"/>
      <c r="S14" s="60"/>
      <c r="T14" s="1"/>
      <c r="U14" s="1"/>
    </row>
    <row r="15" spans="1:24" s="30" customFormat="1" ht="17.399999999999999" x14ac:dyDescent="0.3">
      <c r="A15" s="45"/>
      <c r="B15" s="131">
        <v>8181</v>
      </c>
      <c r="C15" s="130" t="s">
        <v>1250</v>
      </c>
      <c r="D15" s="60">
        <v>0</v>
      </c>
      <c r="E15" s="60"/>
      <c r="F15" s="79"/>
      <c r="G15" s="60"/>
      <c r="H15" s="60"/>
      <c r="I15" s="60"/>
      <c r="J15" s="79"/>
      <c r="K15" s="208">
        <v>0</v>
      </c>
      <c r="L15" s="208">
        <v>0</v>
      </c>
      <c r="M15" s="208">
        <v>0</v>
      </c>
      <c r="N15" s="208">
        <v>0</v>
      </c>
      <c r="O15" s="208">
        <v>0</v>
      </c>
      <c r="P15" s="52"/>
      <c r="R15" s="67"/>
      <c r="S15" s="60"/>
      <c r="T15" s="1"/>
      <c r="U15" s="1"/>
    </row>
    <row r="16" spans="1:24" s="30" customFormat="1" ht="17.399999999999999" x14ac:dyDescent="0.3">
      <c r="A16" s="45"/>
      <c r="B16" s="131">
        <v>8220</v>
      </c>
      <c r="C16" s="130" t="s">
        <v>1269</v>
      </c>
      <c r="D16" s="286"/>
      <c r="E16" s="60"/>
      <c r="F16" s="79"/>
      <c r="G16" s="60"/>
      <c r="H16" s="60"/>
      <c r="I16" s="60"/>
      <c r="J16" s="79"/>
      <c r="K16" s="208"/>
      <c r="L16" s="208"/>
      <c r="M16" s="208"/>
      <c r="N16" s="208"/>
      <c r="O16" s="208"/>
      <c r="P16" s="52"/>
      <c r="R16" s="67" t="s">
        <v>1334</v>
      </c>
      <c r="S16" s="79">
        <v>3220</v>
      </c>
      <c r="T16" s="1"/>
      <c r="U16" s="1"/>
    </row>
    <row r="17" spans="1:21" s="30" customFormat="1" x14ac:dyDescent="0.3">
      <c r="A17" s="48"/>
      <c r="B17" s="131">
        <v>8290</v>
      </c>
      <c r="C17" s="130" t="s">
        <v>1339</v>
      </c>
      <c r="D17" s="321">
        <f>3220+64450</f>
        <v>67670</v>
      </c>
      <c r="E17" s="60"/>
      <c r="F17" s="79"/>
      <c r="G17" s="60"/>
      <c r="H17" s="60"/>
      <c r="I17" s="60"/>
      <c r="J17" s="79"/>
      <c r="K17" s="229"/>
      <c r="L17" s="57"/>
      <c r="M17" s="57"/>
      <c r="N17" s="57"/>
      <c r="O17" s="57"/>
      <c r="P17" s="52"/>
      <c r="R17" s="30" t="s">
        <v>1335</v>
      </c>
      <c r="S17" s="1">
        <v>26406</v>
      </c>
      <c r="T17" s="1"/>
      <c r="U17" s="1"/>
    </row>
    <row r="18" spans="1:21" s="30" customFormat="1" x14ac:dyDescent="0.3">
      <c r="A18" s="48"/>
      <c r="B18" s="131">
        <v>8290</v>
      </c>
      <c r="C18" s="130" t="s">
        <v>1335</v>
      </c>
      <c r="D18" s="321">
        <v>26406</v>
      </c>
      <c r="E18" s="60"/>
      <c r="F18" s="79"/>
      <c r="G18" s="60"/>
      <c r="H18" s="60"/>
      <c r="I18" s="60"/>
      <c r="J18" s="79"/>
      <c r="K18" s="229"/>
      <c r="L18" s="57"/>
      <c r="M18" s="57"/>
      <c r="N18" s="57"/>
      <c r="O18" s="57"/>
      <c r="P18" s="52"/>
      <c r="S18" s="1"/>
      <c r="T18" s="1"/>
      <c r="U18" s="1"/>
    </row>
    <row r="19" spans="1:21" s="30" customFormat="1" x14ac:dyDescent="0.3">
      <c r="A19" s="48"/>
      <c r="B19" s="131">
        <v>8290</v>
      </c>
      <c r="C19" s="130" t="s">
        <v>1336</v>
      </c>
      <c r="D19" s="327">
        <v>10189</v>
      </c>
      <c r="E19" s="336">
        <f>52399-10189</f>
        <v>42210</v>
      </c>
      <c r="F19" s="79"/>
      <c r="G19" s="60">
        <f>104798/2</f>
        <v>52399</v>
      </c>
      <c r="H19" s="60"/>
      <c r="I19" s="60"/>
      <c r="J19" s="79"/>
      <c r="K19" s="229"/>
      <c r="L19" s="57"/>
      <c r="M19" s="57"/>
      <c r="N19" s="57"/>
      <c r="O19" s="57"/>
      <c r="P19" s="52"/>
      <c r="S19" s="1"/>
      <c r="T19" s="1"/>
      <c r="U19" s="1"/>
    </row>
    <row r="20" spans="1:21" s="30" customFormat="1" x14ac:dyDescent="0.3">
      <c r="A20" s="48"/>
      <c r="B20" s="131">
        <v>8290</v>
      </c>
      <c r="C20" s="130" t="s">
        <v>1338</v>
      </c>
      <c r="D20" s="321"/>
      <c r="E20" s="60"/>
      <c r="F20" s="79"/>
      <c r="G20" s="60">
        <f>234701/2</f>
        <v>117350.5</v>
      </c>
      <c r="H20" s="60">
        <f>234701/2</f>
        <v>117350.5</v>
      </c>
      <c r="I20" s="60"/>
      <c r="J20" s="79"/>
      <c r="K20" s="229"/>
      <c r="L20" s="57"/>
      <c r="M20" s="57"/>
      <c r="N20" s="57"/>
      <c r="O20" s="57"/>
      <c r="P20" s="52"/>
      <c r="S20" s="1"/>
      <c r="T20" s="1"/>
      <c r="U20" s="1"/>
    </row>
    <row r="21" spans="1:21" s="30" customFormat="1" ht="17.399999999999999" x14ac:dyDescent="0.3">
      <c r="A21" s="28"/>
      <c r="B21" s="283">
        <v>8291</v>
      </c>
      <c r="C21" s="128" t="s">
        <v>783</v>
      </c>
      <c r="D21" s="60">
        <v>33114</v>
      </c>
      <c r="E21" s="335">
        <v>30757</v>
      </c>
      <c r="F21" s="79"/>
      <c r="G21" s="60">
        <v>31887</v>
      </c>
      <c r="H21" s="60">
        <v>31887</v>
      </c>
      <c r="I21" s="60">
        <v>31887</v>
      </c>
      <c r="J21" s="79"/>
      <c r="K21" s="208"/>
      <c r="L21" s="225"/>
      <c r="M21" s="225"/>
      <c r="N21" s="225"/>
      <c r="O21" s="225"/>
      <c r="P21" s="52" t="s">
        <v>779</v>
      </c>
      <c r="R21" s="30" t="s">
        <v>1328</v>
      </c>
      <c r="S21" s="1">
        <v>64450</v>
      </c>
      <c r="T21" s="1"/>
      <c r="U21" s="1"/>
    </row>
    <row r="22" spans="1:21" s="30" customFormat="1" ht="17.399999999999999" x14ac:dyDescent="0.3">
      <c r="A22" s="45"/>
      <c r="B22" s="283">
        <v>8292</v>
      </c>
      <c r="C22" s="128" t="s">
        <v>784</v>
      </c>
      <c r="D22" s="60">
        <v>3708</v>
      </c>
      <c r="E22" s="335">
        <v>3414</v>
      </c>
      <c r="F22" s="79"/>
      <c r="G22" s="60">
        <v>4560</v>
      </c>
      <c r="H22" s="60">
        <v>4560</v>
      </c>
      <c r="I22" s="60">
        <v>4560</v>
      </c>
      <c r="J22" s="79"/>
      <c r="K22" s="208"/>
      <c r="L22" s="225"/>
      <c r="M22" s="225"/>
      <c r="N22" s="225"/>
      <c r="O22" s="225"/>
      <c r="P22" s="52" t="s">
        <v>779</v>
      </c>
      <c r="R22" s="30" t="s">
        <v>1336</v>
      </c>
      <c r="S22" s="1">
        <v>104798</v>
      </c>
      <c r="T22" s="1"/>
      <c r="U22" s="1"/>
    </row>
    <row r="23" spans="1:21" s="30" customFormat="1" ht="17.399999999999999" x14ac:dyDescent="0.3">
      <c r="A23" s="45"/>
      <c r="B23" s="283">
        <v>8293</v>
      </c>
      <c r="C23" s="128" t="s">
        <v>785</v>
      </c>
      <c r="D23" s="60"/>
      <c r="E23" s="60"/>
      <c r="F23" s="79"/>
      <c r="G23" s="60"/>
      <c r="H23" s="60"/>
      <c r="I23" s="60"/>
      <c r="J23" s="79"/>
      <c r="K23" s="208"/>
      <c r="L23" s="225"/>
      <c r="M23" s="225"/>
      <c r="N23" s="225"/>
      <c r="O23" s="225"/>
      <c r="P23" s="52" t="s">
        <v>779</v>
      </c>
      <c r="R23" s="30" t="s">
        <v>1338</v>
      </c>
      <c r="S23" s="1">
        <v>234701</v>
      </c>
      <c r="T23" s="1"/>
      <c r="U23" s="1"/>
    </row>
    <row r="24" spans="1:21" s="30" customFormat="1" ht="17.399999999999999" x14ac:dyDescent="0.3">
      <c r="A24" s="45"/>
      <c r="B24" s="283">
        <v>8294</v>
      </c>
      <c r="C24" s="128" t="s">
        <v>786</v>
      </c>
      <c r="D24" s="60">
        <v>10000</v>
      </c>
      <c r="E24" s="335">
        <v>10000</v>
      </c>
      <c r="F24" s="79"/>
      <c r="G24" s="60">
        <v>10000</v>
      </c>
      <c r="H24" s="60">
        <v>10000</v>
      </c>
      <c r="I24" s="60">
        <v>10000</v>
      </c>
      <c r="J24" s="79"/>
      <c r="K24" s="54"/>
      <c r="L24" s="54"/>
      <c r="M24" s="54"/>
      <c r="N24" s="54"/>
      <c r="O24" s="54"/>
      <c r="P24" s="52" t="s">
        <v>779</v>
      </c>
      <c r="S24" s="1"/>
      <c r="T24" s="1"/>
      <c r="U24" s="1"/>
    </row>
    <row r="25" spans="1:21" s="30" customFormat="1" ht="17.399999999999999" x14ac:dyDescent="0.3">
      <c r="A25" s="45"/>
      <c r="B25" s="283">
        <v>8295</v>
      </c>
      <c r="C25" s="128" t="s">
        <v>787</v>
      </c>
      <c r="D25" s="60"/>
      <c r="E25" s="60"/>
      <c r="F25" s="79"/>
      <c r="G25" s="60"/>
      <c r="H25" s="60"/>
      <c r="I25" s="60"/>
      <c r="J25" s="79"/>
      <c r="K25" s="57"/>
      <c r="L25" s="57"/>
      <c r="M25" s="57"/>
      <c r="N25" s="57"/>
      <c r="O25" s="57"/>
      <c r="P25" s="52" t="s">
        <v>779</v>
      </c>
      <c r="R25" s="30" t="s">
        <v>1337</v>
      </c>
      <c r="S25" s="1">
        <v>7631</v>
      </c>
      <c r="T25" s="1"/>
      <c r="U25" s="1"/>
    </row>
    <row r="26" spans="1:21" s="30" customFormat="1" ht="17.399999999999999" x14ac:dyDescent="0.3">
      <c r="A26" s="45"/>
      <c r="B26" s="283">
        <v>8299</v>
      </c>
      <c r="C26" s="128" t="s">
        <v>1036</v>
      </c>
      <c r="D26" s="60"/>
      <c r="E26" s="60"/>
      <c r="F26" s="79"/>
      <c r="G26" s="60"/>
      <c r="H26" s="60"/>
      <c r="I26" s="60"/>
      <c r="J26" s="79"/>
      <c r="K26" s="57"/>
      <c r="L26" s="57"/>
      <c r="M26" s="57"/>
      <c r="N26" s="57"/>
      <c r="O26" s="57"/>
      <c r="P26" s="52" t="s">
        <v>788</v>
      </c>
      <c r="S26" s="1"/>
      <c r="T26" s="1"/>
      <c r="U26" s="1"/>
    </row>
    <row r="27" spans="1:21" s="30" customFormat="1" ht="17.399999999999999" x14ac:dyDescent="0.3">
      <c r="A27" s="45"/>
      <c r="B27" s="69" t="s">
        <v>791</v>
      </c>
      <c r="C27" s="33"/>
      <c r="D27" s="165">
        <f>SUM(D15:D26)</f>
        <v>151087</v>
      </c>
      <c r="E27" s="165">
        <f>SUM(E15:E26)</f>
        <v>86381</v>
      </c>
      <c r="F27" s="80"/>
      <c r="G27" s="165">
        <f>SUM(G15:G26)</f>
        <v>216196.5</v>
      </c>
      <c r="H27" s="165">
        <f>SUM(H15:H26)</f>
        <v>163797.5</v>
      </c>
      <c r="I27" s="165">
        <f>SUM(I15:I26)</f>
        <v>46447</v>
      </c>
      <c r="J27" s="80"/>
      <c r="K27" s="64"/>
      <c r="L27" s="64"/>
      <c r="M27" s="64"/>
      <c r="N27" s="64"/>
      <c r="O27" s="64"/>
      <c r="P27" s="48"/>
      <c r="S27" s="1"/>
      <c r="T27" s="1"/>
      <c r="U27" s="1"/>
    </row>
    <row r="28" spans="1:21" s="30" customFormat="1" ht="17.399999999999999" x14ac:dyDescent="0.3">
      <c r="A28" s="66" t="s">
        <v>777</v>
      </c>
      <c r="B28" s="48"/>
      <c r="C28" s="150"/>
      <c r="D28" s="49"/>
      <c r="E28" s="49"/>
      <c r="F28" s="49"/>
      <c r="G28" s="49"/>
      <c r="H28" s="49"/>
      <c r="I28" s="49"/>
      <c r="J28" s="49"/>
      <c r="L28" s="150"/>
      <c r="M28" s="150"/>
      <c r="N28" s="150"/>
      <c r="O28" s="150"/>
      <c r="P28" s="213"/>
      <c r="S28" s="1"/>
      <c r="T28" s="1"/>
      <c r="U28" s="1"/>
    </row>
    <row r="29" spans="1:21" s="30" customFormat="1" ht="5.25" customHeight="1" x14ac:dyDescent="0.3">
      <c r="A29" s="45"/>
      <c r="B29" s="68"/>
      <c r="C29" s="48"/>
      <c r="D29" s="228"/>
      <c r="E29" s="228"/>
      <c r="F29" s="64"/>
      <c r="G29" s="228"/>
      <c r="H29" s="228"/>
      <c r="I29" s="228"/>
      <c r="J29" s="64"/>
      <c r="K29" s="64"/>
      <c r="L29" s="64"/>
      <c r="M29" s="64"/>
      <c r="N29" s="64"/>
      <c r="O29" s="64"/>
      <c r="P29" s="48"/>
      <c r="Q29" s="67"/>
      <c r="S29" s="1"/>
      <c r="T29" s="1"/>
      <c r="U29" s="1"/>
    </row>
    <row r="30" spans="1:21" s="30" customFormat="1" x14ac:dyDescent="0.3">
      <c r="A30" s="48"/>
      <c r="B30" s="283">
        <v>8520</v>
      </c>
      <c r="C30" s="275" t="s">
        <v>622</v>
      </c>
      <c r="D30" s="232"/>
      <c r="E30" s="232"/>
      <c r="F30" s="79"/>
      <c r="G30" s="232"/>
      <c r="H30" s="232"/>
      <c r="I30" s="232"/>
      <c r="J30" s="79"/>
      <c r="K30" s="208">
        <v>16.86</v>
      </c>
      <c r="L30" s="208">
        <v>17.37</v>
      </c>
      <c r="M30" s="208">
        <v>17.86</v>
      </c>
      <c r="N30" s="208">
        <v>18.420000000000002</v>
      </c>
      <c r="O30" s="208">
        <f>N30*(1+O3)</f>
        <v>18.893394000000004</v>
      </c>
      <c r="P30" s="52"/>
      <c r="S30" s="1"/>
      <c r="T30" s="1"/>
      <c r="U30" s="1"/>
    </row>
    <row r="31" spans="1:21" s="30" customFormat="1" x14ac:dyDescent="0.3">
      <c r="A31" s="48"/>
      <c r="B31" s="283">
        <v>8550</v>
      </c>
      <c r="C31" s="275" t="s">
        <v>1198</v>
      </c>
      <c r="D31" s="286">
        <f>D5*$K31</f>
        <v>3664.7652999999996</v>
      </c>
      <c r="E31" s="335">
        <f>E5*$K31</f>
        <v>3705.0734999999995</v>
      </c>
      <c r="F31" s="79"/>
      <c r="G31" s="286">
        <f>G5*$K31</f>
        <v>4064.5663999999997</v>
      </c>
      <c r="H31" s="286">
        <f>H5*$K31</f>
        <v>4151.7446</v>
      </c>
      <c r="I31" s="286">
        <f>I5*$K31</f>
        <v>4327.9758000000002</v>
      </c>
      <c r="J31" s="79"/>
      <c r="K31" s="208">
        <v>46.87</v>
      </c>
      <c r="L31" s="208">
        <v>47.94</v>
      </c>
      <c r="M31" s="208">
        <v>49.24</v>
      </c>
      <c r="N31" s="208">
        <v>50.63</v>
      </c>
      <c r="O31" s="208">
        <v>52.06</v>
      </c>
      <c r="P31" s="52"/>
      <c r="R31" s="30" t="s">
        <v>1318</v>
      </c>
      <c r="S31" s="1"/>
      <c r="T31" s="1"/>
      <c r="U31" s="1"/>
    </row>
    <row r="32" spans="1:21" s="30" customFormat="1" x14ac:dyDescent="0.3">
      <c r="A32" s="48"/>
      <c r="B32" s="283">
        <v>8560</v>
      </c>
      <c r="C32" s="275" t="s">
        <v>778</v>
      </c>
      <c r="D32" s="232">
        <f>D5*K32</f>
        <v>11728.5</v>
      </c>
      <c r="E32" s="335">
        <f>E5*L32</f>
        <v>12885.15</v>
      </c>
      <c r="F32" s="79"/>
      <c r="G32" s="232">
        <f t="shared" ref="G32:I32" si="0">G5*M32</f>
        <v>14135.36</v>
      </c>
      <c r="H32" s="232">
        <f t="shared" si="0"/>
        <v>14438.539999999999</v>
      </c>
      <c r="I32" s="232">
        <f t="shared" si="0"/>
        <v>15051.42</v>
      </c>
      <c r="J32" s="79"/>
      <c r="K32" s="208">
        <v>150</v>
      </c>
      <c r="L32" s="208">
        <v>163</v>
      </c>
      <c r="M32" s="208">
        <v>163</v>
      </c>
      <c r="N32" s="208">
        <v>163</v>
      </c>
      <c r="O32" s="208">
        <v>163</v>
      </c>
      <c r="P32" s="52" t="s">
        <v>1007</v>
      </c>
      <c r="R32" s="30" t="s">
        <v>1319</v>
      </c>
      <c r="S32" s="1">
        <v>1148.5</v>
      </c>
      <c r="T32" s="1"/>
      <c r="U32" s="1"/>
    </row>
    <row r="33" spans="1:21" s="30" customFormat="1" x14ac:dyDescent="0.3">
      <c r="A33" s="48"/>
      <c r="B33" s="283">
        <v>8560</v>
      </c>
      <c r="C33" s="275" t="s">
        <v>1254</v>
      </c>
      <c r="D33" s="232">
        <f>D5*K33</f>
        <v>3831.31</v>
      </c>
      <c r="E33" s="335">
        <f>E$5*K34</f>
        <v>3826.0199999999995</v>
      </c>
      <c r="F33" s="79"/>
      <c r="G33" s="232">
        <f t="shared" ref="G33:I33" si="1">G$5*L34</f>
        <v>4197.2479999999996</v>
      </c>
      <c r="H33" s="232">
        <f t="shared" si="1"/>
        <v>4287.2719999999999</v>
      </c>
      <c r="I33" s="232">
        <f t="shared" si="1"/>
        <v>4469.2560000000003</v>
      </c>
      <c r="J33" s="79"/>
      <c r="K33" s="208">
        <v>49</v>
      </c>
      <c r="L33" s="208">
        <v>55</v>
      </c>
      <c r="M33" s="208">
        <v>55</v>
      </c>
      <c r="N33" s="208">
        <v>55</v>
      </c>
      <c r="O33" s="208">
        <v>55</v>
      </c>
      <c r="P33" s="52" t="s">
        <v>1007</v>
      </c>
      <c r="R33" s="30" t="s">
        <v>1320</v>
      </c>
      <c r="S33" s="1">
        <v>1220.49</v>
      </c>
      <c r="T33" s="1"/>
      <c r="U33" s="1"/>
    </row>
    <row r="34" spans="1:21" s="30" customFormat="1" x14ac:dyDescent="0.3">
      <c r="A34" s="48"/>
      <c r="B34" s="283">
        <v>8590</v>
      </c>
      <c r="C34" s="275" t="s">
        <v>1322</v>
      </c>
      <c r="D34" s="232">
        <v>7631</v>
      </c>
      <c r="E34" s="232"/>
      <c r="F34" s="79"/>
      <c r="G34" s="232"/>
      <c r="H34" s="232"/>
      <c r="I34" s="232"/>
      <c r="J34" s="79"/>
      <c r="K34" s="208">
        <v>48.4</v>
      </c>
      <c r="L34" s="208">
        <f>K34*(1+L4)</f>
        <v>48.4</v>
      </c>
      <c r="M34" s="208">
        <f>L34*(1+M4)</f>
        <v>48.4</v>
      </c>
      <c r="N34" s="208">
        <f>M34*(1+N4)</f>
        <v>48.4</v>
      </c>
      <c r="O34" s="208">
        <f>N34*(1+O4)</f>
        <v>48.4</v>
      </c>
      <c r="P34" s="52"/>
      <c r="S34" s="318">
        <f>SUM(S32:S33)</f>
        <v>2368.9899999999998</v>
      </c>
      <c r="T34" s="1"/>
      <c r="U34" s="1"/>
    </row>
    <row r="35" spans="1:21" s="30" customFormat="1" x14ac:dyDescent="0.3">
      <c r="A35" s="48"/>
      <c r="B35" s="283">
        <v>8590</v>
      </c>
      <c r="C35" s="275" t="s">
        <v>1340</v>
      </c>
      <c r="D35" s="232"/>
      <c r="E35" s="335">
        <v>33565</v>
      </c>
      <c r="F35" s="79"/>
      <c r="G35" s="232"/>
      <c r="H35" s="232"/>
      <c r="I35" s="232"/>
      <c r="J35" s="79"/>
      <c r="K35" s="208"/>
      <c r="L35" s="208"/>
      <c r="M35" s="208"/>
      <c r="N35" s="208"/>
      <c r="O35" s="208"/>
      <c r="P35" s="52"/>
      <c r="S35" s="318"/>
      <c r="T35" s="1"/>
      <c r="U35" s="1"/>
    </row>
    <row r="36" spans="1:21" s="30" customFormat="1" x14ac:dyDescent="0.3">
      <c r="A36" s="48"/>
      <c r="B36" s="283">
        <v>8590</v>
      </c>
      <c r="C36" s="275" t="s">
        <v>1341</v>
      </c>
      <c r="D36" s="232"/>
      <c r="E36" s="335">
        <v>62213</v>
      </c>
      <c r="F36" s="79"/>
      <c r="G36" s="232"/>
      <c r="H36" s="232"/>
      <c r="I36" s="232"/>
      <c r="J36" s="79"/>
      <c r="K36" s="208"/>
      <c r="L36" s="208"/>
      <c r="M36" s="208"/>
      <c r="N36" s="208"/>
      <c r="O36" s="208"/>
      <c r="P36" s="52"/>
      <c r="S36" s="318"/>
      <c r="T36" s="1"/>
      <c r="U36" s="1"/>
    </row>
    <row r="37" spans="1:21" s="30" customFormat="1" x14ac:dyDescent="0.3">
      <c r="A37" s="48"/>
      <c r="B37" s="283">
        <v>8591</v>
      </c>
      <c r="C37" s="275" t="s">
        <v>1287</v>
      </c>
      <c r="D37" s="286">
        <v>34650</v>
      </c>
      <c r="E37" s="335">
        <v>34650</v>
      </c>
      <c r="F37" s="79"/>
      <c r="G37" s="286">
        <v>34650</v>
      </c>
      <c r="H37" s="286">
        <v>34650</v>
      </c>
      <c r="I37" s="286">
        <v>34650</v>
      </c>
      <c r="J37" s="79"/>
      <c r="K37" s="54"/>
      <c r="L37" s="54"/>
      <c r="M37" s="54"/>
      <c r="N37" s="54"/>
      <c r="O37" s="54"/>
      <c r="P37" s="52"/>
      <c r="S37" s="1"/>
      <c r="T37" s="1"/>
      <c r="U37" s="1"/>
    </row>
    <row r="38" spans="1:21" s="30" customFormat="1" ht="17.399999999999999" x14ac:dyDescent="0.3">
      <c r="A38" s="45"/>
      <c r="B38" s="283">
        <v>8599</v>
      </c>
      <c r="C38" s="275" t="s">
        <v>1039</v>
      </c>
      <c r="D38" s="232">
        <v>0</v>
      </c>
      <c r="E38" s="232"/>
      <c r="F38" s="79"/>
      <c r="G38" s="232"/>
      <c r="H38" s="232"/>
      <c r="I38" s="232"/>
      <c r="J38" s="79"/>
      <c r="K38" s="208">
        <v>1184</v>
      </c>
      <c r="L38" s="208">
        <f>+K38</f>
        <v>1184</v>
      </c>
      <c r="M38" s="208">
        <f>+L38</f>
        <v>1184</v>
      </c>
      <c r="N38" s="208">
        <f>+M38</f>
        <v>1184</v>
      </c>
      <c r="O38" s="208">
        <f>+N38</f>
        <v>1184</v>
      </c>
      <c r="P38" s="52" t="s">
        <v>782</v>
      </c>
      <c r="S38" s="1"/>
      <c r="T38" s="1"/>
      <c r="U38" s="1"/>
    </row>
    <row r="39" spans="1:21" s="30" customFormat="1" ht="17.399999999999999" x14ac:dyDescent="0.3">
      <c r="A39" s="45"/>
      <c r="B39" s="283">
        <v>8792</v>
      </c>
      <c r="C39" s="128" t="s">
        <v>1251</v>
      </c>
      <c r="D39" s="60"/>
      <c r="E39" s="60"/>
      <c r="F39" s="79"/>
      <c r="G39" s="60"/>
      <c r="H39" s="60"/>
      <c r="I39" s="60"/>
      <c r="J39" s="79"/>
      <c r="K39" s="208">
        <v>563.12</v>
      </c>
      <c r="L39" s="208">
        <v>563.12</v>
      </c>
      <c r="M39" s="208">
        <v>563.12</v>
      </c>
      <c r="N39" s="208">
        <v>563.12</v>
      </c>
      <c r="O39" s="208">
        <v>563.12</v>
      </c>
      <c r="P39" s="52" t="s">
        <v>1188</v>
      </c>
      <c r="S39" s="1"/>
      <c r="T39" s="1"/>
      <c r="U39" s="1"/>
    </row>
    <row r="40" spans="1:21" s="30" customFormat="1" ht="17.399999999999999" x14ac:dyDescent="0.3">
      <c r="A40" s="45"/>
      <c r="B40" s="69" t="s">
        <v>1253</v>
      </c>
      <c r="C40" s="48"/>
      <c r="D40" s="165">
        <f>SUM(D30:D39)</f>
        <v>61505.575299999997</v>
      </c>
      <c r="E40" s="165">
        <f>SUM(E30:E39)</f>
        <v>150844.24349999998</v>
      </c>
      <c r="F40" s="64"/>
      <c r="G40" s="165">
        <f>SUM(G30:G39)</f>
        <v>57047.174400000004</v>
      </c>
      <c r="H40" s="165">
        <f>SUM(H30:H39)</f>
        <v>57527.556599999996</v>
      </c>
      <c r="I40" s="165">
        <f>SUM(I30:I39)</f>
        <v>58498.6518</v>
      </c>
      <c r="J40" s="64"/>
      <c r="K40" s="64"/>
      <c r="L40" s="64"/>
      <c r="M40" s="64"/>
      <c r="N40" s="64"/>
      <c r="O40" s="64"/>
      <c r="P40" s="48"/>
      <c r="Q40" s="67"/>
      <c r="S40" s="1"/>
      <c r="T40" s="1"/>
      <c r="U40" s="1"/>
    </row>
    <row r="41" spans="1:21" s="30" customFormat="1" ht="5.25" customHeight="1" x14ac:dyDescent="0.3">
      <c r="A41" s="45"/>
      <c r="B41" s="304"/>
      <c r="C41" s="48"/>
      <c r="D41" s="228"/>
      <c r="E41" s="228"/>
      <c r="F41" s="64"/>
      <c r="G41" s="228"/>
      <c r="H41" s="228"/>
      <c r="I41" s="228"/>
      <c r="J41" s="64"/>
      <c r="K41" s="64"/>
      <c r="L41" s="64"/>
      <c r="M41" s="64"/>
      <c r="N41" s="64"/>
      <c r="O41" s="64"/>
      <c r="P41" s="48"/>
      <c r="Q41" s="67"/>
      <c r="S41" s="1"/>
      <c r="T41" s="1"/>
      <c r="U41" s="1"/>
    </row>
    <row r="42" spans="1:21" s="30" customFormat="1" ht="5.25" customHeight="1" x14ac:dyDescent="0.3">
      <c r="A42" s="45"/>
      <c r="B42" s="68"/>
      <c r="C42" s="48"/>
      <c r="D42" s="228"/>
      <c r="E42" s="228"/>
      <c r="F42" s="64"/>
      <c r="G42" s="228"/>
      <c r="H42" s="228"/>
      <c r="I42" s="228"/>
      <c r="J42" s="64"/>
      <c r="K42" s="64"/>
      <c r="L42" s="64"/>
      <c r="M42" s="64"/>
      <c r="N42" s="64"/>
      <c r="O42" s="64"/>
      <c r="P42" s="48"/>
      <c r="Q42" s="67"/>
      <c r="S42" s="1"/>
      <c r="T42" s="1"/>
      <c r="U42" s="1"/>
    </row>
    <row r="43" spans="1:21" s="30" customFormat="1" ht="17.399999999999999" x14ac:dyDescent="0.3">
      <c r="A43" s="45" t="s">
        <v>790</v>
      </c>
      <c r="B43" s="64"/>
      <c r="C43" s="64"/>
      <c r="D43" s="228"/>
      <c r="E43" s="228"/>
      <c r="F43" s="64"/>
      <c r="G43" s="228"/>
      <c r="H43" s="228"/>
      <c r="I43" s="228"/>
      <c r="J43" s="64"/>
      <c r="K43" s="64"/>
      <c r="L43" s="64"/>
      <c r="M43" s="64"/>
      <c r="N43" s="64"/>
      <c r="O43" s="64"/>
      <c r="P43" s="67"/>
      <c r="Q43" s="67"/>
      <c r="S43" s="1"/>
      <c r="T43" s="1"/>
      <c r="U43" s="1"/>
    </row>
    <row r="44" spans="1:21" s="30" customFormat="1" ht="17.399999999999999" x14ac:dyDescent="0.3">
      <c r="A44" s="45"/>
      <c r="B44" s="131">
        <v>8660</v>
      </c>
      <c r="C44" s="130" t="s">
        <v>625</v>
      </c>
      <c r="D44" s="60">
        <v>7782</v>
      </c>
      <c r="E44" s="60">
        <v>6000</v>
      </c>
      <c r="F44" s="79"/>
      <c r="G44" s="60">
        <v>10723</v>
      </c>
      <c r="H44" s="60">
        <v>10723</v>
      </c>
      <c r="I44" s="60">
        <v>10723</v>
      </c>
      <c r="J44" s="79"/>
      <c r="K44" s="54"/>
      <c r="L44" s="54"/>
      <c r="M44" s="54"/>
      <c r="N44" s="54"/>
      <c r="O44" s="54"/>
      <c r="P44" s="52" t="s">
        <v>779</v>
      </c>
      <c r="S44" s="1"/>
      <c r="T44" s="1"/>
      <c r="U44" s="1"/>
    </row>
    <row r="45" spans="1:21" s="30" customFormat="1" ht="17.399999999999999" x14ac:dyDescent="0.3">
      <c r="A45" s="45"/>
      <c r="B45" s="283">
        <v>8682</v>
      </c>
      <c r="C45" s="128" t="s">
        <v>1271</v>
      </c>
      <c r="D45" s="60">
        <v>487</v>
      </c>
      <c r="E45" s="60">
        <v>0</v>
      </c>
      <c r="F45" s="79"/>
      <c r="G45" s="60">
        <v>3036</v>
      </c>
      <c r="H45" s="60">
        <v>3036</v>
      </c>
      <c r="I45" s="60">
        <v>3036</v>
      </c>
      <c r="J45" s="79"/>
      <c r="K45" s="208"/>
      <c r="L45" s="208"/>
      <c r="M45" s="208"/>
      <c r="N45" s="208"/>
      <c r="O45" s="208"/>
      <c r="P45" s="52" t="s">
        <v>779</v>
      </c>
      <c r="S45" s="1"/>
      <c r="T45" s="1"/>
      <c r="U45" s="1"/>
    </row>
    <row r="46" spans="1:21" s="30" customFormat="1" ht="17.399999999999999" x14ac:dyDescent="0.3">
      <c r="A46" s="45"/>
      <c r="B46" s="283">
        <v>8684</v>
      </c>
      <c r="C46" s="128" t="s">
        <v>1272</v>
      </c>
      <c r="D46" s="60"/>
      <c r="E46" s="60"/>
      <c r="F46" s="79"/>
      <c r="G46" s="60"/>
      <c r="H46" s="60"/>
      <c r="I46" s="60"/>
      <c r="J46" s="79"/>
      <c r="K46" s="57"/>
      <c r="L46" s="57"/>
      <c r="M46" s="57"/>
      <c r="N46" s="57"/>
      <c r="O46" s="57"/>
      <c r="P46" s="52" t="s">
        <v>779</v>
      </c>
      <c r="S46" s="1"/>
      <c r="T46" s="1"/>
      <c r="U46" s="1"/>
    </row>
    <row r="47" spans="1:21" s="30" customFormat="1" x14ac:dyDescent="0.3">
      <c r="A47" s="47"/>
      <c r="B47" s="283">
        <v>8685</v>
      </c>
      <c r="C47" s="128" t="s">
        <v>631</v>
      </c>
      <c r="D47" s="286">
        <v>603</v>
      </c>
      <c r="E47" s="60">
        <v>5000</v>
      </c>
      <c r="F47" s="79"/>
      <c r="G47" s="60">
        <v>17939</v>
      </c>
      <c r="H47" s="60">
        <v>17939</v>
      </c>
      <c r="I47" s="60">
        <v>17939</v>
      </c>
      <c r="J47" s="79"/>
      <c r="K47" s="266"/>
      <c r="L47" s="266"/>
      <c r="M47" s="266"/>
      <c r="N47" s="266"/>
      <c r="O47" s="266"/>
      <c r="P47" s="52"/>
      <c r="S47" s="1"/>
      <c r="T47" s="1"/>
      <c r="U47" s="1"/>
    </row>
    <row r="48" spans="1:21" s="30" customFormat="1" x14ac:dyDescent="0.3">
      <c r="A48" s="48"/>
      <c r="B48" s="283">
        <v>8686</v>
      </c>
      <c r="C48" s="128" t="s">
        <v>1273</v>
      </c>
      <c r="D48" s="286"/>
      <c r="E48" s="60"/>
      <c r="F48" s="79"/>
      <c r="G48" s="60"/>
      <c r="H48" s="60"/>
      <c r="I48" s="60"/>
      <c r="J48" s="79"/>
      <c r="K48" s="54"/>
      <c r="L48" s="54"/>
      <c r="M48" s="54"/>
      <c r="N48" s="54"/>
      <c r="O48" s="54"/>
      <c r="P48" s="52" t="s">
        <v>779</v>
      </c>
      <c r="S48" s="1"/>
      <c r="T48" s="1"/>
      <c r="U48" s="1"/>
    </row>
    <row r="49" spans="1:21" s="30" customFormat="1" ht="17.399999999999999" x14ac:dyDescent="0.3">
      <c r="A49" s="45"/>
      <c r="B49" s="283">
        <v>8687</v>
      </c>
      <c r="C49" s="128" t="s">
        <v>1274</v>
      </c>
      <c r="D49" s="286"/>
      <c r="E49" s="60"/>
      <c r="F49" s="79"/>
      <c r="G49" s="60"/>
      <c r="H49" s="60"/>
      <c r="I49" s="60"/>
      <c r="J49" s="79"/>
      <c r="K49" s="208"/>
      <c r="L49" s="208"/>
      <c r="M49" s="208"/>
      <c r="N49" s="208"/>
      <c r="O49" s="208"/>
      <c r="P49" s="52" t="s">
        <v>779</v>
      </c>
      <c r="S49" s="1"/>
      <c r="T49" s="1"/>
      <c r="U49" s="1"/>
    </row>
    <row r="50" spans="1:21" s="30" customFormat="1" ht="17.399999999999999" x14ac:dyDescent="0.3">
      <c r="A50" s="45"/>
      <c r="B50" s="283">
        <v>8688</v>
      </c>
      <c r="C50" s="128" t="s">
        <v>1275</v>
      </c>
      <c r="D50" s="60"/>
      <c r="E50" s="60"/>
      <c r="F50" s="79"/>
      <c r="G50" s="60"/>
      <c r="H50" s="60"/>
      <c r="I50" s="60"/>
      <c r="J50" s="79"/>
      <c r="K50" s="54"/>
      <c r="L50" s="54"/>
      <c r="M50" s="54"/>
      <c r="N50" s="54"/>
      <c r="O50" s="54"/>
      <c r="P50" s="52" t="s">
        <v>779</v>
      </c>
      <c r="S50" s="1"/>
      <c r="T50" s="1"/>
      <c r="U50" s="1"/>
    </row>
    <row r="51" spans="1:21" s="30" customFormat="1" ht="17.399999999999999" x14ac:dyDescent="0.3">
      <c r="A51" s="45"/>
      <c r="B51" s="283">
        <v>8689</v>
      </c>
      <c r="C51" s="128" t="s">
        <v>1276</v>
      </c>
      <c r="D51" s="60"/>
      <c r="E51" s="60"/>
      <c r="F51" s="79"/>
      <c r="G51" s="60"/>
      <c r="H51" s="60"/>
      <c r="I51" s="60"/>
      <c r="J51" s="79"/>
      <c r="K51" s="208"/>
      <c r="L51" s="208"/>
      <c r="M51" s="208"/>
      <c r="N51" s="208"/>
      <c r="O51" s="208"/>
      <c r="P51" s="52" t="s">
        <v>779</v>
      </c>
      <c r="S51" s="1"/>
      <c r="T51" s="1"/>
      <c r="U51" s="1"/>
    </row>
    <row r="52" spans="1:21" s="30" customFormat="1" ht="17.399999999999999" x14ac:dyDescent="0.3">
      <c r="A52" s="45"/>
      <c r="B52" s="283">
        <v>8699</v>
      </c>
      <c r="C52" s="128" t="s">
        <v>1276</v>
      </c>
      <c r="D52" s="60">
        <v>966</v>
      </c>
      <c r="E52" s="60">
        <v>0</v>
      </c>
      <c r="F52" s="79"/>
      <c r="G52" s="60">
        <v>1400</v>
      </c>
      <c r="H52" s="60">
        <v>1400</v>
      </c>
      <c r="I52" s="60">
        <v>1400</v>
      </c>
      <c r="J52" s="79"/>
      <c r="K52" s="57"/>
      <c r="L52" s="57"/>
      <c r="M52" s="57"/>
      <c r="N52" s="57"/>
      <c r="O52" s="57"/>
      <c r="P52" s="52"/>
      <c r="S52" s="1"/>
      <c r="T52" s="1"/>
      <c r="U52" s="1"/>
    </row>
    <row r="53" spans="1:21" s="30" customFormat="1" ht="17.399999999999999" x14ac:dyDescent="0.3">
      <c r="A53" s="45"/>
      <c r="B53" s="283">
        <v>8792</v>
      </c>
      <c r="C53" s="128" t="s">
        <v>1277</v>
      </c>
      <c r="D53" s="60">
        <v>0</v>
      </c>
      <c r="E53" s="60"/>
      <c r="F53" s="79"/>
      <c r="G53" s="60"/>
      <c r="H53" s="60"/>
      <c r="I53" s="60"/>
      <c r="J53" s="79"/>
      <c r="K53" s="57"/>
      <c r="L53" s="57"/>
      <c r="M53" s="57"/>
      <c r="N53" s="57"/>
      <c r="O53" s="57"/>
      <c r="P53" s="52"/>
      <c r="S53" s="1"/>
      <c r="T53" s="1"/>
      <c r="U53" s="1"/>
    </row>
    <row r="54" spans="1:21" s="30" customFormat="1" ht="17.399999999999999" x14ac:dyDescent="0.3">
      <c r="A54" s="45"/>
      <c r="B54" s="283"/>
      <c r="C54" s="128"/>
      <c r="D54" s="60"/>
      <c r="E54" s="60"/>
      <c r="F54" s="79"/>
      <c r="G54" s="60"/>
      <c r="H54" s="60"/>
      <c r="I54" s="60"/>
      <c r="J54" s="79"/>
      <c r="K54" s="57"/>
      <c r="L54" s="57"/>
      <c r="M54" s="57"/>
      <c r="N54" s="57"/>
      <c r="O54" s="57"/>
      <c r="P54" s="52"/>
      <c r="S54" s="1"/>
      <c r="T54" s="1"/>
      <c r="U54" s="1"/>
    </row>
    <row r="55" spans="1:21" s="30" customFormat="1" x14ac:dyDescent="0.3">
      <c r="A55" s="35"/>
      <c r="B55" s="283">
        <v>8984</v>
      </c>
      <c r="C55" s="128" t="s">
        <v>1280</v>
      </c>
      <c r="D55" s="60"/>
      <c r="E55" s="60"/>
      <c r="F55" s="79"/>
      <c r="G55" s="60"/>
      <c r="H55" s="60"/>
      <c r="I55" s="60"/>
      <c r="J55" s="79"/>
      <c r="K55" s="57"/>
      <c r="L55" s="57"/>
      <c r="M55" s="57"/>
      <c r="N55" s="57"/>
      <c r="O55" s="57"/>
      <c r="P55" s="52" t="s">
        <v>779</v>
      </c>
      <c r="S55" s="1"/>
      <c r="T55" s="1"/>
      <c r="U55" s="1"/>
    </row>
    <row r="56" spans="1:21" s="30" customFormat="1" ht="17.399999999999999" x14ac:dyDescent="0.3">
      <c r="A56" s="45"/>
      <c r="B56" s="69" t="s">
        <v>792</v>
      </c>
      <c r="C56" s="33"/>
      <c r="D56" s="165">
        <f>SUM(D44:D55)</f>
        <v>9838</v>
      </c>
      <c r="E56" s="165">
        <f>SUM(E44:E55)</f>
        <v>11000</v>
      </c>
      <c r="F56" s="80"/>
      <c r="G56" s="165">
        <f>SUM(G44:G55)</f>
        <v>33098</v>
      </c>
      <c r="H56" s="165">
        <f>SUM(H44:H55)</f>
        <v>33098</v>
      </c>
      <c r="I56" s="165">
        <f>SUM(I44:I55)</f>
        <v>33098</v>
      </c>
      <c r="J56" s="80"/>
      <c r="K56" s="44"/>
      <c r="L56" s="44"/>
      <c r="M56" s="44"/>
      <c r="N56" s="44"/>
      <c r="O56" s="44"/>
      <c r="P56" s="48"/>
      <c r="S56" s="1"/>
      <c r="T56" s="1"/>
      <c r="U56" s="1"/>
    </row>
    <row r="57" spans="1:21" s="30" customFormat="1" ht="9" customHeight="1" thickBot="1" x14ac:dyDescent="0.35">
      <c r="A57" s="45"/>
      <c r="B57" s="68"/>
      <c r="C57" s="48"/>
      <c r="D57" s="228"/>
      <c r="E57" s="228"/>
      <c r="F57" s="64"/>
      <c r="G57" s="228"/>
      <c r="H57" s="228"/>
      <c r="I57" s="228"/>
      <c r="J57" s="64"/>
      <c r="K57" s="64"/>
      <c r="L57" s="64"/>
      <c r="M57" s="64"/>
      <c r="N57" s="64"/>
      <c r="O57" s="64"/>
      <c r="P57" s="48"/>
      <c r="S57" s="1"/>
      <c r="T57" s="1"/>
      <c r="U57" s="1"/>
    </row>
    <row r="58" spans="1:21" ht="18" thickBot="1" x14ac:dyDescent="0.35">
      <c r="A58" s="72" t="s">
        <v>794</v>
      </c>
      <c r="B58" s="73"/>
      <c r="C58" s="73"/>
      <c r="D58" s="214">
        <f>SUM(D12,D27,D40,D56)</f>
        <v>1122072.5752999999</v>
      </c>
      <c r="E58" s="214">
        <f>SUM(E12,E27,E40,E56)</f>
        <v>1076367.2434999999</v>
      </c>
      <c r="F58" s="78"/>
      <c r="G58" s="214">
        <f>SUM(G12,G27,G40,G56)</f>
        <v>1246489.6743999999</v>
      </c>
      <c r="H58" s="214">
        <f>SUM(H12,H27,H40,H56)</f>
        <v>1244319.0566</v>
      </c>
      <c r="I58" s="214">
        <f>SUM(I12,I27,I40,I56)</f>
        <v>1187263.6518000001</v>
      </c>
      <c r="J58" s="78"/>
    </row>
    <row r="59" spans="1:21" x14ac:dyDescent="0.3">
      <c r="A59" s="35"/>
    </row>
    <row r="60" spans="1:21" x14ac:dyDescent="0.3">
      <c r="A60" s="35"/>
    </row>
    <row r="61" spans="1:21" ht="17.399999999999999" x14ac:dyDescent="0.3">
      <c r="A61" s="45"/>
    </row>
    <row r="62" spans="1:21" x14ac:dyDescent="0.3">
      <c r="A62" s="35"/>
    </row>
    <row r="63" spans="1:21" x14ac:dyDescent="0.3">
      <c r="A63" s="35"/>
    </row>
    <row r="64" spans="1:21" x14ac:dyDescent="0.3">
      <c r="A64" s="35"/>
    </row>
    <row r="65" spans="1:1" x14ac:dyDescent="0.3">
      <c r="A65" s="35"/>
    </row>
    <row r="66" spans="1:1" x14ac:dyDescent="0.3">
      <c r="A66" s="35"/>
    </row>
    <row r="67" spans="1:1" x14ac:dyDescent="0.3">
      <c r="A67" s="35"/>
    </row>
    <row r="68" spans="1:1" x14ac:dyDescent="0.3">
      <c r="A68" s="35"/>
    </row>
    <row r="69" spans="1:1" x14ac:dyDescent="0.3">
      <c r="A69" s="35"/>
    </row>
    <row r="70" spans="1:1" x14ac:dyDescent="0.3">
      <c r="A70" s="35"/>
    </row>
    <row r="71" spans="1:1" x14ac:dyDescent="0.3">
      <c r="A71" s="35"/>
    </row>
    <row r="72" spans="1:1" ht="17.399999999999999" x14ac:dyDescent="0.3">
      <c r="A72" s="45"/>
    </row>
    <row r="73" spans="1:1" x14ac:dyDescent="0.3">
      <c r="A73" s="35"/>
    </row>
    <row r="74" spans="1:1" x14ac:dyDescent="0.3">
      <c r="A74" s="35"/>
    </row>
    <row r="75" spans="1:1" x14ac:dyDescent="0.3">
      <c r="A75" s="35"/>
    </row>
    <row r="76" spans="1:1" x14ac:dyDescent="0.3">
      <c r="A76" s="35"/>
    </row>
    <row r="77" spans="1:1" x14ac:dyDescent="0.3">
      <c r="A77" s="35"/>
    </row>
    <row r="78" spans="1:1" x14ac:dyDescent="0.3">
      <c r="A78" s="35"/>
    </row>
    <row r="79" spans="1:1" x14ac:dyDescent="0.3">
      <c r="A79" s="35"/>
    </row>
    <row r="80" spans="1:1" x14ac:dyDescent="0.3">
      <c r="A80" s="35"/>
    </row>
    <row r="81" spans="1:1" x14ac:dyDescent="0.3">
      <c r="A81" s="35"/>
    </row>
    <row r="82" spans="1:1" x14ac:dyDescent="0.3">
      <c r="A82" s="35"/>
    </row>
    <row r="83" spans="1:1" x14ac:dyDescent="0.3">
      <c r="A83" s="35"/>
    </row>
    <row r="84" spans="1:1" x14ac:dyDescent="0.3">
      <c r="A84" s="35"/>
    </row>
    <row r="85" spans="1:1" x14ac:dyDescent="0.3">
      <c r="A85" s="35"/>
    </row>
    <row r="86" spans="1:1" x14ac:dyDescent="0.3">
      <c r="A86" s="35"/>
    </row>
    <row r="87" spans="1:1" x14ac:dyDescent="0.3">
      <c r="A87" s="35"/>
    </row>
    <row r="88" spans="1:1" x14ac:dyDescent="0.3">
      <c r="A88" s="35"/>
    </row>
    <row r="89" spans="1:1" x14ac:dyDescent="0.3">
      <c r="A89" s="35"/>
    </row>
    <row r="90" spans="1:1" x14ac:dyDescent="0.3">
      <c r="A90" s="35"/>
    </row>
    <row r="91" spans="1:1" x14ac:dyDescent="0.3">
      <c r="A91" s="35"/>
    </row>
    <row r="92" spans="1:1" x14ac:dyDescent="0.3">
      <c r="A92" s="35"/>
    </row>
    <row r="93" spans="1:1" x14ac:dyDescent="0.3">
      <c r="A93" s="35"/>
    </row>
    <row r="94" spans="1:1" x14ac:dyDescent="0.3">
      <c r="A94" s="35"/>
    </row>
    <row r="95" spans="1:1" x14ac:dyDescent="0.3">
      <c r="A95" s="35"/>
    </row>
    <row r="96" spans="1:1" x14ac:dyDescent="0.3">
      <c r="A96" s="35"/>
    </row>
    <row r="97" spans="1:1" x14ac:dyDescent="0.3">
      <c r="A97" s="35"/>
    </row>
    <row r="98" spans="1:1" x14ac:dyDescent="0.3">
      <c r="A98" s="35"/>
    </row>
    <row r="99" spans="1:1" x14ac:dyDescent="0.3">
      <c r="A99" s="35"/>
    </row>
    <row r="100" spans="1:1" x14ac:dyDescent="0.3">
      <c r="A100" s="35"/>
    </row>
    <row r="101" spans="1:1" x14ac:dyDescent="0.3">
      <c r="A101" s="35"/>
    </row>
    <row r="102" spans="1:1" x14ac:dyDescent="0.3">
      <c r="A102" s="35"/>
    </row>
    <row r="103" spans="1:1" x14ac:dyDescent="0.3">
      <c r="A103" s="35"/>
    </row>
    <row r="104" spans="1:1" x14ac:dyDescent="0.3">
      <c r="A104" s="35"/>
    </row>
    <row r="105" spans="1:1" x14ac:dyDescent="0.3">
      <c r="A105" s="35"/>
    </row>
    <row r="106" spans="1:1" x14ac:dyDescent="0.3">
      <c r="A106" s="35"/>
    </row>
    <row r="107" spans="1:1" x14ac:dyDescent="0.3">
      <c r="A107" s="35"/>
    </row>
    <row r="108" spans="1:1" x14ac:dyDescent="0.3">
      <c r="A108" s="35"/>
    </row>
    <row r="109" spans="1:1" x14ac:dyDescent="0.3">
      <c r="A109" s="35"/>
    </row>
    <row r="110" spans="1:1" x14ac:dyDescent="0.3">
      <c r="A110" s="35"/>
    </row>
    <row r="111" spans="1:1" x14ac:dyDescent="0.3">
      <c r="A111" s="35"/>
    </row>
    <row r="112" spans="1:1" x14ac:dyDescent="0.3">
      <c r="A112" s="35"/>
    </row>
    <row r="113" spans="1:1" x14ac:dyDescent="0.3">
      <c r="A113" s="35"/>
    </row>
    <row r="114" spans="1:1" x14ac:dyDescent="0.3">
      <c r="A114" s="35"/>
    </row>
    <row r="115" spans="1:1" x14ac:dyDescent="0.3">
      <c r="A115" s="35"/>
    </row>
    <row r="116" spans="1:1" x14ac:dyDescent="0.3">
      <c r="A116" s="35"/>
    </row>
    <row r="117" spans="1:1" x14ac:dyDescent="0.3">
      <c r="A117" s="35"/>
    </row>
    <row r="118" spans="1:1" x14ac:dyDescent="0.3">
      <c r="A118" s="35"/>
    </row>
    <row r="119" spans="1:1" x14ac:dyDescent="0.3">
      <c r="A119" s="35"/>
    </row>
    <row r="120" spans="1:1" x14ac:dyDescent="0.3">
      <c r="A120" s="35"/>
    </row>
    <row r="121" spans="1:1" x14ac:dyDescent="0.3">
      <c r="A121" s="35"/>
    </row>
    <row r="122" spans="1:1" x14ac:dyDescent="0.3">
      <c r="A122" s="35"/>
    </row>
    <row r="123" spans="1:1" x14ac:dyDescent="0.3">
      <c r="A123" s="35"/>
    </row>
    <row r="124" spans="1:1" x14ac:dyDescent="0.3">
      <c r="A124" s="35"/>
    </row>
    <row r="125" spans="1:1" x14ac:dyDescent="0.3">
      <c r="A125" s="35"/>
    </row>
    <row r="126" spans="1:1" x14ac:dyDescent="0.3">
      <c r="A126" s="35"/>
    </row>
    <row r="127" spans="1:1" x14ac:dyDescent="0.3">
      <c r="A127" s="35"/>
    </row>
    <row r="128" spans="1:1" x14ac:dyDescent="0.3">
      <c r="A128" s="35"/>
    </row>
    <row r="129" spans="1:1" x14ac:dyDescent="0.3">
      <c r="A129" s="35"/>
    </row>
    <row r="130" spans="1:1" x14ac:dyDescent="0.3">
      <c r="A130" s="35"/>
    </row>
  </sheetData>
  <sortState xmlns:xlrd2="http://schemas.microsoft.com/office/spreadsheetml/2017/richdata2" ref="B44:P55">
    <sortCondition ref="B44:B55"/>
  </sortState>
  <mergeCells count="1">
    <mergeCell ref="K8:O9"/>
  </mergeCells>
  <printOptions horizontalCentered="1"/>
  <pageMargins left="0.7" right="0.7" top="0.75" bottom="0.75" header="0.3" footer="0.3"/>
  <pageSetup scale="70" fitToHeight="0" orientation="landscape" r:id="rId1"/>
  <headerFooter alignWithMargins="0">
    <oddHeader>&amp;A</oddHeader>
    <oddFooter>Page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L178"/>
  <sheetViews>
    <sheetView zoomScaleNormal="100" workbookViewId="0">
      <pane xSplit="3" ySplit="7" topLeftCell="D14" activePane="bottomRight" state="frozen"/>
      <selection activeCell="S20" sqref="S20"/>
      <selection pane="topRight" activeCell="S20" sqref="S20"/>
      <selection pane="bottomLeft" activeCell="S20" sqref="S20"/>
      <selection pane="bottomRight" activeCell="E11" sqref="E11:E14"/>
    </sheetView>
  </sheetViews>
  <sheetFormatPr defaultRowHeight="15.6" outlineLevelRow="1" outlineLevelCol="1" x14ac:dyDescent="0.3"/>
  <cols>
    <col min="1" max="1" width="5.6640625" style="34" customWidth="1"/>
    <col min="2" max="2" width="5.5546875" style="1" customWidth="1"/>
    <col min="3" max="3" width="48.88671875" style="1" customWidth="1"/>
    <col min="4" max="4" width="20.33203125" style="30" customWidth="1"/>
    <col min="5" max="5" width="20.33203125" style="30" customWidth="1" outlineLevel="1"/>
    <col min="6" max="6" width="20.33203125" style="30" hidden="1" customWidth="1" outlineLevel="1"/>
    <col min="7" max="9" width="20.33203125" style="30" customWidth="1" outlineLevel="1"/>
    <col min="10" max="10" width="14.5546875" style="30" customWidth="1"/>
    <col min="11" max="12" width="9.109375" style="30"/>
    <col min="13" max="258" width="9.109375" style="1"/>
    <col min="259" max="259" width="22.88671875" style="1" customWidth="1"/>
    <col min="260" max="514" width="9.109375" style="1"/>
    <col min="515" max="515" width="22.88671875" style="1" customWidth="1"/>
    <col min="516" max="770" width="9.109375" style="1"/>
    <col min="771" max="771" width="22.88671875" style="1" customWidth="1"/>
    <col min="772" max="1026" width="9.109375" style="1"/>
    <col min="1027" max="1027" width="22.88671875" style="1" customWidth="1"/>
    <col min="1028" max="1282" width="9.109375" style="1"/>
    <col min="1283" max="1283" width="22.88671875" style="1" customWidth="1"/>
    <col min="1284" max="1538" width="9.109375" style="1"/>
    <col min="1539" max="1539" width="22.88671875" style="1" customWidth="1"/>
    <col min="1540" max="1794" width="9.109375" style="1"/>
    <col min="1795" max="1795" width="22.88671875" style="1" customWidth="1"/>
    <col min="1796" max="2050" width="9.109375" style="1"/>
    <col min="2051" max="2051" width="22.88671875" style="1" customWidth="1"/>
    <col min="2052" max="2306" width="9.109375" style="1"/>
    <col min="2307" max="2307" width="22.88671875" style="1" customWidth="1"/>
    <col min="2308" max="2562" width="9.109375" style="1"/>
    <col min="2563" max="2563" width="22.88671875" style="1" customWidth="1"/>
    <col min="2564" max="2818" width="9.109375" style="1"/>
    <col min="2819" max="2819" width="22.88671875" style="1" customWidth="1"/>
    <col min="2820" max="3074" width="9.109375" style="1"/>
    <col min="3075" max="3075" width="22.88671875" style="1" customWidth="1"/>
    <col min="3076" max="3330" width="9.109375" style="1"/>
    <col min="3331" max="3331" width="22.88671875" style="1" customWidth="1"/>
    <col min="3332" max="3586" width="9.109375" style="1"/>
    <col min="3587" max="3587" width="22.88671875" style="1" customWidth="1"/>
    <col min="3588" max="3842" width="9.109375" style="1"/>
    <col min="3843" max="3843" width="22.88671875" style="1" customWidth="1"/>
    <col min="3844" max="4098" width="9.109375" style="1"/>
    <col min="4099" max="4099" width="22.88671875" style="1" customWidth="1"/>
    <col min="4100" max="4354" width="9.109375" style="1"/>
    <col min="4355" max="4355" width="22.88671875" style="1" customWidth="1"/>
    <col min="4356" max="4610" width="9.109375" style="1"/>
    <col min="4611" max="4611" width="22.88671875" style="1" customWidth="1"/>
    <col min="4612" max="4866" width="9.109375" style="1"/>
    <col min="4867" max="4867" width="22.88671875" style="1" customWidth="1"/>
    <col min="4868" max="5122" width="9.109375" style="1"/>
    <col min="5123" max="5123" width="22.88671875" style="1" customWidth="1"/>
    <col min="5124" max="5378" width="9.109375" style="1"/>
    <col min="5379" max="5379" width="22.88671875" style="1" customWidth="1"/>
    <col min="5380" max="5634" width="9.109375" style="1"/>
    <col min="5635" max="5635" width="22.88671875" style="1" customWidth="1"/>
    <col min="5636" max="5890" width="9.109375" style="1"/>
    <col min="5891" max="5891" width="22.88671875" style="1" customWidth="1"/>
    <col min="5892" max="6146" width="9.109375" style="1"/>
    <col min="6147" max="6147" width="22.88671875" style="1" customWidth="1"/>
    <col min="6148" max="6402" width="9.109375" style="1"/>
    <col min="6403" max="6403" width="22.88671875" style="1" customWidth="1"/>
    <col min="6404" max="6658" width="9.109375" style="1"/>
    <col min="6659" max="6659" width="22.88671875" style="1" customWidth="1"/>
    <col min="6660" max="6914" width="9.109375" style="1"/>
    <col min="6915" max="6915" width="22.88671875" style="1" customWidth="1"/>
    <col min="6916" max="7170" width="9.109375" style="1"/>
    <col min="7171" max="7171" width="22.88671875" style="1" customWidth="1"/>
    <col min="7172" max="7426" width="9.109375" style="1"/>
    <col min="7427" max="7427" width="22.88671875" style="1" customWidth="1"/>
    <col min="7428" max="7682" width="9.109375" style="1"/>
    <col min="7683" max="7683" width="22.88671875" style="1" customWidth="1"/>
    <col min="7684" max="7938" width="9.109375" style="1"/>
    <col min="7939" max="7939" width="22.88671875" style="1" customWidth="1"/>
    <col min="7940" max="8194" width="9.109375" style="1"/>
    <col min="8195" max="8195" width="22.88671875" style="1" customWidth="1"/>
    <col min="8196" max="8450" width="9.109375" style="1"/>
    <col min="8451" max="8451" width="22.88671875" style="1" customWidth="1"/>
    <col min="8452" max="8706" width="9.109375" style="1"/>
    <col min="8707" max="8707" width="22.88671875" style="1" customWidth="1"/>
    <col min="8708" max="8962" width="9.109375" style="1"/>
    <col min="8963" max="8963" width="22.88671875" style="1" customWidth="1"/>
    <col min="8964" max="9218" width="9.109375" style="1"/>
    <col min="9219" max="9219" width="22.88671875" style="1" customWidth="1"/>
    <col min="9220" max="9474" width="9.109375" style="1"/>
    <col min="9475" max="9475" width="22.88671875" style="1" customWidth="1"/>
    <col min="9476" max="9730" width="9.109375" style="1"/>
    <col min="9731" max="9731" width="22.88671875" style="1" customWidth="1"/>
    <col min="9732" max="9986" width="9.109375" style="1"/>
    <col min="9987" max="9987" width="22.88671875" style="1" customWidth="1"/>
    <col min="9988" max="10242" width="9.109375" style="1"/>
    <col min="10243" max="10243" width="22.88671875" style="1" customWidth="1"/>
    <col min="10244" max="10498" width="9.109375" style="1"/>
    <col min="10499" max="10499" width="22.88671875" style="1" customWidth="1"/>
    <col min="10500" max="10754" width="9.109375" style="1"/>
    <col min="10755" max="10755" width="22.88671875" style="1" customWidth="1"/>
    <col min="10756" max="11010" width="9.109375" style="1"/>
    <col min="11011" max="11011" width="22.88671875" style="1" customWidth="1"/>
    <col min="11012" max="11266" width="9.109375" style="1"/>
    <col min="11267" max="11267" width="22.88671875" style="1" customWidth="1"/>
    <col min="11268" max="11522" width="9.109375" style="1"/>
    <col min="11523" max="11523" width="22.88671875" style="1" customWidth="1"/>
    <col min="11524" max="11778" width="9.109375" style="1"/>
    <col min="11779" max="11779" width="22.88671875" style="1" customWidth="1"/>
    <col min="11780" max="12034" width="9.109375" style="1"/>
    <col min="12035" max="12035" width="22.88671875" style="1" customWidth="1"/>
    <col min="12036" max="12290" width="9.109375" style="1"/>
    <col min="12291" max="12291" width="22.88671875" style="1" customWidth="1"/>
    <col min="12292" max="12546" width="9.109375" style="1"/>
    <col min="12547" max="12547" width="22.88671875" style="1" customWidth="1"/>
    <col min="12548" max="12802" width="9.109375" style="1"/>
    <col min="12803" max="12803" width="22.88671875" style="1" customWidth="1"/>
    <col min="12804" max="13058" width="9.109375" style="1"/>
    <col min="13059" max="13059" width="22.88671875" style="1" customWidth="1"/>
    <col min="13060" max="13314" width="9.109375" style="1"/>
    <col min="13315" max="13315" width="22.88671875" style="1" customWidth="1"/>
    <col min="13316" max="13570" width="9.109375" style="1"/>
    <col min="13571" max="13571" width="22.88671875" style="1" customWidth="1"/>
    <col min="13572" max="13826" width="9.109375" style="1"/>
    <col min="13827" max="13827" width="22.88671875" style="1" customWidth="1"/>
    <col min="13828" max="14082" width="9.109375" style="1"/>
    <col min="14083" max="14083" width="22.88671875" style="1" customWidth="1"/>
    <col min="14084" max="14338" width="9.109375" style="1"/>
    <col min="14339" max="14339" width="22.88671875" style="1" customWidth="1"/>
    <col min="14340" max="14594" width="9.109375" style="1"/>
    <col min="14595" max="14595" width="22.88671875" style="1" customWidth="1"/>
    <col min="14596" max="14850" width="9.109375" style="1"/>
    <col min="14851" max="14851" width="22.88671875" style="1" customWidth="1"/>
    <col min="14852" max="15106" width="9.109375" style="1"/>
    <col min="15107" max="15107" width="22.88671875" style="1" customWidth="1"/>
    <col min="15108" max="15362" width="9.109375" style="1"/>
    <col min="15363" max="15363" width="22.88671875" style="1" customWidth="1"/>
    <col min="15364" max="15618" width="9.109375" style="1"/>
    <col min="15619" max="15619" width="22.88671875" style="1" customWidth="1"/>
    <col min="15620" max="15874" width="9.109375" style="1"/>
    <col min="15875" max="15875" width="22.88671875" style="1" customWidth="1"/>
    <col min="15876" max="16130" width="9.109375" style="1"/>
    <col min="16131" max="16131" width="22.88671875" style="1" customWidth="1"/>
    <col min="16132" max="16384" width="9.109375" style="1"/>
  </cols>
  <sheetData>
    <row r="1" spans="1:9" ht="20.399999999999999" x14ac:dyDescent="0.35">
      <c r="A1" s="21" t="str">
        <f>'Student Info'!$A$1</f>
        <v>Three Rivers - 23-65565-0123737</v>
      </c>
    </row>
    <row r="2" spans="1:9" ht="17.399999999999999" x14ac:dyDescent="0.3">
      <c r="A2" s="20" t="s">
        <v>746</v>
      </c>
      <c r="E2" s="301"/>
      <c r="F2" s="301"/>
      <c r="G2" s="67"/>
      <c r="H2" s="67"/>
      <c r="I2" s="67"/>
    </row>
    <row r="3" spans="1:9" ht="17.399999999999999" x14ac:dyDescent="0.3">
      <c r="A3" s="20" t="str">
        <f>'Student Info'!$A$3</f>
        <v>Five Year Budget, 2020-21 through 2024-25</v>
      </c>
    </row>
    <row r="4" spans="1:9" ht="29.25" customHeight="1" x14ac:dyDescent="0.3"/>
    <row r="5" spans="1:9" ht="25.5" customHeight="1" x14ac:dyDescent="0.3"/>
    <row r="6" spans="1:9" ht="17.399999999999999" x14ac:dyDescent="0.3">
      <c r="A6" s="28"/>
      <c r="B6" s="28"/>
      <c r="C6" s="28"/>
      <c r="E6" s="162">
        <v>2.8000000000000001E-2</v>
      </c>
      <c r="F6" s="162"/>
      <c r="G6" s="162">
        <v>3.1600000000000003E-2</v>
      </c>
      <c r="H6" s="162">
        <v>3.2000000000000001E-2</v>
      </c>
      <c r="I6" s="162">
        <v>3.1600000000000003E-2</v>
      </c>
    </row>
    <row r="7" spans="1:9" ht="18" thickBot="1" x14ac:dyDescent="0.35">
      <c r="A7" s="29" t="s">
        <v>726</v>
      </c>
      <c r="B7" s="29" t="s">
        <v>727</v>
      </c>
      <c r="C7" s="29" t="s">
        <v>728</v>
      </c>
      <c r="D7" s="31" t="str">
        <f>'Student Info'!D$6</f>
        <v>2020-21</v>
      </c>
      <c r="E7" s="31" t="str">
        <f>'Student Info'!E$6</f>
        <v>2021-22</v>
      </c>
      <c r="F7" s="31" t="s">
        <v>1284</v>
      </c>
      <c r="G7" s="31" t="str">
        <f>'Student Info'!F$6</f>
        <v>2022-23</v>
      </c>
      <c r="H7" s="31" t="str">
        <f>'Student Info'!G$6</f>
        <v>2023-24</v>
      </c>
      <c r="I7" s="31" t="str">
        <f>'Student Info'!H$6</f>
        <v>2024-25</v>
      </c>
    </row>
    <row r="8" spans="1:9" x14ac:dyDescent="0.3">
      <c r="A8" s="33" t="s">
        <v>677</v>
      </c>
      <c r="B8" s="2"/>
      <c r="C8" s="3"/>
    </row>
    <row r="9" spans="1:9" x14ac:dyDescent="0.3">
      <c r="A9" s="35"/>
      <c r="B9" s="129" t="s">
        <v>86</v>
      </c>
      <c r="C9" s="130" t="s">
        <v>592</v>
      </c>
      <c r="D9" s="286">
        <v>35199</v>
      </c>
      <c r="E9" s="60">
        <v>20000</v>
      </c>
      <c r="F9" s="60"/>
      <c r="G9" s="60">
        <f t="shared" ref="G9:G17" si="0">IF(E9="","",E9*(1+G$6))</f>
        <v>20632</v>
      </c>
      <c r="H9" s="60">
        <f t="shared" ref="H9:I17" si="1">IF(G9="","",G9*(1+H$6))</f>
        <v>21292.224000000002</v>
      </c>
      <c r="I9" s="60">
        <f t="shared" si="1"/>
        <v>21965.058278400003</v>
      </c>
    </row>
    <row r="10" spans="1:9" x14ac:dyDescent="0.3">
      <c r="A10" s="35"/>
      <c r="B10" s="129" t="s">
        <v>88</v>
      </c>
      <c r="C10" s="130" t="s">
        <v>593</v>
      </c>
      <c r="D10" s="60">
        <v>2450</v>
      </c>
      <c r="E10" s="60">
        <v>1800</v>
      </c>
      <c r="F10" s="60"/>
      <c r="G10" s="60">
        <f t="shared" si="0"/>
        <v>1856.88</v>
      </c>
      <c r="H10" s="60">
        <f t="shared" si="1"/>
        <v>1916.3001600000002</v>
      </c>
      <c r="I10" s="60">
        <f t="shared" si="1"/>
        <v>1976.8552450560003</v>
      </c>
    </row>
    <row r="11" spans="1:9" x14ac:dyDescent="0.3">
      <c r="A11" s="35"/>
      <c r="B11" s="129" t="s">
        <v>90</v>
      </c>
      <c r="C11" s="130" t="s">
        <v>595</v>
      </c>
      <c r="D11" s="60">
        <v>23000</v>
      </c>
      <c r="E11" s="60">
        <v>6240</v>
      </c>
      <c r="F11" s="60"/>
      <c r="G11" s="60">
        <f t="shared" si="0"/>
        <v>6437.1840000000002</v>
      </c>
      <c r="H11" s="60">
        <f t="shared" si="1"/>
        <v>6643.1738880000003</v>
      </c>
      <c r="I11" s="60">
        <f t="shared" si="1"/>
        <v>6853.098182860801</v>
      </c>
    </row>
    <row r="12" spans="1:9" x14ac:dyDescent="0.3">
      <c r="A12" s="35"/>
      <c r="B12" s="151" t="s">
        <v>830</v>
      </c>
      <c r="C12" s="130" t="s">
        <v>594</v>
      </c>
      <c r="D12" s="60">
        <v>6500</v>
      </c>
      <c r="E12" s="60">
        <v>6000</v>
      </c>
      <c r="F12" s="60"/>
      <c r="G12" s="60">
        <f t="shared" si="0"/>
        <v>6189.6</v>
      </c>
      <c r="H12" s="60">
        <f t="shared" si="1"/>
        <v>6387.6672000000008</v>
      </c>
      <c r="I12" s="60">
        <f t="shared" si="1"/>
        <v>6589.5174835200014</v>
      </c>
    </row>
    <row r="13" spans="1:9" x14ac:dyDescent="0.3">
      <c r="A13" s="35"/>
      <c r="B13" s="151" t="s">
        <v>1229</v>
      </c>
      <c r="C13" s="130" t="s">
        <v>1230</v>
      </c>
      <c r="D13" s="60"/>
      <c r="E13" s="60">
        <v>5000</v>
      </c>
      <c r="F13" s="60"/>
      <c r="G13" s="60">
        <f t="shared" si="0"/>
        <v>5158</v>
      </c>
      <c r="H13" s="60">
        <f t="shared" si="1"/>
        <v>5323.0560000000005</v>
      </c>
      <c r="I13" s="60">
        <f t="shared" si="1"/>
        <v>5491.2645696000009</v>
      </c>
    </row>
    <row r="14" spans="1:9" x14ac:dyDescent="0.3">
      <c r="A14" s="35"/>
      <c r="B14" s="151" t="s">
        <v>1231</v>
      </c>
      <c r="C14" s="130" t="s">
        <v>1232</v>
      </c>
      <c r="D14" s="286">
        <v>750</v>
      </c>
      <c r="E14" s="60">
        <v>1000</v>
      </c>
      <c r="F14" s="60"/>
      <c r="G14" s="60">
        <f t="shared" si="0"/>
        <v>1031.6000000000001</v>
      </c>
      <c r="H14" s="60">
        <f t="shared" si="1"/>
        <v>1064.6112000000003</v>
      </c>
      <c r="I14" s="60">
        <f t="shared" si="1"/>
        <v>1098.2529139200003</v>
      </c>
    </row>
    <row r="15" spans="1:9" x14ac:dyDescent="0.3">
      <c r="A15" s="35"/>
      <c r="B15" s="129" t="s">
        <v>92</v>
      </c>
      <c r="C15" s="130" t="s">
        <v>596</v>
      </c>
      <c r="D15" s="286">
        <v>9000</v>
      </c>
      <c r="E15" s="60">
        <v>5000</v>
      </c>
      <c r="F15" s="60"/>
      <c r="G15" s="60">
        <f t="shared" si="0"/>
        <v>5158</v>
      </c>
      <c r="H15" s="60">
        <f t="shared" si="1"/>
        <v>5323.0560000000005</v>
      </c>
      <c r="I15" s="60">
        <f t="shared" si="1"/>
        <v>5491.2645696000009</v>
      </c>
    </row>
    <row r="16" spans="1:9" x14ac:dyDescent="0.3">
      <c r="A16" s="35"/>
      <c r="B16" s="287">
        <v>4410</v>
      </c>
      <c r="C16" s="130" t="s">
        <v>1263</v>
      </c>
      <c r="D16" s="286">
        <v>23776</v>
      </c>
      <c r="E16" s="60">
        <v>10000</v>
      </c>
      <c r="F16" s="60"/>
      <c r="G16" s="60">
        <f t="shared" si="0"/>
        <v>10316</v>
      </c>
      <c r="H16" s="60">
        <f t="shared" si="1"/>
        <v>10646.112000000001</v>
      </c>
      <c r="I16" s="60">
        <f t="shared" si="1"/>
        <v>10982.529139200002</v>
      </c>
    </row>
    <row r="17" spans="1:10" x14ac:dyDescent="0.3">
      <c r="A17" s="35"/>
      <c r="B17" s="129" t="s">
        <v>678</v>
      </c>
      <c r="C17" s="130" t="s">
        <v>831</v>
      </c>
      <c r="D17" s="60">
        <v>9200</v>
      </c>
      <c r="E17" s="60">
        <v>6000</v>
      </c>
      <c r="F17" s="60"/>
      <c r="G17" s="60">
        <f t="shared" si="0"/>
        <v>6189.6</v>
      </c>
      <c r="H17" s="60">
        <f t="shared" si="1"/>
        <v>6387.6672000000008</v>
      </c>
      <c r="I17" s="60">
        <f t="shared" si="1"/>
        <v>6589.5174835200014</v>
      </c>
    </row>
    <row r="18" spans="1:10" hidden="1" outlineLevel="1" x14ac:dyDescent="0.3">
      <c r="A18" s="35"/>
      <c r="B18" s="129"/>
      <c r="C18" s="130"/>
      <c r="D18" s="60" t="s">
        <v>1219</v>
      </c>
      <c r="E18" s="60"/>
      <c r="F18" s="60"/>
      <c r="G18" s="60"/>
      <c r="H18" s="60"/>
      <c r="I18" s="60"/>
    </row>
    <row r="19" spans="1:10" hidden="1" outlineLevel="1" x14ac:dyDescent="0.3">
      <c r="A19" s="35"/>
      <c r="B19" s="129"/>
      <c r="C19" s="130"/>
      <c r="D19" s="60" t="s">
        <v>1219</v>
      </c>
      <c r="E19" s="60"/>
      <c r="F19" s="60"/>
      <c r="G19" s="60"/>
      <c r="H19" s="60"/>
      <c r="I19" s="60"/>
    </row>
    <row r="20" spans="1:10" hidden="1" outlineLevel="1" x14ac:dyDescent="0.3">
      <c r="A20" s="35"/>
      <c r="B20" s="129"/>
      <c r="C20" s="130"/>
      <c r="D20" s="60" t="s">
        <v>1219</v>
      </c>
      <c r="E20" s="60"/>
      <c r="F20" s="60"/>
      <c r="G20" s="60"/>
      <c r="H20" s="60"/>
      <c r="I20" s="60"/>
    </row>
    <row r="21" spans="1:10" hidden="1" outlineLevel="1" x14ac:dyDescent="0.3">
      <c r="A21" s="35"/>
      <c r="B21" s="129"/>
      <c r="C21" s="130"/>
      <c r="D21" s="60" t="s">
        <v>1219</v>
      </c>
      <c r="E21" s="60"/>
      <c r="F21" s="60"/>
      <c r="G21" s="60"/>
      <c r="H21" s="60"/>
      <c r="I21" s="60"/>
    </row>
    <row r="22" spans="1:10" hidden="1" outlineLevel="1" x14ac:dyDescent="0.3">
      <c r="A22" s="35"/>
      <c r="B22" s="129"/>
      <c r="C22" s="130"/>
      <c r="D22" s="60" t="s">
        <v>1219</v>
      </c>
      <c r="E22" s="60"/>
      <c r="F22" s="60"/>
      <c r="G22" s="60"/>
      <c r="H22" s="60"/>
      <c r="I22" s="60"/>
    </row>
    <row r="23" spans="1:10" hidden="1" outlineLevel="1" x14ac:dyDescent="0.3">
      <c r="A23" s="35"/>
      <c r="B23" s="129"/>
      <c r="C23" s="130"/>
      <c r="D23" s="60" t="s">
        <v>1219</v>
      </c>
      <c r="E23" s="60"/>
      <c r="F23" s="60"/>
      <c r="G23" s="60"/>
      <c r="H23" s="60"/>
      <c r="I23" s="60"/>
    </row>
    <row r="24" spans="1:10" hidden="1" outlineLevel="1" x14ac:dyDescent="0.3">
      <c r="A24" s="35"/>
      <c r="B24" s="129"/>
      <c r="C24" s="130"/>
      <c r="D24" s="60" t="s">
        <v>1219</v>
      </c>
      <c r="E24" s="60"/>
      <c r="F24" s="60"/>
      <c r="G24" s="60"/>
      <c r="H24" s="60"/>
      <c r="I24" s="60"/>
    </row>
    <row r="25" spans="1:10" hidden="1" outlineLevel="1" x14ac:dyDescent="0.3">
      <c r="A25" s="35"/>
      <c r="B25" s="129"/>
      <c r="C25" s="130"/>
      <c r="D25" s="60" t="s">
        <v>1219</v>
      </c>
      <c r="E25" s="60"/>
      <c r="F25" s="60"/>
      <c r="G25" s="60"/>
      <c r="H25" s="60"/>
      <c r="I25" s="60"/>
    </row>
    <row r="26" spans="1:10" hidden="1" outlineLevel="1" x14ac:dyDescent="0.3">
      <c r="A26" s="35"/>
      <c r="B26" s="129"/>
      <c r="C26" s="130"/>
      <c r="D26" s="60" t="s">
        <v>1219</v>
      </c>
      <c r="E26" s="60"/>
      <c r="F26" s="60"/>
      <c r="G26" s="60"/>
      <c r="H26" s="60"/>
      <c r="I26" s="60"/>
    </row>
    <row r="27" spans="1:10" hidden="1" outlineLevel="1" x14ac:dyDescent="0.3">
      <c r="A27" s="35"/>
      <c r="B27" s="129"/>
      <c r="C27" s="130"/>
      <c r="D27" s="60" t="s">
        <v>1219</v>
      </c>
      <c r="E27" s="60"/>
      <c r="F27" s="60"/>
      <c r="G27" s="60"/>
      <c r="H27" s="60"/>
      <c r="I27" s="60"/>
    </row>
    <row r="28" spans="1:10" collapsed="1" x14ac:dyDescent="0.3">
      <c r="A28" s="35"/>
      <c r="B28" s="129" t="s">
        <v>94</v>
      </c>
      <c r="C28" s="131" t="s">
        <v>1028</v>
      </c>
      <c r="D28" s="286">
        <v>26500</v>
      </c>
      <c r="E28" s="60">
        <v>26000</v>
      </c>
      <c r="F28" s="60"/>
      <c r="G28" s="60">
        <f>IF(E28="","",E28*(1+G$6))</f>
        <v>26821.600000000002</v>
      </c>
      <c r="H28" s="60">
        <f>IF(G28="","",G28*(1+H$6))</f>
        <v>27679.891200000002</v>
      </c>
      <c r="I28" s="60">
        <f>IF(H28="","",H28*(1+I$6))</f>
        <v>28554.575761920005</v>
      </c>
    </row>
    <row r="29" spans="1:10" x14ac:dyDescent="0.3">
      <c r="A29" s="35"/>
      <c r="B29" s="32" t="s">
        <v>558</v>
      </c>
      <c r="C29" s="33" t="s">
        <v>720</v>
      </c>
      <c r="D29" s="165">
        <f>IF(SUM(D8:D28)&gt;0,SUM(D8:D28),"")</f>
        <v>136375</v>
      </c>
      <c r="E29" s="165">
        <f>SUM(E9:E28)</f>
        <v>87040</v>
      </c>
      <c r="F29" s="165"/>
      <c r="G29" s="165">
        <f>IF(SUM(G8:G28)&gt;0,SUM(G8:G28),"")</f>
        <v>89790.464000000007</v>
      </c>
      <c r="H29" s="165">
        <f>IF(SUM(H8:H28)&gt;0,SUM(H8:H28),"")</f>
        <v>92663.758847999998</v>
      </c>
      <c r="I29" s="165">
        <f>IF(SUM(I8:I28)&gt;0,SUM(I8:I28),"")</f>
        <v>95591.933627596809</v>
      </c>
    </row>
    <row r="30" spans="1:10" x14ac:dyDescent="0.3">
      <c r="A30" s="35"/>
      <c r="B30" s="4"/>
      <c r="C30" s="3"/>
      <c r="D30" s="169"/>
      <c r="E30" s="169"/>
      <c r="F30" s="169"/>
      <c r="G30" s="169"/>
      <c r="H30" s="169"/>
      <c r="I30" s="169"/>
    </row>
    <row r="31" spans="1:10" x14ac:dyDescent="0.3">
      <c r="A31" s="5" t="s">
        <v>721</v>
      </c>
      <c r="B31" s="4"/>
      <c r="C31" s="3"/>
      <c r="D31" s="169"/>
      <c r="E31" s="169"/>
      <c r="F31" s="169"/>
      <c r="G31" s="169"/>
      <c r="H31" s="169"/>
      <c r="I31" s="169"/>
    </row>
    <row r="32" spans="1:10" x14ac:dyDescent="0.3">
      <c r="A32" s="35"/>
      <c r="B32" s="129" t="s">
        <v>98</v>
      </c>
      <c r="C32" s="130" t="s">
        <v>597</v>
      </c>
      <c r="D32" s="286">
        <v>1500</v>
      </c>
      <c r="E32" s="60">
        <f t="shared" ref="E32:I60" si="2">IF(D32="","",D32*(1+E$6))</f>
        <v>1542</v>
      </c>
      <c r="F32" s="60"/>
      <c r="G32" s="60">
        <f t="shared" ref="G32:G76" si="3">IF(E32="","",E32*(1+G$6))</f>
        <v>1590.7272</v>
      </c>
      <c r="H32" s="60">
        <f t="shared" si="2"/>
        <v>1641.6304704000001</v>
      </c>
      <c r="I32" s="60">
        <f t="shared" si="2"/>
        <v>1693.5059932646402</v>
      </c>
      <c r="J32" s="302"/>
    </row>
    <row r="33" spans="1:10" x14ac:dyDescent="0.3">
      <c r="A33" s="35"/>
      <c r="B33" s="129" t="s">
        <v>550</v>
      </c>
      <c r="C33" s="130" t="s">
        <v>598</v>
      </c>
      <c r="D33" s="286">
        <v>5000</v>
      </c>
      <c r="E33" s="60">
        <f t="shared" si="2"/>
        <v>5140</v>
      </c>
      <c r="F33" s="60"/>
      <c r="G33" s="60">
        <f t="shared" si="3"/>
        <v>5302.424</v>
      </c>
      <c r="H33" s="60">
        <f t="shared" si="2"/>
        <v>5472.101568</v>
      </c>
      <c r="I33" s="60">
        <f t="shared" si="2"/>
        <v>5645.0199775488009</v>
      </c>
      <c r="J33" s="302"/>
    </row>
    <row r="34" spans="1:10" x14ac:dyDescent="0.3">
      <c r="A34" s="35"/>
      <c r="B34" s="129" t="s">
        <v>100</v>
      </c>
      <c r="C34" s="130" t="s">
        <v>599</v>
      </c>
      <c r="D34" s="286">
        <v>10000</v>
      </c>
      <c r="E34" s="60">
        <f t="shared" si="2"/>
        <v>10280</v>
      </c>
      <c r="F34" s="60"/>
      <c r="G34" s="60">
        <f t="shared" si="3"/>
        <v>10604.848</v>
      </c>
      <c r="H34" s="60">
        <f t="shared" si="2"/>
        <v>10944.203136</v>
      </c>
      <c r="I34" s="60">
        <f t="shared" si="2"/>
        <v>11290.039955097602</v>
      </c>
      <c r="J34" s="302"/>
    </row>
    <row r="35" spans="1:10" x14ac:dyDescent="0.3">
      <c r="A35" s="35"/>
      <c r="B35" s="129" t="s">
        <v>102</v>
      </c>
      <c r="C35" s="130" t="s">
        <v>600</v>
      </c>
      <c r="D35" s="286">
        <v>17500</v>
      </c>
      <c r="E35" s="60">
        <v>24000</v>
      </c>
      <c r="F35" s="60"/>
      <c r="G35" s="60">
        <f t="shared" si="3"/>
        <v>24758.400000000001</v>
      </c>
      <c r="H35" s="60">
        <f t="shared" si="2"/>
        <v>25550.668800000003</v>
      </c>
      <c r="I35" s="60">
        <f t="shared" si="2"/>
        <v>26358.069934080006</v>
      </c>
      <c r="J35" s="302"/>
    </row>
    <row r="36" spans="1:10" hidden="1" x14ac:dyDescent="0.3">
      <c r="A36" s="35"/>
      <c r="B36" s="151" t="s">
        <v>106</v>
      </c>
      <c r="C36" s="130" t="s">
        <v>1214</v>
      </c>
      <c r="D36" s="286">
        <v>0</v>
      </c>
      <c r="E36" s="60">
        <f t="shared" si="2"/>
        <v>0</v>
      </c>
      <c r="F36" s="60"/>
      <c r="G36" s="60">
        <f t="shared" si="3"/>
        <v>0</v>
      </c>
      <c r="H36" s="60">
        <f t="shared" si="2"/>
        <v>0</v>
      </c>
      <c r="I36" s="60">
        <f t="shared" si="2"/>
        <v>0</v>
      </c>
      <c r="J36" s="302"/>
    </row>
    <row r="37" spans="1:10" x14ac:dyDescent="0.3">
      <c r="A37" s="35"/>
      <c r="B37" s="129" t="s">
        <v>108</v>
      </c>
      <c r="C37" s="130" t="s">
        <v>601</v>
      </c>
      <c r="D37" s="286">
        <v>30000</v>
      </c>
      <c r="E37" s="60">
        <v>20000</v>
      </c>
      <c r="F37" s="60"/>
      <c r="G37" s="60">
        <f t="shared" si="3"/>
        <v>20632</v>
      </c>
      <c r="H37" s="60">
        <f t="shared" si="2"/>
        <v>21292.224000000002</v>
      </c>
      <c r="I37" s="60">
        <f t="shared" si="2"/>
        <v>21965.058278400003</v>
      </c>
      <c r="J37" s="302"/>
    </row>
    <row r="38" spans="1:10" x14ac:dyDescent="0.3">
      <c r="A38" s="35"/>
      <c r="B38" s="129" t="s">
        <v>679</v>
      </c>
      <c r="C38" s="130" t="s">
        <v>602</v>
      </c>
      <c r="D38" s="286">
        <v>0</v>
      </c>
      <c r="E38" s="60">
        <f t="shared" si="2"/>
        <v>0</v>
      </c>
      <c r="F38" s="60"/>
      <c r="G38" s="60">
        <f t="shared" si="3"/>
        <v>0</v>
      </c>
      <c r="H38" s="60">
        <f t="shared" si="2"/>
        <v>0</v>
      </c>
      <c r="I38" s="60">
        <f t="shared" si="2"/>
        <v>0</v>
      </c>
      <c r="J38" s="302"/>
    </row>
    <row r="39" spans="1:10" x14ac:dyDescent="0.3">
      <c r="A39" s="35"/>
      <c r="B39" s="129" t="s">
        <v>680</v>
      </c>
      <c r="C39" s="130" t="s">
        <v>1029</v>
      </c>
      <c r="D39" s="286">
        <v>0</v>
      </c>
      <c r="E39" s="60">
        <f t="shared" si="2"/>
        <v>0</v>
      </c>
      <c r="F39" s="60"/>
      <c r="G39" s="60">
        <f t="shared" si="3"/>
        <v>0</v>
      </c>
      <c r="H39" s="60">
        <f t="shared" si="2"/>
        <v>0</v>
      </c>
      <c r="I39" s="60">
        <f t="shared" si="2"/>
        <v>0</v>
      </c>
      <c r="J39" s="302"/>
    </row>
    <row r="40" spans="1:10" x14ac:dyDescent="0.3">
      <c r="A40" s="35"/>
      <c r="B40" s="129" t="s">
        <v>110</v>
      </c>
      <c r="C40" s="130" t="s">
        <v>603</v>
      </c>
      <c r="D40" s="286">
        <v>47218</v>
      </c>
      <c r="E40" s="286">
        <f>51000*1.02</f>
        <v>52020</v>
      </c>
      <c r="F40" s="286"/>
      <c r="G40" s="60">
        <f t="shared" si="3"/>
        <v>53663.832000000002</v>
      </c>
      <c r="H40" s="60">
        <f t="shared" si="2"/>
        <v>55381.074624000001</v>
      </c>
      <c r="I40" s="60">
        <f t="shared" si="2"/>
        <v>57131.116582118404</v>
      </c>
      <c r="J40" s="302"/>
    </row>
    <row r="41" spans="1:10" x14ac:dyDescent="0.3">
      <c r="A41" s="35"/>
      <c r="B41" s="129" t="s">
        <v>681</v>
      </c>
      <c r="C41" s="130" t="s">
        <v>604</v>
      </c>
      <c r="D41" s="286">
        <v>0</v>
      </c>
      <c r="E41" s="60">
        <f t="shared" si="2"/>
        <v>0</v>
      </c>
      <c r="F41" s="60"/>
      <c r="G41" s="60">
        <f t="shared" si="3"/>
        <v>0</v>
      </c>
      <c r="H41" s="60">
        <f t="shared" si="2"/>
        <v>0</v>
      </c>
      <c r="I41" s="60">
        <f t="shared" si="2"/>
        <v>0</v>
      </c>
      <c r="J41" s="302"/>
    </row>
    <row r="42" spans="1:10" x14ac:dyDescent="0.3">
      <c r="A42" s="35"/>
      <c r="B42" s="151" t="s">
        <v>1030</v>
      </c>
      <c r="C42" s="131" t="s">
        <v>1031</v>
      </c>
      <c r="D42" s="286">
        <v>3460</v>
      </c>
      <c r="E42" s="60">
        <f>IF(D42="","",D42*(1+E$6))</f>
        <v>3556.88</v>
      </c>
      <c r="F42" s="60"/>
      <c r="G42" s="60">
        <f>IF(E42="","",E42*(1+G$6))</f>
        <v>3669.2774080000004</v>
      </c>
      <c r="H42" s="60">
        <f>IF(G42="","",G42*(1+H$6))</f>
        <v>3786.6942850560004</v>
      </c>
      <c r="I42" s="60">
        <f>IF(H42="","",H42*(1+I$6))</f>
        <v>3906.3538244637703</v>
      </c>
      <c r="J42" s="302"/>
    </row>
    <row r="43" spans="1:10" x14ac:dyDescent="0.3">
      <c r="A43" s="35"/>
      <c r="B43" s="129" t="s">
        <v>551</v>
      </c>
      <c r="C43" s="130" t="s">
        <v>605</v>
      </c>
      <c r="D43" s="286">
        <v>3955</v>
      </c>
      <c r="E43" s="60">
        <v>0</v>
      </c>
      <c r="F43" s="60"/>
      <c r="G43" s="60">
        <f t="shared" si="3"/>
        <v>0</v>
      </c>
      <c r="H43" s="60">
        <f t="shared" si="2"/>
        <v>0</v>
      </c>
      <c r="I43" s="60">
        <f t="shared" si="2"/>
        <v>0</v>
      </c>
      <c r="J43" s="302"/>
    </row>
    <row r="44" spans="1:10" x14ac:dyDescent="0.3">
      <c r="A44" s="35"/>
      <c r="B44" s="151" t="s">
        <v>552</v>
      </c>
      <c r="C44" s="131" t="s">
        <v>606</v>
      </c>
      <c r="D44" s="286">
        <v>750</v>
      </c>
      <c r="E44" s="60">
        <v>450</v>
      </c>
      <c r="F44" s="60"/>
      <c r="G44" s="60">
        <f t="shared" si="3"/>
        <v>464.22</v>
      </c>
      <c r="H44" s="60">
        <f t="shared" si="2"/>
        <v>479.07504000000006</v>
      </c>
      <c r="I44" s="60">
        <f t="shared" si="2"/>
        <v>494.21381126400007</v>
      </c>
      <c r="J44" s="302"/>
    </row>
    <row r="45" spans="1:10" x14ac:dyDescent="0.3">
      <c r="A45" s="35"/>
      <c r="B45" s="129" t="s">
        <v>116</v>
      </c>
      <c r="C45" s="130" t="s">
        <v>607</v>
      </c>
      <c r="D45" s="286">
        <v>7500</v>
      </c>
      <c r="E45" s="286">
        <v>3000</v>
      </c>
      <c r="F45" s="60"/>
      <c r="G45" s="60">
        <f t="shared" si="3"/>
        <v>3094.8</v>
      </c>
      <c r="H45" s="60">
        <f t="shared" si="2"/>
        <v>3193.8336000000004</v>
      </c>
      <c r="I45" s="60">
        <f t="shared" si="2"/>
        <v>3294.7587417600007</v>
      </c>
      <c r="J45" s="302"/>
    </row>
    <row r="46" spans="1:10" x14ac:dyDescent="0.3">
      <c r="A46" s="35"/>
      <c r="B46" s="129" t="s">
        <v>682</v>
      </c>
      <c r="C46" s="130" t="s">
        <v>608</v>
      </c>
      <c r="D46" s="286">
        <v>6900</v>
      </c>
      <c r="E46" s="60">
        <v>6000</v>
      </c>
      <c r="F46" s="60"/>
      <c r="G46" s="60">
        <f t="shared" si="3"/>
        <v>6189.6</v>
      </c>
      <c r="H46" s="60">
        <f t="shared" si="2"/>
        <v>6387.6672000000008</v>
      </c>
      <c r="I46" s="60">
        <f t="shared" si="2"/>
        <v>6589.5174835200014</v>
      </c>
      <c r="J46" s="302"/>
    </row>
    <row r="47" spans="1:10" x14ac:dyDescent="0.3">
      <c r="A47" s="35"/>
      <c r="B47" s="129" t="s">
        <v>683</v>
      </c>
      <c r="C47" s="130" t="s">
        <v>1248</v>
      </c>
      <c r="D47" s="286">
        <v>4000</v>
      </c>
      <c r="E47" s="60">
        <v>4000</v>
      </c>
      <c r="F47" s="60"/>
      <c r="G47" s="60">
        <f>IF(E47="","",E47*(1+G$6))</f>
        <v>4126.4000000000005</v>
      </c>
      <c r="H47" s="60">
        <f>IF(G47="","",G47*(1+H$6))</f>
        <v>4258.4448000000011</v>
      </c>
      <c r="I47" s="60">
        <f>IF(H47="","",H47*(1+I$6))</f>
        <v>4393.0116556800012</v>
      </c>
      <c r="J47" s="302"/>
    </row>
    <row r="48" spans="1:10" x14ac:dyDescent="0.3">
      <c r="A48" s="35"/>
      <c r="B48" s="151" t="s">
        <v>1245</v>
      </c>
      <c r="C48" s="130" t="s">
        <v>1246</v>
      </c>
      <c r="D48" s="286">
        <v>6000</v>
      </c>
      <c r="E48" s="60">
        <v>6000</v>
      </c>
      <c r="F48" s="60"/>
      <c r="G48" s="60">
        <f t="shared" si="3"/>
        <v>6189.6</v>
      </c>
      <c r="H48" s="60">
        <f t="shared" si="2"/>
        <v>6387.6672000000008</v>
      </c>
      <c r="I48" s="60">
        <f t="shared" si="2"/>
        <v>6589.5174835200014</v>
      </c>
      <c r="J48" s="302"/>
    </row>
    <row r="49" spans="1:10" x14ac:dyDescent="0.3">
      <c r="A49" s="35"/>
      <c r="B49" s="130">
        <v>5809</v>
      </c>
      <c r="C49" s="130" t="s">
        <v>1279</v>
      </c>
      <c r="D49" s="286"/>
      <c r="E49" s="60" t="str">
        <f t="shared" si="2"/>
        <v/>
      </c>
      <c r="F49" s="60"/>
      <c r="G49" s="60" t="str">
        <f t="shared" si="3"/>
        <v/>
      </c>
      <c r="H49" s="60" t="str">
        <f t="shared" si="2"/>
        <v/>
      </c>
      <c r="I49" s="60" t="str">
        <f t="shared" si="2"/>
        <v/>
      </c>
      <c r="J49" s="302"/>
    </row>
    <row r="50" spans="1:10" x14ac:dyDescent="0.3">
      <c r="A50" s="35"/>
      <c r="B50" s="151" t="s">
        <v>553</v>
      </c>
      <c r="C50" s="130" t="s">
        <v>609</v>
      </c>
      <c r="D50" s="286">
        <v>1000</v>
      </c>
      <c r="E50" s="60">
        <f>1250+2500</f>
        <v>3750</v>
      </c>
      <c r="F50" s="60"/>
      <c r="G50" s="60">
        <f t="shared" si="3"/>
        <v>3868.5000000000005</v>
      </c>
      <c r="H50" s="60">
        <f t="shared" si="2"/>
        <v>3992.2920000000004</v>
      </c>
      <c r="I50" s="60">
        <f t="shared" si="2"/>
        <v>4118.4484272000009</v>
      </c>
      <c r="J50" s="302"/>
    </row>
    <row r="51" spans="1:10" x14ac:dyDescent="0.3">
      <c r="A51" s="35"/>
      <c r="B51" s="151" t="s">
        <v>1233</v>
      </c>
      <c r="C51" s="131" t="s">
        <v>1247</v>
      </c>
      <c r="D51" s="286">
        <v>0</v>
      </c>
      <c r="E51" s="60">
        <f t="shared" si="2"/>
        <v>0</v>
      </c>
      <c r="F51" s="60"/>
      <c r="G51" s="60">
        <f t="shared" si="3"/>
        <v>0</v>
      </c>
      <c r="H51" s="60">
        <f t="shared" si="2"/>
        <v>0</v>
      </c>
      <c r="I51" s="60">
        <f t="shared" si="2"/>
        <v>0</v>
      </c>
      <c r="J51" s="302"/>
    </row>
    <row r="52" spans="1:10" x14ac:dyDescent="0.3">
      <c r="A52" s="35"/>
      <c r="B52" s="130">
        <v>5812</v>
      </c>
      <c r="C52" s="131" t="s">
        <v>1278</v>
      </c>
      <c r="D52" s="286">
        <v>0</v>
      </c>
      <c r="E52" s="60">
        <f t="shared" si="2"/>
        <v>0</v>
      </c>
      <c r="F52" s="60"/>
      <c r="G52" s="60">
        <f t="shared" si="3"/>
        <v>0</v>
      </c>
      <c r="H52" s="60">
        <f t="shared" si="2"/>
        <v>0</v>
      </c>
      <c r="I52" s="60">
        <f t="shared" si="2"/>
        <v>0</v>
      </c>
      <c r="J52" s="302"/>
    </row>
    <row r="53" spans="1:10" x14ac:dyDescent="0.3">
      <c r="A53" s="35"/>
      <c r="B53" s="151" t="s">
        <v>832</v>
      </c>
      <c r="C53" s="131" t="s">
        <v>833</v>
      </c>
      <c r="D53" s="286">
        <v>1100</v>
      </c>
      <c r="E53" s="60">
        <v>500</v>
      </c>
      <c r="F53" s="60"/>
      <c r="G53" s="60">
        <f t="shared" si="3"/>
        <v>515.80000000000007</v>
      </c>
      <c r="H53" s="60">
        <f t="shared" si="2"/>
        <v>532.30560000000014</v>
      </c>
      <c r="I53" s="60">
        <f t="shared" si="2"/>
        <v>549.12645696000016</v>
      </c>
      <c r="J53" s="302"/>
    </row>
    <row r="54" spans="1:10" x14ac:dyDescent="0.3">
      <c r="A54" s="35"/>
      <c r="B54" s="151" t="s">
        <v>834</v>
      </c>
      <c r="C54" s="131" t="s">
        <v>614</v>
      </c>
      <c r="D54" s="286">
        <v>13500</v>
      </c>
      <c r="E54" s="60">
        <v>10000</v>
      </c>
      <c r="F54" s="60"/>
      <c r="G54" s="60">
        <f t="shared" si="3"/>
        <v>10316</v>
      </c>
      <c r="H54" s="60">
        <f t="shared" si="2"/>
        <v>10646.112000000001</v>
      </c>
      <c r="I54" s="60">
        <f t="shared" si="2"/>
        <v>10982.529139200002</v>
      </c>
      <c r="J54" s="302"/>
    </row>
    <row r="55" spans="1:10" x14ac:dyDescent="0.3">
      <c r="A55" s="35"/>
      <c r="B55" s="289">
        <v>5830</v>
      </c>
      <c r="C55" s="131" t="s">
        <v>1281</v>
      </c>
      <c r="D55" s="286">
        <v>0</v>
      </c>
      <c r="E55" s="60">
        <f t="shared" si="2"/>
        <v>0</v>
      </c>
      <c r="F55" s="60"/>
      <c r="G55" s="60">
        <f t="shared" si="3"/>
        <v>0</v>
      </c>
      <c r="H55" s="60">
        <f t="shared" si="2"/>
        <v>0</v>
      </c>
      <c r="I55" s="60">
        <f t="shared" si="2"/>
        <v>0</v>
      </c>
      <c r="J55" s="302"/>
    </row>
    <row r="56" spans="1:10" x14ac:dyDescent="0.3">
      <c r="A56" s="35"/>
      <c r="B56" s="151" t="s">
        <v>1234</v>
      </c>
      <c r="C56" s="131" t="s">
        <v>1235</v>
      </c>
      <c r="D56" s="286"/>
      <c r="E56" s="60" t="str">
        <f t="shared" si="2"/>
        <v/>
      </c>
      <c r="F56" s="60"/>
      <c r="G56" s="60" t="str">
        <f t="shared" si="3"/>
        <v/>
      </c>
      <c r="H56" s="60" t="str">
        <f t="shared" si="2"/>
        <v/>
      </c>
      <c r="I56" s="60" t="str">
        <f t="shared" si="2"/>
        <v/>
      </c>
      <c r="J56" s="302"/>
    </row>
    <row r="57" spans="1:10" x14ac:dyDescent="0.3">
      <c r="A57" s="35"/>
      <c r="B57" s="151" t="s">
        <v>1236</v>
      </c>
      <c r="C57" s="131" t="s">
        <v>1237</v>
      </c>
      <c r="D57" s="286">
        <v>0</v>
      </c>
      <c r="E57" s="60">
        <f t="shared" si="2"/>
        <v>0</v>
      </c>
      <c r="F57" s="60"/>
      <c r="G57" s="60">
        <f t="shared" si="3"/>
        <v>0</v>
      </c>
      <c r="H57" s="60">
        <f t="shared" si="2"/>
        <v>0</v>
      </c>
      <c r="I57" s="60">
        <f t="shared" si="2"/>
        <v>0</v>
      </c>
      <c r="J57" s="302"/>
    </row>
    <row r="58" spans="1:10" x14ac:dyDescent="0.3">
      <c r="A58" s="35"/>
      <c r="B58" s="151" t="s">
        <v>1220</v>
      </c>
      <c r="C58" s="131" t="s">
        <v>1221</v>
      </c>
      <c r="D58" s="286"/>
      <c r="E58" s="60" t="str">
        <f t="shared" si="2"/>
        <v/>
      </c>
      <c r="F58" s="60"/>
      <c r="G58" s="60" t="str">
        <f t="shared" si="3"/>
        <v/>
      </c>
      <c r="H58" s="60" t="str">
        <f t="shared" si="2"/>
        <v/>
      </c>
      <c r="I58" s="60" t="str">
        <f t="shared" si="2"/>
        <v/>
      </c>
      <c r="J58" s="302"/>
    </row>
    <row r="59" spans="1:10" x14ac:dyDescent="0.3">
      <c r="A59" s="35"/>
      <c r="B59" s="151" t="s">
        <v>1238</v>
      </c>
      <c r="C59" s="131" t="s">
        <v>1239</v>
      </c>
      <c r="D59" s="60">
        <v>48000</v>
      </c>
      <c r="E59" s="60">
        <v>48000</v>
      </c>
      <c r="F59" s="60"/>
      <c r="G59" s="60">
        <v>48000</v>
      </c>
      <c r="H59" s="60">
        <f t="shared" si="2"/>
        <v>49536</v>
      </c>
      <c r="I59" s="60">
        <f t="shared" si="2"/>
        <v>51101.337600000006</v>
      </c>
      <c r="J59" s="302"/>
    </row>
    <row r="60" spans="1:10" x14ac:dyDescent="0.3">
      <c r="A60" s="35"/>
      <c r="B60" s="289">
        <v>5874</v>
      </c>
      <c r="C60" s="131" t="s">
        <v>1264</v>
      </c>
      <c r="D60" s="286">
        <v>0</v>
      </c>
      <c r="E60" s="60">
        <f t="shared" si="2"/>
        <v>0</v>
      </c>
      <c r="F60" s="60"/>
      <c r="G60" s="60">
        <f t="shared" si="3"/>
        <v>0</v>
      </c>
      <c r="H60" s="60">
        <f t="shared" si="2"/>
        <v>0</v>
      </c>
      <c r="I60" s="60">
        <f t="shared" si="2"/>
        <v>0</v>
      </c>
      <c r="J60" s="302"/>
    </row>
    <row r="61" spans="1:10" x14ac:dyDescent="0.3">
      <c r="A61" s="35"/>
      <c r="B61" s="151" t="s">
        <v>1200</v>
      </c>
      <c r="C61" s="130" t="s">
        <v>616</v>
      </c>
      <c r="D61" s="60">
        <f>SUM('Revenue Input'!D8:D10)*0.01</f>
        <v>8996.42</v>
      </c>
      <c r="E61" s="60">
        <f>SUM('Revenue Input'!E8:E10)*0.01</f>
        <v>8281.42</v>
      </c>
      <c r="F61" s="60">
        <f>SUM('Revenue Input'!G8:G10)*0.01</f>
        <v>9401.48</v>
      </c>
      <c r="G61" s="286">
        <f>SUM('Revenue Input'!G8:G10)*0.01</f>
        <v>9401.48</v>
      </c>
      <c r="H61" s="286">
        <f>SUM('Revenue Input'!H8:H10)*0.01</f>
        <v>9898.9600000000009</v>
      </c>
      <c r="I61" s="286">
        <f>SUM('Revenue Input'!I8:I10)*0.01</f>
        <v>10492.2</v>
      </c>
      <c r="J61" s="302"/>
    </row>
    <row r="62" spans="1:10" x14ac:dyDescent="0.3">
      <c r="A62" s="35"/>
      <c r="B62" s="151" t="s">
        <v>1240</v>
      </c>
      <c r="C62" s="130" t="s">
        <v>1241</v>
      </c>
      <c r="D62" s="286">
        <v>3500</v>
      </c>
      <c r="E62" s="60">
        <v>1000</v>
      </c>
      <c r="F62" s="60"/>
      <c r="G62" s="60">
        <f t="shared" si="3"/>
        <v>1031.6000000000001</v>
      </c>
      <c r="H62" s="60">
        <f t="shared" ref="H62:I76" si="4">IF(G62="","",G62*(1+H$6))</f>
        <v>1064.6112000000003</v>
      </c>
      <c r="I62" s="60">
        <f t="shared" si="4"/>
        <v>1098.2529139200003</v>
      </c>
      <c r="J62" s="302"/>
    </row>
    <row r="63" spans="1:10" x14ac:dyDescent="0.3">
      <c r="A63" s="35"/>
      <c r="B63" s="151" t="s">
        <v>1223</v>
      </c>
      <c r="C63" s="131" t="s">
        <v>1224</v>
      </c>
      <c r="D63" s="60"/>
      <c r="E63" s="60" t="str">
        <f t="shared" ref="E63:E76" si="5">IF(D63="","",D63*(1+E$6))</f>
        <v/>
      </c>
      <c r="F63" s="60"/>
      <c r="G63" s="60" t="str">
        <f t="shared" si="3"/>
        <v/>
      </c>
      <c r="H63" s="60" t="str">
        <f t="shared" si="4"/>
        <v/>
      </c>
      <c r="I63" s="60" t="str">
        <f t="shared" si="4"/>
        <v/>
      </c>
      <c r="J63" s="302"/>
    </row>
    <row r="64" spans="1:10" x14ac:dyDescent="0.3">
      <c r="A64" s="35"/>
      <c r="B64" s="151" t="s">
        <v>835</v>
      </c>
      <c r="C64" s="131" t="s">
        <v>836</v>
      </c>
      <c r="D64" s="286"/>
      <c r="E64" s="60">
        <v>0</v>
      </c>
      <c r="F64" s="60">
        <v>18000</v>
      </c>
      <c r="G64" s="60">
        <v>0</v>
      </c>
      <c r="H64" s="60">
        <v>0</v>
      </c>
      <c r="I64" s="60">
        <v>0</v>
      </c>
      <c r="J64" s="302"/>
    </row>
    <row r="65" spans="1:10" x14ac:dyDescent="0.3">
      <c r="A65" s="35"/>
      <c r="B65" s="129" t="s">
        <v>118</v>
      </c>
      <c r="C65" s="130" t="s">
        <v>610</v>
      </c>
      <c r="D65" s="60">
        <v>5500</v>
      </c>
      <c r="E65" s="60">
        <f t="shared" si="5"/>
        <v>5654</v>
      </c>
      <c r="F65" s="60"/>
      <c r="G65" s="60">
        <f t="shared" si="3"/>
        <v>5832.6664000000001</v>
      </c>
      <c r="H65" s="60">
        <f t="shared" si="4"/>
        <v>6019.3117247999999</v>
      </c>
      <c r="I65" s="60">
        <f t="shared" si="4"/>
        <v>6209.5219753036799</v>
      </c>
      <c r="J65" s="302"/>
    </row>
    <row r="66" spans="1:10" outlineLevel="1" x14ac:dyDescent="0.3">
      <c r="A66" s="35"/>
      <c r="B66" s="151" t="s">
        <v>554</v>
      </c>
      <c r="C66" s="131" t="s">
        <v>613</v>
      </c>
      <c r="D66" s="286">
        <v>96072.39</v>
      </c>
      <c r="E66" s="286">
        <v>96072.39</v>
      </c>
      <c r="F66" s="286">
        <v>96072.39</v>
      </c>
      <c r="G66" s="286">
        <v>96072.39</v>
      </c>
      <c r="H66" s="286">
        <v>96072.39</v>
      </c>
      <c r="I66" s="286">
        <v>96072.39</v>
      </c>
      <c r="J66" s="302"/>
    </row>
    <row r="67" spans="1:10" outlineLevel="1" x14ac:dyDescent="0.3">
      <c r="A67" s="35"/>
      <c r="B67" s="129"/>
      <c r="C67" s="130"/>
      <c r="D67" s="60" t="s">
        <v>1219</v>
      </c>
      <c r="E67" s="60" t="str">
        <f t="shared" si="5"/>
        <v/>
      </c>
      <c r="F67" s="60"/>
      <c r="G67" s="60" t="str">
        <f t="shared" si="3"/>
        <v/>
      </c>
      <c r="H67" s="60" t="str">
        <f t="shared" si="4"/>
        <v/>
      </c>
      <c r="I67" s="60" t="str">
        <f t="shared" si="4"/>
        <v/>
      </c>
      <c r="J67" s="302"/>
    </row>
    <row r="68" spans="1:10" hidden="1" outlineLevel="1" x14ac:dyDescent="0.3">
      <c r="A68" s="35"/>
      <c r="B68" s="129"/>
      <c r="C68" s="130"/>
      <c r="D68" s="60" t="s">
        <v>1219</v>
      </c>
      <c r="E68" s="60" t="str">
        <f t="shared" si="5"/>
        <v/>
      </c>
      <c r="F68" s="60"/>
      <c r="G68" s="60" t="str">
        <f t="shared" si="3"/>
        <v/>
      </c>
      <c r="H68" s="60" t="str">
        <f t="shared" si="4"/>
        <v/>
      </c>
      <c r="I68" s="60" t="str">
        <f t="shared" si="4"/>
        <v/>
      </c>
      <c r="J68" s="302"/>
    </row>
    <row r="69" spans="1:10" hidden="1" outlineLevel="1" x14ac:dyDescent="0.3">
      <c r="A69" s="35"/>
      <c r="B69" s="129"/>
      <c r="C69" s="130"/>
      <c r="D69" s="60" t="s">
        <v>1219</v>
      </c>
      <c r="E69" s="60" t="str">
        <f t="shared" si="5"/>
        <v/>
      </c>
      <c r="F69" s="60"/>
      <c r="G69" s="60" t="str">
        <f t="shared" si="3"/>
        <v/>
      </c>
      <c r="H69" s="60" t="str">
        <f t="shared" si="4"/>
        <v/>
      </c>
      <c r="I69" s="60" t="str">
        <f t="shared" si="4"/>
        <v/>
      </c>
      <c r="J69" s="302"/>
    </row>
    <row r="70" spans="1:10" hidden="1" outlineLevel="1" x14ac:dyDescent="0.3">
      <c r="A70" s="35"/>
      <c r="B70" s="129"/>
      <c r="C70" s="130"/>
      <c r="D70" s="60" t="s">
        <v>1219</v>
      </c>
      <c r="E70" s="60" t="str">
        <f t="shared" si="5"/>
        <v/>
      </c>
      <c r="F70" s="60"/>
      <c r="G70" s="60" t="str">
        <f t="shared" si="3"/>
        <v/>
      </c>
      <c r="H70" s="60" t="str">
        <f t="shared" si="4"/>
        <v/>
      </c>
      <c r="I70" s="60" t="str">
        <f t="shared" si="4"/>
        <v/>
      </c>
      <c r="J70" s="302"/>
    </row>
    <row r="71" spans="1:10" hidden="1" outlineLevel="1" x14ac:dyDescent="0.3">
      <c r="A71" s="35"/>
      <c r="B71" s="129"/>
      <c r="C71" s="130"/>
      <c r="D71" s="60" t="s">
        <v>1219</v>
      </c>
      <c r="E71" s="60" t="str">
        <f t="shared" si="5"/>
        <v/>
      </c>
      <c r="F71" s="60"/>
      <c r="G71" s="60" t="str">
        <f t="shared" si="3"/>
        <v/>
      </c>
      <c r="H71" s="60" t="str">
        <f t="shared" si="4"/>
        <v/>
      </c>
      <c r="I71" s="60" t="str">
        <f t="shared" si="4"/>
        <v/>
      </c>
      <c r="J71" s="302"/>
    </row>
    <row r="72" spans="1:10" hidden="1" outlineLevel="1" x14ac:dyDescent="0.3">
      <c r="A72" s="35"/>
      <c r="B72" s="129"/>
      <c r="C72" s="130"/>
      <c r="D72" s="60" t="s">
        <v>1219</v>
      </c>
      <c r="E72" s="60" t="str">
        <f t="shared" si="5"/>
        <v/>
      </c>
      <c r="F72" s="60"/>
      <c r="G72" s="60" t="str">
        <f t="shared" si="3"/>
        <v/>
      </c>
      <c r="H72" s="60" t="str">
        <f t="shared" si="4"/>
        <v/>
      </c>
      <c r="I72" s="60" t="str">
        <f t="shared" si="4"/>
        <v/>
      </c>
      <c r="J72" s="302"/>
    </row>
    <row r="73" spans="1:10" hidden="1" outlineLevel="1" x14ac:dyDescent="0.3">
      <c r="A73" s="35"/>
      <c r="B73" s="129"/>
      <c r="C73" s="130"/>
      <c r="D73" s="60" t="s">
        <v>1219</v>
      </c>
      <c r="E73" s="60" t="str">
        <f t="shared" si="5"/>
        <v/>
      </c>
      <c r="F73" s="60"/>
      <c r="G73" s="60" t="str">
        <f t="shared" si="3"/>
        <v/>
      </c>
      <c r="H73" s="60" t="str">
        <f t="shared" si="4"/>
        <v/>
      </c>
      <c r="I73" s="60" t="str">
        <f t="shared" si="4"/>
        <v/>
      </c>
      <c r="J73" s="302"/>
    </row>
    <row r="74" spans="1:10" hidden="1" outlineLevel="1" x14ac:dyDescent="0.3">
      <c r="A74" s="35"/>
      <c r="B74" s="129"/>
      <c r="C74" s="130"/>
      <c r="D74" s="60" t="s">
        <v>1219</v>
      </c>
      <c r="E74" s="60" t="str">
        <f t="shared" si="5"/>
        <v/>
      </c>
      <c r="F74" s="60"/>
      <c r="G74" s="60" t="str">
        <f t="shared" si="3"/>
        <v/>
      </c>
      <c r="H74" s="60" t="str">
        <f t="shared" si="4"/>
        <v/>
      </c>
      <c r="I74" s="60" t="str">
        <f t="shared" si="4"/>
        <v/>
      </c>
      <c r="J74" s="302"/>
    </row>
    <row r="75" spans="1:10" hidden="1" outlineLevel="1" x14ac:dyDescent="0.3">
      <c r="A75" s="35"/>
      <c r="B75" s="151"/>
      <c r="C75" s="131"/>
      <c r="D75" s="60" t="s">
        <v>1219</v>
      </c>
      <c r="E75" s="60" t="str">
        <f t="shared" si="5"/>
        <v/>
      </c>
      <c r="F75" s="60"/>
      <c r="G75" s="60" t="str">
        <f t="shared" si="3"/>
        <v/>
      </c>
      <c r="H75" s="60" t="str">
        <f t="shared" si="4"/>
        <v/>
      </c>
      <c r="I75" s="60" t="str">
        <f t="shared" si="4"/>
        <v/>
      </c>
      <c r="J75" s="302"/>
    </row>
    <row r="76" spans="1:10" x14ac:dyDescent="0.3">
      <c r="A76" s="35"/>
      <c r="B76" s="151" t="s">
        <v>1033</v>
      </c>
      <c r="C76" s="131" t="s">
        <v>1034</v>
      </c>
      <c r="D76" s="60" t="s">
        <v>1219</v>
      </c>
      <c r="E76" s="60" t="str">
        <f t="shared" si="5"/>
        <v/>
      </c>
      <c r="F76" s="60"/>
      <c r="G76" s="60" t="str">
        <f t="shared" si="3"/>
        <v/>
      </c>
      <c r="H76" s="60" t="str">
        <f t="shared" si="4"/>
        <v/>
      </c>
      <c r="I76" s="60" t="str">
        <f t="shared" si="4"/>
        <v/>
      </c>
      <c r="J76" s="302"/>
    </row>
    <row r="77" spans="1:10" x14ac:dyDescent="0.3">
      <c r="A77" s="35"/>
      <c r="B77" s="32" t="s">
        <v>559</v>
      </c>
      <c r="C77" s="33" t="s">
        <v>720</v>
      </c>
      <c r="D77" s="165">
        <f>IF(SUM(D31:D76)&gt;0,SUM(D31:D76),"")</f>
        <v>321451.81</v>
      </c>
      <c r="E77" s="165">
        <f>IF(SUM(E31:E76)&gt;0,SUM(E31:E76),"")</f>
        <v>309246.69</v>
      </c>
      <c r="F77" s="165"/>
      <c r="G77" s="165">
        <f>IF(SUM(G31:G76)&gt;0,SUM(G31:G76),"")</f>
        <v>315324.56500800001</v>
      </c>
      <c r="H77" s="165">
        <f>IF(SUM(H31:H76)&gt;0,SUM(H31:H76),"")</f>
        <v>322537.26724825596</v>
      </c>
      <c r="I77" s="165">
        <f>IF(SUM(I31:I76)&gt;0,SUM(I31:I76),"")</f>
        <v>329973.99023330089</v>
      </c>
    </row>
    <row r="78" spans="1:10" x14ac:dyDescent="0.3">
      <c r="A78" s="35"/>
      <c r="B78" s="4"/>
      <c r="C78" s="3"/>
      <c r="D78" s="169"/>
      <c r="E78" s="169"/>
      <c r="F78" s="169"/>
      <c r="G78" s="169"/>
      <c r="H78" s="169"/>
      <c r="I78" s="169"/>
    </row>
    <row r="79" spans="1:10" x14ac:dyDescent="0.3">
      <c r="A79" s="33" t="s">
        <v>722</v>
      </c>
      <c r="B79" s="4"/>
      <c r="C79" s="3"/>
      <c r="D79" s="169"/>
      <c r="E79" s="169"/>
      <c r="F79" s="169"/>
      <c r="G79" s="169"/>
      <c r="H79" s="169"/>
      <c r="I79" s="169"/>
    </row>
    <row r="80" spans="1:10" x14ac:dyDescent="0.3">
      <c r="A80" s="35"/>
      <c r="B80" s="129" t="s">
        <v>132</v>
      </c>
      <c r="C80" s="130" t="s">
        <v>1294</v>
      </c>
      <c r="D80" s="168">
        <v>2908.72</v>
      </c>
      <c r="E80" s="168">
        <v>2908.72</v>
      </c>
      <c r="F80" s="168">
        <v>2908.72</v>
      </c>
      <c r="G80" s="168">
        <v>2908.72</v>
      </c>
      <c r="H80" s="168">
        <v>2908.72</v>
      </c>
      <c r="I80" s="168">
        <v>2908.72</v>
      </c>
    </row>
    <row r="81" spans="1:9" x14ac:dyDescent="0.3">
      <c r="A81" s="35"/>
      <c r="B81" s="32" t="s">
        <v>560</v>
      </c>
      <c r="C81" s="33" t="s">
        <v>720</v>
      </c>
      <c r="D81" s="165">
        <f>IF(SUM(D79:D80)&gt;0,SUM(D79:D80),"")</f>
        <v>2908.72</v>
      </c>
      <c r="E81" s="165">
        <f>IF(SUM(E79:E80)&gt;0,SUM(E79:E80),"")</f>
        <v>2908.72</v>
      </c>
      <c r="F81" s="165"/>
      <c r="G81" s="165">
        <f>IF(SUM(G79:G80)&gt;0,SUM(G79:G80),"")</f>
        <v>2908.72</v>
      </c>
      <c r="H81" s="165">
        <f>IF(SUM(H79:H80)&gt;0,SUM(H79:H80),"")</f>
        <v>2908.72</v>
      </c>
      <c r="I81" s="165">
        <f>IF(SUM(I79:I80)&gt;0,SUM(I79:I80),"")</f>
        <v>2908.72</v>
      </c>
    </row>
    <row r="82" spans="1:9" x14ac:dyDescent="0.3">
      <c r="A82" s="35"/>
      <c r="B82" s="4"/>
      <c r="C82" s="3"/>
      <c r="D82" s="169"/>
      <c r="E82" s="170"/>
      <c r="F82" s="170"/>
      <c r="G82" s="170"/>
      <c r="H82" s="169"/>
      <c r="I82" s="169"/>
    </row>
    <row r="83" spans="1:9" x14ac:dyDescent="0.3">
      <c r="A83" s="33" t="s">
        <v>723</v>
      </c>
      <c r="B83" s="4"/>
      <c r="C83" s="3"/>
      <c r="D83" s="169"/>
      <c r="E83" s="170"/>
      <c r="F83" s="170"/>
      <c r="G83" s="170"/>
      <c r="H83" s="169"/>
      <c r="I83" s="169"/>
    </row>
    <row r="84" spans="1:9" x14ac:dyDescent="0.3">
      <c r="A84" s="35"/>
      <c r="B84" s="151" t="s">
        <v>684</v>
      </c>
      <c r="C84" s="130" t="s">
        <v>612</v>
      </c>
      <c r="D84" s="286">
        <v>0</v>
      </c>
      <c r="E84" s="286"/>
      <c r="F84" s="286"/>
      <c r="G84" s="286"/>
      <c r="H84" s="286"/>
      <c r="I84" s="286"/>
    </row>
    <row r="85" spans="1:9" x14ac:dyDescent="0.3">
      <c r="A85" s="35"/>
      <c r="B85" s="151" t="s">
        <v>184</v>
      </c>
      <c r="C85" s="131" t="s">
        <v>1192</v>
      </c>
      <c r="D85" s="60">
        <v>0</v>
      </c>
      <c r="E85" s="60"/>
      <c r="F85" s="60"/>
      <c r="G85" s="60"/>
      <c r="H85" s="60">
        <v>0</v>
      </c>
      <c r="I85" s="60">
        <v>0</v>
      </c>
    </row>
    <row r="86" spans="1:9" x14ac:dyDescent="0.3">
      <c r="A86" s="35"/>
      <c r="B86" s="151" t="s">
        <v>1243</v>
      </c>
      <c r="C86" s="130" t="s">
        <v>1244</v>
      </c>
      <c r="D86" s="60"/>
      <c r="E86" s="60"/>
      <c r="F86" s="60"/>
      <c r="G86" s="60"/>
      <c r="H86" s="60"/>
      <c r="I86" s="60"/>
    </row>
    <row r="87" spans="1:9" x14ac:dyDescent="0.3">
      <c r="A87" s="35"/>
      <c r="B87" s="32" t="s">
        <v>684</v>
      </c>
      <c r="C87" s="33" t="s">
        <v>724</v>
      </c>
      <c r="D87" s="165" t="str">
        <f>IF(SUM(D83:D86)&gt;0,SUM(D83:D86),"")</f>
        <v/>
      </c>
      <c r="E87" s="165" t="str">
        <f>IF(SUM(E83:E86)&gt;0,SUM(E83:E86),"")</f>
        <v/>
      </c>
      <c r="F87" s="165"/>
      <c r="G87" s="165" t="str">
        <f>IF(SUM(G83:G86)&gt;0,SUM(G83:G86),"")</f>
        <v/>
      </c>
      <c r="H87" s="165" t="str">
        <f>IF(SUM(H83:H86)&gt;0,SUM(H83:H86),"")</f>
        <v/>
      </c>
      <c r="I87" s="165" t="str">
        <f>IF(SUM(I83:I86)&gt;0,SUM(I83:I86),"")</f>
        <v/>
      </c>
    </row>
    <row r="88" spans="1:9" ht="16.2" thickBot="1" x14ac:dyDescent="0.35">
      <c r="A88" s="35"/>
      <c r="B88" s="4"/>
      <c r="C88" s="3"/>
      <c r="D88" s="171"/>
      <c r="E88" s="171"/>
      <c r="F88" s="171"/>
      <c r="G88" s="171"/>
      <c r="H88" s="171"/>
      <c r="I88" s="171"/>
    </row>
    <row r="89" spans="1:9" x14ac:dyDescent="0.3">
      <c r="A89" s="33" t="s">
        <v>736</v>
      </c>
      <c r="B89" s="4"/>
      <c r="C89" s="3"/>
      <c r="D89" s="165">
        <f>IF(SUM(D29,D77,D81,D87)&gt;0,SUM(D29,D77,D81,D87),"")</f>
        <v>460735.52999999997</v>
      </c>
      <c r="E89" s="165">
        <f>IF(SUM(E29,E77,E81,E87)&gt;0,SUM(E29,E77,E81,E87),"")</f>
        <v>399195.41</v>
      </c>
      <c r="F89" s="165"/>
      <c r="G89" s="165">
        <f>IF(SUM(G29,G77,G81,G87)&gt;0,SUM(G29,G77,G81,G87),"")</f>
        <v>408023.74900800001</v>
      </c>
      <c r="H89" s="165">
        <f>IF(SUM(H29,H77,H81,H87)&gt;0,SUM(H29,H77,H81,H87),"")</f>
        <v>418109.74609625596</v>
      </c>
      <c r="I89" s="165">
        <f>IF(SUM(I29,I77,I81,I87)&gt;0,SUM(I29,I77,I81,I87),"")</f>
        <v>428474.64386089769</v>
      </c>
    </row>
    <row r="90" spans="1:9" x14ac:dyDescent="0.3">
      <c r="A90" s="35"/>
    </row>
    <row r="91" spans="1:9" x14ac:dyDescent="0.3">
      <c r="A91" s="35"/>
    </row>
    <row r="92" spans="1:9" x14ac:dyDescent="0.3">
      <c r="A92" s="35"/>
    </row>
    <row r="93" spans="1:9" x14ac:dyDescent="0.3">
      <c r="A93" s="35"/>
    </row>
    <row r="94" spans="1:9" x14ac:dyDescent="0.3">
      <c r="A94" s="35"/>
    </row>
    <row r="95" spans="1:9" x14ac:dyDescent="0.3">
      <c r="A95" s="35"/>
    </row>
    <row r="96" spans="1:9" x14ac:dyDescent="0.3">
      <c r="A96" s="35"/>
    </row>
    <row r="97" spans="1:1" x14ac:dyDescent="0.3">
      <c r="A97" s="35"/>
    </row>
    <row r="98" spans="1:1" x14ac:dyDescent="0.3">
      <c r="A98" s="35"/>
    </row>
    <row r="99" spans="1:1" x14ac:dyDescent="0.3">
      <c r="A99" s="35"/>
    </row>
    <row r="100" spans="1:1" x14ac:dyDescent="0.3">
      <c r="A100" s="35"/>
    </row>
    <row r="101" spans="1:1" x14ac:dyDescent="0.3">
      <c r="A101" s="35"/>
    </row>
    <row r="102" spans="1:1" x14ac:dyDescent="0.3">
      <c r="A102" s="35"/>
    </row>
    <row r="103" spans="1:1" x14ac:dyDescent="0.3">
      <c r="A103" s="35"/>
    </row>
    <row r="104" spans="1:1" x14ac:dyDescent="0.3">
      <c r="A104" s="35"/>
    </row>
    <row r="105" spans="1:1" x14ac:dyDescent="0.3">
      <c r="A105" s="35"/>
    </row>
    <row r="106" spans="1:1" x14ac:dyDescent="0.3">
      <c r="A106" s="35"/>
    </row>
    <row r="107" spans="1:1" x14ac:dyDescent="0.3">
      <c r="A107" s="35"/>
    </row>
    <row r="108" spans="1:1" x14ac:dyDescent="0.3">
      <c r="A108" s="35"/>
    </row>
    <row r="109" spans="1:1" x14ac:dyDescent="0.3">
      <c r="A109" s="35"/>
    </row>
    <row r="110" spans="1:1" x14ac:dyDescent="0.3">
      <c r="A110" s="35"/>
    </row>
    <row r="111" spans="1:1" x14ac:dyDescent="0.3">
      <c r="A111" s="35"/>
    </row>
    <row r="112" spans="1:1" x14ac:dyDescent="0.3">
      <c r="A112" s="35"/>
    </row>
    <row r="113" spans="1:1" x14ac:dyDescent="0.3">
      <c r="A113" s="35"/>
    </row>
    <row r="114" spans="1:1" x14ac:dyDescent="0.3">
      <c r="A114" s="35"/>
    </row>
    <row r="115" spans="1:1" x14ac:dyDescent="0.3">
      <c r="A115" s="35"/>
    </row>
    <row r="116" spans="1:1" x14ac:dyDescent="0.3">
      <c r="A116" s="35"/>
    </row>
    <row r="117" spans="1:1" x14ac:dyDescent="0.3">
      <c r="A117" s="35"/>
    </row>
    <row r="118" spans="1:1" x14ac:dyDescent="0.3">
      <c r="A118" s="35"/>
    </row>
    <row r="119" spans="1:1" x14ac:dyDescent="0.3">
      <c r="A119" s="35"/>
    </row>
    <row r="120" spans="1:1" x14ac:dyDescent="0.3">
      <c r="A120" s="35"/>
    </row>
    <row r="121" spans="1:1" x14ac:dyDescent="0.3">
      <c r="A121" s="35"/>
    </row>
    <row r="122" spans="1:1" x14ac:dyDescent="0.3">
      <c r="A122" s="35"/>
    </row>
    <row r="123" spans="1:1" x14ac:dyDescent="0.3">
      <c r="A123" s="35"/>
    </row>
    <row r="124" spans="1:1" x14ac:dyDescent="0.3">
      <c r="A124" s="35"/>
    </row>
    <row r="125" spans="1:1" x14ac:dyDescent="0.3">
      <c r="A125" s="35"/>
    </row>
    <row r="126" spans="1:1" x14ac:dyDescent="0.3">
      <c r="A126" s="35"/>
    </row>
    <row r="127" spans="1:1" x14ac:dyDescent="0.3">
      <c r="A127" s="35"/>
    </row>
    <row r="128" spans="1:1" x14ac:dyDescent="0.3">
      <c r="A128" s="35"/>
    </row>
    <row r="129" spans="1:1" x14ac:dyDescent="0.3">
      <c r="A129" s="35"/>
    </row>
    <row r="130" spans="1:1" x14ac:dyDescent="0.3">
      <c r="A130" s="35"/>
    </row>
    <row r="131" spans="1:1" x14ac:dyDescent="0.3">
      <c r="A131" s="35"/>
    </row>
    <row r="132" spans="1:1" x14ac:dyDescent="0.3">
      <c r="A132" s="35"/>
    </row>
    <row r="133" spans="1:1" x14ac:dyDescent="0.3">
      <c r="A133" s="35"/>
    </row>
    <row r="134" spans="1:1" x14ac:dyDescent="0.3">
      <c r="A134" s="35"/>
    </row>
    <row r="135" spans="1:1" x14ac:dyDescent="0.3">
      <c r="A135" s="35"/>
    </row>
    <row r="136" spans="1:1" x14ac:dyDescent="0.3">
      <c r="A136" s="35"/>
    </row>
    <row r="137" spans="1:1" x14ac:dyDescent="0.3">
      <c r="A137" s="35"/>
    </row>
    <row r="138" spans="1:1" x14ac:dyDescent="0.3">
      <c r="A138" s="35"/>
    </row>
    <row r="139" spans="1:1" x14ac:dyDescent="0.3">
      <c r="A139" s="35"/>
    </row>
    <row r="140" spans="1:1" x14ac:dyDescent="0.3">
      <c r="A140" s="35"/>
    </row>
    <row r="141" spans="1:1" x14ac:dyDescent="0.3">
      <c r="A141" s="35"/>
    </row>
    <row r="142" spans="1:1" x14ac:dyDescent="0.3">
      <c r="A142" s="35"/>
    </row>
    <row r="143" spans="1:1" x14ac:dyDescent="0.3">
      <c r="A143" s="35"/>
    </row>
    <row r="144" spans="1:1" x14ac:dyDescent="0.3">
      <c r="A144" s="35"/>
    </row>
    <row r="145" spans="1:1" x14ac:dyDescent="0.3">
      <c r="A145" s="35"/>
    </row>
    <row r="146" spans="1:1" x14ac:dyDescent="0.3">
      <c r="A146" s="35"/>
    </row>
    <row r="147" spans="1:1" x14ac:dyDescent="0.3">
      <c r="A147" s="35"/>
    </row>
    <row r="148" spans="1:1" x14ac:dyDescent="0.3">
      <c r="A148" s="35"/>
    </row>
    <row r="149" spans="1:1" x14ac:dyDescent="0.3">
      <c r="A149" s="35"/>
    </row>
    <row r="150" spans="1:1" x14ac:dyDescent="0.3">
      <c r="A150" s="35"/>
    </row>
    <row r="151" spans="1:1" x14ac:dyDescent="0.3">
      <c r="A151" s="35"/>
    </row>
    <row r="152" spans="1:1" x14ac:dyDescent="0.3">
      <c r="A152" s="35"/>
    </row>
    <row r="153" spans="1:1" x14ac:dyDescent="0.3">
      <c r="A153" s="35"/>
    </row>
    <row r="154" spans="1:1" x14ac:dyDescent="0.3">
      <c r="A154" s="35"/>
    </row>
    <row r="155" spans="1:1" x14ac:dyDescent="0.3">
      <c r="A155" s="35"/>
    </row>
    <row r="156" spans="1:1" x14ac:dyDescent="0.3">
      <c r="A156" s="35"/>
    </row>
    <row r="157" spans="1:1" x14ac:dyDescent="0.3">
      <c r="A157" s="35"/>
    </row>
    <row r="158" spans="1:1" x14ac:dyDescent="0.3">
      <c r="A158" s="35"/>
    </row>
    <row r="159" spans="1:1" x14ac:dyDescent="0.3">
      <c r="A159" s="35"/>
    </row>
    <row r="160" spans="1:1" x14ac:dyDescent="0.3">
      <c r="A160" s="35"/>
    </row>
    <row r="161" spans="1:1" x14ac:dyDescent="0.3">
      <c r="A161" s="35"/>
    </row>
    <row r="162" spans="1:1" x14ac:dyDescent="0.3">
      <c r="A162" s="35"/>
    </row>
    <row r="163" spans="1:1" x14ac:dyDescent="0.3">
      <c r="A163" s="35"/>
    </row>
    <row r="164" spans="1:1" x14ac:dyDescent="0.3">
      <c r="A164" s="35"/>
    </row>
    <row r="165" spans="1:1" x14ac:dyDescent="0.3">
      <c r="A165" s="35"/>
    </row>
    <row r="166" spans="1:1" x14ac:dyDescent="0.3">
      <c r="A166" s="35"/>
    </row>
    <row r="167" spans="1:1" x14ac:dyDescent="0.3">
      <c r="A167" s="35"/>
    </row>
    <row r="168" spans="1:1" x14ac:dyDescent="0.3">
      <c r="A168" s="35"/>
    </row>
    <row r="169" spans="1:1" x14ac:dyDescent="0.3">
      <c r="A169" s="35"/>
    </row>
    <row r="170" spans="1:1" x14ac:dyDescent="0.3">
      <c r="A170" s="35"/>
    </row>
    <row r="171" spans="1:1" x14ac:dyDescent="0.3">
      <c r="A171" s="35"/>
    </row>
    <row r="172" spans="1:1" x14ac:dyDescent="0.3">
      <c r="A172" s="35"/>
    </row>
    <row r="173" spans="1:1" x14ac:dyDescent="0.3">
      <c r="A173" s="35"/>
    </row>
    <row r="174" spans="1:1" x14ac:dyDescent="0.3">
      <c r="A174" s="35"/>
    </row>
    <row r="175" spans="1:1" x14ac:dyDescent="0.3">
      <c r="A175" s="35"/>
    </row>
    <row r="176" spans="1:1" x14ac:dyDescent="0.3">
      <c r="A176" s="35"/>
    </row>
    <row r="177" spans="1:1" x14ac:dyDescent="0.3">
      <c r="A177" s="35"/>
    </row>
    <row r="178" spans="1:1" x14ac:dyDescent="0.3">
      <c r="A178" s="35"/>
    </row>
  </sheetData>
  <sortState xmlns:xlrd2="http://schemas.microsoft.com/office/spreadsheetml/2017/richdata2" ref="B32:I66">
    <sortCondition ref="B32:B66"/>
  </sortState>
  <printOptions horizontalCentered="1"/>
  <pageMargins left="0.25" right="0.25" top="0.5" bottom="0.5" header="0.3" footer="0.3"/>
  <pageSetup paperSize="5" scale="75" fitToHeight="2" orientation="landscape" r:id="rId1"/>
  <headerFooter alignWithMargins="0">
    <oddHeader>&amp;A</oddHeader>
    <oddFooter>Page &amp;P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AD132"/>
  <sheetViews>
    <sheetView zoomScale="70" zoomScaleNormal="70" workbookViewId="0">
      <pane xSplit="3" ySplit="6" topLeftCell="D103" activePane="bottomRight" state="frozen"/>
      <selection activeCell="L16" sqref="L16"/>
      <selection pane="topRight" activeCell="L16" sqref="L16"/>
      <selection pane="bottomLeft" activeCell="L16" sqref="L16"/>
      <selection pane="bottomRight" activeCell="X108" sqref="X108"/>
    </sheetView>
  </sheetViews>
  <sheetFormatPr defaultRowHeight="15.6" outlineLevelRow="1" outlineLevelCol="1" x14ac:dyDescent="0.3"/>
  <cols>
    <col min="1" max="1" width="5.6640625" style="34" customWidth="1"/>
    <col min="2" max="2" width="7.44140625" style="39" customWidth="1"/>
    <col min="3" max="3" width="42.5546875" style="1" customWidth="1"/>
    <col min="4" max="17" width="20.33203125" style="30" hidden="1" customWidth="1"/>
    <col min="18" max="18" width="20.33203125" style="30" customWidth="1" outlineLevel="1"/>
    <col min="19" max="19" width="20.33203125" style="30" hidden="1" customWidth="1" outlineLevel="1"/>
    <col min="20" max="22" width="20.33203125" style="30" customWidth="1" outlineLevel="1"/>
    <col min="23" max="23" width="16.109375" style="30" customWidth="1"/>
    <col min="24" max="24" width="17.33203125" style="30" customWidth="1"/>
    <col min="25" max="25" width="9.5546875" style="30" bestFit="1" customWidth="1"/>
    <col min="31" max="271" width="9.109375" style="1"/>
    <col min="272" max="272" width="22.88671875" style="1" customWidth="1"/>
    <col min="273" max="527" width="9.109375" style="1"/>
    <col min="528" max="528" width="22.88671875" style="1" customWidth="1"/>
    <col min="529" max="783" width="9.109375" style="1"/>
    <col min="784" max="784" width="22.88671875" style="1" customWidth="1"/>
    <col min="785" max="1039" width="9.109375" style="1"/>
    <col min="1040" max="1040" width="22.88671875" style="1" customWidth="1"/>
    <col min="1041" max="1295" width="9.109375" style="1"/>
    <col min="1296" max="1296" width="22.88671875" style="1" customWidth="1"/>
    <col min="1297" max="1551" width="9.109375" style="1"/>
    <col min="1552" max="1552" width="22.88671875" style="1" customWidth="1"/>
    <col min="1553" max="1807" width="9.109375" style="1"/>
    <col min="1808" max="1808" width="22.88671875" style="1" customWidth="1"/>
    <col min="1809" max="2063" width="9.109375" style="1"/>
    <col min="2064" max="2064" width="22.88671875" style="1" customWidth="1"/>
    <col min="2065" max="2319" width="9.109375" style="1"/>
    <col min="2320" max="2320" width="22.88671875" style="1" customWidth="1"/>
    <col min="2321" max="2575" width="9.109375" style="1"/>
    <col min="2576" max="2576" width="22.88671875" style="1" customWidth="1"/>
    <col min="2577" max="2831" width="9.109375" style="1"/>
    <col min="2832" max="2832" width="22.88671875" style="1" customWidth="1"/>
    <col min="2833" max="3087" width="9.109375" style="1"/>
    <col min="3088" max="3088" width="22.88671875" style="1" customWidth="1"/>
    <col min="3089" max="3343" width="9.109375" style="1"/>
    <col min="3344" max="3344" width="22.88671875" style="1" customWidth="1"/>
    <col min="3345" max="3599" width="9.109375" style="1"/>
    <col min="3600" max="3600" width="22.88671875" style="1" customWidth="1"/>
    <col min="3601" max="3855" width="9.109375" style="1"/>
    <col min="3856" max="3856" width="22.88671875" style="1" customWidth="1"/>
    <col min="3857" max="4111" width="9.109375" style="1"/>
    <col min="4112" max="4112" width="22.88671875" style="1" customWidth="1"/>
    <col min="4113" max="4367" width="9.109375" style="1"/>
    <col min="4368" max="4368" width="22.88671875" style="1" customWidth="1"/>
    <col min="4369" max="4623" width="9.109375" style="1"/>
    <col min="4624" max="4624" width="22.88671875" style="1" customWidth="1"/>
    <col min="4625" max="4879" width="9.109375" style="1"/>
    <col min="4880" max="4880" width="22.88671875" style="1" customWidth="1"/>
    <col min="4881" max="5135" width="9.109375" style="1"/>
    <col min="5136" max="5136" width="22.88671875" style="1" customWidth="1"/>
    <col min="5137" max="5391" width="9.109375" style="1"/>
    <col min="5392" max="5392" width="22.88671875" style="1" customWidth="1"/>
    <col min="5393" max="5647" width="9.109375" style="1"/>
    <col min="5648" max="5648" width="22.88671875" style="1" customWidth="1"/>
    <col min="5649" max="5903" width="9.109375" style="1"/>
    <col min="5904" max="5904" width="22.88671875" style="1" customWidth="1"/>
    <col min="5905" max="6159" width="9.109375" style="1"/>
    <col min="6160" max="6160" width="22.88671875" style="1" customWidth="1"/>
    <col min="6161" max="6415" width="9.109375" style="1"/>
    <col min="6416" max="6416" width="22.88671875" style="1" customWidth="1"/>
    <col min="6417" max="6671" width="9.109375" style="1"/>
    <col min="6672" max="6672" width="22.88671875" style="1" customWidth="1"/>
    <col min="6673" max="6927" width="9.109375" style="1"/>
    <col min="6928" max="6928" width="22.88671875" style="1" customWidth="1"/>
    <col min="6929" max="7183" width="9.109375" style="1"/>
    <col min="7184" max="7184" width="22.88671875" style="1" customWidth="1"/>
    <col min="7185" max="7439" width="9.109375" style="1"/>
    <col min="7440" max="7440" width="22.88671875" style="1" customWidth="1"/>
    <col min="7441" max="7695" width="9.109375" style="1"/>
    <col min="7696" max="7696" width="22.88671875" style="1" customWidth="1"/>
    <col min="7697" max="7951" width="9.109375" style="1"/>
    <col min="7952" max="7952" width="22.88671875" style="1" customWidth="1"/>
    <col min="7953" max="8207" width="9.109375" style="1"/>
    <col min="8208" max="8208" width="22.88671875" style="1" customWidth="1"/>
    <col min="8209" max="8463" width="9.109375" style="1"/>
    <col min="8464" max="8464" width="22.88671875" style="1" customWidth="1"/>
    <col min="8465" max="8719" width="9.109375" style="1"/>
    <col min="8720" max="8720" width="22.88671875" style="1" customWidth="1"/>
    <col min="8721" max="8975" width="9.109375" style="1"/>
    <col min="8976" max="8976" width="22.88671875" style="1" customWidth="1"/>
    <col min="8977" max="9231" width="9.109375" style="1"/>
    <col min="9232" max="9232" width="22.88671875" style="1" customWidth="1"/>
    <col min="9233" max="9487" width="9.109375" style="1"/>
    <col min="9488" max="9488" width="22.88671875" style="1" customWidth="1"/>
    <col min="9489" max="9743" width="9.109375" style="1"/>
    <col min="9744" max="9744" width="22.88671875" style="1" customWidth="1"/>
    <col min="9745" max="9999" width="9.109375" style="1"/>
    <col min="10000" max="10000" width="22.88671875" style="1" customWidth="1"/>
    <col min="10001" max="10255" width="9.109375" style="1"/>
    <col min="10256" max="10256" width="22.88671875" style="1" customWidth="1"/>
    <col min="10257" max="10511" width="9.109375" style="1"/>
    <col min="10512" max="10512" width="22.88671875" style="1" customWidth="1"/>
    <col min="10513" max="10767" width="9.109375" style="1"/>
    <col min="10768" max="10768" width="22.88671875" style="1" customWidth="1"/>
    <col min="10769" max="11023" width="9.109375" style="1"/>
    <col min="11024" max="11024" width="22.88671875" style="1" customWidth="1"/>
    <col min="11025" max="11279" width="9.109375" style="1"/>
    <col min="11280" max="11280" width="22.88671875" style="1" customWidth="1"/>
    <col min="11281" max="11535" width="9.109375" style="1"/>
    <col min="11536" max="11536" width="22.88671875" style="1" customWidth="1"/>
    <col min="11537" max="11791" width="9.109375" style="1"/>
    <col min="11792" max="11792" width="22.88671875" style="1" customWidth="1"/>
    <col min="11793" max="12047" width="9.109375" style="1"/>
    <col min="12048" max="12048" width="22.88671875" style="1" customWidth="1"/>
    <col min="12049" max="12303" width="9.109375" style="1"/>
    <col min="12304" max="12304" width="22.88671875" style="1" customWidth="1"/>
    <col min="12305" max="12559" width="9.109375" style="1"/>
    <col min="12560" max="12560" width="22.88671875" style="1" customWidth="1"/>
    <col min="12561" max="12815" width="9.109375" style="1"/>
    <col min="12816" max="12816" width="22.88671875" style="1" customWidth="1"/>
    <col min="12817" max="13071" width="9.109375" style="1"/>
    <col min="13072" max="13072" width="22.88671875" style="1" customWidth="1"/>
    <col min="13073" max="13327" width="9.109375" style="1"/>
    <col min="13328" max="13328" width="22.88671875" style="1" customWidth="1"/>
    <col min="13329" max="13583" width="9.109375" style="1"/>
    <col min="13584" max="13584" width="22.88671875" style="1" customWidth="1"/>
    <col min="13585" max="13839" width="9.109375" style="1"/>
    <col min="13840" max="13840" width="22.88671875" style="1" customWidth="1"/>
    <col min="13841" max="14095" width="9.109375" style="1"/>
    <col min="14096" max="14096" width="22.88671875" style="1" customWidth="1"/>
    <col min="14097" max="14351" width="9.109375" style="1"/>
    <col min="14352" max="14352" width="22.88671875" style="1" customWidth="1"/>
    <col min="14353" max="14607" width="9.109375" style="1"/>
    <col min="14608" max="14608" width="22.88671875" style="1" customWidth="1"/>
    <col min="14609" max="14863" width="9.109375" style="1"/>
    <col min="14864" max="14864" width="22.88671875" style="1" customWidth="1"/>
    <col min="14865" max="15119" width="9.109375" style="1"/>
    <col min="15120" max="15120" width="22.88671875" style="1" customWidth="1"/>
    <col min="15121" max="15375" width="9.109375" style="1"/>
    <col min="15376" max="15376" width="22.88671875" style="1" customWidth="1"/>
    <col min="15377" max="15631" width="9.109375" style="1"/>
    <col min="15632" max="15632" width="22.88671875" style="1" customWidth="1"/>
    <col min="15633" max="15887" width="9.109375" style="1"/>
    <col min="15888" max="15888" width="22.88671875" style="1" customWidth="1"/>
    <col min="15889" max="16143" width="9.109375" style="1"/>
    <col min="16144" max="16144" width="22.88671875" style="1" customWidth="1"/>
    <col min="16145" max="16384" width="9.109375" style="1"/>
  </cols>
  <sheetData>
    <row r="1" spans="1:22" ht="20.399999999999999" x14ac:dyDescent="0.35">
      <c r="A1" s="21" t="str">
        <f>'Student Info'!$A$1</f>
        <v>Three Rivers - 23-65565-0123737</v>
      </c>
    </row>
    <row r="2" spans="1:22" ht="17.399999999999999" x14ac:dyDescent="0.3">
      <c r="A2" s="20" t="s">
        <v>745</v>
      </c>
    </row>
    <row r="3" spans="1:22" ht="17.399999999999999" x14ac:dyDescent="0.3">
      <c r="A3" s="20" t="s">
        <v>1268</v>
      </c>
      <c r="P3" s="30">
        <v>42000</v>
      </c>
    </row>
    <row r="4" spans="1:22" ht="29.25" customHeight="1" x14ac:dyDescent="0.3">
      <c r="G4" s="30">
        <f>'Revenue Input'!D32</f>
        <v>11728.5</v>
      </c>
      <c r="H4" s="30">
        <f>'Revenue Input'!D9</f>
        <v>136247</v>
      </c>
      <c r="I4" s="30">
        <f>'Revenue Input'!D21</f>
        <v>33114</v>
      </c>
      <c r="J4" s="30">
        <f>'Revenue Input'!D22</f>
        <v>3708</v>
      </c>
      <c r="K4" s="30">
        <f>'Revenue Input'!D24</f>
        <v>10000</v>
      </c>
      <c r="L4" s="30">
        <f>'Revenue Input'!D33</f>
        <v>3831.31</v>
      </c>
      <c r="M4" s="30">
        <f>'Revenue Input'!D37</f>
        <v>34650</v>
      </c>
      <c r="N4" s="30">
        <v>26406</v>
      </c>
      <c r="O4" s="30">
        <v>3220</v>
      </c>
      <c r="P4" s="30">
        <v>64450</v>
      </c>
      <c r="Q4" s="30">
        <v>7631</v>
      </c>
    </row>
    <row r="5" spans="1:22" ht="17.399999999999999" x14ac:dyDescent="0.3">
      <c r="A5" s="28"/>
      <c r="B5" s="40"/>
      <c r="C5" s="28"/>
      <c r="G5" s="169">
        <f t="shared" ref="G5:O5" si="0">G4-G118</f>
        <v>8262.5</v>
      </c>
      <c r="H5" s="169">
        <f t="shared" si="0"/>
        <v>20286</v>
      </c>
      <c r="I5" s="169">
        <f t="shared" si="0"/>
        <v>4889</v>
      </c>
      <c r="J5" s="169">
        <f t="shared" si="0"/>
        <v>-763</v>
      </c>
      <c r="K5" s="169">
        <f t="shared" si="0"/>
        <v>0</v>
      </c>
      <c r="L5" s="169">
        <f t="shared" si="0"/>
        <v>-768.69</v>
      </c>
      <c r="M5" s="169">
        <f t="shared" si="0"/>
        <v>0</v>
      </c>
      <c r="N5" s="169">
        <f t="shared" si="0"/>
        <v>25141</v>
      </c>
      <c r="O5" s="169">
        <f t="shared" si="0"/>
        <v>-358</v>
      </c>
      <c r="P5" s="169">
        <f>P4-P118-P3</f>
        <v>0</v>
      </c>
      <c r="Q5" s="169">
        <f>Q4-Q118</f>
        <v>0</v>
      </c>
    </row>
    <row r="6" spans="1:22" ht="18" thickBot="1" x14ac:dyDescent="0.35">
      <c r="A6" s="29"/>
      <c r="B6" s="41" t="s">
        <v>727</v>
      </c>
      <c r="C6" s="29" t="s">
        <v>728</v>
      </c>
      <c r="D6" s="31" t="str">
        <f>'Student Info'!D$6</f>
        <v>2020-21</v>
      </c>
      <c r="E6" s="31" t="s">
        <v>1329</v>
      </c>
      <c r="F6" s="31" t="s">
        <v>1330</v>
      </c>
      <c r="G6" s="31" t="s">
        <v>778</v>
      </c>
      <c r="H6" s="31" t="s">
        <v>1323</v>
      </c>
      <c r="I6" s="31" t="s">
        <v>783</v>
      </c>
      <c r="J6" s="31" t="s">
        <v>784</v>
      </c>
      <c r="K6" s="31" t="s">
        <v>786</v>
      </c>
      <c r="L6" s="31" t="s">
        <v>1324</v>
      </c>
      <c r="M6" s="31" t="s">
        <v>1100</v>
      </c>
      <c r="N6" s="31" t="s">
        <v>1325</v>
      </c>
      <c r="O6" s="31" t="s">
        <v>1327</v>
      </c>
      <c r="P6" s="31" t="s">
        <v>1328</v>
      </c>
      <c r="Q6" s="31" t="s">
        <v>1326</v>
      </c>
      <c r="R6" s="31" t="str">
        <f>'Student Info'!E$6</f>
        <v>2021-22</v>
      </c>
      <c r="S6" s="31"/>
      <c r="T6" s="31" t="str">
        <f>'Student Info'!F$6</f>
        <v>2022-23</v>
      </c>
      <c r="U6" s="31" t="str">
        <f>'Student Info'!G$6</f>
        <v>2023-24</v>
      </c>
      <c r="V6" s="31" t="str">
        <f>'Student Info'!H$6</f>
        <v>2024-25</v>
      </c>
    </row>
    <row r="7" spans="1:22" x14ac:dyDescent="0.3">
      <c r="A7" s="33" t="s">
        <v>732</v>
      </c>
      <c r="C7" s="3"/>
    </row>
    <row r="8" spans="1:22" x14ac:dyDescent="0.3">
      <c r="A8" s="35"/>
      <c r="B8" s="132" t="s">
        <v>10</v>
      </c>
      <c r="C8" s="130" t="s">
        <v>569</v>
      </c>
      <c r="D8" s="60">
        <v>170213</v>
      </c>
      <c r="E8" s="60">
        <v>93139</v>
      </c>
      <c r="F8" s="60">
        <f>D8-G8-H8-I8-J8-K8-L8-M8-N8-O8-P8-Q8</f>
        <v>54252</v>
      </c>
      <c r="G8" s="60"/>
      <c r="H8" s="60">
        <v>115961</v>
      </c>
      <c r="I8" s="60"/>
      <c r="J8" s="60"/>
      <c r="K8" s="60"/>
      <c r="L8" s="60"/>
      <c r="M8" s="60"/>
      <c r="N8" s="60"/>
      <c r="O8" s="60"/>
      <c r="P8" s="60"/>
      <c r="Q8" s="60"/>
      <c r="R8" s="60">
        <f>SUMIF('Employee Input 21-22'!$B:$B,$B8,'Employee Input 21-22'!$J:$J)</f>
        <v>207756</v>
      </c>
      <c r="S8" s="60"/>
      <c r="T8" s="60">
        <f>SUMIF('Employee Input 22-23'!$B:$B,$B8,'Employee Input 22-23'!$J:$J)</f>
        <v>213988.68</v>
      </c>
      <c r="U8" s="60">
        <f>SUMIF('Employee Input 23-24'!$B:$B,$B8,'Employee Input 23-24'!$J:$J)</f>
        <v>220408.34039999999</v>
      </c>
      <c r="V8" s="60">
        <f>SUMIF('Employee Input 24-25'!$B:$B,$B8,'Employee Input 24-25'!$J:$J)</f>
        <v>227020.590612</v>
      </c>
    </row>
    <row r="9" spans="1:22" x14ac:dyDescent="0.3">
      <c r="A9" s="35"/>
      <c r="B9" s="132" t="s">
        <v>711</v>
      </c>
      <c r="C9" s="130" t="s">
        <v>1283</v>
      </c>
      <c r="D9" s="60">
        <v>0</v>
      </c>
      <c r="E9" s="60">
        <v>0</v>
      </c>
      <c r="F9" s="60">
        <f t="shared" ref="F9:F15" si="1">D9-G9-H9-I9-J9-K9-L9-M9-N9-O9-P9-Q9</f>
        <v>0</v>
      </c>
      <c r="G9" s="60"/>
      <c r="H9" s="60"/>
      <c r="I9" s="60"/>
      <c r="J9" s="60"/>
      <c r="K9" s="60"/>
      <c r="L9" s="60"/>
      <c r="M9" s="60"/>
      <c r="N9" s="60"/>
      <c r="O9" s="60"/>
      <c r="P9" s="60"/>
      <c r="Q9" s="60"/>
      <c r="R9" s="60">
        <f>SUMIF('Employee Input 21-22'!$B:$B,$B8,'Employee Input 21-22'!$K:$K)+SUMIF('Employee Input 21-22'!$B:$B,$B8,'Employee Input 21-22'!$L:$L)</f>
        <v>2000</v>
      </c>
      <c r="S9" s="60"/>
      <c r="T9" s="60">
        <f>SUMIF('Employee Input 20-21'!$B:$B,$B8,'Employee Input 20-21'!$K:$K)+SUMIF('Employee Input 20-21'!$B:$B,$B8,'Employee Input 20-21'!$L:$L)</f>
        <v>10450</v>
      </c>
      <c r="U9" s="60">
        <f>SUMIF('Employee Input 23-24'!$B:$B,$B8,'Employee Input 23-24'!$K:$K)+SUMIF('Employee Input 23-24'!$B:$B,$B8,'Employee Input 23-24'!$L:$L)</f>
        <v>2000</v>
      </c>
      <c r="V9" s="60">
        <f>SUMIF('Employee Input 24-25'!$B:$B,$B8,'Employee Input 24-25'!$K:$K)+SUMIF('Employee Input 24-25'!$B:$B,$B8,'Employee Input 24-25'!$L:$L)</f>
        <v>2000</v>
      </c>
    </row>
    <row r="10" spans="1:22" x14ac:dyDescent="0.3">
      <c r="A10" s="35"/>
      <c r="B10" s="132" t="s">
        <v>556</v>
      </c>
      <c r="C10" s="130" t="s">
        <v>571</v>
      </c>
      <c r="D10" s="286">
        <f>SUMIF('Employee Input 20-21'!$B:$B,$B10,'Employee Input 20-21'!$J:$J)</f>
        <v>0</v>
      </c>
      <c r="E10" s="286">
        <v>0</v>
      </c>
      <c r="F10" s="60">
        <f t="shared" si="1"/>
        <v>0</v>
      </c>
      <c r="G10" s="286"/>
      <c r="H10" s="286"/>
      <c r="I10" s="286"/>
      <c r="J10" s="286"/>
      <c r="K10" s="286"/>
      <c r="L10" s="286"/>
      <c r="M10" s="286"/>
      <c r="N10" s="286"/>
      <c r="O10" s="286"/>
      <c r="P10" s="286"/>
      <c r="Q10" s="286"/>
      <c r="R10" s="286">
        <f>SUMIF('Employee Input 21-22'!$B:$B,$B10,'Employee Input 21-22'!$J:$J)</f>
        <v>0</v>
      </c>
      <c r="S10" s="286"/>
      <c r="T10" s="60">
        <f>SUMIF('Employee Input 22-23'!$B:$B,$B10,'Employee Input 22-23'!$M:$M)</f>
        <v>0</v>
      </c>
      <c r="U10" s="60">
        <f>SUMIF('Employee Input 23-24'!$B:$B,$B10,'Employee Input 23-24'!$M:$M)</f>
        <v>0</v>
      </c>
      <c r="V10" s="60">
        <f>SUMIF('Employee Input 24-25'!$B:$B,$B10,'Employee Input 24-25'!$M:$M)</f>
        <v>0</v>
      </c>
    </row>
    <row r="11" spans="1:22" x14ac:dyDescent="0.3">
      <c r="A11" s="35"/>
      <c r="B11" s="132" t="s">
        <v>12</v>
      </c>
      <c r="C11" s="130" t="s">
        <v>572</v>
      </c>
      <c r="D11" s="60">
        <f>SUMIF('Employee Input 20-21'!$B:$B,$B11,'Employee Input 20-21'!$J:$J)</f>
        <v>0</v>
      </c>
      <c r="E11" s="60">
        <v>0</v>
      </c>
      <c r="F11" s="60">
        <f t="shared" si="1"/>
        <v>0</v>
      </c>
      <c r="G11" s="60"/>
      <c r="H11" s="60"/>
      <c r="I11" s="60"/>
      <c r="J11" s="60"/>
      <c r="K11" s="60"/>
      <c r="L11" s="60"/>
      <c r="M11" s="60"/>
      <c r="N11" s="60"/>
      <c r="O11" s="60"/>
      <c r="P11" s="60"/>
      <c r="Q11" s="60"/>
      <c r="R11" s="60">
        <f>SUMIF('Employee Input 21-22'!$B:$B,$B11,'Employee Input 21-22'!$J:$J)</f>
        <v>0</v>
      </c>
      <c r="S11" s="60"/>
      <c r="T11" s="60">
        <f>SUMIF('Employee Input 22-23'!$B:$B,$B11,'Employee Input 22-23'!$J:$J)</f>
        <v>0</v>
      </c>
      <c r="U11" s="60">
        <f>SUMIF('Employee Input 23-24'!$B:$B,$B11,'Employee Input 23-24'!$J:$J)</f>
        <v>0</v>
      </c>
      <c r="V11" s="60">
        <f>SUMIF('Employee Input 24-25'!$B:$B,$B11,'Employee Input 24-25'!$J:$J)</f>
        <v>0</v>
      </c>
    </row>
    <row r="12" spans="1:22" x14ac:dyDescent="0.3">
      <c r="A12" s="35"/>
      <c r="B12" s="132" t="s">
        <v>1215</v>
      </c>
      <c r="C12" s="130" t="s">
        <v>1216</v>
      </c>
      <c r="D12" s="60">
        <f>SUMIF('Employee Input 20-21'!$B:$B,$B12,'Employee Input 20-21'!$J:$J)</f>
        <v>0</v>
      </c>
      <c r="E12" s="60">
        <v>0</v>
      </c>
      <c r="F12" s="60">
        <f t="shared" si="1"/>
        <v>0</v>
      </c>
      <c r="G12" s="60"/>
      <c r="H12" s="60"/>
      <c r="I12" s="60"/>
      <c r="J12" s="60"/>
      <c r="K12" s="60"/>
      <c r="L12" s="60"/>
      <c r="M12" s="60"/>
      <c r="N12" s="60"/>
      <c r="O12" s="60"/>
      <c r="P12" s="60"/>
      <c r="Q12" s="60"/>
      <c r="R12" s="60">
        <f>SUMIF('Employee Input 21-22'!$B:$B,$B12,'Employee Input 21-22'!$J:$J)</f>
        <v>0</v>
      </c>
      <c r="S12" s="60"/>
      <c r="T12" s="60">
        <f>SUMIF('Employee Input 22-23'!$B:$B,$B11,'Employee Input 22-23'!$K:$K)+SUMIF('Employee Input 22-23'!$B:$B,$B11,'Employee Input 22-23'!$L:$L)</f>
        <v>0</v>
      </c>
      <c r="U12" s="60">
        <f>SUMIF('Employee Input 23-24'!$B:$B,$B11,'Employee Input 23-24'!$K:$K)+SUMIF('Employee Input 23-24'!$B:$B,$B11,'Employee Input 23-24'!$L:$L)</f>
        <v>0</v>
      </c>
      <c r="V12" s="60">
        <f>SUMIF('Employee Input 24-25'!$B:$B,$B11,'Employee Input 24-25'!$K:$K)+SUMIF('Employee Input 24-25'!$B:$B,$B11,'Employee Input 24-25'!$L:$L)</f>
        <v>0</v>
      </c>
    </row>
    <row r="13" spans="1:22" x14ac:dyDescent="0.3">
      <c r="A13" s="35"/>
      <c r="B13" s="132" t="s">
        <v>14</v>
      </c>
      <c r="C13" s="130" t="s">
        <v>573</v>
      </c>
      <c r="D13" s="60">
        <f>SUMIF('Employee Input 20-21'!$B:$B,$B13,'Employee Input 20-21'!$J:$J)</f>
        <v>76307</v>
      </c>
      <c r="E13" s="60">
        <v>44512</v>
      </c>
      <c r="F13" s="60">
        <f t="shared" si="1"/>
        <v>76307</v>
      </c>
      <c r="G13" s="60"/>
      <c r="H13" s="60"/>
      <c r="I13" s="60"/>
      <c r="J13" s="60"/>
      <c r="K13" s="60"/>
      <c r="L13" s="60"/>
      <c r="M13" s="60"/>
      <c r="N13" s="60"/>
      <c r="O13" s="60"/>
      <c r="P13" s="60"/>
      <c r="Q13" s="60"/>
      <c r="R13" s="60">
        <f>SUMIF('Employee Input 21-22'!$B:$B,$B13,'Employee Input 21-22'!$J:$J)</f>
        <v>67500</v>
      </c>
      <c r="S13" s="60"/>
      <c r="T13" s="286">
        <f>SUMIF('Employee Input 22-23'!$B:$B,$B13,'Employee Input 22-23'!$J:$J)</f>
        <v>69525</v>
      </c>
      <c r="U13" s="60">
        <f>SUMIF('Employee Input 23-24'!$B:$B,$B13,'Employee Input 23-24'!$J:$J)</f>
        <v>71610.75</v>
      </c>
      <c r="V13" s="60">
        <f>SUMIF('Employee Input 24-25'!$B:$B,$B13,'Employee Input 24-25'!$J:$J)</f>
        <v>73759.072499999995</v>
      </c>
    </row>
    <row r="14" spans="1:22" x14ac:dyDescent="0.3">
      <c r="A14" s="35"/>
      <c r="B14" s="132" t="s">
        <v>712</v>
      </c>
      <c r="C14" s="130" t="s">
        <v>574</v>
      </c>
      <c r="D14" s="60">
        <v>0</v>
      </c>
      <c r="E14" s="60">
        <v>0</v>
      </c>
      <c r="F14" s="60">
        <f t="shared" si="1"/>
        <v>0</v>
      </c>
      <c r="G14" s="60"/>
      <c r="H14" s="60"/>
      <c r="I14" s="60"/>
      <c r="J14" s="60"/>
      <c r="K14" s="60"/>
      <c r="L14" s="60"/>
      <c r="M14" s="60"/>
      <c r="N14" s="60"/>
      <c r="O14" s="60"/>
      <c r="P14" s="60"/>
      <c r="Q14" s="60"/>
      <c r="R14" s="60">
        <f>SUMIF('Employee Input 21-22'!$B:$B,$B13,'Employee Input 21-22'!$K:$K)+SUMIF('Employee Input 21-22'!$B:$B,$B13,'Employee Input 21-22'!$L:$L)</f>
        <v>0</v>
      </c>
      <c r="S14" s="60"/>
      <c r="T14" s="60">
        <f>SUMIF('Employee Input 22-23'!$B:$B,$B13,'Employee Input 22-23'!$K:$K)+SUMIF('Employee Input 22-23'!$B:$B,$B13,'Employee Input 22-23'!$L:$L)</f>
        <v>0</v>
      </c>
      <c r="U14" s="60">
        <f>SUMIF('Employee Input 23-24'!$B:$B,$B13,'Employee Input 23-24'!$K:$K)+SUMIF('Employee Input 23-24'!$B:$B,$B13,'Employee Input 23-24'!$L:$L)</f>
        <v>0</v>
      </c>
      <c r="V14" s="60">
        <f>SUMIF('Employee Input 24-25'!$B:$B,$B13,'Employee Input 24-25'!$K:$K)+SUMIF('Employee Input 24-25'!$B:$B,$B13,'Employee Input 24-25'!$L:$L)</f>
        <v>0</v>
      </c>
    </row>
    <row r="15" spans="1:22" x14ac:dyDescent="0.3">
      <c r="A15" s="35"/>
      <c r="B15" s="132" t="s">
        <v>16</v>
      </c>
      <c r="C15" s="130" t="s">
        <v>575</v>
      </c>
      <c r="D15" s="60">
        <f>SUMIF('Employee Input 20-21'!$B:$B,$B15,'Employee Input 20-21'!$J:$J)</f>
        <v>0</v>
      </c>
      <c r="E15" s="60"/>
      <c r="F15" s="60">
        <f t="shared" si="1"/>
        <v>0</v>
      </c>
      <c r="G15" s="60"/>
      <c r="H15" s="60"/>
      <c r="I15" s="60"/>
      <c r="J15" s="60"/>
      <c r="K15" s="60"/>
      <c r="L15" s="60"/>
      <c r="M15" s="60"/>
      <c r="N15" s="60"/>
      <c r="O15" s="60"/>
      <c r="P15" s="60"/>
      <c r="Q15" s="60"/>
      <c r="R15" s="60">
        <f>SUMIF('Employee Input 21-22'!$B:$B,$B15,'Employee Input 21-22'!$J:$J)</f>
        <v>0</v>
      </c>
      <c r="S15" s="60"/>
      <c r="T15" s="60">
        <f>SUMIF('Employee Input 22-23'!$B:$B,$B15,'Employee Input 22-23'!$J:$J)</f>
        <v>0</v>
      </c>
      <c r="U15" s="60">
        <f>SUMIF('Employee Input 23-24'!$B:$B,$B15,'Employee Input 23-24'!$J:$J)</f>
        <v>0</v>
      </c>
      <c r="V15" s="60">
        <f>SUMIF('Employee Input 24-25'!$B:$B,$B15,'Employee Input 24-25'!$J:$J)</f>
        <v>0</v>
      </c>
    </row>
    <row r="16" spans="1:22" hidden="1" x14ac:dyDescent="0.3">
      <c r="A16" s="35"/>
      <c r="B16" s="132" t="s">
        <v>713</v>
      </c>
      <c r="C16" s="130" t="s">
        <v>576</v>
      </c>
      <c r="D16" s="60">
        <f>SUMIF('Employee Input 20-21'!$B:$B,$B16,'Employee Input 20-21'!$J:$J)</f>
        <v>0</v>
      </c>
      <c r="E16" s="60"/>
      <c r="F16" s="60"/>
      <c r="G16" s="60"/>
      <c r="H16" s="60"/>
      <c r="I16" s="60"/>
      <c r="J16" s="60"/>
      <c r="K16" s="60"/>
      <c r="L16" s="60"/>
      <c r="M16" s="60"/>
      <c r="N16" s="60"/>
      <c r="O16" s="60"/>
      <c r="P16" s="60"/>
      <c r="Q16" s="60"/>
      <c r="R16" s="60">
        <f>SUMIF('Employee Input 21-22'!$B:$B,$B15,'Employee Input 21-22'!$K:$K)+SUMIF('Employee Input 21-22'!$B:$B,$B15,'Employee Input 21-22'!$L:$L)</f>
        <v>0</v>
      </c>
      <c r="S16" s="60"/>
      <c r="T16" s="60">
        <f>SUMIF('Employee Input 22-23'!$B:$B,$B15,'Employee Input 22-23'!$K:$K)+SUMIF('Employee Input 22-23'!$B:$B,$B15,'Employee Input 22-23'!$L:$L)</f>
        <v>0</v>
      </c>
      <c r="U16" s="60">
        <f>SUMIF('Employee Input 23-24'!$B:$B,$B15,'Employee Input 23-24'!$K:$K)+SUMIF('Employee Input 23-24'!$B:$B,$B15,'Employee Input 23-24'!$L:$L)</f>
        <v>0</v>
      </c>
      <c r="V16" s="60">
        <f>SUMIF('Employee Input 24-25'!$B:$B,$B15,'Employee Input 24-25'!$K:$K)+SUMIF('Employee Input 24-25'!$B:$B,$B15,'Employee Input 24-25'!$L:$L)</f>
        <v>0</v>
      </c>
    </row>
    <row r="17" spans="1:30" s="30" customFormat="1" x14ac:dyDescent="0.3">
      <c r="A17" s="35"/>
      <c r="B17" s="35" t="s">
        <v>555</v>
      </c>
      <c r="C17" s="33" t="s">
        <v>720</v>
      </c>
      <c r="D17" s="165">
        <f>IF(SUM(D7:D16)&gt;0,SUM(D7:D16),"")</f>
        <v>246520</v>
      </c>
      <c r="E17" s="165">
        <f>IF(SUM(E7:E16)&gt;0,SUM(E7:E16),"")</f>
        <v>137651</v>
      </c>
      <c r="F17" s="165"/>
      <c r="G17" s="165" t="str">
        <f t="shared" ref="G17:Q17" si="2">IF(SUM(G7:G16)&gt;0,SUM(G7:G16),"")</f>
        <v/>
      </c>
      <c r="H17" s="165">
        <f t="shared" si="2"/>
        <v>115961</v>
      </c>
      <c r="I17" s="165" t="str">
        <f t="shared" si="2"/>
        <v/>
      </c>
      <c r="J17" s="165" t="str">
        <f t="shared" si="2"/>
        <v/>
      </c>
      <c r="K17" s="165" t="str">
        <f t="shared" si="2"/>
        <v/>
      </c>
      <c r="L17" s="165" t="str">
        <f t="shared" si="2"/>
        <v/>
      </c>
      <c r="M17" s="165" t="str">
        <f t="shared" si="2"/>
        <v/>
      </c>
      <c r="N17" s="165" t="str">
        <f t="shared" si="2"/>
        <v/>
      </c>
      <c r="O17" s="165" t="str">
        <f t="shared" si="2"/>
        <v/>
      </c>
      <c r="P17" s="165" t="str">
        <f t="shared" si="2"/>
        <v/>
      </c>
      <c r="Q17" s="165" t="str">
        <f t="shared" si="2"/>
        <v/>
      </c>
      <c r="R17" s="165">
        <f>IF(SUM(R7:R16)&gt;0,SUM(R7:R16),"")</f>
        <v>277256</v>
      </c>
      <c r="S17" s="165"/>
      <c r="T17" s="165">
        <f>IF(SUM(T7:T16)&gt;0,SUM(T7:T16),"")</f>
        <v>293963.68</v>
      </c>
      <c r="U17" s="165">
        <f>IF(SUM(U7:U16)&gt;0,SUM(U7:U16),"")</f>
        <v>294019.09039999999</v>
      </c>
      <c r="V17" s="165">
        <f>IF(SUM(V7:V16)&gt;0,SUM(V7:V16),"")</f>
        <v>302779.66311199998</v>
      </c>
      <c r="X17" s="281"/>
      <c r="Z17"/>
      <c r="AA17"/>
      <c r="AB17"/>
      <c r="AC17"/>
      <c r="AD17"/>
    </row>
    <row r="18" spans="1:30" s="30" customFormat="1" x14ac:dyDescent="0.3">
      <c r="A18" s="35"/>
      <c r="B18" s="39"/>
      <c r="C18" s="3"/>
      <c r="D18" s="185"/>
      <c r="E18" s="185"/>
      <c r="F18" s="185"/>
      <c r="G18" s="185"/>
      <c r="H18" s="185"/>
      <c r="I18" s="185"/>
      <c r="J18" s="185"/>
      <c r="K18" s="185"/>
      <c r="L18" s="185"/>
      <c r="M18" s="185"/>
      <c r="N18" s="185"/>
      <c r="O18" s="185"/>
      <c r="P18" s="185"/>
      <c r="Q18" s="185"/>
      <c r="R18" s="185"/>
      <c r="S18" s="185"/>
      <c r="T18" s="185"/>
      <c r="U18" s="185"/>
      <c r="V18" s="185"/>
      <c r="Z18"/>
      <c r="AA18"/>
      <c r="AB18"/>
      <c r="AC18"/>
      <c r="AD18"/>
    </row>
    <row r="19" spans="1:30" s="30" customFormat="1" x14ac:dyDescent="0.3">
      <c r="A19" s="5" t="s">
        <v>733</v>
      </c>
      <c r="B19" s="39"/>
      <c r="C19" s="3"/>
      <c r="D19" s="185"/>
      <c r="E19" s="185"/>
      <c r="F19" s="185"/>
      <c r="G19" s="185"/>
      <c r="H19" s="185"/>
      <c r="I19" s="185"/>
      <c r="J19" s="185"/>
      <c r="K19" s="185"/>
      <c r="L19" s="185"/>
      <c r="M19" s="185"/>
      <c r="N19" s="185"/>
      <c r="O19" s="185"/>
      <c r="P19" s="185"/>
      <c r="Q19" s="185"/>
      <c r="R19" s="185"/>
      <c r="S19" s="185"/>
      <c r="T19" s="185"/>
      <c r="U19" s="185"/>
      <c r="V19" s="185"/>
      <c r="Z19"/>
      <c r="AA19"/>
      <c r="AB19"/>
      <c r="AC19"/>
      <c r="AD19"/>
    </row>
    <row r="20" spans="1:30" s="30" customFormat="1" x14ac:dyDescent="0.3">
      <c r="A20" s="35"/>
      <c r="B20" s="132" t="s">
        <v>18</v>
      </c>
      <c r="C20" s="130" t="s">
        <v>577</v>
      </c>
      <c r="D20" s="60">
        <v>111321</v>
      </c>
      <c r="E20" s="60">
        <v>56620</v>
      </c>
      <c r="F20" s="60">
        <f t="shared" ref="F20:F28" si="3">D20-G20-H20-I20-J20-K20-L20-M20-N20-O20-P20-Q20</f>
        <v>111321</v>
      </c>
      <c r="G20" s="60"/>
      <c r="H20" s="60"/>
      <c r="I20" s="60"/>
      <c r="J20" s="60"/>
      <c r="K20" s="60"/>
      <c r="L20" s="60"/>
      <c r="M20" s="60"/>
      <c r="N20" s="60"/>
      <c r="O20" s="60"/>
      <c r="P20" s="60"/>
      <c r="Q20" s="60"/>
      <c r="R20" s="60">
        <f>SUMIF('Employee Input 21-22'!$B:$B,$B20,'Employee Input 21-22'!$J:$J)</f>
        <v>123021</v>
      </c>
      <c r="S20" s="60"/>
      <c r="T20" s="60">
        <f>SUMIF('Employee Input 22-23'!$B:$B,$B20,'Employee Input 22-23'!$J:$J)</f>
        <v>126711.63</v>
      </c>
      <c r="U20" s="60">
        <f>SUMIF('Employee Input 23-24'!$B:$B,$B20,'Employee Input 23-24'!$J:$J)</f>
        <v>130512.97890000002</v>
      </c>
      <c r="V20" s="60">
        <f>SUMIF('Employee Input 24-25'!$B:$B,$B20,'Employee Input 24-25'!$J:$J)</f>
        <v>134428.36826700001</v>
      </c>
      <c r="Z20"/>
      <c r="AA20"/>
      <c r="AB20"/>
      <c r="AC20"/>
      <c r="AD20"/>
    </row>
    <row r="21" spans="1:30" s="30" customFormat="1" x14ac:dyDescent="0.3">
      <c r="A21" s="35"/>
      <c r="B21" s="132" t="s">
        <v>557</v>
      </c>
      <c r="C21" s="130" t="s">
        <v>578</v>
      </c>
      <c r="D21" s="60">
        <v>2881</v>
      </c>
      <c r="E21" s="60"/>
      <c r="F21" s="60">
        <f t="shared" si="3"/>
        <v>2881</v>
      </c>
      <c r="G21" s="60"/>
      <c r="H21" s="60"/>
      <c r="I21" s="60"/>
      <c r="J21" s="60"/>
      <c r="K21" s="60"/>
      <c r="L21" s="60"/>
      <c r="M21" s="60"/>
      <c r="N21" s="60"/>
      <c r="O21" s="60"/>
      <c r="P21" s="60"/>
      <c r="Q21" s="60"/>
      <c r="R21" s="60">
        <f>SUMIF('Employee Input 20-21'!$B:$B,$B21,'Employee Input 21-22'!$J:$J)</f>
        <v>0</v>
      </c>
      <c r="S21" s="60"/>
      <c r="T21" s="60">
        <f>SUMIF('Employee Input 22-23'!$B:$B,$B20,'Employee Input 22-23'!$K:$K)+SUMIF('Employee Input 22-23'!$B:$B,$B20,'Employee Input 22-23'!$L:$L)</f>
        <v>693</v>
      </c>
      <c r="U21" s="60">
        <f>SUMIF('Employee Input 23-24'!$B:$B,$B20,'Employee Input 23-24'!$K:$K)+SUMIF('Employee Input 23-24'!$B:$B,$B20,'Employee Input 23-24'!$L:$L)</f>
        <v>693</v>
      </c>
      <c r="V21" s="60">
        <f>SUMIF('Employee Input 24-25'!$B:$B,$B20,'Employee Input 24-25'!$K:$K)+SUMIF('Employee Input 24-25'!$B:$B,$B20,'Employee Input 24-25'!$L:$L)</f>
        <v>693</v>
      </c>
      <c r="Z21"/>
      <c r="AA21"/>
      <c r="AB21"/>
      <c r="AC21"/>
      <c r="AD21"/>
    </row>
    <row r="22" spans="1:30" s="30" customFormat="1" x14ac:dyDescent="0.3">
      <c r="A22" s="35"/>
      <c r="B22" s="132" t="s">
        <v>20</v>
      </c>
      <c r="C22" s="130" t="s">
        <v>579</v>
      </c>
      <c r="D22" s="60">
        <f>SUMIF('Employee Input 20-21'!$B:$B,$B22,'Employee Input 20-21'!$J:$J)</f>
        <v>26125</v>
      </c>
      <c r="E22" s="60">
        <v>13348</v>
      </c>
      <c r="F22" s="60">
        <f t="shared" si="3"/>
        <v>0</v>
      </c>
      <c r="G22" s="60"/>
      <c r="H22" s="60"/>
      <c r="I22" s="60">
        <v>26125</v>
      </c>
      <c r="J22" s="60"/>
      <c r="K22" s="60"/>
      <c r="L22" s="60"/>
      <c r="M22" s="60"/>
      <c r="N22" s="60"/>
      <c r="O22" s="60"/>
      <c r="P22" s="60"/>
      <c r="Q22" s="60"/>
      <c r="R22" s="60">
        <f>SUMIF('Employee Input 21-22'!$B:$B,$B22,'Employee Input 21-22'!$J:$J)</f>
        <v>26885</v>
      </c>
      <c r="S22" s="60"/>
      <c r="T22" s="60">
        <f>SUMIF('Employee Input 22-23'!$B:$B,$B22,'Employee Input 22-23'!$J:$J)</f>
        <v>27691.55</v>
      </c>
      <c r="U22" s="60">
        <f>SUMIF('Employee Input 23-24'!$B:$B,$B22,'Employee Input 23-24'!$J:$J)</f>
        <v>28522.2965</v>
      </c>
      <c r="V22" s="60">
        <f>SUMIF('Employee Input 24-25'!$B:$B,$B22,'Employee Input 24-25'!$J:$J)</f>
        <v>29377.965395000003</v>
      </c>
      <c r="Z22"/>
      <c r="AA22"/>
      <c r="AB22"/>
      <c r="AC22"/>
      <c r="AD22"/>
    </row>
    <row r="23" spans="1:30" s="30" customFormat="1" x14ac:dyDescent="0.3">
      <c r="A23" s="35"/>
      <c r="B23" s="132" t="s">
        <v>714</v>
      </c>
      <c r="C23" s="130" t="s">
        <v>580</v>
      </c>
      <c r="D23" s="60">
        <f>SUMIF('Employee Input 20-21'!$B:$B,$B23,'Employee Input 21-22'!$J:$J)</f>
        <v>0</v>
      </c>
      <c r="E23" s="60"/>
      <c r="F23" s="60">
        <f t="shared" si="3"/>
        <v>0</v>
      </c>
      <c r="G23" s="60"/>
      <c r="H23" s="60"/>
      <c r="I23" s="60"/>
      <c r="J23" s="60"/>
      <c r="K23" s="60"/>
      <c r="L23" s="60"/>
      <c r="M23" s="60"/>
      <c r="N23" s="60"/>
      <c r="O23" s="60"/>
      <c r="P23" s="60"/>
      <c r="Q23" s="60"/>
      <c r="R23" s="60">
        <f>SUMIF('Employee Input 20-21'!$B:$B,$B23,'Employee Input 21-22'!$J:$J)</f>
        <v>0</v>
      </c>
      <c r="S23" s="60"/>
      <c r="T23" s="60">
        <f>SUMIF('Employee Input 22-23'!$B:$B,$B22,'Employee Input 22-23'!$L:$L)</f>
        <v>0</v>
      </c>
      <c r="U23" s="60">
        <f>SUMIF('Employee Input 23-24'!$B:$B,$B22,'Employee Input 23-24'!$L:$L)</f>
        <v>0</v>
      </c>
      <c r="V23" s="60">
        <f>SUMIF('Employee Input 24-25'!$B:$B,$B22,'Employee Input 24-25'!$L:$L)</f>
        <v>0</v>
      </c>
      <c r="Z23"/>
      <c r="AA23"/>
      <c r="AB23"/>
      <c r="AC23"/>
      <c r="AD23"/>
    </row>
    <row r="24" spans="1:30" s="30" customFormat="1" x14ac:dyDescent="0.3">
      <c r="A24" s="35"/>
      <c r="B24" s="132" t="s">
        <v>22</v>
      </c>
      <c r="C24" s="130" t="s">
        <v>581</v>
      </c>
      <c r="D24" s="60">
        <f>SUMIF('Employee Input 20-21'!$B:$B,$B24,'Employee Input 20-21'!$J:$J)</f>
        <v>0</v>
      </c>
      <c r="E24" s="60"/>
      <c r="F24" s="60">
        <f t="shared" si="3"/>
        <v>0</v>
      </c>
      <c r="G24" s="60"/>
      <c r="H24" s="60"/>
      <c r="I24" s="60"/>
      <c r="J24" s="60"/>
      <c r="K24" s="60"/>
      <c r="L24" s="60"/>
      <c r="M24" s="60"/>
      <c r="N24" s="60"/>
      <c r="O24" s="60"/>
      <c r="P24" s="60"/>
      <c r="Q24" s="60"/>
      <c r="R24" s="60">
        <f>SUMIF('Employee Input 21-22'!$B:$B,$B24,'Employee Input 21-22'!$J:$J)</f>
        <v>0</v>
      </c>
      <c r="S24" s="60"/>
      <c r="T24" s="60">
        <f>SUMIF('Employee Input 21-22'!$B:$B,$B24,'Employee Input 21-22'!$M:$M)</f>
        <v>0</v>
      </c>
      <c r="U24" s="60">
        <f>SUMIF('Employee Input 21-22'!$B:$B,$B24,'Employee Input 21-22'!$M:$M)</f>
        <v>0</v>
      </c>
      <c r="V24" s="60">
        <f>SUMIF('Employee Input 21-22'!$B:$B,$B24,'Employee Input 21-22'!$M:$M)</f>
        <v>0</v>
      </c>
      <c r="Z24"/>
      <c r="AA24"/>
      <c r="AB24"/>
      <c r="AC24"/>
      <c r="AD24"/>
    </row>
    <row r="25" spans="1:30" s="30" customFormat="1" x14ac:dyDescent="0.3">
      <c r="A25" s="35"/>
      <c r="B25" s="132" t="s">
        <v>24</v>
      </c>
      <c r="C25" s="130" t="s">
        <v>582</v>
      </c>
      <c r="D25" s="60">
        <f>SUMIF('Employee Input 20-21'!$B:$B,$B25,'Employee Input 20-21'!$J:$J)</f>
        <v>25992</v>
      </c>
      <c r="E25" s="60">
        <v>10832</v>
      </c>
      <c r="F25" s="60">
        <f t="shared" si="3"/>
        <v>25992</v>
      </c>
      <c r="G25" s="60"/>
      <c r="H25" s="60"/>
      <c r="I25" s="60"/>
      <c r="J25" s="60"/>
      <c r="K25" s="60"/>
      <c r="L25" s="60"/>
      <c r="M25" s="60"/>
      <c r="N25" s="60"/>
      <c r="O25" s="60"/>
      <c r="P25" s="60"/>
      <c r="Q25" s="60"/>
      <c r="R25" s="60">
        <f>SUMIF('Employee Input 21-22'!$B:$B,$B25,'Employee Input 21-22'!$J:$J)</f>
        <v>26786.2</v>
      </c>
      <c r="S25" s="60"/>
      <c r="T25" s="286">
        <f>SUMIF('Employee Input 22-23'!$B:$B,$B25,'Employee Input 22-23'!$J:$J)</f>
        <v>27589.786</v>
      </c>
      <c r="U25" s="60">
        <f>SUMIF('Employee Input 23-24'!$B:$B,$B25,'Employee Input 23-24'!$J:$J)</f>
        <v>28417.479579999999</v>
      </c>
      <c r="V25" s="60">
        <f>SUMIF('Employee Input 24-25'!$B:$B,$B25,'Employee Input 24-25'!$J:$J)</f>
        <v>29270.0039674</v>
      </c>
      <c r="Z25"/>
      <c r="AA25"/>
      <c r="AB25"/>
      <c r="AC25"/>
      <c r="AD25"/>
    </row>
    <row r="26" spans="1:30" s="30" customFormat="1" x14ac:dyDescent="0.3">
      <c r="A26" s="35"/>
      <c r="B26" s="132" t="s">
        <v>549</v>
      </c>
      <c r="C26" s="130" t="s">
        <v>583</v>
      </c>
      <c r="D26" s="60">
        <f>SUMIF('Employee Input 20-21'!$B:$B,$B26,'Employee Input 21-22'!$J:$J)</f>
        <v>0</v>
      </c>
      <c r="E26" s="60"/>
      <c r="F26" s="60">
        <f t="shared" si="3"/>
        <v>0</v>
      </c>
      <c r="G26" s="60"/>
      <c r="H26" s="60"/>
      <c r="I26" s="60"/>
      <c r="J26" s="60"/>
      <c r="K26" s="60"/>
      <c r="L26" s="60"/>
      <c r="M26" s="60"/>
      <c r="N26" s="60"/>
      <c r="O26" s="60"/>
      <c r="P26" s="60"/>
      <c r="Q26" s="60"/>
      <c r="R26" s="60">
        <f>SUMIF('Employee Input 20-21'!$B:$B,$B26,'Employee Input 21-22'!$J:$J)</f>
        <v>0</v>
      </c>
      <c r="S26" s="60"/>
      <c r="T26" s="60">
        <f>SUMIF('Employee Input 22-23'!$B:$B,$B25,'Employee Input 22-23'!$K:$K)+SUMIF('Employee Input 22-23'!$B:$B,$B25,'Employee Input 22-23'!$L:$L)</f>
        <v>0</v>
      </c>
      <c r="U26" s="60">
        <f>SUMIF('Employee Input 23-24'!$B:$B,$B25,'Employee Input 23-24'!$K:$K)+SUMIF('Employee Input 23-24'!$B:$B,$B25,'Employee Input 23-24'!$L:$L)</f>
        <v>0</v>
      </c>
      <c r="V26" s="60">
        <f>SUMIF('Employee Input 24-25'!$B:$B,$B25,'Employee Input 24-25'!$K:$K)+SUMIF('Employee Input 24-25'!$B:$B,$B25,'Employee Input 24-25'!$L:$L)</f>
        <v>0</v>
      </c>
      <c r="Z26"/>
      <c r="AA26"/>
      <c r="AB26"/>
      <c r="AC26"/>
      <c r="AD26"/>
    </row>
    <row r="27" spans="1:30" s="30" customFormat="1" x14ac:dyDescent="0.3">
      <c r="A27" s="35"/>
      <c r="B27" s="132" t="s">
        <v>26</v>
      </c>
      <c r="C27" s="130" t="s">
        <v>584</v>
      </c>
      <c r="D27" s="60">
        <f>SUMIF('Employee Input 20-21'!$B:$B,$B27,'Employee Input 20-21'!$J:$J)</f>
        <v>0</v>
      </c>
      <c r="E27" s="60">
        <v>0</v>
      </c>
      <c r="F27" s="60">
        <f t="shared" si="3"/>
        <v>0</v>
      </c>
      <c r="G27" s="60"/>
      <c r="H27" s="60"/>
      <c r="I27" s="60"/>
      <c r="J27" s="60"/>
      <c r="K27" s="60"/>
      <c r="L27" s="60"/>
      <c r="M27" s="60"/>
      <c r="N27" s="60"/>
      <c r="O27" s="60"/>
      <c r="P27" s="60"/>
      <c r="Q27" s="60"/>
      <c r="R27" s="60">
        <f>SUMIF('Employee Input 21-22'!$B:$B,$B27,'Employee Input 21-22'!$J:$J)</f>
        <v>0</v>
      </c>
      <c r="S27" s="60"/>
      <c r="T27" s="60">
        <f>SUMIF('Employee Input 22-23'!$B:$B,$B27,'Employee Input 22-23'!$J:$J)</f>
        <v>0</v>
      </c>
      <c r="U27" s="60">
        <f>SUMIF('Employee Input 23-24'!$B:$B,$B27,'Employee Input 23-24'!$J:$J)</f>
        <v>0</v>
      </c>
      <c r="V27" s="60">
        <f>SUMIF('Employee Input 24-25'!$B:$B,$B27,'Employee Input 24-25'!$J:$J)</f>
        <v>0</v>
      </c>
      <c r="Z27"/>
      <c r="AA27"/>
      <c r="AB27"/>
      <c r="AC27"/>
      <c r="AD27"/>
    </row>
    <row r="28" spans="1:30" s="30" customFormat="1" x14ac:dyDescent="0.3">
      <c r="A28" s="35"/>
      <c r="B28" s="132" t="s">
        <v>715</v>
      </c>
      <c r="C28" s="130" t="s">
        <v>585</v>
      </c>
      <c r="D28" s="60">
        <f>SUMIF('Employee Input 20-21'!$B:$B,$B28,'Employee Input 20-21'!$J:$J)</f>
        <v>0</v>
      </c>
      <c r="E28" s="60"/>
      <c r="F28" s="60">
        <f t="shared" si="3"/>
        <v>0</v>
      </c>
      <c r="G28" s="60"/>
      <c r="H28" s="60"/>
      <c r="I28" s="60"/>
      <c r="J28" s="60"/>
      <c r="K28" s="60"/>
      <c r="L28" s="60"/>
      <c r="M28" s="60"/>
      <c r="N28" s="60"/>
      <c r="O28" s="60"/>
      <c r="P28" s="60"/>
      <c r="Q28" s="60"/>
      <c r="R28" s="60">
        <f>SUMIF('Employee Input 21-22'!$B:$B,$B28,'Employee Input 21-22'!$J:$J)</f>
        <v>0</v>
      </c>
      <c r="S28" s="60"/>
      <c r="T28" s="60">
        <f>SUMIF('Employee Input 22-23'!$B:$B,$B27,'Employee Input 22-23'!$K:$K)+SUMIF('Employee Input 22-23'!$B:$B,$B27,'Employee Input 22-23'!$L:$L)</f>
        <v>0</v>
      </c>
      <c r="U28" s="60">
        <f>SUMIF('Employee Input 23-24'!$B:$B,$B27,'Employee Input 23-24'!$K:$K)+SUMIF('Employee Input 23-24'!$B:$B,$B27,'Employee Input 23-24'!$L:$L)</f>
        <v>0</v>
      </c>
      <c r="V28" s="60">
        <f>SUMIF('Employee Input 24-25'!$B:$B,$B27,'Employee Input 24-25'!$K:$K)+SUMIF('Employee Input 24-25'!$B:$B,$B27,'Employee Input 24-25'!$L:$L)</f>
        <v>0</v>
      </c>
      <c r="W28" s="305"/>
      <c r="Z28"/>
      <c r="AA28"/>
      <c r="AB28"/>
      <c r="AC28"/>
      <c r="AD28"/>
    </row>
    <row r="29" spans="1:30" s="30" customFormat="1" x14ac:dyDescent="0.3">
      <c r="A29" s="35"/>
      <c r="B29" s="132" t="s">
        <v>716</v>
      </c>
      <c r="C29" s="130" t="s">
        <v>586</v>
      </c>
      <c r="D29" s="60">
        <f>SUMIF('Employee Input 20-21'!$B:$B,$B29,'Employee Input 20-21'!$J:$J)</f>
        <v>0</v>
      </c>
      <c r="E29" s="60"/>
      <c r="F29" s="60"/>
      <c r="G29" s="60"/>
      <c r="H29" s="60"/>
      <c r="I29" s="60"/>
      <c r="J29" s="60"/>
      <c r="K29" s="60"/>
      <c r="L29" s="60"/>
      <c r="M29" s="60"/>
      <c r="N29" s="60"/>
      <c r="O29" s="60"/>
      <c r="P29" s="60"/>
      <c r="Q29" s="60"/>
      <c r="R29" s="60">
        <f>SUMIF('Employee Input 21-22'!$B:$B,$B28,'Employee Input 21-22'!$K:$K)+SUMIF('Employee Input 21-22'!$B:$B,$B28,'Employee Input 21-22'!$L:$L)</f>
        <v>0</v>
      </c>
      <c r="S29" s="60"/>
      <c r="T29" s="60">
        <f>SUMIF('Employee Input 22-23'!$B:$B,$B28,'Employee Input 22-23'!$K:$K)+SUMIF('Employee Input 22-23'!$B:$B,$B28,'Employee Input 22-23'!$L:$L)</f>
        <v>0</v>
      </c>
      <c r="U29" s="60">
        <f>SUMIF('Employee Input 23-24'!$B:$B,$B28,'Employee Input 23-24'!$K:$K)+SUMIF('Employee Input 23-24'!$B:$B,$B28,'Employee Input 23-24'!$L:$L)</f>
        <v>0</v>
      </c>
      <c r="V29" s="60">
        <f>SUMIF('Employee Input 24-25'!$B:$B,$B28,'Employee Input 24-25'!$K:$K)+SUMIF('Employee Input 24-25'!$B:$B,$B28,'Employee Input 24-25'!$L:$L)</f>
        <v>0</v>
      </c>
      <c r="Z29"/>
      <c r="AA29"/>
      <c r="AB29"/>
      <c r="AC29"/>
      <c r="AD29"/>
    </row>
    <row r="30" spans="1:30" s="30" customFormat="1" x14ac:dyDescent="0.3">
      <c r="A30" s="35"/>
      <c r="B30" s="42" t="s">
        <v>737</v>
      </c>
      <c r="C30" s="33" t="s">
        <v>720</v>
      </c>
      <c r="D30" s="165">
        <f>IF(SUM(D19:D29)&gt;0,SUM(D19:D29),"")</f>
        <v>166319</v>
      </c>
      <c r="E30" s="165">
        <f>IF(SUM(E19:E29)&gt;0,SUM(E19:E29),"")</f>
        <v>80800</v>
      </c>
      <c r="F30" s="165"/>
      <c r="G30" s="165" t="str">
        <f t="shared" ref="G30:Q30" si="4">IF(SUM(G19:G29)&gt;0,SUM(G19:G29),"")</f>
        <v/>
      </c>
      <c r="H30" s="165" t="str">
        <f t="shared" si="4"/>
        <v/>
      </c>
      <c r="I30" s="165">
        <f t="shared" si="4"/>
        <v>26125</v>
      </c>
      <c r="J30" s="165" t="str">
        <f t="shared" si="4"/>
        <v/>
      </c>
      <c r="K30" s="165" t="str">
        <f t="shared" si="4"/>
        <v/>
      </c>
      <c r="L30" s="165" t="str">
        <f t="shared" si="4"/>
        <v/>
      </c>
      <c r="M30" s="165" t="str">
        <f t="shared" si="4"/>
        <v/>
      </c>
      <c r="N30" s="165" t="str">
        <f t="shared" si="4"/>
        <v/>
      </c>
      <c r="O30" s="165" t="str">
        <f t="shared" si="4"/>
        <v/>
      </c>
      <c r="P30" s="165" t="str">
        <f t="shared" si="4"/>
        <v/>
      </c>
      <c r="Q30" s="165" t="str">
        <f t="shared" si="4"/>
        <v/>
      </c>
      <c r="R30" s="165">
        <f>IF(SUM(R19:R29)&gt;0,SUM(R19:R29),"")</f>
        <v>176692.2</v>
      </c>
      <c r="S30" s="165"/>
      <c r="T30" s="165">
        <f>SUM(T20:T29)</f>
        <v>182685.96599999999</v>
      </c>
      <c r="U30" s="165">
        <f>IF(SUM(U19:U29)&gt;0,SUM(U19:U29),"")</f>
        <v>188145.75498000003</v>
      </c>
      <c r="V30" s="165">
        <f>IF(SUM(V19:V29)&gt;0,SUM(V19:V29),"")</f>
        <v>193769.33762940002</v>
      </c>
      <c r="X30" s="169"/>
      <c r="Z30"/>
      <c r="AA30"/>
      <c r="AB30"/>
      <c r="AC30"/>
      <c r="AD30"/>
    </row>
    <row r="31" spans="1:30" s="30" customFormat="1" x14ac:dyDescent="0.3">
      <c r="A31" s="35"/>
      <c r="B31" s="39"/>
      <c r="C31" s="3"/>
      <c r="D31" s="185"/>
      <c r="E31" s="185"/>
      <c r="F31" s="185"/>
      <c r="G31" s="185"/>
      <c r="H31" s="185"/>
      <c r="I31" s="185"/>
      <c r="J31" s="185"/>
      <c r="K31" s="185"/>
      <c r="L31" s="185"/>
      <c r="M31" s="185"/>
      <c r="N31" s="185"/>
      <c r="O31" s="185"/>
      <c r="P31" s="185"/>
      <c r="Q31" s="185"/>
      <c r="R31" s="185"/>
      <c r="S31" s="185"/>
      <c r="T31" s="185"/>
      <c r="U31" s="185"/>
      <c r="V31" s="185"/>
      <c r="Z31"/>
      <c r="AA31"/>
      <c r="AB31"/>
      <c r="AC31"/>
      <c r="AD31"/>
    </row>
    <row r="32" spans="1:30" s="30" customFormat="1" x14ac:dyDescent="0.3">
      <c r="A32" s="33" t="s">
        <v>734</v>
      </c>
      <c r="B32" s="39"/>
      <c r="C32" s="3"/>
      <c r="D32" s="185"/>
      <c r="E32" s="185"/>
      <c r="F32" s="185"/>
      <c r="G32" s="185"/>
      <c r="H32" s="185"/>
      <c r="I32" s="185"/>
      <c r="J32" s="185"/>
      <c r="K32" s="185"/>
      <c r="L32" s="185"/>
      <c r="M32" s="185"/>
      <c r="N32" s="185"/>
      <c r="O32" s="185"/>
      <c r="P32" s="185"/>
      <c r="Q32" s="185"/>
      <c r="R32" s="185"/>
      <c r="S32" s="185"/>
      <c r="T32" s="185"/>
      <c r="U32" s="185"/>
      <c r="V32" s="185"/>
      <c r="Z32"/>
      <c r="AA32"/>
      <c r="AB32"/>
      <c r="AC32"/>
      <c r="AD32"/>
    </row>
    <row r="33" spans="1:30" s="30" customFormat="1" x14ac:dyDescent="0.3">
      <c r="A33" s="35"/>
      <c r="B33" s="132" t="s">
        <v>30</v>
      </c>
      <c r="C33" s="130" t="s">
        <v>587</v>
      </c>
      <c r="D33" s="60">
        <v>36434</v>
      </c>
      <c r="E33" s="60">
        <v>20969</v>
      </c>
      <c r="F33" s="60">
        <f t="shared" ref="F33:F41" si="5">D33-G33-H33-I33-J33-K33-L33-M33-N33-O33-P33-Q33</f>
        <v>36434</v>
      </c>
      <c r="G33" s="60"/>
      <c r="H33" s="60"/>
      <c r="I33" s="60"/>
      <c r="J33" s="60"/>
      <c r="K33" s="60"/>
      <c r="L33" s="60"/>
      <c r="M33" s="60"/>
      <c r="N33" s="60"/>
      <c r="O33" s="60"/>
      <c r="P33" s="60"/>
      <c r="Q33" s="60"/>
      <c r="R33" s="60">
        <f>SUM('Employee Input 21-22'!O88)</f>
        <v>43531.099199999997</v>
      </c>
      <c r="S33" s="60"/>
      <c r="T33" s="60">
        <f>SUM('Employee Input 22-23'!O87)</f>
        <v>50602.447480000003</v>
      </c>
      <c r="U33" s="60">
        <f>SUM('Employee Input 23-24'!O87)</f>
        <v>52109.060904400001</v>
      </c>
      <c r="V33" s="60">
        <f>SUM('Employee Input 24-25'!O87)</f>
        <v>50851.402955012003</v>
      </c>
      <c r="Z33"/>
      <c r="AA33"/>
      <c r="AB33"/>
      <c r="AC33"/>
      <c r="AD33"/>
    </row>
    <row r="34" spans="1:30" s="30" customFormat="1" x14ac:dyDescent="0.3">
      <c r="A34" s="35"/>
      <c r="B34" s="132" t="s">
        <v>38</v>
      </c>
      <c r="C34" s="130" t="s">
        <v>588</v>
      </c>
      <c r="D34" s="60">
        <f>SUM('Employee Input 20-21'!P35)</f>
        <v>0</v>
      </c>
      <c r="E34" s="60"/>
      <c r="F34" s="60">
        <f t="shared" si="5"/>
        <v>0</v>
      </c>
      <c r="G34" s="60"/>
      <c r="H34" s="60"/>
      <c r="I34" s="60"/>
      <c r="J34" s="60"/>
      <c r="K34" s="60"/>
      <c r="L34" s="60"/>
      <c r="M34" s="60"/>
      <c r="N34" s="60"/>
      <c r="O34" s="60"/>
      <c r="P34" s="60"/>
      <c r="Q34" s="60"/>
      <c r="R34" s="60">
        <f>SUM('Employee Input 21-22'!P88)</f>
        <v>0</v>
      </c>
      <c r="S34" s="60"/>
      <c r="T34" s="60">
        <f>SUM('Employee Input 22-23'!P87)</f>
        <v>0</v>
      </c>
      <c r="U34" s="60">
        <f>SUM('Employee Input 23-24'!P87)</f>
        <v>0</v>
      </c>
      <c r="V34" s="60">
        <f>SUM('Employee Input 24-25'!P87)</f>
        <v>0</v>
      </c>
      <c r="Z34"/>
      <c r="AA34"/>
      <c r="AB34"/>
      <c r="AC34"/>
      <c r="AD34"/>
    </row>
    <row r="35" spans="1:30" s="30" customFormat="1" x14ac:dyDescent="0.3">
      <c r="A35" s="35"/>
      <c r="B35" s="132" t="s">
        <v>1014</v>
      </c>
      <c r="C35" s="130" t="s">
        <v>1015</v>
      </c>
      <c r="D35" s="60">
        <v>9805</v>
      </c>
      <c r="E35" s="60">
        <v>4989</v>
      </c>
      <c r="F35" s="60">
        <f t="shared" si="5"/>
        <v>8205</v>
      </c>
      <c r="G35" s="60"/>
      <c r="H35" s="60"/>
      <c r="I35" s="60">
        <v>1600</v>
      </c>
      <c r="J35" s="60"/>
      <c r="K35" s="60"/>
      <c r="L35" s="60"/>
      <c r="M35" s="60"/>
      <c r="N35" s="60"/>
      <c r="O35" s="60"/>
      <c r="P35" s="60"/>
      <c r="Q35" s="60"/>
      <c r="R35" s="60">
        <f>SUM('Employee Input 21-22'!Q88)</f>
        <v>12335.325000000001</v>
      </c>
      <c r="S35" s="60"/>
      <c r="T35" s="60">
        <f>SUM('Employee Input 22-23'!Q87)</f>
        <v>12704.085374999999</v>
      </c>
      <c r="U35" s="60">
        <f>SUM('Employee Input 23-24'!Q87)</f>
        <v>13083.908561249998</v>
      </c>
      <c r="V35" s="60">
        <f>SUM('Employee Input 24-25'!Q87)</f>
        <v>13475.126443087502</v>
      </c>
      <c r="Z35"/>
      <c r="AA35"/>
      <c r="AB35"/>
      <c r="AC35"/>
      <c r="AD35"/>
    </row>
    <row r="36" spans="1:30" s="30" customFormat="1" x14ac:dyDescent="0.3">
      <c r="A36" s="35"/>
      <c r="B36" s="191" t="s">
        <v>1016</v>
      </c>
      <c r="C36" s="131" t="s">
        <v>1017</v>
      </c>
      <c r="D36" s="60">
        <f>SUM('Employee Input 20-21'!R35)</f>
        <v>6380.090334999999</v>
      </c>
      <c r="E36" s="60">
        <v>3120</v>
      </c>
      <c r="F36" s="60">
        <f t="shared" si="5"/>
        <v>5980.090334999999</v>
      </c>
      <c r="G36" s="60"/>
      <c r="H36" s="60"/>
      <c r="I36" s="60">
        <v>400</v>
      </c>
      <c r="J36" s="60"/>
      <c r="K36" s="60"/>
      <c r="L36" s="60"/>
      <c r="M36" s="60"/>
      <c r="N36" s="60"/>
      <c r="O36" s="60"/>
      <c r="P36" s="60"/>
      <c r="Q36" s="60"/>
      <c r="R36" s="60">
        <f>SUM('Employee Input 21-22'!R88)</f>
        <v>6592.2973999999995</v>
      </c>
      <c r="S36" s="60"/>
      <c r="T36" s="60">
        <f>SUM('Employee Input 22-23'!R87)</f>
        <v>6788.8948670000018</v>
      </c>
      <c r="U36" s="60">
        <f>SUM('Employee Input 23-24'!R87)</f>
        <v>6991.3902580099984</v>
      </c>
      <c r="V36" s="60">
        <f>SUM('Employee Input 24-25'!R87)</f>
        <v>7199.9605107502994</v>
      </c>
      <c r="Z36"/>
      <c r="AA36"/>
      <c r="AB36"/>
      <c r="AC36"/>
      <c r="AD36"/>
    </row>
    <row r="37" spans="1:30" s="30" customFormat="1" x14ac:dyDescent="0.3">
      <c r="A37" s="35"/>
      <c r="B37" s="191" t="s">
        <v>717</v>
      </c>
      <c r="C37" s="130" t="s">
        <v>589</v>
      </c>
      <c r="D37" s="60">
        <v>61170</v>
      </c>
      <c r="E37" s="60">
        <v>31860</v>
      </c>
      <c r="F37" s="60">
        <f t="shared" si="5"/>
        <v>61170</v>
      </c>
      <c r="G37" s="60"/>
      <c r="H37" s="60"/>
      <c r="I37" s="60"/>
      <c r="J37" s="60"/>
      <c r="K37" s="60"/>
      <c r="L37" s="60"/>
      <c r="M37" s="60"/>
      <c r="N37" s="60"/>
      <c r="O37" s="60"/>
      <c r="P37" s="60"/>
      <c r="Q37" s="60"/>
      <c r="R37" s="60">
        <f>SUM('Employee Input 21-22'!T88)</f>
        <v>53420</v>
      </c>
      <c r="S37" s="60"/>
      <c r="T37" s="60">
        <f>SUM('Employee Input 22-23'!T87)</f>
        <v>53420</v>
      </c>
      <c r="U37" s="60">
        <f>SUM('Employee Input 23-24'!T87)</f>
        <v>53420</v>
      </c>
      <c r="V37" s="60">
        <f>SUM('Employee Input 24-25'!T87)</f>
        <v>53420</v>
      </c>
      <c r="Z37"/>
      <c r="AA37"/>
      <c r="AB37"/>
      <c r="AC37"/>
      <c r="AD37"/>
    </row>
    <row r="38" spans="1:30" s="30" customFormat="1" x14ac:dyDescent="0.3">
      <c r="A38" s="35"/>
      <c r="B38" s="132" t="s">
        <v>718</v>
      </c>
      <c r="C38" s="130" t="s">
        <v>590</v>
      </c>
      <c r="D38" s="60">
        <v>2812</v>
      </c>
      <c r="E38" s="60">
        <v>989</v>
      </c>
      <c r="F38" s="60">
        <f t="shared" si="5"/>
        <v>2712</v>
      </c>
      <c r="G38" s="60"/>
      <c r="H38" s="60"/>
      <c r="I38" s="60">
        <v>100</v>
      </c>
      <c r="J38" s="60"/>
      <c r="K38" s="60"/>
      <c r="L38" s="60"/>
      <c r="M38" s="60"/>
      <c r="N38" s="60"/>
      <c r="O38" s="60"/>
      <c r="P38" s="60"/>
      <c r="Q38" s="60"/>
      <c r="R38" s="60">
        <f>SUM('Employee Input 21-22'!U88)</f>
        <v>6400</v>
      </c>
      <c r="S38" s="60"/>
      <c r="T38" s="60">
        <f>SUM('Employee Input 22-23'!U87)</f>
        <v>6400</v>
      </c>
      <c r="U38" s="60">
        <f>SUM('Employee Input 23-24'!U87)</f>
        <v>6400</v>
      </c>
      <c r="V38" s="60">
        <f>SUM('Employee Input 24-25'!U87)</f>
        <v>6400</v>
      </c>
      <c r="Z38"/>
      <c r="AA38"/>
      <c r="AB38"/>
      <c r="AC38"/>
      <c r="AD38"/>
    </row>
    <row r="39" spans="1:30" s="30" customFormat="1" x14ac:dyDescent="0.3">
      <c r="A39" s="35"/>
      <c r="B39" s="132" t="s">
        <v>719</v>
      </c>
      <c r="C39" s="130" t="s">
        <v>591</v>
      </c>
      <c r="D39" s="60">
        <v>10795</v>
      </c>
      <c r="E39" s="60">
        <v>7583</v>
      </c>
      <c r="F39" s="60">
        <f t="shared" si="5"/>
        <v>10795</v>
      </c>
      <c r="G39" s="60"/>
      <c r="H39" s="60"/>
      <c r="I39" s="60"/>
      <c r="J39" s="60"/>
      <c r="K39" s="60"/>
      <c r="L39" s="60"/>
      <c r="M39" s="60"/>
      <c r="N39" s="60"/>
      <c r="O39" s="60"/>
      <c r="P39" s="60"/>
      <c r="Q39" s="60"/>
      <c r="R39" s="60">
        <v>9910</v>
      </c>
      <c r="S39" s="60">
        <v>9910</v>
      </c>
      <c r="T39" s="60">
        <v>9910</v>
      </c>
      <c r="U39" s="60">
        <v>9910</v>
      </c>
      <c r="V39" s="60">
        <v>9910</v>
      </c>
      <c r="Z39"/>
      <c r="AA39"/>
      <c r="AB39"/>
      <c r="AC39"/>
      <c r="AD39"/>
    </row>
    <row r="40" spans="1:30" s="30" customFormat="1" x14ac:dyDescent="0.3">
      <c r="A40" s="35"/>
      <c r="B40" s="191" t="s">
        <v>1023</v>
      </c>
      <c r="C40" s="131" t="s">
        <v>1026</v>
      </c>
      <c r="D40" s="60">
        <f>SUM('Employee Input 20-21'!W35)</f>
        <v>0</v>
      </c>
      <c r="E40" s="60"/>
      <c r="F40" s="60">
        <f t="shared" si="5"/>
        <v>0</v>
      </c>
      <c r="G40" s="60"/>
      <c r="H40" s="60"/>
      <c r="I40" s="60"/>
      <c r="J40" s="60"/>
      <c r="K40" s="60"/>
      <c r="L40" s="60"/>
      <c r="M40" s="60"/>
      <c r="N40" s="60"/>
      <c r="O40" s="60"/>
      <c r="P40" s="60"/>
      <c r="Q40" s="60"/>
      <c r="R40" s="60">
        <f>SUM('Employee Input 21-22'!W88)</f>
        <v>0</v>
      </c>
      <c r="S40" s="60"/>
      <c r="T40" s="60">
        <f>SUM('Employee Input 22-23'!W87)</f>
        <v>0</v>
      </c>
      <c r="U40" s="60">
        <f>SUM('Employee Input 23-24'!W87)</f>
        <v>0</v>
      </c>
      <c r="V40" s="60">
        <f>SUM('Employee Input 24-25'!W87)</f>
        <v>0</v>
      </c>
      <c r="Z40"/>
      <c r="AA40"/>
      <c r="AB40"/>
      <c r="AC40"/>
      <c r="AD40"/>
    </row>
    <row r="41" spans="1:30" s="30" customFormat="1" x14ac:dyDescent="0.3">
      <c r="A41" s="35"/>
      <c r="B41" s="127" t="s">
        <v>1022</v>
      </c>
      <c r="C41" s="128" t="s">
        <v>1027</v>
      </c>
      <c r="D41" s="60">
        <f>SUM('Employee Input 20-21'!X35)</f>
        <v>0</v>
      </c>
      <c r="E41" s="60"/>
      <c r="F41" s="60">
        <f t="shared" si="5"/>
        <v>0</v>
      </c>
      <c r="G41" s="60"/>
      <c r="H41" s="60"/>
      <c r="I41" s="60"/>
      <c r="J41" s="60"/>
      <c r="K41" s="60"/>
      <c r="L41" s="60"/>
      <c r="M41" s="60"/>
      <c r="N41" s="60"/>
      <c r="O41" s="60"/>
      <c r="P41" s="60"/>
      <c r="Q41" s="60"/>
      <c r="R41" s="60">
        <f>SUM('Employee Input 20-21'!X85)</f>
        <v>0</v>
      </c>
      <c r="S41" s="60"/>
      <c r="T41" s="60">
        <f>SUM('Employee Input 22-23'!X87)</f>
        <v>0</v>
      </c>
      <c r="U41" s="60">
        <f>SUM('Employee Input 23-24'!X87)</f>
        <v>0</v>
      </c>
      <c r="V41" s="60">
        <f>SUM('Employee Input 24-25'!X87)</f>
        <v>0</v>
      </c>
      <c r="Z41"/>
      <c r="AA41"/>
      <c r="AB41"/>
      <c r="AC41"/>
      <c r="AD41"/>
    </row>
    <row r="42" spans="1:30" s="30" customFormat="1" x14ac:dyDescent="0.3">
      <c r="A42" s="35"/>
      <c r="B42" s="42" t="s">
        <v>738</v>
      </c>
      <c r="C42" s="33" t="s">
        <v>720</v>
      </c>
      <c r="D42" s="165">
        <f>IF(SUM(D32:D41)&gt;0,SUM(D32:D41),"")</f>
        <v>127396.090335</v>
      </c>
      <c r="E42" s="165">
        <f>IF(SUM(E32:E41)&gt;0,SUM(E32:E41),"")</f>
        <v>69510</v>
      </c>
      <c r="F42" s="165"/>
      <c r="G42" s="165" t="str">
        <f t="shared" ref="G42:Q42" si="6">IF(SUM(G32:G41)&gt;0,SUM(G32:G41),"")</f>
        <v/>
      </c>
      <c r="H42" s="165" t="str">
        <f t="shared" si="6"/>
        <v/>
      </c>
      <c r="I42" s="165">
        <f t="shared" si="6"/>
        <v>2100</v>
      </c>
      <c r="J42" s="165" t="str">
        <f t="shared" si="6"/>
        <v/>
      </c>
      <c r="K42" s="165" t="str">
        <f t="shared" si="6"/>
        <v/>
      </c>
      <c r="L42" s="165" t="str">
        <f t="shared" si="6"/>
        <v/>
      </c>
      <c r="M42" s="165" t="str">
        <f t="shared" si="6"/>
        <v/>
      </c>
      <c r="N42" s="165" t="str">
        <f t="shared" si="6"/>
        <v/>
      </c>
      <c r="O42" s="165" t="str">
        <f t="shared" si="6"/>
        <v/>
      </c>
      <c r="P42" s="165" t="str">
        <f t="shared" si="6"/>
        <v/>
      </c>
      <c r="Q42" s="165" t="str">
        <f t="shared" si="6"/>
        <v/>
      </c>
      <c r="R42" s="165">
        <f>IF(SUM(R32:R41)&gt;0,SUM(R32:R41),"")</f>
        <v>132188.72159999999</v>
      </c>
      <c r="S42" s="165"/>
      <c r="T42" s="165">
        <f>IF(SUM(T32:T41)&gt;0,SUM(T32:T41),"")</f>
        <v>139825.42772199999</v>
      </c>
      <c r="U42" s="165">
        <f>IF(SUM(U32:U41)&gt;0,SUM(U32:U41),"")</f>
        <v>141914.35972365999</v>
      </c>
      <c r="V42" s="165">
        <f>IF(SUM(V32:V41)&gt;0,SUM(V32:V41),"")</f>
        <v>141256.48990884982</v>
      </c>
      <c r="X42" s="169"/>
      <c r="Z42"/>
      <c r="AA42"/>
      <c r="AB42"/>
      <c r="AC42"/>
      <c r="AD42"/>
    </row>
    <row r="43" spans="1:30" s="30" customFormat="1" ht="16.2" thickBot="1" x14ac:dyDescent="0.35">
      <c r="A43" s="35"/>
      <c r="B43" s="39"/>
      <c r="C43" s="3"/>
      <c r="D43" s="186"/>
      <c r="E43" s="186"/>
      <c r="F43" s="186"/>
      <c r="G43" s="186"/>
      <c r="H43" s="186"/>
      <c r="I43" s="186"/>
      <c r="J43" s="186"/>
      <c r="K43" s="186"/>
      <c r="L43" s="186"/>
      <c r="M43" s="186"/>
      <c r="N43" s="186"/>
      <c r="O43" s="186"/>
      <c r="P43" s="186"/>
      <c r="Q43" s="186"/>
      <c r="R43" s="186"/>
      <c r="S43" s="186"/>
      <c r="T43" s="186"/>
      <c r="U43" s="186"/>
      <c r="V43" s="186"/>
      <c r="Z43"/>
      <c r="AA43"/>
      <c r="AB43"/>
      <c r="AC43"/>
      <c r="AD43"/>
    </row>
    <row r="44" spans="1:30" s="30" customFormat="1" x14ac:dyDescent="0.3">
      <c r="A44" s="33" t="s">
        <v>735</v>
      </c>
      <c r="B44" s="39"/>
      <c r="C44" s="3"/>
      <c r="D44" s="165">
        <f>IF(SUM(D17,D30,D42)&gt;0,SUM(D17,D30,D42),"")</f>
        <v>540235.09033499996</v>
      </c>
      <c r="E44" s="165">
        <f>IF(SUM(E17,E30,E42)&gt;0,SUM(E17,E30,E42),"")</f>
        <v>287961</v>
      </c>
      <c r="F44" s="165" t="str">
        <f t="shared" ref="F44:Q44" si="7">IF(SUM(F17,F30,F42)&gt;0,SUM(F17,F30,F42),"")</f>
        <v/>
      </c>
      <c r="G44" s="165" t="str">
        <f t="shared" si="7"/>
        <v/>
      </c>
      <c r="H44" s="165">
        <f t="shared" si="7"/>
        <v>115961</v>
      </c>
      <c r="I44" s="165">
        <f t="shared" si="7"/>
        <v>28225</v>
      </c>
      <c r="J44" s="165" t="str">
        <f t="shared" si="7"/>
        <v/>
      </c>
      <c r="K44" s="165" t="str">
        <f t="shared" si="7"/>
        <v/>
      </c>
      <c r="L44" s="165" t="str">
        <f t="shared" si="7"/>
        <v/>
      </c>
      <c r="M44" s="165" t="str">
        <f t="shared" si="7"/>
        <v/>
      </c>
      <c r="N44" s="165" t="str">
        <f t="shared" si="7"/>
        <v/>
      </c>
      <c r="O44" s="165" t="str">
        <f t="shared" si="7"/>
        <v/>
      </c>
      <c r="P44" s="165" t="str">
        <f t="shared" si="7"/>
        <v/>
      </c>
      <c r="Q44" s="165" t="str">
        <f t="shared" si="7"/>
        <v/>
      </c>
      <c r="R44" s="165">
        <f>IF(SUM(R17,R30,R42)&gt;0,SUM(R17,R30,R42),"")</f>
        <v>586136.9216</v>
      </c>
      <c r="S44" s="165"/>
      <c r="T44" s="165">
        <f>IF(SUM(T17,T30,T42)&gt;0,SUM(T17,T30,T42),"")</f>
        <v>616475.073722</v>
      </c>
      <c r="U44" s="165">
        <f>IF(SUM(U17,U30,U42)&gt;0,SUM(U17,U30,U42),"")</f>
        <v>624079.20510366</v>
      </c>
      <c r="V44" s="165">
        <f>IF(SUM(V17,V30,V42)&gt;0,SUM(V17,V30,V42),"")</f>
        <v>637805.49065024988</v>
      </c>
      <c r="X44" s="281"/>
      <c r="Z44"/>
      <c r="AA44"/>
      <c r="AB44"/>
      <c r="AC44"/>
      <c r="AD44"/>
    </row>
    <row r="45" spans="1:30" s="30" customFormat="1" x14ac:dyDescent="0.3">
      <c r="A45" s="35"/>
      <c r="B45" s="39"/>
      <c r="C45" s="1"/>
      <c r="D45" s="178"/>
      <c r="E45" s="178"/>
      <c r="F45" s="178"/>
      <c r="G45" s="178"/>
      <c r="H45" s="178"/>
      <c r="I45" s="178"/>
      <c r="J45" s="178"/>
      <c r="K45" s="178"/>
      <c r="L45" s="178"/>
      <c r="M45" s="178"/>
      <c r="N45" s="178"/>
      <c r="O45" s="178"/>
      <c r="P45" s="178"/>
      <c r="Q45" s="178"/>
      <c r="R45" s="178"/>
      <c r="S45" s="178"/>
      <c r="T45" s="178"/>
      <c r="U45" s="178"/>
      <c r="V45" s="178"/>
      <c r="Z45"/>
      <c r="AA45"/>
      <c r="AB45"/>
      <c r="AC45"/>
      <c r="AD45"/>
    </row>
    <row r="46" spans="1:30" s="30" customFormat="1" x14ac:dyDescent="0.3">
      <c r="A46" s="33" t="s">
        <v>677</v>
      </c>
      <c r="B46" s="2"/>
      <c r="C46" s="3"/>
      <c r="D46" s="178"/>
      <c r="E46" s="178"/>
      <c r="F46" s="178"/>
      <c r="G46" s="178"/>
      <c r="H46" s="178"/>
      <c r="I46" s="178"/>
      <c r="J46" s="178"/>
      <c r="K46" s="178"/>
      <c r="L46" s="178"/>
      <c r="M46" s="178"/>
      <c r="N46" s="178"/>
      <c r="O46" s="178"/>
      <c r="P46" s="178"/>
      <c r="Q46" s="178"/>
      <c r="R46" s="178"/>
      <c r="S46" s="178"/>
      <c r="T46" s="178"/>
      <c r="U46" s="178"/>
      <c r="V46" s="178"/>
      <c r="Z46"/>
      <c r="AA46"/>
      <c r="AB46"/>
      <c r="AC46"/>
      <c r="AD46"/>
    </row>
    <row r="47" spans="1:30" s="30" customFormat="1" x14ac:dyDescent="0.3">
      <c r="A47" s="35"/>
      <c r="B47" s="62" t="str">
        <f>+'Expenses Input'!B9</f>
        <v>4100</v>
      </c>
      <c r="C47" s="62" t="str">
        <f>'Expenses Input'!C9</f>
        <v>Approved Textbooks and Core Curricula Materials</v>
      </c>
      <c r="D47" s="60">
        <v>19722</v>
      </c>
      <c r="E47" s="60">
        <v>19626</v>
      </c>
      <c r="F47" s="60">
        <f t="shared" ref="F47:F64" si="8">D47-G47-H47-I47-J47-K47-L47-M47-N47-O47-P47-Q47</f>
        <v>2608</v>
      </c>
      <c r="G47" s="60">
        <v>2307</v>
      </c>
      <c r="H47" s="60"/>
      <c r="I47" s="60"/>
      <c r="J47" s="60"/>
      <c r="K47" s="60"/>
      <c r="L47" s="60">
        <v>4600</v>
      </c>
      <c r="M47" s="60"/>
      <c r="N47" s="60"/>
      <c r="O47" s="60">
        <v>134</v>
      </c>
      <c r="P47" s="60">
        <v>9132</v>
      </c>
      <c r="Q47" s="60">
        <v>941</v>
      </c>
      <c r="R47" s="60">
        <v>13000</v>
      </c>
      <c r="S47" s="60"/>
      <c r="T47" s="60">
        <f>'Expenses Input'!G9</f>
        <v>20632</v>
      </c>
      <c r="U47" s="60">
        <f>'Expenses Input'!H9</f>
        <v>21292.224000000002</v>
      </c>
      <c r="V47" s="60">
        <f>'Expenses Input'!I9</f>
        <v>21965.058278400003</v>
      </c>
      <c r="Z47"/>
      <c r="AA47"/>
      <c r="AB47"/>
      <c r="AC47"/>
      <c r="AD47"/>
    </row>
    <row r="48" spans="1:30" x14ac:dyDescent="0.3">
      <c r="A48" s="35"/>
      <c r="B48" s="62" t="str">
        <f>+'Expenses Input'!B10</f>
        <v>4200</v>
      </c>
      <c r="C48" s="62" t="str">
        <f>'Expenses Input'!C10</f>
        <v>Books and Other Reference Materials</v>
      </c>
      <c r="D48" s="60">
        <v>1979</v>
      </c>
      <c r="E48" s="60">
        <v>1779</v>
      </c>
      <c r="F48" s="60">
        <f t="shared" si="8"/>
        <v>449</v>
      </c>
      <c r="G48" s="60"/>
      <c r="H48" s="60"/>
      <c r="I48" s="60"/>
      <c r="J48" s="60"/>
      <c r="K48" s="60"/>
      <c r="L48" s="60"/>
      <c r="M48" s="60"/>
      <c r="N48" s="60"/>
      <c r="O48" s="60">
        <v>53</v>
      </c>
      <c r="P48" s="60">
        <v>1477</v>
      </c>
      <c r="Q48" s="60"/>
      <c r="R48" s="60">
        <f>'Expenses Input'!E10</f>
        <v>1800</v>
      </c>
      <c r="S48" s="60"/>
      <c r="T48" s="60">
        <f>'Expenses Input'!G10</f>
        <v>1856.88</v>
      </c>
      <c r="U48" s="60">
        <f>'Expenses Input'!H10</f>
        <v>1916.3001600000002</v>
      </c>
      <c r="V48" s="60">
        <f>'Expenses Input'!I10</f>
        <v>1976.8552450560003</v>
      </c>
    </row>
    <row r="49" spans="1:22" x14ac:dyDescent="0.3">
      <c r="A49" s="35"/>
      <c r="B49" s="62" t="str">
        <f>+'Expenses Input'!B11</f>
        <v>4300</v>
      </c>
      <c r="C49" s="62" t="str">
        <f>'Expenses Input'!C11</f>
        <v>Materials and Supplies</v>
      </c>
      <c r="D49" s="60">
        <v>20762</v>
      </c>
      <c r="E49" s="60">
        <v>12241</v>
      </c>
      <c r="F49" s="60">
        <f t="shared" si="8"/>
        <v>19595</v>
      </c>
      <c r="G49" s="60">
        <v>349</v>
      </c>
      <c r="H49" s="60"/>
      <c r="I49" s="60"/>
      <c r="J49" s="60"/>
      <c r="K49" s="60"/>
      <c r="L49" s="60"/>
      <c r="M49" s="60"/>
      <c r="N49" s="60"/>
      <c r="O49" s="60"/>
      <c r="P49" s="60"/>
      <c r="Q49" s="60">
        <v>818</v>
      </c>
      <c r="R49" s="60">
        <v>8000</v>
      </c>
      <c r="S49" s="60"/>
      <c r="T49" s="60">
        <f>'Expenses Input'!G11</f>
        <v>6437.1840000000002</v>
      </c>
      <c r="U49" s="60">
        <f>'Expenses Input'!H11</f>
        <v>6643.1738880000003</v>
      </c>
      <c r="V49" s="60">
        <f>'Expenses Input'!I11</f>
        <v>6853.098182860801</v>
      </c>
    </row>
    <row r="50" spans="1:22" x14ac:dyDescent="0.3">
      <c r="A50" s="35"/>
      <c r="B50" s="62" t="str">
        <f>+'Expenses Input'!B12</f>
        <v>4315</v>
      </c>
      <c r="C50" s="62" t="str">
        <f>'Expenses Input'!C12</f>
        <v>Classroom Materials and Supplies</v>
      </c>
      <c r="D50" s="60">
        <v>5772</v>
      </c>
      <c r="E50" s="60">
        <v>4785</v>
      </c>
      <c r="F50" s="60">
        <f t="shared" si="8"/>
        <v>3613</v>
      </c>
      <c r="G50" s="60"/>
      <c r="H50" s="60"/>
      <c r="I50" s="60"/>
      <c r="J50" s="60"/>
      <c r="K50" s="60"/>
      <c r="L50" s="60"/>
      <c r="M50" s="60"/>
      <c r="N50" s="60"/>
      <c r="O50" s="60">
        <v>1100</v>
      </c>
      <c r="P50" s="60"/>
      <c r="Q50" s="60">
        <v>1059</v>
      </c>
      <c r="R50" s="60">
        <f>'Expenses Input'!E12</f>
        <v>6000</v>
      </c>
      <c r="S50" s="60"/>
      <c r="T50" s="60">
        <f>'Expenses Input'!G12</f>
        <v>6189.6</v>
      </c>
      <c r="U50" s="60">
        <f>'Expenses Input'!H12</f>
        <v>6387.6672000000008</v>
      </c>
      <c r="V50" s="60">
        <f>'Expenses Input'!I12</f>
        <v>6589.5174835200014</v>
      </c>
    </row>
    <row r="51" spans="1:22" x14ac:dyDescent="0.3">
      <c r="A51" s="35"/>
      <c r="B51" s="62" t="str">
        <f>+'Expenses Input'!B13</f>
        <v>4342</v>
      </c>
      <c r="C51" s="62" t="str">
        <f>'Expenses Input'!C13</f>
        <v>Materials for Athletics</v>
      </c>
      <c r="D51" s="60">
        <f>'Expenses Input'!D13</f>
        <v>0</v>
      </c>
      <c r="E51" s="60">
        <v>0</v>
      </c>
      <c r="F51" s="60">
        <f t="shared" si="8"/>
        <v>0</v>
      </c>
      <c r="G51" s="60"/>
      <c r="H51" s="60"/>
      <c r="I51" s="60"/>
      <c r="J51" s="60"/>
      <c r="K51" s="60"/>
      <c r="L51" s="60"/>
      <c r="M51" s="60"/>
      <c r="N51" s="60"/>
      <c r="O51" s="60"/>
      <c r="P51" s="60"/>
      <c r="Q51" s="60"/>
      <c r="R51" s="328">
        <f>'Expenses Input'!E13</f>
        <v>5000</v>
      </c>
      <c r="S51" s="328"/>
      <c r="T51" s="60">
        <f>'Expenses Input'!G13</f>
        <v>5158</v>
      </c>
      <c r="U51" s="60">
        <f>'Expenses Input'!H13</f>
        <v>5323.0560000000005</v>
      </c>
      <c r="V51" s="60">
        <f>'Expenses Input'!I13</f>
        <v>5491.2645696000009</v>
      </c>
    </row>
    <row r="52" spans="1:22" x14ac:dyDescent="0.3">
      <c r="A52" s="35"/>
      <c r="B52" s="319" t="str">
        <f>+'Expenses Input'!B14</f>
        <v>4381</v>
      </c>
      <c r="C52" s="62" t="str">
        <f>'Expenses Input'!C14</f>
        <v>Materials for Plant Maintenance</v>
      </c>
      <c r="D52" s="60">
        <v>3146</v>
      </c>
      <c r="E52" s="60">
        <v>817</v>
      </c>
      <c r="F52" s="60">
        <f t="shared" si="8"/>
        <v>2635</v>
      </c>
      <c r="G52" s="60"/>
      <c r="H52" s="60"/>
      <c r="I52" s="60"/>
      <c r="J52" s="60"/>
      <c r="K52" s="60"/>
      <c r="L52" s="60"/>
      <c r="M52" s="60"/>
      <c r="N52" s="60"/>
      <c r="O52" s="60">
        <v>123</v>
      </c>
      <c r="P52" s="60"/>
      <c r="Q52" s="60">
        <v>388</v>
      </c>
      <c r="R52" s="60">
        <f>'Expenses Input'!E14</f>
        <v>1000</v>
      </c>
      <c r="S52" s="60"/>
      <c r="T52" s="60">
        <f>'Expenses Input'!G14</f>
        <v>1031.6000000000001</v>
      </c>
      <c r="U52" s="60">
        <f>'Expenses Input'!H14</f>
        <v>1064.6112000000003</v>
      </c>
      <c r="V52" s="60">
        <f>'Expenses Input'!I14</f>
        <v>1098.2529139200003</v>
      </c>
    </row>
    <row r="53" spans="1:22" outlineLevel="1" x14ac:dyDescent="0.3">
      <c r="A53" s="35"/>
      <c r="B53" s="62" t="str">
        <f>+'Expenses Input'!B15</f>
        <v>4400</v>
      </c>
      <c r="C53" s="62" t="str">
        <f>'Expenses Input'!C15</f>
        <v>Noncapitalized Equipment</v>
      </c>
      <c r="D53" s="60">
        <v>10165</v>
      </c>
      <c r="E53" s="60">
        <v>7034</v>
      </c>
      <c r="F53" s="60">
        <f t="shared" si="8"/>
        <v>6259</v>
      </c>
      <c r="G53" s="60"/>
      <c r="H53" s="60"/>
      <c r="I53" s="60"/>
      <c r="J53" s="60"/>
      <c r="K53" s="60"/>
      <c r="L53" s="60"/>
      <c r="M53" s="60"/>
      <c r="N53" s="60"/>
      <c r="O53" s="60"/>
      <c r="P53" s="60">
        <v>2606</v>
      </c>
      <c r="Q53" s="60">
        <v>1300</v>
      </c>
      <c r="R53" s="60">
        <f>'Expenses Input'!E15</f>
        <v>5000</v>
      </c>
      <c r="S53" s="60"/>
      <c r="T53" s="60">
        <f>'Expenses Input'!G15</f>
        <v>5158</v>
      </c>
      <c r="U53" s="60">
        <f>'Expenses Input'!H15</f>
        <v>5323.0560000000005</v>
      </c>
      <c r="V53" s="60">
        <f>'Expenses Input'!I15</f>
        <v>5491.2645696000009</v>
      </c>
    </row>
    <row r="54" spans="1:22" outlineLevel="1" x14ac:dyDescent="0.3">
      <c r="A54" s="35"/>
      <c r="B54" s="288">
        <f>+'Expenses Input'!B16</f>
        <v>4410</v>
      </c>
      <c r="C54" s="62" t="str">
        <f>'Expenses Input'!C16</f>
        <v>Software &amp; Software Licensing</v>
      </c>
      <c r="D54" s="60">
        <v>10165</v>
      </c>
      <c r="E54" s="60">
        <f>6506+3509</f>
        <v>10015</v>
      </c>
      <c r="F54" s="60">
        <f t="shared" si="8"/>
        <v>-5871</v>
      </c>
      <c r="G54" s="60"/>
      <c r="H54" s="60"/>
      <c r="I54" s="60"/>
      <c r="J54" s="60"/>
      <c r="K54" s="60">
        <v>10000</v>
      </c>
      <c r="L54" s="60"/>
      <c r="M54" s="60"/>
      <c r="N54" s="60"/>
      <c r="O54" s="60"/>
      <c r="P54" s="60">
        <v>5640</v>
      </c>
      <c r="Q54" s="60">
        <v>396</v>
      </c>
      <c r="R54" s="60">
        <f>'Expenses Input'!E16</f>
        <v>10000</v>
      </c>
      <c r="S54" s="60"/>
      <c r="T54" s="60">
        <f>'Expenses Input'!G16</f>
        <v>10316</v>
      </c>
      <c r="U54" s="60">
        <f>'Expenses Input'!H16</f>
        <v>10646.112000000001</v>
      </c>
      <c r="V54" s="60">
        <f>'Expenses Input'!I16</f>
        <v>10982.529139200002</v>
      </c>
    </row>
    <row r="55" spans="1:22" outlineLevel="1" x14ac:dyDescent="0.3">
      <c r="A55" s="35"/>
      <c r="B55" s="62" t="str">
        <f>+'Expenses Input'!B17</f>
        <v>4430</v>
      </c>
      <c r="C55" s="62" t="str">
        <f>'Expenses Input'!C17</f>
        <v>General Student Equipment</v>
      </c>
      <c r="D55" s="60">
        <v>6568</v>
      </c>
      <c r="E55" s="60">
        <v>4052</v>
      </c>
      <c r="F55" s="60">
        <f t="shared" si="8"/>
        <v>2717</v>
      </c>
      <c r="G55" s="60"/>
      <c r="H55" s="60"/>
      <c r="I55" s="60"/>
      <c r="J55" s="60"/>
      <c r="K55" s="60"/>
      <c r="L55" s="60"/>
      <c r="M55" s="60"/>
      <c r="N55" s="60"/>
      <c r="O55" s="60">
        <v>172</v>
      </c>
      <c r="P55" s="60">
        <v>2928</v>
      </c>
      <c r="Q55" s="60">
        <v>751</v>
      </c>
      <c r="R55" s="60">
        <f>'Expenses Input'!E17</f>
        <v>6000</v>
      </c>
      <c r="S55" s="60"/>
      <c r="T55" s="60">
        <f>'Expenses Input'!G17</f>
        <v>6189.6</v>
      </c>
      <c r="U55" s="60">
        <f>'Expenses Input'!H17</f>
        <v>6387.6672000000008</v>
      </c>
      <c r="V55" s="60">
        <f>'Expenses Input'!I17</f>
        <v>6589.5174835200014</v>
      </c>
    </row>
    <row r="56" spans="1:22" hidden="1" outlineLevel="1" x14ac:dyDescent="0.3">
      <c r="A56" s="35"/>
      <c r="B56" s="62">
        <f>+'Expenses Input'!B18</f>
        <v>0</v>
      </c>
      <c r="C56" s="62">
        <f>'Expenses Input'!C20</f>
        <v>0</v>
      </c>
      <c r="D56" s="60" t="str">
        <f>'Expenses Input'!D20</f>
        <v/>
      </c>
      <c r="E56" s="60"/>
      <c r="F56" s="60" t="e">
        <f t="shared" si="8"/>
        <v>#VALUE!</v>
      </c>
      <c r="G56" s="60"/>
      <c r="H56" s="60"/>
      <c r="I56" s="60"/>
      <c r="J56" s="60"/>
      <c r="K56" s="60"/>
      <c r="L56" s="60"/>
      <c r="M56" s="60"/>
      <c r="N56" s="60"/>
      <c r="O56" s="60"/>
      <c r="P56" s="60"/>
      <c r="Q56" s="60"/>
      <c r="R56" s="60">
        <f>'Expenses Input'!E18</f>
        <v>0</v>
      </c>
      <c r="S56" s="60"/>
      <c r="T56" s="60">
        <f>'Expenses Input'!G18</f>
        <v>0</v>
      </c>
      <c r="U56" s="60">
        <f>'Expenses Input'!H18</f>
        <v>0</v>
      </c>
      <c r="V56" s="60">
        <f>'Expenses Input'!I18</f>
        <v>0</v>
      </c>
    </row>
    <row r="57" spans="1:22" hidden="1" outlineLevel="1" x14ac:dyDescent="0.3">
      <c r="A57" s="35"/>
      <c r="B57" s="62">
        <f>+'Expenses Input'!B19</f>
        <v>0</v>
      </c>
      <c r="C57" s="62">
        <f>'Expenses Input'!C21</f>
        <v>0</v>
      </c>
      <c r="D57" s="60" t="str">
        <f>'Expenses Input'!D21</f>
        <v/>
      </c>
      <c r="E57" s="60"/>
      <c r="F57" s="60" t="e">
        <f t="shared" si="8"/>
        <v>#VALUE!</v>
      </c>
      <c r="G57" s="60"/>
      <c r="H57" s="60"/>
      <c r="I57" s="60"/>
      <c r="J57" s="60"/>
      <c r="K57" s="60"/>
      <c r="L57" s="60"/>
      <c r="M57" s="60"/>
      <c r="N57" s="60"/>
      <c r="O57" s="60"/>
      <c r="P57" s="60"/>
      <c r="Q57" s="60"/>
      <c r="R57" s="60">
        <f>'Expenses Input'!E19</f>
        <v>0</v>
      </c>
      <c r="S57" s="60"/>
      <c r="T57" s="60">
        <f>'Expenses Input'!G19</f>
        <v>0</v>
      </c>
      <c r="U57" s="60">
        <f>'Expenses Input'!H19</f>
        <v>0</v>
      </c>
      <c r="V57" s="60">
        <f>'Expenses Input'!I19</f>
        <v>0</v>
      </c>
    </row>
    <row r="58" spans="1:22" hidden="1" outlineLevel="1" x14ac:dyDescent="0.3">
      <c r="A58" s="35"/>
      <c r="B58" s="62">
        <f>+'Expenses Input'!B20</f>
        <v>0</v>
      </c>
      <c r="C58" s="62">
        <f>'Expenses Input'!C22</f>
        <v>0</v>
      </c>
      <c r="D58" s="60" t="str">
        <f>'Expenses Input'!D22</f>
        <v/>
      </c>
      <c r="E58" s="60"/>
      <c r="F58" s="60" t="e">
        <f t="shared" si="8"/>
        <v>#VALUE!</v>
      </c>
      <c r="G58" s="60"/>
      <c r="H58" s="60"/>
      <c r="I58" s="60"/>
      <c r="J58" s="60"/>
      <c r="K58" s="60"/>
      <c r="L58" s="60"/>
      <c r="M58" s="60"/>
      <c r="N58" s="60"/>
      <c r="O58" s="60"/>
      <c r="P58" s="60"/>
      <c r="Q58" s="60"/>
      <c r="R58" s="60">
        <f>'Expenses Input'!E20</f>
        <v>0</v>
      </c>
      <c r="S58" s="60"/>
      <c r="T58" s="60">
        <f>'Expenses Input'!G20</f>
        <v>0</v>
      </c>
      <c r="U58" s="60">
        <f>'Expenses Input'!H20</f>
        <v>0</v>
      </c>
      <c r="V58" s="60">
        <f>'Expenses Input'!I20</f>
        <v>0</v>
      </c>
    </row>
    <row r="59" spans="1:22" hidden="1" outlineLevel="1" x14ac:dyDescent="0.3">
      <c r="A59" s="35"/>
      <c r="B59" s="62">
        <f>+'Expenses Input'!B21</f>
        <v>0</v>
      </c>
      <c r="C59" s="62">
        <f>'Expenses Input'!C23</f>
        <v>0</v>
      </c>
      <c r="D59" s="60" t="str">
        <f>'Expenses Input'!D23</f>
        <v/>
      </c>
      <c r="E59" s="60"/>
      <c r="F59" s="60" t="e">
        <f t="shared" si="8"/>
        <v>#VALUE!</v>
      </c>
      <c r="G59" s="60"/>
      <c r="H59" s="60"/>
      <c r="I59" s="60"/>
      <c r="J59" s="60"/>
      <c r="K59" s="60"/>
      <c r="L59" s="60"/>
      <c r="M59" s="60"/>
      <c r="N59" s="60"/>
      <c r="O59" s="60"/>
      <c r="P59" s="60"/>
      <c r="Q59" s="60"/>
      <c r="R59" s="60">
        <f>'Expenses Input'!E21</f>
        <v>0</v>
      </c>
      <c r="S59" s="60"/>
      <c r="T59" s="60">
        <f>'Expenses Input'!G21</f>
        <v>0</v>
      </c>
      <c r="U59" s="60">
        <f>'Expenses Input'!H21</f>
        <v>0</v>
      </c>
      <c r="V59" s="60">
        <f>'Expenses Input'!I21</f>
        <v>0</v>
      </c>
    </row>
    <row r="60" spans="1:22" hidden="1" outlineLevel="1" x14ac:dyDescent="0.3">
      <c r="A60" s="35"/>
      <c r="B60" s="62">
        <f>'Expenses Input'!B24</f>
        <v>0</v>
      </c>
      <c r="C60" s="62">
        <f>'Expenses Input'!C24</f>
        <v>0</v>
      </c>
      <c r="D60" s="60" t="str">
        <f>'Expenses Input'!D24</f>
        <v/>
      </c>
      <c r="E60" s="60"/>
      <c r="F60" s="60" t="e">
        <f t="shared" si="8"/>
        <v>#VALUE!</v>
      </c>
      <c r="G60" s="60"/>
      <c r="H60" s="60"/>
      <c r="I60" s="60"/>
      <c r="J60" s="60"/>
      <c r="K60" s="60"/>
      <c r="L60" s="60"/>
      <c r="M60" s="60"/>
      <c r="N60" s="60"/>
      <c r="O60" s="60"/>
      <c r="P60" s="60"/>
      <c r="Q60" s="60"/>
      <c r="R60" s="60">
        <f>'Expenses Input'!E22</f>
        <v>0</v>
      </c>
      <c r="S60" s="60"/>
      <c r="T60" s="60">
        <f>'Expenses Input'!G22</f>
        <v>0</v>
      </c>
      <c r="U60" s="60">
        <f>'Expenses Input'!H22</f>
        <v>0</v>
      </c>
      <c r="V60" s="60">
        <f>'Expenses Input'!I22</f>
        <v>0</v>
      </c>
    </row>
    <row r="61" spans="1:22" hidden="1" outlineLevel="1" x14ac:dyDescent="0.3">
      <c r="A61" s="35"/>
      <c r="B61" s="62">
        <f>'Expenses Input'!B25</f>
        <v>0</v>
      </c>
      <c r="C61" s="62">
        <f>'Expenses Input'!C25</f>
        <v>0</v>
      </c>
      <c r="D61" s="60" t="str">
        <f>'Expenses Input'!D25</f>
        <v/>
      </c>
      <c r="E61" s="60"/>
      <c r="F61" s="60" t="e">
        <f t="shared" si="8"/>
        <v>#VALUE!</v>
      </c>
      <c r="G61" s="60"/>
      <c r="H61" s="60"/>
      <c r="I61" s="60"/>
      <c r="J61" s="60"/>
      <c r="K61" s="60"/>
      <c r="L61" s="60"/>
      <c r="M61" s="60"/>
      <c r="N61" s="60"/>
      <c r="O61" s="60"/>
      <c r="P61" s="60"/>
      <c r="Q61" s="60"/>
      <c r="R61" s="60">
        <f>'Expenses Input'!E23</f>
        <v>0</v>
      </c>
      <c r="S61" s="60"/>
      <c r="T61" s="60">
        <f>'Expenses Input'!G23</f>
        <v>0</v>
      </c>
      <c r="U61" s="60">
        <f>'Expenses Input'!H23</f>
        <v>0</v>
      </c>
      <c r="V61" s="60">
        <f>'Expenses Input'!I23</f>
        <v>0</v>
      </c>
    </row>
    <row r="62" spans="1:22" hidden="1" outlineLevel="1" x14ac:dyDescent="0.3">
      <c r="A62" s="35"/>
      <c r="B62" s="62">
        <f>'Expenses Input'!B26</f>
        <v>0</v>
      </c>
      <c r="C62" s="62">
        <f>'Expenses Input'!C26</f>
        <v>0</v>
      </c>
      <c r="D62" s="60" t="str">
        <f>'Expenses Input'!D26</f>
        <v/>
      </c>
      <c r="E62" s="60"/>
      <c r="F62" s="60" t="e">
        <f t="shared" si="8"/>
        <v>#VALUE!</v>
      </c>
      <c r="G62" s="60"/>
      <c r="H62" s="60"/>
      <c r="I62" s="60"/>
      <c r="J62" s="60"/>
      <c r="K62" s="60"/>
      <c r="L62" s="60"/>
      <c r="M62" s="60"/>
      <c r="N62" s="60"/>
      <c r="O62" s="60"/>
      <c r="P62" s="60"/>
      <c r="Q62" s="60"/>
      <c r="R62" s="60">
        <f>'Expenses Input'!E24</f>
        <v>0</v>
      </c>
      <c r="S62" s="60"/>
      <c r="T62" s="60">
        <f>'Expenses Input'!G24</f>
        <v>0</v>
      </c>
      <c r="U62" s="60">
        <f>'Expenses Input'!H24</f>
        <v>0</v>
      </c>
      <c r="V62" s="60">
        <f>'Expenses Input'!I24</f>
        <v>0</v>
      </c>
    </row>
    <row r="63" spans="1:22" hidden="1" outlineLevel="1" x14ac:dyDescent="0.3">
      <c r="A63" s="35"/>
      <c r="B63" s="62">
        <f>'Expenses Input'!B27</f>
        <v>0</v>
      </c>
      <c r="C63" s="62">
        <f>'Expenses Input'!C27</f>
        <v>0</v>
      </c>
      <c r="D63" s="60" t="str">
        <f>'Expenses Input'!D27</f>
        <v/>
      </c>
      <c r="E63" s="60"/>
      <c r="F63" s="60" t="e">
        <f t="shared" si="8"/>
        <v>#VALUE!</v>
      </c>
      <c r="G63" s="60"/>
      <c r="H63" s="60"/>
      <c r="I63" s="60"/>
      <c r="J63" s="60"/>
      <c r="K63" s="60"/>
      <c r="L63" s="60"/>
      <c r="M63" s="60"/>
      <c r="N63" s="60"/>
      <c r="O63" s="60"/>
      <c r="P63" s="60"/>
      <c r="Q63" s="60"/>
      <c r="R63" s="60">
        <f>'Expenses Input'!E25</f>
        <v>0</v>
      </c>
      <c r="S63" s="60"/>
      <c r="T63" s="60">
        <f>'Expenses Input'!G25</f>
        <v>0</v>
      </c>
      <c r="U63" s="60">
        <f>'Expenses Input'!H25</f>
        <v>0</v>
      </c>
      <c r="V63" s="60">
        <f>'Expenses Input'!I25</f>
        <v>0</v>
      </c>
    </row>
    <row r="64" spans="1:22" x14ac:dyDescent="0.3">
      <c r="A64" s="35"/>
      <c r="B64" s="62" t="str">
        <f>'Expenses Input'!B28</f>
        <v>4700</v>
      </c>
      <c r="C64" s="62" t="str">
        <f>'Expenses Input'!C28</f>
        <v>Food and Food Supplies</v>
      </c>
      <c r="D64" s="60">
        <v>1358</v>
      </c>
      <c r="E64" s="60">
        <v>1183</v>
      </c>
      <c r="F64" s="60">
        <f t="shared" si="8"/>
        <v>691</v>
      </c>
      <c r="G64" s="60"/>
      <c r="H64" s="60"/>
      <c r="I64" s="60"/>
      <c r="J64" s="60"/>
      <c r="K64" s="60"/>
      <c r="L64" s="60"/>
      <c r="M64" s="60"/>
      <c r="N64" s="60"/>
      <c r="O64" s="60"/>
      <c r="P64" s="60">
        <v>667</v>
      </c>
      <c r="Q64" s="60"/>
      <c r="R64" s="328">
        <f>'Expenses Input'!E28</f>
        <v>26000</v>
      </c>
      <c r="S64" s="328"/>
      <c r="T64" s="60">
        <f>'Expenses Input'!G28</f>
        <v>26821.600000000002</v>
      </c>
      <c r="U64" s="60">
        <f>'Expenses Input'!H28</f>
        <v>27679.891200000002</v>
      </c>
      <c r="V64" s="60">
        <f>'Expenses Input'!I28</f>
        <v>28554.575761920005</v>
      </c>
    </row>
    <row r="65" spans="1:25" x14ac:dyDescent="0.3">
      <c r="A65" s="35"/>
      <c r="B65" s="32" t="s">
        <v>558</v>
      </c>
      <c r="C65" s="33" t="s">
        <v>720</v>
      </c>
      <c r="D65" s="165">
        <f>IF(SUM(D46:D64)&gt;0,SUM(D46:D64),"")</f>
        <v>79637</v>
      </c>
      <c r="E65" s="165">
        <f>IF(SUM(E46:E64)&gt;0,SUM(E46:E64),"")</f>
        <v>61532</v>
      </c>
      <c r="F65" s="165"/>
      <c r="G65" s="165">
        <f t="shared" ref="G65:Q65" si="9">IF(SUM(G46:G64)&gt;0,SUM(G46:G64),"")</f>
        <v>2656</v>
      </c>
      <c r="H65" s="165" t="str">
        <f t="shared" si="9"/>
        <v/>
      </c>
      <c r="I65" s="165" t="str">
        <f t="shared" si="9"/>
        <v/>
      </c>
      <c r="J65" s="165" t="str">
        <f t="shared" si="9"/>
        <v/>
      </c>
      <c r="K65" s="165">
        <f t="shared" si="9"/>
        <v>10000</v>
      </c>
      <c r="L65" s="165">
        <f t="shared" si="9"/>
        <v>4600</v>
      </c>
      <c r="M65" s="165" t="str">
        <f t="shared" si="9"/>
        <v/>
      </c>
      <c r="N65" s="165" t="str">
        <f t="shared" si="9"/>
        <v/>
      </c>
      <c r="O65" s="165">
        <f t="shared" si="9"/>
        <v>1582</v>
      </c>
      <c r="P65" s="165">
        <f t="shared" si="9"/>
        <v>22450</v>
      </c>
      <c r="Q65" s="165">
        <f t="shared" si="9"/>
        <v>5653</v>
      </c>
      <c r="R65" s="165">
        <f>IF(SUM(R46:R64)&gt;0,SUM(R46:R64),"")</f>
        <v>81800</v>
      </c>
      <c r="S65" s="165"/>
      <c r="T65" s="165">
        <f>IF(SUM(T46:T64)&gt;0,SUM(T46:T64),"")</f>
        <v>89790.464000000007</v>
      </c>
      <c r="U65" s="165">
        <f>IF(SUM(U46:U64)&gt;0,SUM(U46:U64),"")</f>
        <v>92663.758847999998</v>
      </c>
      <c r="V65" s="165">
        <f>IF(SUM(V46:V64)&gt;0,SUM(V46:V64),"")</f>
        <v>95591.933627596809</v>
      </c>
    </row>
    <row r="66" spans="1:25" x14ac:dyDescent="0.3">
      <c r="A66" s="35"/>
      <c r="B66" s="4"/>
      <c r="C66" s="3"/>
      <c r="D66" s="178"/>
      <c r="E66" s="178"/>
      <c r="F66" s="178"/>
      <c r="G66" s="178"/>
      <c r="H66" s="178"/>
      <c r="I66" s="178"/>
      <c r="J66" s="178"/>
      <c r="K66" s="178"/>
      <c r="L66" s="178"/>
      <c r="M66" s="178"/>
      <c r="N66" s="178"/>
      <c r="O66" s="178"/>
      <c r="P66" s="178"/>
      <c r="Q66" s="178"/>
      <c r="R66" s="178"/>
      <c r="S66" s="178"/>
      <c r="T66" s="178"/>
      <c r="U66" s="178"/>
      <c r="V66" s="178"/>
    </row>
    <row r="67" spans="1:25" x14ac:dyDescent="0.3">
      <c r="A67" s="5" t="s">
        <v>721</v>
      </c>
      <c r="B67" s="4"/>
      <c r="C67" s="3"/>
      <c r="D67" s="178"/>
      <c r="E67" s="178"/>
      <c r="F67" s="178"/>
      <c r="G67" s="178"/>
      <c r="H67" s="178"/>
      <c r="I67" s="178"/>
      <c r="J67" s="178"/>
      <c r="K67" s="178"/>
      <c r="L67" s="178"/>
      <c r="M67" s="178"/>
      <c r="N67" s="178"/>
      <c r="O67" s="178"/>
      <c r="P67" s="178"/>
      <c r="Q67" s="178"/>
      <c r="R67" s="178"/>
      <c r="S67" s="178"/>
      <c r="T67" s="178"/>
      <c r="U67" s="178"/>
      <c r="V67" s="178"/>
    </row>
    <row r="68" spans="1:25" x14ac:dyDescent="0.3">
      <c r="A68" s="35"/>
      <c r="B68" s="62" t="str">
        <f>'Expenses Input'!B32</f>
        <v>5200</v>
      </c>
      <c r="C68" s="62" t="str">
        <f>'Expenses Input'!C32</f>
        <v>Travel and Conferences</v>
      </c>
      <c r="D68" s="286">
        <v>129</v>
      </c>
      <c r="E68" s="286">
        <v>129</v>
      </c>
      <c r="F68" s="60">
        <f t="shared" ref="F68:F101" si="10">D68-G68-H68-I68-J68-K68-L68-M68-N68-O68-P68-Q68</f>
        <v>-1371</v>
      </c>
      <c r="G68" s="286"/>
      <c r="H68" s="286"/>
      <c r="I68" s="286"/>
      <c r="J68" s="286">
        <f>1500-89</f>
        <v>1411</v>
      </c>
      <c r="K68" s="286"/>
      <c r="L68" s="286"/>
      <c r="M68" s="286"/>
      <c r="N68" s="286"/>
      <c r="O68" s="286">
        <v>89</v>
      </c>
      <c r="P68" s="286"/>
      <c r="Q68" s="286"/>
      <c r="R68" s="60">
        <f>'Expenses Input'!E32</f>
        <v>1542</v>
      </c>
      <c r="S68" s="60"/>
      <c r="T68" s="60">
        <f>'Expenses Input'!G32</f>
        <v>1590.7272</v>
      </c>
      <c r="U68" s="60">
        <f>'Expenses Input'!H32</f>
        <v>1641.6304704000001</v>
      </c>
      <c r="V68" s="60">
        <f>'Expenses Input'!I32</f>
        <v>1693.5059932646402</v>
      </c>
    </row>
    <row r="69" spans="1:25" x14ac:dyDescent="0.3">
      <c r="A69" s="35"/>
      <c r="B69" s="62" t="str">
        <f>'Expenses Input'!B33</f>
        <v>5210</v>
      </c>
      <c r="C69" s="62" t="str">
        <f>'Expenses Input'!C33</f>
        <v>Training and Development Expense</v>
      </c>
      <c r="D69" s="286">
        <f>'Expenses Input'!D33</f>
        <v>5000</v>
      </c>
      <c r="E69" s="286">
        <v>125</v>
      </c>
      <c r="F69" s="60">
        <f t="shared" si="10"/>
        <v>1840</v>
      </c>
      <c r="G69" s="286"/>
      <c r="H69" s="286"/>
      <c r="I69" s="286"/>
      <c r="J69" s="286">
        <v>3060</v>
      </c>
      <c r="K69" s="286"/>
      <c r="L69" s="286"/>
      <c r="M69" s="286"/>
      <c r="N69" s="286"/>
      <c r="O69" s="286"/>
      <c r="P69" s="286"/>
      <c r="Q69" s="286">
        <v>100</v>
      </c>
      <c r="R69" s="60">
        <v>7140</v>
      </c>
      <c r="S69" s="60"/>
      <c r="T69" s="60">
        <f>'Expenses Input'!G33</f>
        <v>5302.424</v>
      </c>
      <c r="U69" s="60">
        <f>'Expenses Input'!H33</f>
        <v>5472.101568</v>
      </c>
      <c r="V69" s="60">
        <f>'Expenses Input'!I33</f>
        <v>5645.0199775488009</v>
      </c>
    </row>
    <row r="70" spans="1:25" x14ac:dyDescent="0.3">
      <c r="A70" s="35"/>
      <c r="B70" s="62" t="str">
        <f>'Expenses Input'!B34</f>
        <v>5300</v>
      </c>
      <c r="C70" s="62" t="str">
        <f>'Expenses Input'!C34</f>
        <v>Dues and Memberships</v>
      </c>
      <c r="D70" s="286">
        <v>7838</v>
      </c>
      <c r="E70" s="286">
        <v>7088</v>
      </c>
      <c r="F70" s="60">
        <f t="shared" si="10"/>
        <v>7838</v>
      </c>
      <c r="G70" s="286"/>
      <c r="H70" s="286"/>
      <c r="I70" s="286"/>
      <c r="J70" s="286"/>
      <c r="K70" s="286"/>
      <c r="L70" s="286"/>
      <c r="M70" s="286"/>
      <c r="N70" s="286"/>
      <c r="O70" s="286"/>
      <c r="P70" s="286"/>
      <c r="Q70" s="286"/>
      <c r="R70" s="60">
        <f>'Expenses Input'!E34</f>
        <v>10280</v>
      </c>
      <c r="S70" s="60"/>
      <c r="T70" s="60">
        <f>'Expenses Input'!G34</f>
        <v>10604.848</v>
      </c>
      <c r="U70" s="60">
        <f>'Expenses Input'!H34</f>
        <v>10944.203136</v>
      </c>
      <c r="V70" s="60">
        <f>'Expenses Input'!I34</f>
        <v>11290.039955097602</v>
      </c>
    </row>
    <row r="71" spans="1:25" x14ac:dyDescent="0.3">
      <c r="A71" s="35"/>
      <c r="B71" s="319" t="str">
        <f>'Expenses Input'!B35</f>
        <v>5400</v>
      </c>
      <c r="C71" s="62" t="str">
        <f>'Expenses Input'!C35</f>
        <v>Insurance</v>
      </c>
      <c r="D71" s="286">
        <v>21576</v>
      </c>
      <c r="E71" s="286">
        <v>17980</v>
      </c>
      <c r="F71" s="60">
        <f t="shared" si="10"/>
        <v>21576</v>
      </c>
      <c r="G71" s="286"/>
      <c r="H71" s="286"/>
      <c r="I71" s="286"/>
      <c r="J71" s="286"/>
      <c r="K71" s="286"/>
      <c r="L71" s="286"/>
      <c r="M71" s="286"/>
      <c r="N71" s="286"/>
      <c r="O71" s="286"/>
      <c r="P71" s="286"/>
      <c r="Q71" s="286"/>
      <c r="R71" s="60">
        <f>'Expenses Input'!E35</f>
        <v>24000</v>
      </c>
      <c r="S71" s="60"/>
      <c r="T71" s="60">
        <f>'Expenses Input'!G35</f>
        <v>24758.400000000001</v>
      </c>
      <c r="U71" s="60">
        <f>'Expenses Input'!H35</f>
        <v>25550.668800000003</v>
      </c>
      <c r="V71" s="60">
        <f>'Expenses Input'!I35</f>
        <v>26358.069934080006</v>
      </c>
    </row>
    <row r="72" spans="1:25" hidden="1" x14ac:dyDescent="0.3">
      <c r="A72" s="35"/>
      <c r="B72" s="62" t="str">
        <f>'Expenses Input'!B36</f>
        <v>5450</v>
      </c>
      <c r="C72" s="62" t="str">
        <f>'Expenses Input'!C36</f>
        <v>Property Tax</v>
      </c>
      <c r="D72" s="286">
        <f>'Expenses Input'!D36</f>
        <v>0</v>
      </c>
      <c r="E72" s="286"/>
      <c r="F72" s="60">
        <f t="shared" si="10"/>
        <v>0</v>
      </c>
      <c r="G72" s="286"/>
      <c r="H72" s="286"/>
      <c r="I72" s="286"/>
      <c r="J72" s="286"/>
      <c r="K72" s="286"/>
      <c r="L72" s="286"/>
      <c r="M72" s="286"/>
      <c r="N72" s="286"/>
      <c r="O72" s="286"/>
      <c r="P72" s="286"/>
      <c r="Q72" s="286"/>
      <c r="R72" s="60">
        <f>'Expenses Input'!E36</f>
        <v>0</v>
      </c>
      <c r="S72" s="60"/>
      <c r="T72" s="60">
        <f>'Expenses Input'!G36</f>
        <v>0</v>
      </c>
      <c r="U72" s="60">
        <f>'Expenses Input'!H36</f>
        <v>0</v>
      </c>
      <c r="V72" s="60">
        <f>'Expenses Input'!I36</f>
        <v>0</v>
      </c>
    </row>
    <row r="73" spans="1:25" x14ac:dyDescent="0.3">
      <c r="A73" s="35"/>
      <c r="B73" s="62" t="str">
        <f>'Expenses Input'!B37</f>
        <v>5500</v>
      </c>
      <c r="C73" s="62" t="str">
        <f>'Expenses Input'!C37</f>
        <v>Operation and Housekeeping Services/Supplies</v>
      </c>
      <c r="D73" s="286">
        <v>18381</v>
      </c>
      <c r="E73" s="286">
        <v>8927</v>
      </c>
      <c r="F73" s="60">
        <f t="shared" si="10"/>
        <v>13658</v>
      </c>
      <c r="G73" s="286"/>
      <c r="H73" s="286"/>
      <c r="I73" s="286"/>
      <c r="J73" s="286"/>
      <c r="K73" s="286"/>
      <c r="L73" s="286"/>
      <c r="M73" s="286"/>
      <c r="N73" s="286">
        <v>975</v>
      </c>
      <c r="O73" s="286">
        <v>1870</v>
      </c>
      <c r="P73" s="286"/>
      <c r="Q73" s="286">
        <v>1878</v>
      </c>
      <c r="R73" s="60">
        <f>'Expenses Input'!E37</f>
        <v>20000</v>
      </c>
      <c r="S73" s="60"/>
      <c r="T73" s="60">
        <f>'Expenses Input'!G37</f>
        <v>20632</v>
      </c>
      <c r="U73" s="60">
        <f>'Expenses Input'!H37</f>
        <v>21292.224000000002</v>
      </c>
      <c r="V73" s="60">
        <f>'Expenses Input'!I37</f>
        <v>21965.058278400003</v>
      </c>
    </row>
    <row r="74" spans="1:25" x14ac:dyDescent="0.3">
      <c r="A74" s="35"/>
      <c r="B74" s="62" t="str">
        <f>'Expenses Input'!B38</f>
        <v>5501</v>
      </c>
      <c r="C74" s="62" t="str">
        <f>'Expenses Input'!C38</f>
        <v>Utilities</v>
      </c>
      <c r="D74" s="286">
        <v>252</v>
      </c>
      <c r="E74" s="286">
        <v>0</v>
      </c>
      <c r="F74" s="60">
        <f t="shared" si="10"/>
        <v>252</v>
      </c>
      <c r="G74" s="286"/>
      <c r="H74" s="286"/>
      <c r="I74" s="286"/>
      <c r="J74" s="286"/>
      <c r="K74" s="286"/>
      <c r="L74" s="286"/>
      <c r="M74" s="286"/>
      <c r="N74" s="286"/>
      <c r="O74" s="286"/>
      <c r="P74" s="286"/>
      <c r="Q74" s="286"/>
      <c r="R74" s="60">
        <f>'Expenses Input'!E38</f>
        <v>0</v>
      </c>
      <c r="S74" s="60"/>
      <c r="T74" s="60">
        <f>'Expenses Input'!G38</f>
        <v>0</v>
      </c>
      <c r="U74" s="60">
        <f>'Expenses Input'!H38</f>
        <v>0</v>
      </c>
      <c r="V74" s="60">
        <f>'Expenses Input'!I38</f>
        <v>0</v>
      </c>
      <c r="X74" s="178"/>
      <c r="Y74" s="178"/>
    </row>
    <row r="75" spans="1:25" x14ac:dyDescent="0.3">
      <c r="A75" s="35"/>
      <c r="B75" s="62" t="str">
        <f>'Expenses Input'!B39</f>
        <v>5505</v>
      </c>
      <c r="C75" s="62" t="str">
        <f>'Expenses Input'!C39</f>
        <v>Student Transportation / Field Trips</v>
      </c>
      <c r="D75" s="286">
        <f>'Expenses Input'!D39</f>
        <v>0</v>
      </c>
      <c r="E75" s="286">
        <v>0</v>
      </c>
      <c r="F75" s="60">
        <f t="shared" si="10"/>
        <v>0</v>
      </c>
      <c r="G75" s="286"/>
      <c r="H75" s="286"/>
      <c r="I75" s="286"/>
      <c r="J75" s="286"/>
      <c r="K75" s="286"/>
      <c r="L75" s="286"/>
      <c r="M75" s="286"/>
      <c r="N75" s="286"/>
      <c r="O75" s="286"/>
      <c r="P75" s="286"/>
      <c r="Q75" s="286"/>
      <c r="R75" s="60">
        <f>'Expenses Input'!E39</f>
        <v>0</v>
      </c>
      <c r="S75" s="60"/>
      <c r="T75" s="60">
        <f>'Expenses Input'!G39</f>
        <v>0</v>
      </c>
      <c r="U75" s="60">
        <f>'Expenses Input'!H39</f>
        <v>0</v>
      </c>
      <c r="V75" s="60">
        <f>'Expenses Input'!I39</f>
        <v>0</v>
      </c>
    </row>
    <row r="76" spans="1:25" x14ac:dyDescent="0.3">
      <c r="A76" s="35"/>
      <c r="B76" s="62" t="str">
        <f>'Expenses Input'!B40</f>
        <v>5600</v>
      </c>
      <c r="C76" s="62" t="str">
        <f>'Expenses Input'!C40</f>
        <v>Space Rental/Leases Expense</v>
      </c>
      <c r="D76" s="286">
        <v>51833</v>
      </c>
      <c r="E76" s="286">
        <v>31897</v>
      </c>
      <c r="F76" s="60">
        <f t="shared" si="10"/>
        <v>17183</v>
      </c>
      <c r="G76" s="286"/>
      <c r="H76" s="286"/>
      <c r="I76" s="286"/>
      <c r="J76" s="286"/>
      <c r="K76" s="286"/>
      <c r="L76" s="286"/>
      <c r="M76" s="286">
        <v>34650</v>
      </c>
      <c r="N76" s="286"/>
      <c r="O76" s="286"/>
      <c r="P76" s="286"/>
      <c r="Q76" s="286"/>
      <c r="R76" s="60">
        <f>'Expenses Input'!E40</f>
        <v>52020</v>
      </c>
      <c r="S76" s="60"/>
      <c r="T76" s="60">
        <f>'Expenses Input'!G40</f>
        <v>53663.832000000002</v>
      </c>
      <c r="U76" s="60">
        <f>'Expenses Input'!H40</f>
        <v>55381.074624000001</v>
      </c>
      <c r="V76" s="60">
        <f>'Expenses Input'!I40</f>
        <v>57131.116582118404</v>
      </c>
      <c r="X76" s="178"/>
      <c r="Y76" s="178"/>
    </row>
    <row r="77" spans="1:25" x14ac:dyDescent="0.3">
      <c r="A77" s="35"/>
      <c r="B77" s="62" t="str">
        <f>'Expenses Input'!B41</f>
        <v>5601</v>
      </c>
      <c r="C77" s="62" t="str">
        <f>'Expenses Input'!C41</f>
        <v>Building Maintenance</v>
      </c>
      <c r="D77" s="286">
        <f>'Expenses Input'!D41</f>
        <v>0</v>
      </c>
      <c r="E77" s="286">
        <v>0</v>
      </c>
      <c r="F77" s="60">
        <f t="shared" si="10"/>
        <v>0</v>
      </c>
      <c r="G77" s="286"/>
      <c r="H77" s="286"/>
      <c r="I77" s="286"/>
      <c r="J77" s="286"/>
      <c r="K77" s="286"/>
      <c r="L77" s="286"/>
      <c r="M77" s="286"/>
      <c r="N77" s="286"/>
      <c r="O77" s="286"/>
      <c r="P77" s="286"/>
      <c r="Q77" s="286"/>
      <c r="R77" s="60">
        <f>'Expenses Input'!E41</f>
        <v>0</v>
      </c>
      <c r="S77" s="60"/>
      <c r="T77" s="60">
        <f>'Expenses Input'!G41</f>
        <v>0</v>
      </c>
      <c r="U77" s="60">
        <f>'Expenses Input'!H41</f>
        <v>0</v>
      </c>
      <c r="V77" s="60">
        <f>'Expenses Input'!I41</f>
        <v>0</v>
      </c>
      <c r="X77" s="178"/>
      <c r="Y77" s="178"/>
    </row>
    <row r="78" spans="1:25" x14ac:dyDescent="0.3">
      <c r="A78" s="35"/>
      <c r="B78" s="62" t="str">
        <f>'Expenses Input'!B42</f>
        <v>5602</v>
      </c>
      <c r="C78" s="62" t="str">
        <f>'Expenses Input'!C42</f>
        <v>Other Space Rental</v>
      </c>
      <c r="D78" s="286">
        <v>3574</v>
      </c>
      <c r="E78" s="286">
        <v>2424</v>
      </c>
      <c r="F78" s="60">
        <f t="shared" si="10"/>
        <v>3574</v>
      </c>
      <c r="G78" s="286"/>
      <c r="H78" s="286"/>
      <c r="I78" s="286"/>
      <c r="J78" s="286"/>
      <c r="K78" s="286"/>
      <c r="L78" s="286"/>
      <c r="M78" s="286"/>
      <c r="N78" s="286"/>
      <c r="O78" s="286"/>
      <c r="P78" s="286"/>
      <c r="Q78" s="286"/>
      <c r="R78" s="60">
        <f>'Expenses Input'!E42</f>
        <v>3556.88</v>
      </c>
      <c r="S78" s="60"/>
      <c r="T78" s="60">
        <f>'Expenses Input'!G42</f>
        <v>3669.2774080000004</v>
      </c>
      <c r="U78" s="60">
        <f>'Expenses Input'!H42</f>
        <v>3786.6942850560004</v>
      </c>
      <c r="V78" s="60">
        <f>'Expenses Input'!I42</f>
        <v>3906.3538244637703</v>
      </c>
    </row>
    <row r="79" spans="1:25" x14ac:dyDescent="0.3">
      <c r="A79" s="35"/>
      <c r="B79" s="62" t="str">
        <f>'Expenses Input'!B43</f>
        <v>5605</v>
      </c>
      <c r="C79" s="62" t="str">
        <f>'Expenses Input'!C43</f>
        <v>Equipment Rental/Lease Expense</v>
      </c>
      <c r="D79" s="286">
        <v>1</v>
      </c>
      <c r="E79" s="286">
        <v>1830</v>
      </c>
      <c r="F79" s="60">
        <f t="shared" si="10"/>
        <v>1</v>
      </c>
      <c r="G79" s="286"/>
      <c r="H79" s="286"/>
      <c r="I79" s="286"/>
      <c r="J79" s="286"/>
      <c r="K79" s="286"/>
      <c r="L79" s="286"/>
      <c r="M79" s="286"/>
      <c r="N79" s="286"/>
      <c r="O79" s="286"/>
      <c r="P79" s="286"/>
      <c r="Q79" s="286"/>
      <c r="R79" s="60">
        <v>3300</v>
      </c>
      <c r="S79" s="60"/>
      <c r="T79" s="60">
        <f>'Expenses Input'!G43</f>
        <v>0</v>
      </c>
      <c r="U79" s="60">
        <f>'Expenses Input'!H43</f>
        <v>0</v>
      </c>
      <c r="V79" s="60">
        <f>'Expenses Input'!I43</f>
        <v>0</v>
      </c>
    </row>
    <row r="80" spans="1:25" x14ac:dyDescent="0.3">
      <c r="A80" s="35"/>
      <c r="B80" s="62" t="str">
        <f>'Expenses Input'!B44</f>
        <v>5610</v>
      </c>
      <c r="C80" s="62" t="str">
        <f>'Expenses Input'!C44</f>
        <v>Equipment Repair</v>
      </c>
      <c r="D80" s="286">
        <v>605</v>
      </c>
      <c r="E80" s="286">
        <v>280</v>
      </c>
      <c r="F80" s="60">
        <f t="shared" si="10"/>
        <v>605</v>
      </c>
      <c r="G80" s="286"/>
      <c r="H80" s="286"/>
      <c r="I80" s="286"/>
      <c r="J80" s="286"/>
      <c r="K80" s="286"/>
      <c r="L80" s="286"/>
      <c r="M80" s="286"/>
      <c r="N80" s="286"/>
      <c r="O80" s="286"/>
      <c r="P80" s="286"/>
      <c r="Q80" s="286"/>
      <c r="R80" s="60">
        <f>'Expenses Input'!E44</f>
        <v>450</v>
      </c>
      <c r="S80" s="60"/>
      <c r="T80" s="60">
        <f>'Expenses Input'!G44</f>
        <v>464.22</v>
      </c>
      <c r="U80" s="60">
        <f>'Expenses Input'!H44</f>
        <v>479.07504000000006</v>
      </c>
      <c r="V80" s="60">
        <f>'Expenses Input'!I44</f>
        <v>494.21381126400007</v>
      </c>
    </row>
    <row r="81" spans="1:22" x14ac:dyDescent="0.3">
      <c r="A81" s="35"/>
      <c r="B81" s="62" t="str">
        <f>'Expenses Input'!B45</f>
        <v>5800</v>
      </c>
      <c r="C81" s="62" t="str">
        <f>'Expenses Input'!C45</f>
        <v>Professional/Consulting Services and Operating Expenditures</v>
      </c>
      <c r="D81" s="286">
        <v>2067</v>
      </c>
      <c r="E81" s="286">
        <v>1322</v>
      </c>
      <c r="F81" s="60">
        <f t="shared" si="10"/>
        <v>2035</v>
      </c>
      <c r="G81" s="286">
        <v>32</v>
      </c>
      <c r="H81" s="286"/>
      <c r="I81" s="286"/>
      <c r="J81" s="286"/>
      <c r="K81" s="286"/>
      <c r="L81" s="286"/>
      <c r="M81" s="286"/>
      <c r="N81" s="286"/>
      <c r="O81" s="286"/>
      <c r="P81" s="286"/>
      <c r="Q81" s="286"/>
      <c r="R81" s="60">
        <v>8525</v>
      </c>
      <c r="S81" s="60"/>
      <c r="T81" s="60">
        <f>'Expenses Input'!G45</f>
        <v>3094.8</v>
      </c>
      <c r="U81" s="60">
        <f>'Expenses Input'!H45</f>
        <v>3193.8336000000004</v>
      </c>
      <c r="V81" s="60">
        <f>'Expenses Input'!I45</f>
        <v>3294.7587417600007</v>
      </c>
    </row>
    <row r="82" spans="1:22" x14ac:dyDescent="0.3">
      <c r="A82" s="35"/>
      <c r="B82" s="62" t="str">
        <f>'Expenses Input'!B46</f>
        <v>5803</v>
      </c>
      <c r="C82" s="62" t="str">
        <f>'Expenses Input'!C46</f>
        <v>Banking and Payroll Service Fees</v>
      </c>
      <c r="D82" s="286">
        <v>5920</v>
      </c>
      <c r="E82" s="286">
        <v>3179</v>
      </c>
      <c r="F82" s="60">
        <f t="shared" si="10"/>
        <v>5920</v>
      </c>
      <c r="G82" s="286"/>
      <c r="H82" s="286"/>
      <c r="I82" s="286"/>
      <c r="J82" s="286"/>
      <c r="K82" s="286"/>
      <c r="L82" s="286"/>
      <c r="M82" s="286"/>
      <c r="N82" s="286"/>
      <c r="O82" s="286"/>
      <c r="P82" s="286"/>
      <c r="Q82" s="286"/>
      <c r="R82" s="60">
        <f>'Expenses Input'!E46</f>
        <v>6000</v>
      </c>
      <c r="S82" s="60"/>
      <c r="T82" s="60">
        <f>'Expenses Input'!G46</f>
        <v>6189.6</v>
      </c>
      <c r="U82" s="60">
        <f>'Expenses Input'!H46</f>
        <v>6387.6672000000008</v>
      </c>
      <c r="V82" s="60">
        <f>'Expenses Input'!I46</f>
        <v>6589.5174835200014</v>
      </c>
    </row>
    <row r="83" spans="1:22" x14ac:dyDescent="0.3">
      <c r="A83" s="35"/>
      <c r="B83" s="62" t="str">
        <f>'Expenses Input'!B47</f>
        <v>5805</v>
      </c>
      <c r="C83" s="62" t="str">
        <f>'Expenses Input'!C47</f>
        <v xml:space="preserve">Legal Services </v>
      </c>
      <c r="D83" s="286">
        <v>724</v>
      </c>
      <c r="E83" s="286">
        <v>140</v>
      </c>
      <c r="F83" s="60">
        <f t="shared" si="10"/>
        <v>724</v>
      </c>
      <c r="G83" s="286"/>
      <c r="H83" s="286"/>
      <c r="I83" s="286"/>
      <c r="J83" s="286"/>
      <c r="K83" s="286"/>
      <c r="L83" s="286"/>
      <c r="M83" s="286"/>
      <c r="N83" s="286"/>
      <c r="O83" s="286"/>
      <c r="P83" s="286"/>
      <c r="Q83" s="286"/>
      <c r="R83" s="60">
        <f>'Expenses Input'!E47</f>
        <v>4000</v>
      </c>
      <c r="S83" s="60"/>
      <c r="T83" s="60">
        <f>'Expenses Input'!G47</f>
        <v>4126.4000000000005</v>
      </c>
      <c r="U83" s="60">
        <f>'Expenses Input'!H47</f>
        <v>4258.4448000000011</v>
      </c>
      <c r="V83" s="60">
        <f>'Expenses Input'!I47</f>
        <v>4393.0116556800012</v>
      </c>
    </row>
    <row r="84" spans="1:22" x14ac:dyDescent="0.3">
      <c r="A84" s="35"/>
      <c r="B84" s="62" t="str">
        <f>'Expenses Input'!B48</f>
        <v>5806</v>
      </c>
      <c r="C84" s="62" t="str">
        <f>'Expenses Input'!C48</f>
        <v>Audit Services</v>
      </c>
      <c r="D84" s="286">
        <f>'Expenses Input'!D48</f>
        <v>6000</v>
      </c>
      <c r="E84" s="286">
        <v>4950</v>
      </c>
      <c r="F84" s="60">
        <f t="shared" si="10"/>
        <v>6000</v>
      </c>
      <c r="G84" s="286"/>
      <c r="H84" s="286"/>
      <c r="I84" s="286"/>
      <c r="J84" s="286"/>
      <c r="K84" s="286"/>
      <c r="L84" s="286"/>
      <c r="M84" s="286"/>
      <c r="N84" s="286"/>
      <c r="O84" s="286"/>
      <c r="P84" s="286"/>
      <c r="Q84" s="286"/>
      <c r="R84" s="60">
        <f>'Expenses Input'!E48</f>
        <v>6000</v>
      </c>
      <c r="S84" s="60"/>
      <c r="T84" s="60">
        <f>'Expenses Input'!G48</f>
        <v>6189.6</v>
      </c>
      <c r="U84" s="60">
        <f>'Expenses Input'!H48</f>
        <v>6387.6672000000008</v>
      </c>
      <c r="V84" s="60">
        <f>'Expenses Input'!I48</f>
        <v>6589.5174835200014</v>
      </c>
    </row>
    <row r="85" spans="1:22" x14ac:dyDescent="0.3">
      <c r="A85" s="35"/>
      <c r="B85" s="319" t="str">
        <f>'Expenses Input'!B50</f>
        <v>5810</v>
      </c>
      <c r="C85" s="62" t="str">
        <f>'Expenses Input'!C50</f>
        <v>Educational Consultants</v>
      </c>
      <c r="D85" s="286">
        <v>1250</v>
      </c>
      <c r="E85" s="286">
        <v>1250</v>
      </c>
      <c r="F85" s="60">
        <f t="shared" si="10"/>
        <v>1250</v>
      </c>
      <c r="G85" s="286"/>
      <c r="H85" s="286"/>
      <c r="I85" s="286"/>
      <c r="J85" s="286"/>
      <c r="K85" s="286"/>
      <c r="L85" s="286"/>
      <c r="M85" s="286"/>
      <c r="N85" s="286"/>
      <c r="O85" s="286"/>
      <c r="P85" s="286"/>
      <c r="Q85" s="286"/>
      <c r="R85" s="60">
        <v>1000</v>
      </c>
      <c r="S85" s="60"/>
      <c r="T85" s="60">
        <f>'Expenses Input'!G50</f>
        <v>3868.5000000000005</v>
      </c>
      <c r="U85" s="60">
        <f>'Expenses Input'!H50</f>
        <v>3992.2920000000004</v>
      </c>
      <c r="V85" s="60">
        <f>'Expenses Input'!I50</f>
        <v>4118.4484272000009</v>
      </c>
    </row>
    <row r="86" spans="1:22" x14ac:dyDescent="0.3">
      <c r="A86" s="35"/>
      <c r="B86" s="319" t="str">
        <f>'Expenses Input'!B51</f>
        <v>5811</v>
      </c>
      <c r="C86" s="62" t="str">
        <f>'Expenses Input'!C51</f>
        <v>Student Transportation / Events</v>
      </c>
      <c r="D86" s="286">
        <v>25</v>
      </c>
      <c r="E86" s="286">
        <v>25</v>
      </c>
      <c r="F86" s="60">
        <f t="shared" si="10"/>
        <v>25</v>
      </c>
      <c r="G86" s="286"/>
      <c r="H86" s="286"/>
      <c r="I86" s="286"/>
      <c r="J86" s="286"/>
      <c r="K86" s="286"/>
      <c r="L86" s="286"/>
      <c r="M86" s="286"/>
      <c r="N86" s="286"/>
      <c r="O86" s="286"/>
      <c r="P86" s="286"/>
      <c r="Q86" s="286"/>
      <c r="R86" s="60">
        <f>'Expenses Input'!E51</f>
        <v>0</v>
      </c>
      <c r="S86" s="60"/>
      <c r="T86" s="60">
        <f>'Expenses Input'!G51</f>
        <v>0</v>
      </c>
      <c r="U86" s="60">
        <f>'Expenses Input'!H51</f>
        <v>0</v>
      </c>
      <c r="V86" s="60">
        <f>'Expenses Input'!I51</f>
        <v>0</v>
      </c>
    </row>
    <row r="87" spans="1:22" x14ac:dyDescent="0.3">
      <c r="A87" s="35"/>
      <c r="B87" s="288">
        <f>'Expenses Input'!B52</f>
        <v>5812</v>
      </c>
      <c r="C87" s="62" t="str">
        <f>'Expenses Input'!C52</f>
        <v>Other Student Actitivies</v>
      </c>
      <c r="D87" s="286">
        <f>'Expenses Input'!D52</f>
        <v>0</v>
      </c>
      <c r="E87" s="286">
        <v>0</v>
      </c>
      <c r="F87" s="60">
        <f t="shared" si="10"/>
        <v>0</v>
      </c>
      <c r="G87" s="286"/>
      <c r="H87" s="286"/>
      <c r="I87" s="286"/>
      <c r="J87" s="286"/>
      <c r="K87" s="286"/>
      <c r="L87" s="286"/>
      <c r="M87" s="286"/>
      <c r="N87" s="286"/>
      <c r="O87" s="286"/>
      <c r="P87" s="286"/>
      <c r="Q87" s="286"/>
      <c r="R87" s="60">
        <f>'Expenses Input'!E52</f>
        <v>0</v>
      </c>
      <c r="S87" s="60"/>
      <c r="T87" s="60">
        <f>'Expenses Input'!G52</f>
        <v>0</v>
      </c>
      <c r="U87" s="60">
        <f>'Expenses Input'!H52</f>
        <v>0</v>
      </c>
      <c r="V87" s="60">
        <f>'Expenses Input'!I52</f>
        <v>0</v>
      </c>
    </row>
    <row r="88" spans="1:22" x14ac:dyDescent="0.3">
      <c r="A88" s="35" t="s">
        <v>1345</v>
      </c>
      <c r="B88" s="62" t="str">
        <f>'Expenses Input'!B53</f>
        <v>5815</v>
      </c>
      <c r="C88" s="62" t="str">
        <f>'Expenses Input'!C53</f>
        <v>Advertising / Recruiting</v>
      </c>
      <c r="D88" s="286">
        <v>279</v>
      </c>
      <c r="E88" s="286">
        <v>149</v>
      </c>
      <c r="F88" s="60">
        <f t="shared" si="10"/>
        <v>279</v>
      </c>
      <c r="G88" s="286"/>
      <c r="H88" s="286"/>
      <c r="I88" s="286"/>
      <c r="J88" s="286"/>
      <c r="K88" s="286"/>
      <c r="L88" s="286"/>
      <c r="M88" s="286"/>
      <c r="N88" s="286"/>
      <c r="O88" s="286"/>
      <c r="P88" s="286"/>
      <c r="Q88" s="286"/>
      <c r="R88" s="60">
        <f>'Expenses Input'!E53</f>
        <v>500</v>
      </c>
      <c r="S88" s="60"/>
      <c r="T88" s="60">
        <f>'Expenses Input'!G53</f>
        <v>515.80000000000007</v>
      </c>
      <c r="U88" s="60">
        <f>'Expenses Input'!H53</f>
        <v>532.30560000000014</v>
      </c>
      <c r="V88" s="60">
        <f>'Expenses Input'!I53</f>
        <v>549.12645696000016</v>
      </c>
    </row>
    <row r="89" spans="1:22" x14ac:dyDescent="0.3">
      <c r="A89" s="35"/>
      <c r="B89" s="62" t="str">
        <f>'Expenses Input'!B54</f>
        <v>5820</v>
      </c>
      <c r="C89" s="62" t="str">
        <f>'Expenses Input'!C54</f>
        <v>Fundraising Expense</v>
      </c>
      <c r="D89" s="286">
        <v>0</v>
      </c>
      <c r="E89" s="286">
        <v>0</v>
      </c>
      <c r="F89" s="60">
        <f t="shared" si="10"/>
        <v>0</v>
      </c>
      <c r="G89" s="286"/>
      <c r="H89" s="286"/>
      <c r="I89" s="286"/>
      <c r="J89" s="286"/>
      <c r="K89" s="286"/>
      <c r="L89" s="286"/>
      <c r="M89" s="286"/>
      <c r="N89" s="286"/>
      <c r="O89" s="286"/>
      <c r="P89" s="286"/>
      <c r="Q89" s="286"/>
      <c r="R89" s="60">
        <f>'Expenses Input'!E54</f>
        <v>10000</v>
      </c>
      <c r="S89" s="60"/>
      <c r="T89" s="60">
        <f>'Expenses Input'!G54</f>
        <v>10316</v>
      </c>
      <c r="U89" s="60">
        <f>'Expenses Input'!H54</f>
        <v>10646.112000000001</v>
      </c>
      <c r="V89" s="60">
        <f>'Expenses Input'!I54</f>
        <v>10982.529139200002</v>
      </c>
    </row>
    <row r="90" spans="1:22" x14ac:dyDescent="0.3">
      <c r="A90" s="35"/>
      <c r="B90" s="288">
        <f>'Expenses Input'!B55</f>
        <v>5830</v>
      </c>
      <c r="C90" s="62" t="str">
        <f>'Expenses Input'!C55</f>
        <v>Field Trip Expenses</v>
      </c>
      <c r="D90" s="286">
        <f>'Expenses Input'!D55</f>
        <v>0</v>
      </c>
      <c r="E90" s="286">
        <v>0</v>
      </c>
      <c r="F90" s="60">
        <f t="shared" si="10"/>
        <v>0</v>
      </c>
      <c r="G90" s="286"/>
      <c r="H90" s="286"/>
      <c r="I90" s="286"/>
      <c r="J90" s="286"/>
      <c r="K90" s="286"/>
      <c r="L90" s="286"/>
      <c r="M90" s="286"/>
      <c r="N90" s="286"/>
      <c r="O90" s="286"/>
      <c r="P90" s="286"/>
      <c r="Q90" s="286"/>
      <c r="R90" s="60"/>
      <c r="S90" s="60"/>
      <c r="T90" s="60"/>
      <c r="U90" s="60"/>
      <c r="V90" s="60"/>
    </row>
    <row r="91" spans="1:22" x14ac:dyDescent="0.3">
      <c r="A91" s="35"/>
      <c r="B91" s="62" t="str">
        <f>'Expenses Input'!B56</f>
        <v>5836</v>
      </c>
      <c r="C91" s="62" t="str">
        <f>'Expenses Input'!C56</f>
        <v>Transportation Services</v>
      </c>
      <c r="D91" s="286">
        <f>'Expenses Input'!D56</f>
        <v>0</v>
      </c>
      <c r="E91" s="286">
        <v>0</v>
      </c>
      <c r="F91" s="60">
        <f t="shared" si="10"/>
        <v>0</v>
      </c>
      <c r="G91" s="286"/>
      <c r="H91" s="286"/>
      <c r="I91" s="286"/>
      <c r="J91" s="286"/>
      <c r="K91" s="286"/>
      <c r="L91" s="286"/>
      <c r="M91" s="286"/>
      <c r="N91" s="286"/>
      <c r="O91" s="286"/>
      <c r="P91" s="286"/>
      <c r="Q91" s="286"/>
      <c r="R91" s="60" t="str">
        <f>'Expenses Input'!E56</f>
        <v/>
      </c>
      <c r="S91" s="60"/>
      <c r="T91" s="60" t="str">
        <f>'Expenses Input'!G56</f>
        <v/>
      </c>
      <c r="U91" s="60" t="str">
        <f>'Expenses Input'!H56</f>
        <v/>
      </c>
      <c r="V91" s="60" t="str">
        <f>'Expenses Input'!I56</f>
        <v/>
      </c>
    </row>
    <row r="92" spans="1:22" x14ac:dyDescent="0.3">
      <c r="A92" s="35"/>
      <c r="B92" s="62" t="str">
        <f>'Expenses Input'!B57</f>
        <v>5842</v>
      </c>
      <c r="C92" s="62" t="str">
        <f>'Expenses Input'!C57</f>
        <v>Services Student Athletics</v>
      </c>
      <c r="D92" s="286">
        <f>'Expenses Input'!D57</f>
        <v>0</v>
      </c>
      <c r="E92" s="286">
        <v>0</v>
      </c>
      <c r="F92" s="60">
        <f t="shared" si="10"/>
        <v>0</v>
      </c>
      <c r="G92" s="286"/>
      <c r="H92" s="286"/>
      <c r="I92" s="286"/>
      <c r="J92" s="286"/>
      <c r="K92" s="286"/>
      <c r="L92" s="286"/>
      <c r="M92" s="286"/>
      <c r="N92" s="286"/>
      <c r="O92" s="286"/>
      <c r="P92" s="286"/>
      <c r="Q92" s="286"/>
      <c r="R92" s="60">
        <f>'Expenses Input'!E57</f>
        <v>0</v>
      </c>
      <c r="S92" s="60"/>
      <c r="T92" s="60">
        <f>'Expenses Input'!G57</f>
        <v>0</v>
      </c>
      <c r="U92" s="60">
        <f>'Expenses Input'!H57</f>
        <v>0</v>
      </c>
      <c r="V92" s="60">
        <f>'Expenses Input'!I57</f>
        <v>0</v>
      </c>
    </row>
    <row r="93" spans="1:22" x14ac:dyDescent="0.3">
      <c r="A93" s="35"/>
      <c r="B93" s="62" t="str">
        <f>'Expenses Input'!B58</f>
        <v>5850</v>
      </c>
      <c r="C93" s="62" t="str">
        <f>'Expenses Input'!C58</f>
        <v>Scholarships</v>
      </c>
      <c r="D93" s="286">
        <f>'Expenses Input'!D58</f>
        <v>0</v>
      </c>
      <c r="E93" s="286">
        <v>0</v>
      </c>
      <c r="F93" s="60">
        <f t="shared" si="10"/>
        <v>0</v>
      </c>
      <c r="G93" s="286"/>
      <c r="H93" s="286"/>
      <c r="I93" s="286"/>
      <c r="J93" s="286"/>
      <c r="K93" s="286"/>
      <c r="L93" s="286"/>
      <c r="M93" s="286"/>
      <c r="N93" s="286"/>
      <c r="O93" s="286"/>
      <c r="P93" s="286"/>
      <c r="Q93" s="286"/>
      <c r="R93" s="60" t="str">
        <f>'Expenses Input'!E58</f>
        <v/>
      </c>
      <c r="S93" s="60"/>
      <c r="T93" s="60" t="str">
        <f>'Expenses Input'!G58</f>
        <v/>
      </c>
      <c r="U93" s="60" t="str">
        <f>'Expenses Input'!H58</f>
        <v/>
      </c>
      <c r="V93" s="60" t="str">
        <f>'Expenses Input'!I58</f>
        <v/>
      </c>
    </row>
    <row r="94" spans="1:22" outlineLevel="1" x14ac:dyDescent="0.3">
      <c r="A94" s="35"/>
      <c r="B94" s="62" t="str">
        <f>'Expenses Input'!B59</f>
        <v>5873</v>
      </c>
      <c r="C94" s="62" t="str">
        <f>'Expenses Input'!C59</f>
        <v>Financial Services</v>
      </c>
      <c r="D94" s="286">
        <f>'Expenses Input'!D59</f>
        <v>48000</v>
      </c>
      <c r="E94" s="286">
        <v>32000</v>
      </c>
      <c r="F94" s="60">
        <f t="shared" si="10"/>
        <v>48000</v>
      </c>
      <c r="G94" s="286"/>
      <c r="H94" s="286"/>
      <c r="I94" s="286"/>
      <c r="J94" s="286"/>
      <c r="K94" s="286"/>
      <c r="L94" s="286"/>
      <c r="M94" s="286"/>
      <c r="N94" s="286"/>
      <c r="O94" s="286"/>
      <c r="P94" s="286"/>
      <c r="Q94" s="286"/>
      <c r="R94" s="60">
        <f>'Expenses Input'!E59</f>
        <v>48000</v>
      </c>
      <c r="S94" s="60"/>
      <c r="T94" s="60">
        <f>'Expenses Input'!G59</f>
        <v>48000</v>
      </c>
      <c r="U94" s="60">
        <f>'Expenses Input'!H59</f>
        <v>49536</v>
      </c>
      <c r="V94" s="60">
        <f>'Expenses Input'!I59</f>
        <v>51101.337600000006</v>
      </c>
    </row>
    <row r="95" spans="1:22" outlineLevel="1" x14ac:dyDescent="0.3">
      <c r="A95" s="35"/>
      <c r="B95" s="320">
        <f>'Expenses Input'!B60</f>
        <v>5874</v>
      </c>
      <c r="C95" s="62" t="str">
        <f>'Expenses Input'!C60</f>
        <v>Personnel Services - Livescan</v>
      </c>
      <c r="D95" s="286">
        <v>252</v>
      </c>
      <c r="E95" s="286">
        <v>62</v>
      </c>
      <c r="F95" s="60">
        <f t="shared" si="10"/>
        <v>252</v>
      </c>
      <c r="G95" s="286"/>
      <c r="H95" s="286"/>
      <c r="I95" s="286"/>
      <c r="J95" s="286"/>
      <c r="K95" s="286"/>
      <c r="L95" s="286"/>
      <c r="M95" s="286"/>
      <c r="N95" s="286"/>
      <c r="O95" s="286"/>
      <c r="P95" s="286"/>
      <c r="Q95" s="286"/>
      <c r="R95" s="60">
        <v>400</v>
      </c>
      <c r="S95" s="60"/>
      <c r="T95" s="60">
        <f>'Expenses Input'!G60</f>
        <v>0</v>
      </c>
      <c r="U95" s="60">
        <f>'Expenses Input'!H60</f>
        <v>0</v>
      </c>
      <c r="V95" s="60">
        <f>'Expenses Input'!I60</f>
        <v>0</v>
      </c>
    </row>
    <row r="96" spans="1:22" outlineLevel="1" x14ac:dyDescent="0.3">
      <c r="A96" s="35"/>
      <c r="B96" s="62" t="str">
        <f>'Expenses Input'!B61</f>
        <v>5875</v>
      </c>
      <c r="C96" s="62" t="str">
        <f>'Expenses Input'!C61</f>
        <v>District Oversight Fee</v>
      </c>
      <c r="D96" s="286">
        <v>8923</v>
      </c>
      <c r="E96" s="286">
        <v>0</v>
      </c>
      <c r="F96" s="60">
        <f t="shared" si="10"/>
        <v>8923</v>
      </c>
      <c r="G96" s="286"/>
      <c r="H96" s="286"/>
      <c r="I96" s="286"/>
      <c r="J96" s="286"/>
      <c r="K96" s="286"/>
      <c r="L96" s="286"/>
      <c r="M96" s="286"/>
      <c r="N96" s="286"/>
      <c r="O96" s="286"/>
      <c r="P96" s="286"/>
      <c r="Q96" s="286"/>
      <c r="R96" s="60">
        <f>'Expenses Input'!E61</f>
        <v>8281.42</v>
      </c>
      <c r="S96" s="60"/>
      <c r="T96" s="60">
        <f>'Expenses Input'!G61</f>
        <v>9401.48</v>
      </c>
      <c r="U96" s="60">
        <f>'Expenses Input'!H61</f>
        <v>9898.9600000000009</v>
      </c>
      <c r="V96" s="60">
        <f>'Expenses Input'!I61</f>
        <v>10492.2</v>
      </c>
    </row>
    <row r="97" spans="1:22" outlineLevel="1" x14ac:dyDescent="0.3">
      <c r="A97" s="35"/>
      <c r="B97" s="319" t="str">
        <f>'Expenses Input'!B62</f>
        <v>5877</v>
      </c>
      <c r="C97" s="62" t="str">
        <f>'Expenses Input'!C62</f>
        <v>IT Services</v>
      </c>
      <c r="D97" s="286">
        <v>690</v>
      </c>
      <c r="E97" s="286">
        <f>3799-3509</f>
        <v>290</v>
      </c>
      <c r="F97" s="60">
        <f t="shared" si="10"/>
        <v>400</v>
      </c>
      <c r="G97" s="286"/>
      <c r="H97" s="286"/>
      <c r="I97" s="286"/>
      <c r="J97" s="286"/>
      <c r="K97" s="286"/>
      <c r="L97" s="286"/>
      <c r="M97" s="286"/>
      <c r="N97" s="286">
        <v>290</v>
      </c>
      <c r="O97" s="286"/>
      <c r="P97" s="286"/>
      <c r="Q97" s="286"/>
      <c r="R97" s="60">
        <v>5000</v>
      </c>
      <c r="S97" s="60"/>
      <c r="T97" s="60">
        <f>'Expenses Input'!G62</f>
        <v>1031.6000000000001</v>
      </c>
      <c r="U97" s="60">
        <f>'Expenses Input'!H62</f>
        <v>1064.6112000000003</v>
      </c>
      <c r="V97" s="60">
        <f>'Expenses Input'!I62</f>
        <v>1098.2529139200003</v>
      </c>
    </row>
    <row r="98" spans="1:22" outlineLevel="1" x14ac:dyDescent="0.3">
      <c r="A98" s="35"/>
      <c r="B98" s="62" t="str">
        <f>'Expenses Input'!B63</f>
        <v>5885</v>
      </c>
      <c r="C98" s="62" t="str">
        <f>'Expenses Input'!C63</f>
        <v>Summer School Program</v>
      </c>
      <c r="D98" s="286">
        <f>'Expenses Input'!D63</f>
        <v>0</v>
      </c>
      <c r="E98" s="286"/>
      <c r="F98" s="60">
        <f t="shared" si="10"/>
        <v>0</v>
      </c>
      <c r="G98" s="286"/>
      <c r="H98" s="286"/>
      <c r="I98" s="286"/>
      <c r="J98" s="286"/>
      <c r="K98" s="286"/>
      <c r="L98" s="286"/>
      <c r="M98" s="286"/>
      <c r="N98" s="286"/>
      <c r="O98" s="286"/>
      <c r="P98" s="286"/>
      <c r="Q98" s="286"/>
      <c r="R98" s="60" t="str">
        <f>'Expenses Input'!E63</f>
        <v/>
      </c>
      <c r="S98" s="60"/>
      <c r="T98" s="60" t="str">
        <f>'Expenses Input'!G63</f>
        <v/>
      </c>
      <c r="U98" s="60" t="str">
        <f>'Expenses Input'!H63</f>
        <v/>
      </c>
      <c r="V98" s="60" t="str">
        <f>'Expenses Input'!I63</f>
        <v/>
      </c>
    </row>
    <row r="99" spans="1:22" outlineLevel="1" x14ac:dyDescent="0.3">
      <c r="A99" s="35"/>
      <c r="B99" s="62" t="str">
        <f>'Expenses Input'!B64</f>
        <v>5890</v>
      </c>
      <c r="C99" s="62" t="str">
        <f>'Expenses Input'!C64</f>
        <v>Interest Expense / Misc. Fees</v>
      </c>
      <c r="D99" s="286">
        <f>'Expenses Input'!D64</f>
        <v>0</v>
      </c>
      <c r="E99" s="286"/>
      <c r="F99" s="60">
        <f t="shared" si="10"/>
        <v>0</v>
      </c>
      <c r="G99" s="286"/>
      <c r="H99" s="286"/>
      <c r="I99" s="286"/>
      <c r="J99" s="286"/>
      <c r="K99" s="286"/>
      <c r="L99" s="286"/>
      <c r="M99" s="286"/>
      <c r="N99" s="286"/>
      <c r="O99" s="286"/>
      <c r="P99" s="286"/>
      <c r="Q99" s="286"/>
      <c r="R99" s="60">
        <v>5</v>
      </c>
      <c r="S99" s="60"/>
      <c r="T99" s="60">
        <f>'Expenses Input'!G64</f>
        <v>0</v>
      </c>
      <c r="U99" s="60">
        <f>'Expenses Input'!H64</f>
        <v>0</v>
      </c>
      <c r="V99" s="60">
        <f>'Expenses Input'!I64</f>
        <v>0</v>
      </c>
    </row>
    <row r="100" spans="1:22" outlineLevel="1" x14ac:dyDescent="0.3">
      <c r="A100" s="35"/>
      <c r="B100" s="62" t="str">
        <f>'Expenses Input'!B65</f>
        <v>5900</v>
      </c>
      <c r="C100" s="62" t="str">
        <f>'Expenses Input'!C65</f>
        <v>Communications</v>
      </c>
      <c r="D100" s="286">
        <v>5020</v>
      </c>
      <c r="E100" s="286">
        <v>2876</v>
      </c>
      <c r="F100" s="60">
        <f t="shared" si="10"/>
        <v>4205</v>
      </c>
      <c r="G100" s="286">
        <v>778</v>
      </c>
      <c r="H100" s="286"/>
      <c r="I100" s="286"/>
      <c r="J100" s="286"/>
      <c r="K100" s="286"/>
      <c r="L100" s="286"/>
      <c r="M100" s="286"/>
      <c r="N100" s="286"/>
      <c r="O100" s="286">
        <v>37</v>
      </c>
      <c r="P100" s="286"/>
      <c r="Q100" s="286"/>
      <c r="R100" s="60">
        <v>6654</v>
      </c>
      <c r="S100" s="60"/>
      <c r="T100" s="60">
        <f>'Expenses Input'!G65</f>
        <v>5832.6664000000001</v>
      </c>
      <c r="U100" s="60">
        <f>'Expenses Input'!H65</f>
        <v>6019.3117247999999</v>
      </c>
      <c r="V100" s="60">
        <f>'Expenses Input'!I65</f>
        <v>6209.5219753036799</v>
      </c>
    </row>
    <row r="101" spans="1:22" outlineLevel="1" x14ac:dyDescent="0.3">
      <c r="A101" s="35" t="s">
        <v>1345</v>
      </c>
      <c r="B101" s="62" t="str">
        <f>'Expenses Input'!B66</f>
        <v>7010</v>
      </c>
      <c r="C101" s="62" t="str">
        <f>'Expenses Input'!C66</f>
        <v>Special Education Encroachment</v>
      </c>
      <c r="D101" s="286">
        <f>'Expenses Input'!D66</f>
        <v>96072.39</v>
      </c>
      <c r="E101" s="286"/>
      <c r="F101" s="60">
        <f t="shared" si="10"/>
        <v>96072.39</v>
      </c>
      <c r="G101" s="286"/>
      <c r="H101" s="286"/>
      <c r="I101" s="286"/>
      <c r="J101" s="286"/>
      <c r="K101" s="286"/>
      <c r="L101" s="286"/>
      <c r="M101" s="286"/>
      <c r="N101" s="286"/>
      <c r="O101" s="286"/>
      <c r="P101" s="286"/>
      <c r="Q101" s="286"/>
      <c r="R101" s="60">
        <v>110000</v>
      </c>
      <c r="S101" s="60"/>
      <c r="T101" s="60">
        <v>110000</v>
      </c>
      <c r="U101" s="60">
        <v>110000</v>
      </c>
      <c r="V101" s="60">
        <f>'Expenses Input'!I66</f>
        <v>96072.39</v>
      </c>
    </row>
    <row r="102" spans="1:22" x14ac:dyDescent="0.3">
      <c r="A102" s="35"/>
      <c r="B102" s="62" t="str">
        <f>'Expenses Input'!B76</f>
        <v>5999</v>
      </c>
      <c r="C102" s="62" t="str">
        <f>'Expenses Input'!C76</f>
        <v>Expense Suspense</v>
      </c>
      <c r="D102" s="286" t="str">
        <f>'Expenses Input'!D76</f>
        <v/>
      </c>
      <c r="E102" s="286"/>
      <c r="F102" s="60"/>
      <c r="G102" s="286"/>
      <c r="H102" s="286"/>
      <c r="I102" s="286"/>
      <c r="J102" s="286"/>
      <c r="K102" s="286"/>
      <c r="L102" s="286"/>
      <c r="M102" s="286"/>
      <c r="N102" s="286"/>
      <c r="O102" s="286"/>
      <c r="P102" s="286"/>
      <c r="Q102" s="286"/>
      <c r="R102" s="60" t="str">
        <f>'Expenses Input'!E76</f>
        <v/>
      </c>
      <c r="S102" s="60"/>
      <c r="T102" s="60" t="str">
        <f>'Expenses Input'!G76</f>
        <v/>
      </c>
      <c r="U102" s="60" t="str">
        <f>'Expenses Input'!H76</f>
        <v/>
      </c>
      <c r="V102" s="60" t="str">
        <f>'Expenses Input'!I76</f>
        <v/>
      </c>
    </row>
    <row r="103" spans="1:22" x14ac:dyDescent="0.3">
      <c r="A103" s="35"/>
      <c r="B103" s="32" t="s">
        <v>559</v>
      </c>
      <c r="C103" s="33" t="s">
        <v>720</v>
      </c>
      <c r="D103" s="165">
        <f>IF(SUM(D67:D102)&gt;0,SUM(D67:D102),"")</f>
        <v>284411.39</v>
      </c>
      <c r="E103" s="165">
        <f>IF(SUM(E67:E102)&gt;0,SUM(E67:E102),"")</f>
        <v>116923</v>
      </c>
      <c r="F103" s="165"/>
      <c r="G103" s="165">
        <f t="shared" ref="G103:Q103" si="11">IF(SUM(G67:G102)&gt;0,SUM(G67:G102),"")</f>
        <v>810</v>
      </c>
      <c r="H103" s="165" t="str">
        <f t="shared" si="11"/>
        <v/>
      </c>
      <c r="I103" s="165" t="str">
        <f t="shared" si="11"/>
        <v/>
      </c>
      <c r="J103" s="165">
        <f t="shared" si="11"/>
        <v>4471</v>
      </c>
      <c r="K103" s="165" t="str">
        <f t="shared" si="11"/>
        <v/>
      </c>
      <c r="L103" s="165" t="str">
        <f t="shared" si="11"/>
        <v/>
      </c>
      <c r="M103" s="165">
        <f t="shared" si="11"/>
        <v>34650</v>
      </c>
      <c r="N103" s="165">
        <f t="shared" si="11"/>
        <v>1265</v>
      </c>
      <c r="O103" s="165">
        <f t="shared" si="11"/>
        <v>1996</v>
      </c>
      <c r="P103" s="165" t="str">
        <f t="shared" si="11"/>
        <v/>
      </c>
      <c r="Q103" s="165">
        <f t="shared" si="11"/>
        <v>1978</v>
      </c>
      <c r="R103" s="165">
        <f>IF(SUM(R67:R102)&gt;0,SUM(R67:R102),"")</f>
        <v>336654.30000000005</v>
      </c>
      <c r="S103" s="165"/>
      <c r="T103" s="165">
        <f>IF(SUM(T67:T102)&gt;0,SUM(T67:T102),"")</f>
        <v>329252.17500799999</v>
      </c>
      <c r="U103" s="165">
        <f>IF(SUM(U67:U102)&gt;0,SUM(U67:U102),"")</f>
        <v>336464.877248256</v>
      </c>
      <c r="V103" s="165">
        <f>IF(SUM(V67:V102)&gt;0,SUM(V67:V102),"")</f>
        <v>329973.99023330089</v>
      </c>
    </row>
    <row r="104" spans="1:22" x14ac:dyDescent="0.3">
      <c r="A104" s="35"/>
      <c r="B104" s="4"/>
      <c r="C104" s="3"/>
      <c r="D104" s="178"/>
      <c r="E104" s="178"/>
      <c r="F104" s="178"/>
      <c r="G104" s="178"/>
      <c r="H104" s="178"/>
      <c r="I104" s="178"/>
      <c r="J104" s="178"/>
      <c r="K104" s="178"/>
      <c r="L104" s="178"/>
      <c r="M104" s="178"/>
      <c r="N104" s="178"/>
      <c r="O104" s="178"/>
      <c r="P104" s="178"/>
      <c r="Q104" s="178"/>
      <c r="R104" s="178"/>
      <c r="S104" s="178"/>
      <c r="T104" s="178"/>
      <c r="U104" s="178"/>
      <c r="V104" s="178"/>
    </row>
    <row r="105" spans="1:22" x14ac:dyDescent="0.3">
      <c r="A105" s="33" t="s">
        <v>722</v>
      </c>
      <c r="B105" s="4"/>
      <c r="C105" s="3"/>
      <c r="D105" s="178"/>
      <c r="E105" s="178"/>
      <c r="F105" s="178"/>
      <c r="G105" s="178"/>
      <c r="H105" s="178"/>
      <c r="I105" s="178"/>
      <c r="J105" s="178"/>
      <c r="K105" s="178"/>
      <c r="L105" s="178"/>
      <c r="M105" s="178"/>
      <c r="N105" s="178"/>
      <c r="O105" s="178"/>
      <c r="P105" s="178"/>
      <c r="Q105" s="178"/>
      <c r="R105" s="178"/>
      <c r="S105" s="178"/>
      <c r="T105" s="178"/>
      <c r="U105" s="178"/>
      <c r="V105" s="178"/>
    </row>
    <row r="106" spans="1:22" x14ac:dyDescent="0.3">
      <c r="A106" s="35" t="s">
        <v>1345</v>
      </c>
      <c r="B106" s="62" t="str">
        <f>'Expenses Input'!B80</f>
        <v>6900</v>
      </c>
      <c r="C106" s="62" t="str">
        <f>'Expenses Input'!C80</f>
        <v xml:space="preserve">Depreciation Expense      </v>
      </c>
      <c r="D106" s="60">
        <f>'Expenses Input'!D80</f>
        <v>2908.72</v>
      </c>
      <c r="E106" s="60"/>
      <c r="F106" s="60"/>
      <c r="G106" s="60"/>
      <c r="H106" s="60"/>
      <c r="I106" s="60"/>
      <c r="J106" s="60"/>
      <c r="K106" s="60"/>
      <c r="L106" s="60"/>
      <c r="M106" s="60"/>
      <c r="N106" s="60"/>
      <c r="O106" s="60"/>
      <c r="P106" s="60"/>
      <c r="Q106" s="60"/>
      <c r="R106" s="60">
        <f>'Expenses Input'!E80</f>
        <v>2908.72</v>
      </c>
      <c r="S106" s="60"/>
      <c r="T106" s="60">
        <f>'Expenses Input'!G80</f>
        <v>2908.72</v>
      </c>
      <c r="U106" s="60">
        <f>'Expenses Input'!H80</f>
        <v>2908.72</v>
      </c>
      <c r="V106" s="60">
        <f>'Expenses Input'!I80</f>
        <v>2908.72</v>
      </c>
    </row>
    <row r="107" spans="1:22" x14ac:dyDescent="0.3">
      <c r="A107" s="35"/>
      <c r="B107" s="32" t="s">
        <v>560</v>
      </c>
      <c r="C107" s="33" t="s">
        <v>720</v>
      </c>
      <c r="D107" s="165">
        <f>IF(SUM(D105:D106)&gt;0,SUM(D105:D106),"")</f>
        <v>2908.72</v>
      </c>
      <c r="E107" s="165" t="str">
        <f t="shared" ref="E107:Q107" si="12">IF(SUM(E105:E106)&gt;0,SUM(E105:E106),"")</f>
        <v/>
      </c>
      <c r="F107" s="165"/>
      <c r="G107" s="165" t="str">
        <f t="shared" si="12"/>
        <v/>
      </c>
      <c r="H107" s="165" t="str">
        <f t="shared" si="12"/>
        <v/>
      </c>
      <c r="I107" s="165" t="str">
        <f t="shared" si="12"/>
        <v/>
      </c>
      <c r="J107" s="165" t="str">
        <f t="shared" si="12"/>
        <v/>
      </c>
      <c r="K107" s="165" t="str">
        <f t="shared" si="12"/>
        <v/>
      </c>
      <c r="L107" s="165" t="str">
        <f t="shared" si="12"/>
        <v/>
      </c>
      <c r="M107" s="165" t="str">
        <f t="shared" si="12"/>
        <v/>
      </c>
      <c r="N107" s="165" t="str">
        <f t="shared" si="12"/>
        <v/>
      </c>
      <c r="O107" s="165" t="str">
        <f t="shared" si="12"/>
        <v/>
      </c>
      <c r="P107" s="165" t="str">
        <f t="shared" si="12"/>
        <v/>
      </c>
      <c r="Q107" s="165" t="str">
        <f t="shared" si="12"/>
        <v/>
      </c>
      <c r="R107" s="165">
        <f>IF(SUM(R105:R106)&gt;0,SUM(R105:R106),"")</f>
        <v>2908.72</v>
      </c>
      <c r="S107" s="165"/>
      <c r="T107" s="165">
        <f>IF(SUM(T105:T106)&gt;0,SUM(T105:T106),"")</f>
        <v>2908.72</v>
      </c>
      <c r="U107" s="165">
        <f>IF(SUM(U105:U106)&gt;0,SUM(U105:U106),"")</f>
        <v>2908.72</v>
      </c>
      <c r="V107" s="165">
        <f>IF(SUM(V105:V106)&gt;0,SUM(V105:V106),"")</f>
        <v>2908.72</v>
      </c>
    </row>
    <row r="108" spans="1:22" x14ac:dyDescent="0.3">
      <c r="A108" s="35"/>
      <c r="B108" s="4"/>
      <c r="C108" s="3"/>
      <c r="D108" s="178"/>
      <c r="E108" s="178"/>
      <c r="F108" s="178"/>
      <c r="G108" s="178"/>
      <c r="H108" s="178"/>
      <c r="I108" s="178"/>
      <c r="J108" s="178"/>
      <c r="K108" s="178"/>
      <c r="L108" s="178"/>
      <c r="M108" s="178"/>
      <c r="N108" s="178"/>
      <c r="O108" s="178"/>
      <c r="P108" s="178"/>
      <c r="Q108" s="178"/>
      <c r="R108" s="187"/>
      <c r="S108" s="187"/>
      <c r="T108" s="187"/>
      <c r="U108" s="178"/>
      <c r="V108" s="178"/>
    </row>
    <row r="109" spans="1:22" x14ac:dyDescent="0.3">
      <c r="A109" s="33" t="s">
        <v>723</v>
      </c>
      <c r="B109" s="4"/>
      <c r="C109" s="3"/>
      <c r="D109" s="178"/>
      <c r="E109" s="178"/>
      <c r="F109" s="178"/>
      <c r="G109" s="178"/>
      <c r="H109" s="178"/>
      <c r="I109" s="178"/>
      <c r="J109" s="178"/>
      <c r="K109" s="178"/>
      <c r="L109" s="178"/>
      <c r="M109" s="178"/>
      <c r="N109" s="178"/>
      <c r="O109" s="178"/>
      <c r="P109" s="178"/>
      <c r="Q109" s="178"/>
      <c r="R109" s="187"/>
      <c r="S109" s="187"/>
      <c r="T109" s="187"/>
      <c r="U109" s="178"/>
      <c r="V109" s="178"/>
    </row>
    <row r="110" spans="1:22" x14ac:dyDescent="0.3">
      <c r="A110" s="35"/>
      <c r="B110" s="62" t="str">
        <f>'Expenses Input'!B84</f>
        <v>7000</v>
      </c>
      <c r="C110" s="62" t="str">
        <f>'Expenses Input'!C84</f>
        <v>Miscellaneous Expense</v>
      </c>
      <c r="D110" s="60">
        <f>'Expenses Input'!D84</f>
        <v>0</v>
      </c>
      <c r="E110" s="60"/>
      <c r="F110" s="60"/>
      <c r="G110" s="60"/>
      <c r="H110" s="60"/>
      <c r="I110" s="60"/>
      <c r="J110" s="60"/>
      <c r="K110" s="60"/>
      <c r="L110" s="60"/>
      <c r="M110" s="60"/>
      <c r="N110" s="60"/>
      <c r="O110" s="60"/>
      <c r="P110" s="60"/>
      <c r="Q110" s="60"/>
      <c r="R110" s="60">
        <f>'Expenses Input'!E84</f>
        <v>0</v>
      </c>
      <c r="S110" s="60"/>
      <c r="T110" s="60">
        <f>'Expenses Input'!G84</f>
        <v>0</v>
      </c>
      <c r="U110" s="60">
        <f>'Expenses Input'!H84</f>
        <v>0</v>
      </c>
      <c r="V110" s="60">
        <f>'Expenses Input'!I84</f>
        <v>0</v>
      </c>
    </row>
    <row r="111" spans="1:22" x14ac:dyDescent="0.3">
      <c r="A111" s="35"/>
      <c r="B111" s="62" t="str">
        <f>'Expenses Input'!B85</f>
        <v>7438</v>
      </c>
      <c r="C111" s="62" t="str">
        <f>'Expenses Input'!C85</f>
        <v xml:space="preserve">Debt </v>
      </c>
      <c r="D111" s="60">
        <f>'Expenses Input'!D85</f>
        <v>0</v>
      </c>
      <c r="E111" s="60"/>
      <c r="F111" s="60"/>
      <c r="G111" s="60"/>
      <c r="H111" s="60"/>
      <c r="I111" s="60"/>
      <c r="J111" s="60"/>
      <c r="K111" s="60"/>
      <c r="L111" s="60"/>
      <c r="M111" s="60"/>
      <c r="N111" s="60"/>
      <c r="O111" s="60"/>
      <c r="P111" s="60"/>
      <c r="Q111" s="60"/>
      <c r="R111" s="60">
        <f>'Expenses Input'!E85</f>
        <v>0</v>
      </c>
      <c r="S111" s="60"/>
      <c r="T111" s="60">
        <f>'Expenses Input'!G85</f>
        <v>0</v>
      </c>
      <c r="U111" s="60">
        <f>'Expenses Input'!H85</f>
        <v>0</v>
      </c>
      <c r="V111" s="60">
        <f>'Expenses Input'!I85</f>
        <v>0</v>
      </c>
    </row>
    <row r="112" spans="1:22" x14ac:dyDescent="0.3">
      <c r="A112" s="35"/>
      <c r="B112" s="62" t="str">
        <f>'Expenses Input'!B86</f>
        <v>8910</v>
      </c>
      <c r="C112" s="62" t="str">
        <f>'Expenses Input'!C86</f>
        <v>Transfer in From LLC</v>
      </c>
      <c r="D112" s="60">
        <f>'Expenses Input'!D86</f>
        <v>0</v>
      </c>
      <c r="E112" s="60"/>
      <c r="F112" s="60"/>
      <c r="G112" s="60"/>
      <c r="H112" s="60"/>
      <c r="I112" s="60"/>
      <c r="J112" s="60"/>
      <c r="K112" s="60"/>
      <c r="L112" s="60"/>
      <c r="M112" s="60"/>
      <c r="N112" s="60"/>
      <c r="O112" s="60"/>
      <c r="P112" s="60"/>
      <c r="Q112" s="60"/>
      <c r="R112" s="60">
        <f>'Expenses Input'!E86</f>
        <v>0</v>
      </c>
      <c r="S112" s="60"/>
      <c r="T112" s="60">
        <f>'Expenses Input'!G86</f>
        <v>0</v>
      </c>
      <c r="U112" s="60">
        <f>'Expenses Input'!H86</f>
        <v>0</v>
      </c>
      <c r="V112" s="60">
        <f>'Expenses Input'!I86</f>
        <v>0</v>
      </c>
    </row>
    <row r="113" spans="1:22" x14ac:dyDescent="0.3">
      <c r="A113" s="35"/>
      <c r="B113" s="32" t="s">
        <v>684</v>
      </c>
      <c r="C113" s="33" t="s">
        <v>724</v>
      </c>
      <c r="D113" s="165" t="str">
        <f>IF(SUM(D109:D112)&gt;0,SUM(D109:D112),"")</f>
        <v/>
      </c>
      <c r="E113" s="165"/>
      <c r="F113" s="165"/>
      <c r="G113" s="165"/>
      <c r="H113" s="165"/>
      <c r="I113" s="165"/>
      <c r="J113" s="165"/>
      <c r="K113" s="165"/>
      <c r="L113" s="165"/>
      <c r="M113" s="165"/>
      <c r="N113" s="165"/>
      <c r="O113" s="165"/>
      <c r="P113" s="165"/>
      <c r="Q113" s="165"/>
      <c r="R113" s="165" t="str">
        <f>IF(SUM(R109:R112)&gt;0,SUM(R109:R112),"")</f>
        <v/>
      </c>
      <c r="S113" s="165"/>
      <c r="T113" s="165" t="str">
        <f>IF(SUM(T109:T112)&gt;0,SUM(T109:T112),"")</f>
        <v/>
      </c>
      <c r="U113" s="165" t="str">
        <f>IF(SUM(U109:U112)&gt;0,SUM(U109:U112),"")</f>
        <v/>
      </c>
      <c r="V113" s="165" t="str">
        <f>IF(SUM(V109:V112)&gt;0,SUM(V109:V112),"")</f>
        <v/>
      </c>
    </row>
    <row r="114" spans="1:22" ht="16.2" thickBot="1" x14ac:dyDescent="0.35">
      <c r="A114" s="35"/>
      <c r="B114" s="4"/>
      <c r="C114" s="3"/>
      <c r="D114" s="188"/>
      <c r="E114" s="188"/>
      <c r="F114" s="188"/>
      <c r="G114" s="188"/>
      <c r="H114" s="188"/>
      <c r="I114" s="188"/>
      <c r="J114" s="188"/>
      <c r="K114" s="188"/>
      <c r="L114" s="188"/>
      <c r="M114" s="188"/>
      <c r="N114" s="188"/>
      <c r="O114" s="188"/>
      <c r="P114" s="188"/>
      <c r="Q114" s="188"/>
      <c r="R114" s="188"/>
      <c r="S114" s="188"/>
      <c r="T114" s="188"/>
      <c r="U114" s="188"/>
      <c r="V114" s="188"/>
    </row>
    <row r="115" spans="1:22" x14ac:dyDescent="0.3">
      <c r="A115" s="33" t="s">
        <v>736</v>
      </c>
      <c r="B115" s="4"/>
      <c r="C115" s="3"/>
      <c r="D115" s="165">
        <f>IF(SUM(D65,D103,D107,D113)&gt;0,SUM(D65,D103,D107,D113),"")</f>
        <v>366957.11</v>
      </c>
      <c r="E115" s="165">
        <f t="shared" ref="E115:Q115" si="13">IF(SUM(E65,E103,E107,E113)&gt;0,SUM(E65,E103,E107,E113),"")</f>
        <v>178455</v>
      </c>
      <c r="F115" s="165"/>
      <c r="G115" s="165">
        <f t="shared" si="13"/>
        <v>3466</v>
      </c>
      <c r="H115" s="165" t="str">
        <f t="shared" si="13"/>
        <v/>
      </c>
      <c r="I115" s="165" t="str">
        <f t="shared" si="13"/>
        <v/>
      </c>
      <c r="J115" s="165">
        <f t="shared" si="13"/>
        <v>4471</v>
      </c>
      <c r="K115" s="165">
        <f t="shared" si="13"/>
        <v>10000</v>
      </c>
      <c r="L115" s="165">
        <f t="shared" si="13"/>
        <v>4600</v>
      </c>
      <c r="M115" s="165">
        <f t="shared" si="13"/>
        <v>34650</v>
      </c>
      <c r="N115" s="165">
        <f t="shared" si="13"/>
        <v>1265</v>
      </c>
      <c r="O115" s="165">
        <f t="shared" si="13"/>
        <v>3578</v>
      </c>
      <c r="P115" s="165">
        <f t="shared" si="13"/>
        <v>22450</v>
      </c>
      <c r="Q115" s="165">
        <f t="shared" si="13"/>
        <v>7631</v>
      </c>
      <c r="R115" s="165">
        <f>IF(SUM(R65,R103,R107,R113)&gt;0,SUM(R65,R103,R107,R113),"")</f>
        <v>421363.02</v>
      </c>
      <c r="S115" s="165"/>
      <c r="T115" s="165">
        <f>IF(SUM(T65,T103,T107,T113)&gt;0,SUM(T65,T103,T107,T113),"")</f>
        <v>421951.359008</v>
      </c>
      <c r="U115" s="165">
        <f>IF(SUM(U65,U103,U107,U113)&gt;0,SUM(U65,U103,U107,U113),"")</f>
        <v>432037.35609625594</v>
      </c>
      <c r="V115" s="165">
        <f>IF(SUM(V65,V103,V107,V113)&gt;0,SUM(V65,V103,V107,V113),"")</f>
        <v>428474.64386089769</v>
      </c>
    </row>
    <row r="116" spans="1:22" x14ac:dyDescent="0.3">
      <c r="A116" s="35"/>
      <c r="D116" s="189"/>
      <c r="E116" s="189"/>
      <c r="F116" s="189"/>
      <c r="G116" s="189"/>
      <c r="H116" s="189"/>
      <c r="I116" s="189"/>
      <c r="J116" s="189"/>
      <c r="K116" s="189"/>
      <c r="L116" s="189"/>
      <c r="M116" s="189"/>
      <c r="N116" s="189"/>
      <c r="O116" s="189"/>
      <c r="P116" s="189"/>
      <c r="Q116" s="189"/>
      <c r="R116" s="189"/>
      <c r="S116" s="189"/>
      <c r="T116" s="189"/>
      <c r="U116" s="189"/>
      <c r="V116" s="189"/>
    </row>
    <row r="117" spans="1:22" ht="16.2" thickBot="1" x14ac:dyDescent="0.35">
      <c r="A117" s="35"/>
      <c r="B117" s="4"/>
      <c r="C117" s="3"/>
      <c r="D117" s="177"/>
      <c r="E117" s="177"/>
      <c r="F117" s="177"/>
      <c r="G117" s="177"/>
      <c r="H117" s="177"/>
      <c r="I117" s="177"/>
      <c r="J117" s="177"/>
      <c r="K117" s="177"/>
      <c r="L117" s="177"/>
      <c r="M117" s="177"/>
      <c r="N117" s="177"/>
      <c r="O117" s="177"/>
      <c r="P117" s="177"/>
      <c r="Q117" s="177"/>
      <c r="R117" s="177"/>
      <c r="S117" s="177"/>
      <c r="T117" s="177"/>
      <c r="U117" s="177"/>
      <c r="V117" s="177"/>
    </row>
    <row r="118" spans="1:22" x14ac:dyDescent="0.3">
      <c r="A118" s="33" t="s">
        <v>731</v>
      </c>
      <c r="B118" s="4"/>
      <c r="C118" s="3"/>
      <c r="D118" s="165">
        <f>IF(SUM(D115,D44)&gt;0,SUM(D115,D44),"")</f>
        <v>907192.20033499994</v>
      </c>
      <c r="E118" s="165">
        <f t="shared" ref="E118:Q118" si="14">IF(SUM(E115,E44)&gt;0,SUM(E115,E44),"")</f>
        <v>466416</v>
      </c>
      <c r="F118" s="165"/>
      <c r="G118" s="165">
        <f t="shared" si="14"/>
        <v>3466</v>
      </c>
      <c r="H118" s="165">
        <f t="shared" si="14"/>
        <v>115961</v>
      </c>
      <c r="I118" s="165">
        <f t="shared" si="14"/>
        <v>28225</v>
      </c>
      <c r="J118" s="165">
        <f t="shared" si="14"/>
        <v>4471</v>
      </c>
      <c r="K118" s="165">
        <f t="shared" si="14"/>
        <v>10000</v>
      </c>
      <c r="L118" s="165">
        <f t="shared" si="14"/>
        <v>4600</v>
      </c>
      <c r="M118" s="165">
        <f t="shared" si="14"/>
        <v>34650</v>
      </c>
      <c r="N118" s="165">
        <f t="shared" si="14"/>
        <v>1265</v>
      </c>
      <c r="O118" s="165">
        <f t="shared" si="14"/>
        <v>3578</v>
      </c>
      <c r="P118" s="165">
        <f t="shared" si="14"/>
        <v>22450</v>
      </c>
      <c r="Q118" s="165">
        <f t="shared" si="14"/>
        <v>7631</v>
      </c>
      <c r="R118" s="165">
        <f>IF(SUM(R115,R44)&gt;0,SUM(R115,R44),"")</f>
        <v>1007499.9416</v>
      </c>
      <c r="S118" s="165"/>
      <c r="T118" s="165">
        <f>IF(SUM(T115,T44)&gt;0,SUM(T115,T44),"")</f>
        <v>1038426.43273</v>
      </c>
      <c r="U118" s="165">
        <f>IF(SUM(U115,U44)&gt;0,SUM(U115,U44),"")</f>
        <v>1056116.5611999161</v>
      </c>
      <c r="V118" s="165">
        <f>IF(SUM(V115,V44)&gt;0,SUM(V115,V44),"")</f>
        <v>1066280.1345111476</v>
      </c>
    </row>
    <row r="119" spans="1:22" x14ac:dyDescent="0.3">
      <c r="A119" s="35"/>
      <c r="D119" s="178"/>
      <c r="E119" s="178"/>
      <c r="F119" s="178"/>
      <c r="G119" s="178"/>
      <c r="H119" s="178"/>
      <c r="I119" s="178"/>
      <c r="J119" s="178"/>
      <c r="K119" s="178"/>
      <c r="L119" s="178"/>
      <c r="M119" s="178"/>
      <c r="N119" s="178"/>
      <c r="O119" s="178"/>
      <c r="P119" s="178"/>
      <c r="Q119" s="178"/>
      <c r="R119" s="178"/>
      <c r="S119" s="178"/>
      <c r="T119" s="178"/>
      <c r="U119" s="178"/>
      <c r="V119" s="178"/>
    </row>
    <row r="120" spans="1:22" x14ac:dyDescent="0.3">
      <c r="A120" s="35"/>
      <c r="D120" s="178">
        <f>+X44</f>
        <v>0</v>
      </c>
      <c r="E120" s="178"/>
      <c r="F120" s="178"/>
      <c r="G120" s="178"/>
      <c r="H120" s="178"/>
      <c r="I120" s="178"/>
      <c r="J120" s="178"/>
      <c r="K120" s="178"/>
      <c r="L120" s="178"/>
      <c r="M120" s="178"/>
      <c r="N120" s="178"/>
      <c r="O120" s="178"/>
      <c r="P120" s="178"/>
      <c r="Q120" s="178"/>
      <c r="R120" s="178"/>
      <c r="S120" s="178"/>
      <c r="T120" s="178"/>
      <c r="U120" s="178"/>
      <c r="V120" s="178"/>
    </row>
    <row r="121" spans="1:22" x14ac:dyDescent="0.3">
      <c r="A121" s="35"/>
      <c r="D121" s="178"/>
      <c r="E121" s="178"/>
      <c r="F121" s="178"/>
      <c r="G121" s="178"/>
      <c r="H121" s="178"/>
      <c r="I121" s="178"/>
      <c r="J121" s="178"/>
      <c r="K121" s="178"/>
      <c r="L121" s="178"/>
      <c r="M121" s="178"/>
      <c r="N121" s="178"/>
      <c r="O121" s="178"/>
      <c r="P121" s="178"/>
      <c r="Q121" s="178"/>
      <c r="R121" s="178"/>
      <c r="S121" s="178"/>
      <c r="T121" s="178"/>
      <c r="U121" s="178"/>
      <c r="V121" s="178"/>
    </row>
    <row r="122" spans="1:22" x14ac:dyDescent="0.3">
      <c r="A122" s="35"/>
      <c r="D122" s="178"/>
      <c r="E122" s="178"/>
      <c r="F122" s="178"/>
      <c r="G122" s="178"/>
      <c r="H122" s="178"/>
      <c r="I122" s="178"/>
      <c r="J122" s="178"/>
      <c r="K122" s="178"/>
      <c r="L122" s="178"/>
      <c r="M122" s="178"/>
      <c r="N122" s="178"/>
      <c r="O122" s="178"/>
      <c r="P122" s="178"/>
      <c r="Q122" s="178"/>
      <c r="R122" s="178"/>
      <c r="S122" s="178"/>
      <c r="T122" s="178"/>
      <c r="U122" s="178"/>
      <c r="V122" s="178"/>
    </row>
    <row r="123" spans="1:22" x14ac:dyDescent="0.3">
      <c r="A123" s="35"/>
      <c r="D123" s="178"/>
      <c r="E123" s="178"/>
      <c r="F123" s="178"/>
      <c r="G123" s="178"/>
      <c r="H123" s="178"/>
      <c r="I123" s="178"/>
      <c r="J123" s="178"/>
      <c r="K123" s="178"/>
      <c r="L123" s="178"/>
      <c r="M123" s="178"/>
      <c r="N123" s="178"/>
      <c r="O123" s="178"/>
      <c r="P123" s="178"/>
      <c r="Q123" s="178"/>
      <c r="R123" s="178"/>
      <c r="S123" s="178"/>
      <c r="T123" s="178"/>
      <c r="U123" s="178"/>
      <c r="V123" s="178"/>
    </row>
    <row r="124" spans="1:22" x14ac:dyDescent="0.3">
      <c r="A124" s="35"/>
    </row>
    <row r="125" spans="1:22" x14ac:dyDescent="0.3">
      <c r="A125" s="35"/>
    </row>
    <row r="126" spans="1:22" x14ac:dyDescent="0.3">
      <c r="A126" s="35"/>
    </row>
    <row r="127" spans="1:22" x14ac:dyDescent="0.3">
      <c r="A127" s="35"/>
    </row>
    <row r="128" spans="1:22" x14ac:dyDescent="0.3">
      <c r="A128" s="35"/>
    </row>
    <row r="129" spans="1:1" x14ac:dyDescent="0.3">
      <c r="A129" s="35"/>
    </row>
    <row r="130" spans="1:1" x14ac:dyDescent="0.3">
      <c r="A130" s="35"/>
    </row>
    <row r="131" spans="1:1" x14ac:dyDescent="0.3">
      <c r="A131" s="35"/>
    </row>
    <row r="132" spans="1:1" x14ac:dyDescent="0.3">
      <c r="A132" s="35"/>
    </row>
  </sheetData>
  <printOptions horizontalCentered="1"/>
  <pageMargins left="0.7" right="0.7" top="0.75" bottom="0.75" header="0.3" footer="0.3"/>
  <pageSetup scale="77" fitToHeight="0" orientation="landscape" r:id="rId1"/>
  <headerFooter alignWithMargins="0">
    <oddHeader>&amp;A</oddHeader>
    <oddFooter>Page &amp;P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Z40"/>
  <sheetViews>
    <sheetView topLeftCell="B3" zoomScaleNormal="100" workbookViewId="0">
      <selection activeCell="K12" sqref="K12"/>
    </sheetView>
  </sheetViews>
  <sheetFormatPr defaultColWidth="9.109375" defaultRowHeight="15.6" outlineLevelRow="1" x14ac:dyDescent="0.3"/>
  <cols>
    <col min="1" max="1" width="19.5546875" style="6" customWidth="1"/>
    <col min="2" max="2" width="9.109375" style="7" customWidth="1"/>
    <col min="3" max="3" width="21.44140625" style="7" customWidth="1"/>
    <col min="4" max="4" width="29.109375" style="7" customWidth="1"/>
    <col min="5" max="5" width="18.33203125" style="7" bestFit="1" customWidth="1"/>
    <col min="6" max="8" width="9.109375" style="7"/>
    <col min="9" max="9" width="14.5546875" style="7" bestFit="1" customWidth="1"/>
    <col min="10" max="10" width="16.109375" style="7" customWidth="1"/>
    <col min="11" max="11" width="12.6640625" style="7" customWidth="1"/>
    <col min="12" max="12" width="17.33203125" style="7" customWidth="1"/>
    <col min="13" max="13" width="18.5546875" style="6" customWidth="1"/>
    <col min="14" max="14" width="17.44140625" style="7" customWidth="1"/>
    <col min="15" max="15" width="17" style="6" customWidth="1"/>
    <col min="16" max="16" width="15.88671875" style="6" customWidth="1"/>
    <col min="17" max="18" width="12.109375" style="6" customWidth="1"/>
    <col min="19" max="19" width="16.33203125" style="7" customWidth="1"/>
    <col min="20" max="21" width="15.5546875" style="6" customWidth="1"/>
    <col min="22" max="22" width="19.44140625" style="6" customWidth="1"/>
    <col min="23" max="23" width="18.44140625" style="6" customWidth="1"/>
    <col min="24" max="24" width="19.6640625" style="6" customWidth="1"/>
    <col min="25" max="26" width="15.5546875" style="6" customWidth="1"/>
    <col min="27" max="16384" width="9.109375" style="6"/>
  </cols>
  <sheetData>
    <row r="1" spans="1:26" ht="20.399999999999999" x14ac:dyDescent="0.35">
      <c r="A1" s="21" t="str">
        <f>'Student Info'!$A$1</f>
        <v>Three Rivers - 23-65565-0123737</v>
      </c>
      <c r="U1" s="6">
        <v>5.0000000000000001E-3</v>
      </c>
    </row>
    <row r="2" spans="1:26" ht="17.399999999999999" x14ac:dyDescent="0.3">
      <c r="A2" s="20" t="s">
        <v>725</v>
      </c>
      <c r="N2" s="180">
        <v>0</v>
      </c>
      <c r="O2" s="298">
        <v>0.1615</v>
      </c>
      <c r="P2" s="276">
        <v>0.20699999999999999</v>
      </c>
      <c r="Q2" s="8">
        <v>6.25E-2</v>
      </c>
      <c r="R2" s="8">
        <v>1.4500000000000001E-2</v>
      </c>
      <c r="S2" s="277">
        <v>500</v>
      </c>
      <c r="T2" s="234"/>
      <c r="U2" s="277">
        <v>400</v>
      </c>
      <c r="V2" s="8">
        <v>1.2999999999999999E-2</v>
      </c>
      <c r="X2" s="12">
        <f>(0.08*$M2/1000)+(0.025*$M2/1000)+(0.14%*$M2)+(0.05*$M2/10)</f>
        <v>0</v>
      </c>
    </row>
    <row r="3" spans="1:26" ht="17.399999999999999" x14ac:dyDescent="0.3">
      <c r="A3" s="20" t="str">
        <f>+'Student Info'!E6</f>
        <v>2021-22</v>
      </c>
      <c r="O3" s="9" t="s">
        <v>562</v>
      </c>
      <c r="P3" s="9" t="s">
        <v>563</v>
      </c>
      <c r="Q3" s="9" t="s">
        <v>1018</v>
      </c>
      <c r="R3" s="9" t="s">
        <v>671</v>
      </c>
      <c r="S3" s="9" t="s">
        <v>566</v>
      </c>
      <c r="T3" s="9"/>
      <c r="U3" s="9" t="s">
        <v>669</v>
      </c>
      <c r="V3" s="9" t="s">
        <v>670</v>
      </c>
      <c r="W3" s="9"/>
      <c r="X3" s="9" t="s">
        <v>1025</v>
      </c>
    </row>
    <row r="4" spans="1:26" ht="27" customHeight="1" x14ac:dyDescent="0.3"/>
    <row r="5" spans="1:26" x14ac:dyDescent="0.3">
      <c r="B5" s="13" t="s">
        <v>0</v>
      </c>
      <c r="J5" s="17" t="s">
        <v>676</v>
      </c>
      <c r="K5" s="13" t="s">
        <v>742</v>
      </c>
      <c r="L5" s="13" t="s">
        <v>1213</v>
      </c>
      <c r="M5" s="17" t="s">
        <v>674</v>
      </c>
      <c r="N5" s="13" t="s">
        <v>729</v>
      </c>
      <c r="O5" s="284" t="s">
        <v>30</v>
      </c>
      <c r="P5" s="284" t="s">
        <v>38</v>
      </c>
      <c r="Q5" s="284" t="s">
        <v>1014</v>
      </c>
      <c r="R5" s="284" t="s">
        <v>1016</v>
      </c>
      <c r="S5" s="43" t="s">
        <v>564</v>
      </c>
      <c r="T5" s="284" t="s">
        <v>717</v>
      </c>
      <c r="U5" s="284" t="s">
        <v>718</v>
      </c>
      <c r="V5" s="284" t="s">
        <v>719</v>
      </c>
      <c r="W5" s="284" t="s">
        <v>1023</v>
      </c>
      <c r="X5" s="284" t="s">
        <v>1022</v>
      </c>
      <c r="Y5" s="19" t="s">
        <v>672</v>
      </c>
      <c r="Z5" s="17" t="s">
        <v>676</v>
      </c>
    </row>
    <row r="6" spans="1:26" ht="16.2" thickBot="1" x14ac:dyDescent="0.35">
      <c r="A6" s="22"/>
      <c r="B6" s="23"/>
      <c r="C6" s="24"/>
      <c r="D6" s="24" t="s">
        <v>1291</v>
      </c>
      <c r="E6" s="24" t="s">
        <v>4</v>
      </c>
      <c r="F6" s="312" t="s">
        <v>3</v>
      </c>
      <c r="G6" s="312"/>
      <c r="H6" s="312"/>
      <c r="I6" s="312" t="s">
        <v>5</v>
      </c>
      <c r="J6" s="25" t="s">
        <v>739</v>
      </c>
      <c r="K6" s="23" t="s">
        <v>743</v>
      </c>
      <c r="L6" s="23" t="s">
        <v>1212</v>
      </c>
      <c r="M6" s="25" t="s">
        <v>675</v>
      </c>
      <c r="N6" s="23" t="s">
        <v>730</v>
      </c>
      <c r="O6" s="26" t="s">
        <v>6</v>
      </c>
      <c r="P6" s="26" t="s">
        <v>7</v>
      </c>
      <c r="Q6" s="190" t="s">
        <v>1015</v>
      </c>
      <c r="R6" s="190" t="s">
        <v>1017</v>
      </c>
      <c r="S6" s="24" t="s">
        <v>565</v>
      </c>
      <c r="T6" s="26" t="s">
        <v>1019</v>
      </c>
      <c r="U6" s="190" t="s">
        <v>1020</v>
      </c>
      <c r="V6" s="190" t="s">
        <v>1021</v>
      </c>
      <c r="W6" s="26" t="s">
        <v>1024</v>
      </c>
      <c r="X6" s="190" t="s">
        <v>1027</v>
      </c>
      <c r="Y6" s="27" t="s">
        <v>673</v>
      </c>
      <c r="Z6" s="25" t="s">
        <v>675</v>
      </c>
    </row>
    <row r="7" spans="1:26" ht="16.2" thickBot="1" x14ac:dyDescent="0.35">
      <c r="B7" s="14"/>
      <c r="C7" s="15"/>
      <c r="D7" s="15"/>
      <c r="E7" s="15"/>
      <c r="F7" s="260"/>
      <c r="G7" s="260"/>
      <c r="H7" s="260"/>
      <c r="I7" s="313"/>
      <c r="J7" s="10">
        <f>+I7</f>
        <v>0</v>
      </c>
      <c r="K7" s="11">
        <v>0</v>
      </c>
      <c r="L7" s="11"/>
      <c r="M7" s="10">
        <f>SUM(J7:L7)</f>
        <v>0</v>
      </c>
      <c r="N7" s="16"/>
      <c r="O7" s="10" t="str">
        <f>IF($N7="STRS",$O$2*$M7,"")</f>
        <v/>
      </c>
      <c r="P7" s="10" t="str">
        <f>IF($N7="PERS",$P$2*$M7,"")</f>
        <v/>
      </c>
      <c r="Q7" s="10">
        <f>IF($N7="STRS","",$Q$2*$M7)</f>
        <v>0</v>
      </c>
      <c r="R7" s="10">
        <f>$R$2*M7</f>
        <v>0</v>
      </c>
      <c r="S7" s="278"/>
      <c r="T7" s="264"/>
      <c r="U7" s="12"/>
      <c r="V7" s="12">
        <f>+M7*$V$2</f>
        <v>0</v>
      </c>
      <c r="W7" s="12"/>
      <c r="X7" s="12"/>
      <c r="Y7" s="12">
        <f>SUM(O7:X7)</f>
        <v>0</v>
      </c>
      <c r="Z7" s="12">
        <f>Y7+M7</f>
        <v>0</v>
      </c>
    </row>
    <row r="8" spans="1:26" ht="16.2" thickBot="1" x14ac:dyDescent="0.35">
      <c r="A8" s="6" t="s">
        <v>1285</v>
      </c>
      <c r="B8" s="14"/>
      <c r="C8" s="15"/>
      <c r="D8" s="15"/>
      <c r="E8" s="15"/>
      <c r="F8" s="260"/>
      <c r="G8" s="260"/>
      <c r="H8" s="260"/>
      <c r="I8" s="290"/>
      <c r="J8" s="10"/>
      <c r="K8" s="10"/>
      <c r="L8" s="11"/>
      <c r="M8" s="10"/>
      <c r="N8" s="16"/>
      <c r="O8" s="10"/>
      <c r="P8" s="10"/>
      <c r="Q8" s="10"/>
      <c r="R8" s="10"/>
      <c r="S8" s="278"/>
      <c r="T8" s="261"/>
      <c r="U8" s="12"/>
      <c r="V8" s="12"/>
      <c r="W8" s="12"/>
      <c r="X8" s="12"/>
      <c r="Y8" s="12"/>
      <c r="Z8" s="12"/>
    </row>
    <row r="9" spans="1:26" ht="16.2" outlineLevel="1" thickBot="1" x14ac:dyDescent="0.35">
      <c r="B9" s="14">
        <v>1100</v>
      </c>
      <c r="C9" s="15"/>
      <c r="D9" s="295" t="s">
        <v>1295</v>
      </c>
      <c r="E9" s="15" t="s">
        <v>1265</v>
      </c>
      <c r="F9" s="260">
        <v>1</v>
      </c>
      <c r="G9" s="260"/>
      <c r="H9" s="260"/>
      <c r="I9" s="294">
        <v>48694</v>
      </c>
      <c r="J9" s="10">
        <f>+I9</f>
        <v>48694</v>
      </c>
      <c r="K9" s="10">
        <v>4700</v>
      </c>
      <c r="L9" s="11"/>
      <c r="M9" s="10">
        <f>SUM(J9:L9)</f>
        <v>53394</v>
      </c>
      <c r="N9" s="16" t="s">
        <v>1191</v>
      </c>
      <c r="O9" s="10">
        <f t="shared" ref="O9:O27" si="0">IF($N9="STRS",$O$2*$M9,"")</f>
        <v>8623.1309999999994</v>
      </c>
      <c r="P9" s="10" t="str">
        <f t="shared" ref="P9:P29" si="1">IF($N9="PERS",$P$2*$M9,"")</f>
        <v/>
      </c>
      <c r="Q9" s="10" t="str">
        <f t="shared" ref="Q9:Q33" si="2">IF($N9="STRS","",$Q$2*$M9)</f>
        <v/>
      </c>
      <c r="R9" s="10">
        <f>$R$2*M9</f>
        <v>774.21300000000008</v>
      </c>
      <c r="S9" s="278">
        <v>0</v>
      </c>
      <c r="T9" s="261">
        <v>11464</v>
      </c>
      <c r="U9" s="12">
        <f>$U$2*F9</f>
        <v>400</v>
      </c>
      <c r="V9" s="12">
        <f>+M9*$V$2</f>
        <v>694.12199999999996</v>
      </c>
      <c r="W9" s="12"/>
      <c r="X9" s="12"/>
      <c r="Y9" s="12">
        <f>SUM(O9:X9)</f>
        <v>21955.465999999997</v>
      </c>
      <c r="Z9" s="12">
        <f t="shared" ref="Z9:Z27" si="3">Y9+M9</f>
        <v>75349.466</v>
      </c>
    </row>
    <row r="10" spans="1:26" ht="16.2" outlineLevel="1" thickBot="1" x14ac:dyDescent="0.35">
      <c r="B10" s="14">
        <v>1100</v>
      </c>
      <c r="C10" s="15"/>
      <c r="D10" s="295" t="s">
        <v>1296</v>
      </c>
      <c r="E10" s="15" t="s">
        <v>1265</v>
      </c>
      <c r="F10" s="260">
        <v>1</v>
      </c>
      <c r="G10" s="260"/>
      <c r="H10" s="260"/>
      <c r="I10" s="290">
        <v>43709</v>
      </c>
      <c r="J10" s="10">
        <f>+I10</f>
        <v>43709</v>
      </c>
      <c r="K10" s="261"/>
      <c r="L10" s="11"/>
      <c r="M10" s="10">
        <f>SUM(J10:L10)</f>
        <v>43709</v>
      </c>
      <c r="N10" s="16" t="s">
        <v>1191</v>
      </c>
      <c r="O10" s="10">
        <f t="shared" si="0"/>
        <v>7059.0034999999998</v>
      </c>
      <c r="P10" s="10" t="str">
        <f t="shared" si="1"/>
        <v/>
      </c>
      <c r="Q10" s="10" t="str">
        <f t="shared" si="2"/>
        <v/>
      </c>
      <c r="R10" s="10">
        <f>$R$2*M10</f>
        <v>633.78050000000007</v>
      </c>
      <c r="S10" s="278">
        <v>0</v>
      </c>
      <c r="T10" s="261">
        <v>9514</v>
      </c>
      <c r="U10" s="12">
        <f>$U$2*F10</f>
        <v>400</v>
      </c>
      <c r="V10" s="12">
        <f>+M10*$V$2</f>
        <v>568.21699999999998</v>
      </c>
      <c r="W10" s="12"/>
      <c r="X10" s="12"/>
      <c r="Y10" s="12">
        <f>SUM(O10:X10)</f>
        <v>18175.001</v>
      </c>
      <c r="Z10" s="12">
        <f t="shared" si="3"/>
        <v>61884.001000000004</v>
      </c>
    </row>
    <row r="11" spans="1:26" ht="16.2" outlineLevel="1" thickBot="1" x14ac:dyDescent="0.35">
      <c r="B11" s="260">
        <v>1100</v>
      </c>
      <c r="C11" s="295"/>
      <c r="D11" s="295" t="s">
        <v>1297</v>
      </c>
      <c r="E11" s="15" t="s">
        <v>1265</v>
      </c>
      <c r="F11" s="260">
        <v>1</v>
      </c>
      <c r="G11" s="260"/>
      <c r="H11" s="260"/>
      <c r="I11" s="290">
        <v>5422.23</v>
      </c>
      <c r="J11" s="10">
        <f>+I11</f>
        <v>5422.23</v>
      </c>
      <c r="K11" s="261"/>
      <c r="L11" s="11"/>
      <c r="M11" s="10">
        <f>SUM(J11:L11)</f>
        <v>5422.23</v>
      </c>
      <c r="N11" s="16" t="s">
        <v>1191</v>
      </c>
      <c r="O11" s="10">
        <v>812.46</v>
      </c>
      <c r="P11" s="10" t="str">
        <f t="shared" si="1"/>
        <v/>
      </c>
      <c r="Q11" s="10" t="str">
        <f t="shared" si="2"/>
        <v/>
      </c>
      <c r="R11" s="10">
        <f>$R$2*M11</f>
        <v>78.622334999999993</v>
      </c>
      <c r="S11" s="278">
        <v>0</v>
      </c>
      <c r="T11" s="261">
        <v>5.36</v>
      </c>
      <c r="U11" s="12">
        <v>173.39</v>
      </c>
      <c r="V11" s="12">
        <f>+M11*$V$2</f>
        <v>70.488989999999987</v>
      </c>
      <c r="W11" s="12"/>
      <c r="X11" s="12"/>
      <c r="Y11" s="12">
        <f>SUM(O11:X11)</f>
        <v>1140.3213250000001</v>
      </c>
      <c r="Z11" s="12">
        <f t="shared" si="3"/>
        <v>6562.5513249999995</v>
      </c>
    </row>
    <row r="12" spans="1:26" ht="16.2" outlineLevel="1" thickBot="1" x14ac:dyDescent="0.35">
      <c r="B12" s="14">
        <v>1100</v>
      </c>
      <c r="C12" s="15"/>
      <c r="D12" s="295" t="s">
        <v>1298</v>
      </c>
      <c r="E12" s="15" t="s">
        <v>1265</v>
      </c>
      <c r="F12" s="260">
        <v>1</v>
      </c>
      <c r="G12" s="260"/>
      <c r="H12" s="260"/>
      <c r="I12" s="290">
        <v>54806</v>
      </c>
      <c r="J12" s="10">
        <f>+I12</f>
        <v>54806</v>
      </c>
      <c r="K12" s="261">
        <v>5000</v>
      </c>
      <c r="L12" s="11">
        <v>750</v>
      </c>
      <c r="M12" s="10">
        <f>SUM(J12:L12)</f>
        <v>60556</v>
      </c>
      <c r="N12" s="16" t="s">
        <v>1191</v>
      </c>
      <c r="O12" s="10">
        <f t="shared" si="0"/>
        <v>9779.7939999999999</v>
      </c>
      <c r="P12" s="10" t="str">
        <f t="shared" si="1"/>
        <v/>
      </c>
      <c r="Q12" s="10" t="str">
        <f t="shared" si="2"/>
        <v/>
      </c>
      <c r="R12" s="10">
        <f>$R$2*M12</f>
        <v>878.06200000000001</v>
      </c>
      <c r="S12" s="278">
        <v>0</v>
      </c>
      <c r="T12" s="261">
        <v>11464</v>
      </c>
      <c r="U12" s="12">
        <f>$U$2*F12</f>
        <v>400</v>
      </c>
      <c r="V12" s="12">
        <f>+M12*$V$2</f>
        <v>787.22799999999995</v>
      </c>
      <c r="W12" s="12"/>
      <c r="X12" s="12"/>
      <c r="Y12" s="12">
        <f>SUM(O12:X12)</f>
        <v>23309.083999999999</v>
      </c>
      <c r="Z12" s="12">
        <f t="shared" si="3"/>
        <v>83865.084000000003</v>
      </c>
    </row>
    <row r="13" spans="1:26" ht="16.2" outlineLevel="1" thickBot="1" x14ac:dyDescent="0.35">
      <c r="B13" s="14">
        <v>1100</v>
      </c>
      <c r="C13" s="322"/>
      <c r="D13" s="295" t="s">
        <v>1299</v>
      </c>
      <c r="E13" s="15" t="s">
        <v>1300</v>
      </c>
      <c r="F13" s="260">
        <v>36</v>
      </c>
      <c r="G13" s="260">
        <v>15</v>
      </c>
      <c r="H13" s="260">
        <v>36</v>
      </c>
      <c r="I13" s="290">
        <f>F13*G13*H13</f>
        <v>19440</v>
      </c>
      <c r="J13" s="10">
        <f>+I13</f>
        <v>19440</v>
      </c>
      <c r="K13" s="261"/>
      <c r="L13" s="11"/>
      <c r="M13" s="10">
        <f>SUM(J13:L13)</f>
        <v>19440</v>
      </c>
      <c r="N13" s="16"/>
      <c r="O13" s="10" t="str">
        <f t="shared" si="0"/>
        <v/>
      </c>
      <c r="P13" s="10"/>
      <c r="Q13" s="10"/>
      <c r="R13" s="10">
        <f>$R$2*M13</f>
        <v>281.88</v>
      </c>
      <c r="S13" s="278">
        <v>0</v>
      </c>
      <c r="T13" s="261">
        <v>0</v>
      </c>
      <c r="U13" s="12">
        <v>400</v>
      </c>
      <c r="V13" s="12">
        <f>+M13*$V$2</f>
        <v>252.72</v>
      </c>
      <c r="W13" s="12"/>
      <c r="X13" s="12"/>
      <c r="Y13" s="12">
        <f>SUM(O13:X13)</f>
        <v>934.6</v>
      </c>
      <c r="Z13" s="12">
        <f t="shared" si="3"/>
        <v>20374.599999999999</v>
      </c>
    </row>
    <row r="14" spans="1:26" ht="16.2" hidden="1" outlineLevel="1" thickBot="1" x14ac:dyDescent="0.35">
      <c r="B14" s="14"/>
      <c r="C14" s="15"/>
      <c r="D14" s="295"/>
      <c r="E14" s="15"/>
      <c r="F14" s="260"/>
      <c r="G14" s="260"/>
      <c r="H14" s="260"/>
      <c r="I14" s="290"/>
      <c r="J14" s="10"/>
      <c r="K14" s="261"/>
      <c r="L14" s="11"/>
      <c r="M14" s="10"/>
      <c r="N14" s="16"/>
      <c r="O14" s="10"/>
      <c r="P14" s="10"/>
      <c r="Q14" s="10"/>
      <c r="R14" s="10"/>
      <c r="S14" s="278">
        <v>0</v>
      </c>
      <c r="T14" s="261"/>
      <c r="U14" s="12"/>
      <c r="V14" s="12"/>
      <c r="W14" s="12"/>
      <c r="X14" s="12"/>
      <c r="Y14" s="12"/>
      <c r="Z14" s="12"/>
    </row>
    <row r="15" spans="1:26" ht="16.2" hidden="1" outlineLevel="1" thickBot="1" x14ac:dyDescent="0.35">
      <c r="B15" s="14"/>
      <c r="C15" s="15"/>
      <c r="D15" s="295"/>
      <c r="E15" s="15"/>
      <c r="F15" s="14"/>
      <c r="G15" s="14"/>
      <c r="H15" s="14"/>
      <c r="I15" s="290"/>
      <c r="J15" s="10"/>
      <c r="K15" s="261"/>
      <c r="L15" s="11"/>
      <c r="M15" s="10"/>
      <c r="N15" s="16"/>
      <c r="O15" s="10"/>
      <c r="P15" s="10"/>
      <c r="Q15" s="10"/>
      <c r="R15" s="10"/>
      <c r="S15" s="278">
        <v>0</v>
      </c>
      <c r="T15" s="261"/>
      <c r="U15" s="12"/>
      <c r="V15" s="12"/>
      <c r="W15" s="12"/>
      <c r="X15" s="12"/>
      <c r="Y15" s="12"/>
      <c r="Z15" s="12"/>
    </row>
    <row r="16" spans="1:26" ht="16.2" hidden="1" outlineLevel="1" thickBot="1" x14ac:dyDescent="0.35">
      <c r="B16" s="14"/>
      <c r="C16" s="15"/>
      <c r="D16" s="295"/>
      <c r="E16" s="15"/>
      <c r="F16" s="14"/>
      <c r="G16" s="14"/>
      <c r="H16" s="14"/>
      <c r="I16" s="290"/>
      <c r="J16" s="10"/>
      <c r="K16" s="261"/>
      <c r="L16" s="11"/>
      <c r="M16" s="10"/>
      <c r="N16" s="16"/>
      <c r="O16" s="10"/>
      <c r="P16" s="10"/>
      <c r="Q16" s="10"/>
      <c r="R16" s="10"/>
      <c r="S16" s="278">
        <v>0</v>
      </c>
      <c r="T16" s="261"/>
      <c r="U16" s="12"/>
      <c r="V16" s="12"/>
      <c r="W16" s="12"/>
      <c r="X16" s="12"/>
      <c r="Y16" s="12"/>
      <c r="Z16" s="12"/>
    </row>
    <row r="17" spans="1:26" ht="16.2" hidden="1" outlineLevel="1" thickBot="1" x14ac:dyDescent="0.35">
      <c r="B17" s="14"/>
      <c r="C17" s="15"/>
      <c r="D17" s="295"/>
      <c r="E17" s="295"/>
      <c r="F17" s="14"/>
      <c r="G17" s="14"/>
      <c r="H17" s="14"/>
      <c r="I17" s="294"/>
      <c r="J17" s="10"/>
      <c r="K17" s="261"/>
      <c r="L17" s="11"/>
      <c r="M17" s="10"/>
      <c r="N17" s="16"/>
      <c r="O17" s="10"/>
      <c r="P17" s="10"/>
      <c r="Q17" s="10"/>
      <c r="R17" s="10"/>
      <c r="S17" s="278">
        <v>0</v>
      </c>
      <c r="T17" s="261"/>
      <c r="U17" s="12"/>
      <c r="V17" s="12"/>
      <c r="W17" s="12"/>
      <c r="X17" s="12"/>
      <c r="Y17" s="12"/>
      <c r="Z17" s="12"/>
    </row>
    <row r="18" spans="1:26" ht="16.2" hidden="1" outlineLevel="1" thickBot="1" x14ac:dyDescent="0.35">
      <c r="B18" s="14"/>
      <c r="C18" s="15"/>
      <c r="D18" s="295"/>
      <c r="E18" s="15"/>
      <c r="F18" s="14"/>
      <c r="G18" s="14"/>
      <c r="H18" s="14"/>
      <c r="I18" s="294"/>
      <c r="J18" s="10"/>
      <c r="K18" s="261"/>
      <c r="L18" s="11"/>
      <c r="M18" s="10"/>
      <c r="N18" s="16"/>
      <c r="O18" s="10"/>
      <c r="P18" s="10"/>
      <c r="Q18" s="10"/>
      <c r="R18" s="10"/>
      <c r="S18" s="278">
        <v>0</v>
      </c>
      <c r="T18" s="261"/>
      <c r="U18" s="12"/>
      <c r="V18" s="12"/>
      <c r="W18" s="12"/>
      <c r="X18" s="12"/>
      <c r="Y18" s="12"/>
      <c r="Z18" s="12"/>
    </row>
    <row r="19" spans="1:26" ht="16.2" hidden="1" outlineLevel="1" thickBot="1" x14ac:dyDescent="0.35">
      <c r="B19" s="14"/>
      <c r="C19" s="15"/>
      <c r="D19" s="295"/>
      <c r="E19" s="15"/>
      <c r="F19" s="14"/>
      <c r="G19" s="14"/>
      <c r="H19" s="14"/>
      <c r="I19" s="290"/>
      <c r="J19" s="10"/>
      <c r="K19" s="261"/>
      <c r="L19" s="11"/>
      <c r="M19" s="10"/>
      <c r="N19" s="16"/>
      <c r="O19" s="10"/>
      <c r="P19" s="10"/>
      <c r="Q19" s="10"/>
      <c r="R19" s="10"/>
      <c r="S19" s="278">
        <v>0</v>
      </c>
      <c r="T19" s="261"/>
      <c r="U19" s="12"/>
      <c r="V19" s="12"/>
      <c r="W19" s="12"/>
      <c r="X19" s="12"/>
      <c r="Y19" s="12"/>
      <c r="Z19" s="12"/>
    </row>
    <row r="20" spans="1:26" ht="16.2" outlineLevel="1" thickBot="1" x14ac:dyDescent="0.35">
      <c r="B20" s="260"/>
      <c r="C20" s="295"/>
      <c r="D20" s="295"/>
      <c r="E20" s="295"/>
      <c r="F20" s="260"/>
      <c r="G20" s="260"/>
      <c r="H20" s="260"/>
      <c r="I20" s="290"/>
      <c r="J20" s="10">
        <f t="shared" ref="J20:J30" si="4">+I20</f>
        <v>0</v>
      </c>
      <c r="K20" s="261"/>
      <c r="L20" s="11"/>
      <c r="M20" s="10">
        <f t="shared" ref="M20:M30" si="5">SUM(J20:L20)</f>
        <v>0</v>
      </c>
      <c r="N20" s="16">
        <v>0</v>
      </c>
      <c r="O20" s="10" t="str">
        <f t="shared" si="0"/>
        <v/>
      </c>
      <c r="P20" s="10" t="str">
        <f t="shared" si="1"/>
        <v/>
      </c>
      <c r="Q20" s="10">
        <f t="shared" si="2"/>
        <v>0</v>
      </c>
      <c r="R20" s="10">
        <f t="shared" ref="R20:R28" si="6">$R$2*M20</f>
        <v>0</v>
      </c>
      <c r="S20" s="278">
        <v>0</v>
      </c>
      <c r="T20" s="261"/>
      <c r="U20" s="12">
        <f>$U$2*F20</f>
        <v>0</v>
      </c>
      <c r="V20" s="12">
        <f t="shared" ref="V20:V30" si="7">+M20*$V$2</f>
        <v>0</v>
      </c>
      <c r="W20" s="12"/>
      <c r="X20" s="12"/>
      <c r="Y20" s="12">
        <f t="shared" ref="Y20:Y27" si="8">SUM(O20:X20)</f>
        <v>0</v>
      </c>
      <c r="Z20" s="12">
        <f t="shared" si="3"/>
        <v>0</v>
      </c>
    </row>
    <row r="21" spans="1:26" ht="16.2" outlineLevel="1" thickBot="1" x14ac:dyDescent="0.35">
      <c r="A21" s="6" t="s">
        <v>1288</v>
      </c>
      <c r="B21" s="260">
        <v>1300</v>
      </c>
      <c r="C21" s="295"/>
      <c r="D21" s="295" t="s">
        <v>1302</v>
      </c>
      <c r="E21" s="295" t="s">
        <v>1303</v>
      </c>
      <c r="F21" s="260">
        <v>1</v>
      </c>
      <c r="G21" s="260"/>
      <c r="H21" s="260"/>
      <c r="I21" s="290">
        <v>76307</v>
      </c>
      <c r="J21" s="10">
        <f t="shared" si="4"/>
        <v>76307</v>
      </c>
      <c r="K21" s="261">
        <v>1500</v>
      </c>
      <c r="L21" s="11"/>
      <c r="M21" s="10">
        <f t="shared" si="5"/>
        <v>77807</v>
      </c>
      <c r="N21" s="16" t="s">
        <v>1191</v>
      </c>
      <c r="O21" s="10">
        <f t="shared" si="0"/>
        <v>12565.8305</v>
      </c>
      <c r="P21" s="10" t="str">
        <f t="shared" si="1"/>
        <v/>
      </c>
      <c r="Q21" s="10" t="str">
        <f t="shared" si="2"/>
        <v/>
      </c>
      <c r="R21" s="10">
        <f t="shared" si="6"/>
        <v>1128.2015000000001</v>
      </c>
      <c r="S21" s="278">
        <v>0</v>
      </c>
      <c r="T21" s="261">
        <v>11464</v>
      </c>
      <c r="U21" s="12">
        <v>400</v>
      </c>
      <c r="V21" s="12">
        <f t="shared" si="7"/>
        <v>1011.491</v>
      </c>
      <c r="W21" s="12"/>
      <c r="X21" s="12"/>
      <c r="Y21" s="12">
        <f t="shared" si="8"/>
        <v>26569.523000000001</v>
      </c>
      <c r="Z21" s="12">
        <f t="shared" si="3"/>
        <v>104376.523</v>
      </c>
    </row>
    <row r="22" spans="1:26" ht="16.2" outlineLevel="1" thickBot="1" x14ac:dyDescent="0.35">
      <c r="B22" s="260"/>
      <c r="C22" s="295"/>
      <c r="D22" s="295"/>
      <c r="E22" s="295"/>
      <c r="F22" s="260"/>
      <c r="G22" s="260"/>
      <c r="H22" s="260"/>
      <c r="I22" s="290"/>
      <c r="J22" s="10">
        <f t="shared" si="4"/>
        <v>0</v>
      </c>
      <c r="K22" s="261"/>
      <c r="L22" s="11"/>
      <c r="M22" s="10">
        <f t="shared" si="5"/>
        <v>0</v>
      </c>
      <c r="N22" s="16"/>
      <c r="O22" s="10" t="str">
        <f t="shared" si="0"/>
        <v/>
      </c>
      <c r="P22" s="10" t="str">
        <f t="shared" si="1"/>
        <v/>
      </c>
      <c r="Q22" s="10">
        <f t="shared" si="2"/>
        <v>0</v>
      </c>
      <c r="R22" s="10">
        <f t="shared" si="6"/>
        <v>0</v>
      </c>
      <c r="S22" s="278">
        <v>0</v>
      </c>
      <c r="T22" s="261"/>
      <c r="U22" s="12">
        <f>$U$2*F22</f>
        <v>0</v>
      </c>
      <c r="V22" s="12">
        <f t="shared" si="7"/>
        <v>0</v>
      </c>
      <c r="W22" s="12"/>
      <c r="X22" s="12"/>
      <c r="Y22" s="12">
        <f t="shared" si="8"/>
        <v>0</v>
      </c>
      <c r="Z22" s="12">
        <f t="shared" si="3"/>
        <v>0</v>
      </c>
    </row>
    <row r="23" spans="1:26" ht="16.2" outlineLevel="1" thickBot="1" x14ac:dyDescent="0.35">
      <c r="A23" s="6" t="s">
        <v>1153</v>
      </c>
      <c r="B23" s="260">
        <v>2100</v>
      </c>
      <c r="C23" s="295"/>
      <c r="D23" s="295" t="s">
        <v>1304</v>
      </c>
      <c r="E23" s="295" t="s">
        <v>1315</v>
      </c>
      <c r="F23" s="260">
        <v>17.5</v>
      </c>
      <c r="G23" s="260">
        <v>32</v>
      </c>
      <c r="H23" s="260">
        <v>34</v>
      </c>
      <c r="I23" s="290">
        <f>F23*G23*H23</f>
        <v>19040</v>
      </c>
      <c r="J23" s="10">
        <f t="shared" si="4"/>
        <v>19040</v>
      </c>
      <c r="K23" s="261"/>
      <c r="L23" s="11"/>
      <c r="M23" s="10">
        <f t="shared" si="5"/>
        <v>19040</v>
      </c>
      <c r="N23" s="16"/>
      <c r="O23" s="10" t="str">
        <f t="shared" si="0"/>
        <v/>
      </c>
      <c r="P23" s="10" t="str">
        <f t="shared" si="1"/>
        <v/>
      </c>
      <c r="Q23" s="10">
        <f t="shared" si="2"/>
        <v>1190</v>
      </c>
      <c r="R23" s="10">
        <f t="shared" si="6"/>
        <v>276.08000000000004</v>
      </c>
      <c r="S23" s="278">
        <v>0</v>
      </c>
      <c r="T23" s="261">
        <v>0</v>
      </c>
      <c r="U23" s="12">
        <v>400</v>
      </c>
      <c r="V23" s="12">
        <f t="shared" si="7"/>
        <v>247.51999999999998</v>
      </c>
      <c r="W23" s="12"/>
      <c r="X23" s="12"/>
      <c r="Y23" s="12">
        <f t="shared" si="8"/>
        <v>2113.6</v>
      </c>
      <c r="Z23" s="12">
        <f t="shared" si="3"/>
        <v>21153.599999999999</v>
      </c>
    </row>
    <row r="24" spans="1:26" ht="16.2" outlineLevel="1" thickBot="1" x14ac:dyDescent="0.35">
      <c r="B24" s="260">
        <v>2100</v>
      </c>
      <c r="C24" s="295"/>
      <c r="D24" s="295" t="s">
        <v>1305</v>
      </c>
      <c r="E24" s="295" t="s">
        <v>1315</v>
      </c>
      <c r="F24" s="260">
        <v>14.45</v>
      </c>
      <c r="G24" s="260">
        <v>30</v>
      </c>
      <c r="H24" s="260">
        <v>36</v>
      </c>
      <c r="I24" s="290">
        <f t="shared" ref="I24:I30" si="9">F24*G24*H24</f>
        <v>15606</v>
      </c>
      <c r="J24" s="10">
        <f t="shared" si="4"/>
        <v>15606</v>
      </c>
      <c r="K24" s="261">
        <v>630</v>
      </c>
      <c r="L24" s="11"/>
      <c r="M24" s="10">
        <f t="shared" si="5"/>
        <v>16236</v>
      </c>
      <c r="N24" s="16"/>
      <c r="O24" s="10" t="str">
        <f t="shared" si="0"/>
        <v/>
      </c>
      <c r="P24" s="10" t="str">
        <f t="shared" si="1"/>
        <v/>
      </c>
      <c r="Q24" s="10">
        <f t="shared" si="2"/>
        <v>1014.75</v>
      </c>
      <c r="R24" s="10">
        <f t="shared" si="6"/>
        <v>235.42200000000003</v>
      </c>
      <c r="S24" s="278">
        <v>0</v>
      </c>
      <c r="T24" s="261"/>
      <c r="U24" s="12">
        <v>400</v>
      </c>
      <c r="V24" s="12">
        <f t="shared" si="7"/>
        <v>211.06799999999998</v>
      </c>
      <c r="W24" s="12"/>
      <c r="X24" s="12"/>
      <c r="Y24" s="12">
        <f t="shared" si="8"/>
        <v>1861.24</v>
      </c>
      <c r="Z24" s="12">
        <f t="shared" si="3"/>
        <v>18097.240000000002</v>
      </c>
    </row>
    <row r="25" spans="1:26" ht="16.2" outlineLevel="1" thickBot="1" x14ac:dyDescent="0.35">
      <c r="B25" s="260">
        <v>2100</v>
      </c>
      <c r="C25" s="295"/>
      <c r="D25" s="295" t="s">
        <v>1311</v>
      </c>
      <c r="E25" s="295" t="s">
        <v>1315</v>
      </c>
      <c r="F25" s="260">
        <v>14.5</v>
      </c>
      <c r="G25" s="260">
        <v>30</v>
      </c>
      <c r="H25" s="260">
        <v>36</v>
      </c>
      <c r="I25" s="290">
        <f>F25*G25*H25</f>
        <v>15660</v>
      </c>
      <c r="J25" s="10">
        <f>+I25</f>
        <v>15660</v>
      </c>
      <c r="K25" s="261"/>
      <c r="L25" s="11"/>
      <c r="M25" s="10">
        <f>SUM(J25:L25)</f>
        <v>15660</v>
      </c>
      <c r="N25" s="16"/>
      <c r="O25" s="10" t="str">
        <f t="shared" si="0"/>
        <v/>
      </c>
      <c r="P25" s="10" t="str">
        <f t="shared" si="1"/>
        <v/>
      </c>
      <c r="Q25" s="10">
        <f t="shared" si="2"/>
        <v>978.75</v>
      </c>
      <c r="R25" s="10">
        <f>$R$2*M25</f>
        <v>227.07000000000002</v>
      </c>
      <c r="S25" s="278">
        <v>0</v>
      </c>
      <c r="T25" s="261"/>
      <c r="U25" s="12">
        <v>400</v>
      </c>
      <c r="V25" s="12">
        <f>+M25*$V$2</f>
        <v>203.57999999999998</v>
      </c>
      <c r="W25" s="12"/>
      <c r="X25" s="12"/>
      <c r="Y25" s="12">
        <f>SUM(O25:X25)</f>
        <v>1809.3999999999999</v>
      </c>
      <c r="Z25" s="12">
        <f>Y25+M25</f>
        <v>17469.400000000001</v>
      </c>
    </row>
    <row r="26" spans="1:26" ht="16.2" outlineLevel="1" thickBot="1" x14ac:dyDescent="0.35">
      <c r="B26" s="260">
        <v>2100</v>
      </c>
      <c r="C26" s="295"/>
      <c r="D26" s="295" t="s">
        <v>1306</v>
      </c>
      <c r="E26" s="295" t="s">
        <v>1315</v>
      </c>
      <c r="F26" s="260">
        <v>14.7</v>
      </c>
      <c r="G26" s="260">
        <v>15</v>
      </c>
      <c r="H26" s="260">
        <v>36</v>
      </c>
      <c r="I26" s="290">
        <f t="shared" si="9"/>
        <v>7938</v>
      </c>
      <c r="J26" s="10">
        <f t="shared" si="4"/>
        <v>7938</v>
      </c>
      <c r="K26" s="261"/>
      <c r="L26" s="11"/>
      <c r="M26" s="10">
        <f t="shared" si="5"/>
        <v>7938</v>
      </c>
      <c r="N26" s="16"/>
      <c r="O26" s="10" t="str">
        <f t="shared" si="0"/>
        <v/>
      </c>
      <c r="P26" s="10" t="str">
        <f t="shared" si="1"/>
        <v/>
      </c>
      <c r="Q26" s="10">
        <f t="shared" si="2"/>
        <v>496.125</v>
      </c>
      <c r="R26" s="10">
        <f t="shared" si="6"/>
        <v>115.101</v>
      </c>
      <c r="S26" s="278">
        <v>0</v>
      </c>
      <c r="T26" s="261"/>
      <c r="U26" s="12">
        <v>400</v>
      </c>
      <c r="V26" s="12">
        <f t="shared" si="7"/>
        <v>103.19399999999999</v>
      </c>
      <c r="W26" s="12"/>
      <c r="X26" s="12"/>
      <c r="Y26" s="12">
        <f t="shared" si="8"/>
        <v>1114.42</v>
      </c>
      <c r="Z26" s="12">
        <f t="shared" si="3"/>
        <v>9052.42</v>
      </c>
    </row>
    <row r="27" spans="1:26" ht="16.2" outlineLevel="1" thickBot="1" x14ac:dyDescent="0.35">
      <c r="B27" s="260">
        <v>2100</v>
      </c>
      <c r="C27" s="295"/>
      <c r="D27" s="295" t="s">
        <v>1307</v>
      </c>
      <c r="E27" s="295" t="s">
        <v>1315</v>
      </c>
      <c r="F27" s="260">
        <v>1</v>
      </c>
      <c r="G27" s="260">
        <v>0</v>
      </c>
      <c r="H27" s="260">
        <v>0</v>
      </c>
      <c r="I27" s="290">
        <v>38000</v>
      </c>
      <c r="J27" s="10">
        <f t="shared" si="4"/>
        <v>38000</v>
      </c>
      <c r="K27" s="261">
        <v>0</v>
      </c>
      <c r="L27" s="11">
        <v>693</v>
      </c>
      <c r="M27" s="10">
        <f t="shared" si="5"/>
        <v>38693</v>
      </c>
      <c r="N27" s="16"/>
      <c r="O27" s="10" t="str">
        <f t="shared" si="0"/>
        <v/>
      </c>
      <c r="P27" s="10" t="str">
        <f t="shared" si="1"/>
        <v/>
      </c>
      <c r="Q27" s="10">
        <f t="shared" si="2"/>
        <v>2418.3125</v>
      </c>
      <c r="R27" s="10">
        <f t="shared" si="6"/>
        <v>561.04849999999999</v>
      </c>
      <c r="S27" s="278">
        <v>0</v>
      </c>
      <c r="T27" s="261">
        <v>9514</v>
      </c>
      <c r="U27" s="12">
        <v>400</v>
      </c>
      <c r="V27" s="12">
        <f t="shared" si="7"/>
        <v>503.00899999999996</v>
      </c>
      <c r="W27" s="12"/>
      <c r="X27" s="12"/>
      <c r="Y27" s="12">
        <f t="shared" si="8"/>
        <v>13396.37</v>
      </c>
      <c r="Z27" s="12">
        <f t="shared" si="3"/>
        <v>52089.37</v>
      </c>
    </row>
    <row r="28" spans="1:26" ht="16.2" outlineLevel="1" thickBot="1" x14ac:dyDescent="0.35">
      <c r="B28" s="260">
        <v>2100</v>
      </c>
      <c r="C28" s="295"/>
      <c r="D28" s="295" t="s">
        <v>1308</v>
      </c>
      <c r="E28" s="295" t="s">
        <v>1315</v>
      </c>
      <c r="F28" s="260">
        <v>27</v>
      </c>
      <c r="G28" s="260">
        <v>14</v>
      </c>
      <c r="H28" s="260">
        <v>36</v>
      </c>
      <c r="I28" s="290">
        <f t="shared" si="9"/>
        <v>13608</v>
      </c>
      <c r="J28" s="10">
        <f t="shared" si="4"/>
        <v>13608</v>
      </c>
      <c r="K28" s="10"/>
      <c r="L28" s="11"/>
      <c r="M28" s="10">
        <f t="shared" si="5"/>
        <v>13608</v>
      </c>
      <c r="N28" s="16"/>
      <c r="O28" s="10"/>
      <c r="P28" s="10" t="str">
        <f t="shared" si="1"/>
        <v/>
      </c>
      <c r="Q28" s="10">
        <f t="shared" si="2"/>
        <v>850.5</v>
      </c>
      <c r="R28" s="10">
        <f t="shared" si="6"/>
        <v>197.316</v>
      </c>
      <c r="S28" s="278">
        <v>0</v>
      </c>
      <c r="T28" s="261">
        <v>0</v>
      </c>
      <c r="U28" s="12">
        <v>400</v>
      </c>
      <c r="V28" s="12">
        <f t="shared" si="7"/>
        <v>176.904</v>
      </c>
      <c r="W28" s="12"/>
      <c r="X28" s="12"/>
      <c r="Y28" s="12">
        <f>SUM(O28:X28)</f>
        <v>1624.72</v>
      </c>
      <c r="Z28" s="12">
        <f>Y28+M28</f>
        <v>15232.72</v>
      </c>
    </row>
    <row r="29" spans="1:26" ht="16.2" outlineLevel="1" thickBot="1" x14ac:dyDescent="0.35">
      <c r="B29" s="260">
        <v>2100</v>
      </c>
      <c r="C29" s="295"/>
      <c r="D29" s="295" t="s">
        <v>1316</v>
      </c>
      <c r="E29" s="295" t="s">
        <v>1315</v>
      </c>
      <c r="F29" s="260">
        <v>14.5</v>
      </c>
      <c r="G29" s="260">
        <v>32</v>
      </c>
      <c r="H29" s="260">
        <v>24</v>
      </c>
      <c r="I29" s="294">
        <f t="shared" si="9"/>
        <v>11136</v>
      </c>
      <c r="J29" s="261">
        <f t="shared" si="4"/>
        <v>11136</v>
      </c>
      <c r="K29" s="10">
        <v>300</v>
      </c>
      <c r="L29" s="11"/>
      <c r="M29" s="10">
        <f>SUM(J29:L29)</f>
        <v>11436</v>
      </c>
      <c r="N29" s="16"/>
      <c r="O29" s="10"/>
      <c r="P29" s="10" t="str">
        <f t="shared" si="1"/>
        <v/>
      </c>
      <c r="Q29" s="10">
        <f t="shared" si="2"/>
        <v>714.75</v>
      </c>
      <c r="R29" s="10">
        <f>$R$2*M29</f>
        <v>165.822</v>
      </c>
      <c r="S29" s="278">
        <v>0</v>
      </c>
      <c r="T29" s="261">
        <v>0</v>
      </c>
      <c r="U29" s="12">
        <v>400</v>
      </c>
      <c r="V29" s="12">
        <f>+M29*$V$2</f>
        <v>148.66800000000001</v>
      </c>
      <c r="W29" s="12"/>
      <c r="X29" s="12"/>
      <c r="Y29" s="12">
        <f>SUM(O29:X29)</f>
        <v>1429.2400000000002</v>
      </c>
      <c r="Z29" s="12">
        <f>Y29+M29</f>
        <v>12865.24</v>
      </c>
    </row>
    <row r="30" spans="1:26" ht="16.2" outlineLevel="1" thickBot="1" x14ac:dyDescent="0.35">
      <c r="B30" s="260">
        <v>2200</v>
      </c>
      <c r="C30" s="322" t="s">
        <v>1301</v>
      </c>
      <c r="D30" s="295" t="s">
        <v>1309</v>
      </c>
      <c r="E30" s="295" t="s">
        <v>1310</v>
      </c>
      <c r="F30" s="260">
        <v>27.5</v>
      </c>
      <c r="G30" s="260">
        <v>25</v>
      </c>
      <c r="H30" s="260">
        <v>38</v>
      </c>
      <c r="I30" s="290">
        <f t="shared" si="9"/>
        <v>26125</v>
      </c>
      <c r="J30" s="10">
        <f t="shared" si="4"/>
        <v>26125</v>
      </c>
      <c r="K30" s="10"/>
      <c r="L30" s="11"/>
      <c r="M30" s="10">
        <f t="shared" si="5"/>
        <v>26125</v>
      </c>
      <c r="N30" s="16"/>
      <c r="O30" s="10"/>
      <c r="P30" s="10"/>
      <c r="Q30" s="10">
        <f t="shared" si="2"/>
        <v>1632.8125</v>
      </c>
      <c r="R30" s="10">
        <f>$R$2*M30</f>
        <v>378.8125</v>
      </c>
      <c r="S30" s="278">
        <v>0</v>
      </c>
      <c r="T30" s="261"/>
      <c r="U30" s="12">
        <v>400</v>
      </c>
      <c r="V30" s="12">
        <f t="shared" si="7"/>
        <v>339.625</v>
      </c>
      <c r="W30" s="12"/>
      <c r="X30" s="12"/>
      <c r="Y30" s="12">
        <f>SUM(O30:X30)</f>
        <v>2751.25</v>
      </c>
      <c r="Z30" s="12">
        <f>Y30+M30</f>
        <v>28876.25</v>
      </c>
    </row>
    <row r="31" spans="1:26" ht="16.2" outlineLevel="1" thickBot="1" x14ac:dyDescent="0.35">
      <c r="B31" s="260">
        <v>2400</v>
      </c>
      <c r="C31" s="295"/>
      <c r="D31" s="295" t="s">
        <v>1312</v>
      </c>
      <c r="E31" s="295" t="s">
        <v>1313</v>
      </c>
      <c r="F31" s="260">
        <v>18</v>
      </c>
      <c r="G31" s="260">
        <v>38</v>
      </c>
      <c r="H31" s="260">
        <v>38</v>
      </c>
      <c r="I31" s="290">
        <f>F31*G31*H31</f>
        <v>25992</v>
      </c>
      <c r="J31" s="10">
        <f>+I31</f>
        <v>25992</v>
      </c>
      <c r="K31" s="10"/>
      <c r="L31" s="11"/>
      <c r="M31" s="10">
        <f>SUM(J31:L31)</f>
        <v>25992</v>
      </c>
      <c r="N31" s="16"/>
      <c r="O31" s="10"/>
      <c r="P31" s="10"/>
      <c r="Q31" s="10">
        <f t="shared" si="2"/>
        <v>1624.5</v>
      </c>
      <c r="R31" s="10">
        <f>$R$2*M31</f>
        <v>376.88400000000001</v>
      </c>
      <c r="S31" s="278">
        <v>0</v>
      </c>
      <c r="T31" s="261">
        <v>0</v>
      </c>
      <c r="U31" s="12">
        <v>400</v>
      </c>
      <c r="V31" s="12">
        <f>+M31*$V$2</f>
        <v>337.89599999999996</v>
      </c>
      <c r="W31" s="12"/>
      <c r="X31" s="12"/>
      <c r="Y31" s="12">
        <f>SUM(O31:X31)</f>
        <v>2739.2799999999997</v>
      </c>
      <c r="Z31" s="12">
        <f>Y31+M31</f>
        <v>28731.279999999999</v>
      </c>
    </row>
    <row r="32" spans="1:26" ht="16.2" outlineLevel="1" thickBot="1" x14ac:dyDescent="0.35">
      <c r="B32" s="260">
        <v>2900</v>
      </c>
      <c r="C32" s="295"/>
      <c r="D32" s="295" t="s">
        <v>1331</v>
      </c>
      <c r="E32" s="295" t="s">
        <v>1314</v>
      </c>
      <c r="F32" s="260"/>
      <c r="G32" s="260">
        <v>20</v>
      </c>
      <c r="H32" s="260">
        <v>36</v>
      </c>
      <c r="I32" s="290">
        <f>F32*G32*H32</f>
        <v>0</v>
      </c>
      <c r="J32" s="10">
        <f>+I32</f>
        <v>0</v>
      </c>
      <c r="K32" s="10"/>
      <c r="L32" s="11"/>
      <c r="M32" s="10">
        <f>SUM(J32:L32)</f>
        <v>0</v>
      </c>
      <c r="N32" s="16"/>
      <c r="O32" s="10"/>
      <c r="P32" s="10"/>
      <c r="Q32" s="10">
        <f t="shared" si="2"/>
        <v>0</v>
      </c>
      <c r="R32" s="10">
        <f>$R$2*M32</f>
        <v>0</v>
      </c>
      <c r="S32" s="278">
        <v>0</v>
      </c>
      <c r="T32" s="261"/>
      <c r="U32" s="12">
        <v>400</v>
      </c>
      <c r="V32" s="12">
        <f>+M32*$V$2</f>
        <v>0</v>
      </c>
      <c r="W32" s="12"/>
      <c r="X32" s="12"/>
      <c r="Y32" s="12">
        <f>SUM(O32:X32)</f>
        <v>400</v>
      </c>
      <c r="Z32" s="12">
        <f>Y32+M32</f>
        <v>400</v>
      </c>
    </row>
    <row r="33" spans="1:26" ht="16.2" outlineLevel="1" thickBot="1" x14ac:dyDescent="0.35">
      <c r="B33" s="7">
        <v>2100</v>
      </c>
      <c r="D33" s="7" t="s">
        <v>1332</v>
      </c>
      <c r="E33" s="7" t="s">
        <v>1333</v>
      </c>
      <c r="F33" s="323">
        <v>13.75</v>
      </c>
      <c r="G33" s="323">
        <v>20</v>
      </c>
      <c r="H33" s="323">
        <v>18</v>
      </c>
      <c r="I33" s="291">
        <f>F33*G33*H33</f>
        <v>4950</v>
      </c>
      <c r="J33" s="7">
        <f>+I33</f>
        <v>4950</v>
      </c>
      <c r="M33" s="6">
        <f>SUM(J33:L33)</f>
        <v>4950</v>
      </c>
      <c r="Q33" s="6">
        <f t="shared" si="2"/>
        <v>309.375</v>
      </c>
      <c r="R33" s="6">
        <f>$R$2*M33</f>
        <v>71.775000000000006</v>
      </c>
      <c r="T33" s="265"/>
      <c r="V33" s="6">
        <f>+M33*$V$2</f>
        <v>64.349999999999994</v>
      </c>
    </row>
    <row r="34" spans="1:26" ht="16.2" thickBot="1" x14ac:dyDescent="0.35">
      <c r="A34" s="22"/>
      <c r="B34" s="38"/>
      <c r="C34" s="38"/>
      <c r="D34" s="38"/>
      <c r="E34" s="38"/>
      <c r="F34" s="38"/>
      <c r="G34" s="311"/>
      <c r="H34" s="311"/>
      <c r="I34" s="292"/>
      <c r="J34" s="38"/>
      <c r="K34" s="38"/>
      <c r="L34" s="38"/>
      <c r="M34" s="22"/>
      <c r="N34" s="38"/>
      <c r="O34" s="22"/>
      <c r="P34" s="22"/>
      <c r="Q34" s="22"/>
      <c r="R34" s="22"/>
      <c r="S34" s="38"/>
      <c r="T34" s="22"/>
      <c r="U34" s="22"/>
      <c r="V34" s="22"/>
      <c r="W34" s="22"/>
      <c r="X34" s="22"/>
      <c r="Y34" s="22"/>
      <c r="Z34" s="22"/>
    </row>
    <row r="35" spans="1:26" x14ac:dyDescent="0.3">
      <c r="B35" s="33" t="s">
        <v>740</v>
      </c>
      <c r="C35" s="37"/>
      <c r="D35" s="3"/>
      <c r="E35" s="36"/>
      <c r="F35" s="37">
        <f>SUM(F7:F34)</f>
        <v>203.9</v>
      </c>
      <c r="G35" s="37"/>
      <c r="H35" s="37"/>
      <c r="I35" s="37"/>
      <c r="J35" s="77">
        <f>SUM(J7:J34)</f>
        <v>426433.23</v>
      </c>
      <c r="K35" s="37">
        <f>SUM(K7:K34)</f>
        <v>12130</v>
      </c>
      <c r="L35" s="37">
        <f>SUM(L7:L34)</f>
        <v>1443</v>
      </c>
      <c r="M35" s="77">
        <f>SUM(M7:M34)</f>
        <v>440006.23</v>
      </c>
      <c r="O35" s="37">
        <f>SUM(O7:O34)</f>
        <v>38840.218999999997</v>
      </c>
      <c r="P35" s="37">
        <f>SUM(P7:P34)</f>
        <v>0</v>
      </c>
      <c r="Q35" s="37">
        <f>SUM(Q7:Q34)</f>
        <v>11229.875</v>
      </c>
      <c r="R35" s="37">
        <f>SUM(R7:R34)</f>
        <v>6380.090334999999</v>
      </c>
      <c r="S35" s="37"/>
      <c r="T35" s="37">
        <f t="shared" ref="T35:Z35" si="10">SUM(T7:T34)</f>
        <v>53425.36</v>
      </c>
      <c r="U35" s="37">
        <f t="shared" si="10"/>
        <v>6173.3899999999994</v>
      </c>
      <c r="V35" s="37">
        <f t="shared" si="10"/>
        <v>5720.0809899999995</v>
      </c>
      <c r="W35" s="37">
        <f t="shared" si="10"/>
        <v>0</v>
      </c>
      <c r="X35" s="37">
        <f t="shared" si="10"/>
        <v>0</v>
      </c>
      <c r="Y35" s="37">
        <f t="shared" si="10"/>
        <v>121323.515325</v>
      </c>
      <c r="Z35" s="37">
        <f t="shared" si="10"/>
        <v>556379.74532500003</v>
      </c>
    </row>
    <row r="37" spans="1:26" x14ac:dyDescent="0.3">
      <c r="B37" s="33"/>
      <c r="F37" s="37"/>
      <c r="G37" s="37"/>
      <c r="H37" s="37"/>
      <c r="I37" s="37"/>
      <c r="J37" s="37"/>
      <c r="K37" s="37"/>
      <c r="L37" s="37"/>
      <c r="M37" s="37"/>
      <c r="O37" s="37"/>
      <c r="P37" s="37"/>
      <c r="Q37" s="37"/>
      <c r="R37" s="37"/>
      <c r="S37" s="37"/>
      <c r="T37" s="37"/>
      <c r="U37" s="37"/>
      <c r="V37" s="37"/>
      <c r="W37" s="37"/>
      <c r="X37" s="37"/>
      <c r="Y37" s="37"/>
      <c r="Z37" s="37"/>
    </row>
    <row r="38" spans="1:26" x14ac:dyDescent="0.3">
      <c r="Z38" s="12"/>
    </row>
    <row r="40" spans="1:26" x14ac:dyDescent="0.3">
      <c r="I40" s="297"/>
    </row>
  </sheetData>
  <sortState xmlns:xlrd2="http://schemas.microsoft.com/office/spreadsheetml/2017/richdata2" ref="B7:Z8">
    <sortCondition ref="B7:B8"/>
    <sortCondition ref="D7:D8"/>
  </sortState>
  <printOptions horizontalCentered="1" verticalCentered="1" gridLines="1"/>
  <pageMargins left="0.25" right="0" top="0.25" bottom="0.25" header="0.3" footer="0.3"/>
  <pageSetup paperSize="5" scale="75" fitToWidth="2"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60"/>
  <sheetViews>
    <sheetView zoomScaleNormal="100" workbookViewId="0">
      <pane xSplit="1" ySplit="1" topLeftCell="B2" activePane="bottomRight" state="frozen"/>
      <selection activeCell="L14" sqref="L14"/>
      <selection pane="topRight" activeCell="L14" sqref="L14"/>
      <selection pane="bottomLeft" activeCell="L14" sqref="L14"/>
      <selection pane="bottomRight" activeCell="L14" sqref="L14"/>
    </sheetView>
  </sheetViews>
  <sheetFormatPr defaultRowHeight="12.6" x14ac:dyDescent="0.25"/>
  <cols>
    <col min="1" max="1" width="13.33203125" style="153" customWidth="1"/>
    <col min="2" max="5" width="9.109375" style="153" hidden="1" customWidth="1"/>
    <col min="6" max="6" width="14.33203125" style="153" customWidth="1"/>
    <col min="7" max="8" width="11.44140625" style="153" bestFit="1" customWidth="1"/>
    <col min="9" max="14" width="12" style="153" bestFit="1" customWidth="1"/>
    <col min="15" max="17" width="12.44140625" style="153" bestFit="1" customWidth="1"/>
    <col min="18" max="18" width="13.88671875" style="221" bestFit="1" customWidth="1"/>
    <col min="19" max="19" width="9.109375" style="157"/>
    <col min="20" max="256" width="9.109375" style="153"/>
    <col min="257" max="257" width="13.33203125" style="153" customWidth="1"/>
    <col min="258" max="261" width="9.109375" style="153"/>
    <col min="262" max="262" width="14.33203125" style="153" customWidth="1"/>
    <col min="263" max="269" width="9.109375" style="153"/>
    <col min="270" max="270" width="13.88671875" style="153" customWidth="1"/>
    <col min="271" max="272" width="9.109375" style="153"/>
    <col min="273" max="273" width="13.109375" style="153" customWidth="1"/>
    <col min="274" max="512" width="9.109375" style="153"/>
    <col min="513" max="513" width="13.33203125" style="153" customWidth="1"/>
    <col min="514" max="517" width="9.109375" style="153"/>
    <col min="518" max="518" width="14.33203125" style="153" customWidth="1"/>
    <col min="519" max="525" width="9.109375" style="153"/>
    <col min="526" max="526" width="13.88671875" style="153" customWidth="1"/>
    <col min="527" max="528" width="9.109375" style="153"/>
    <col min="529" max="529" width="13.109375" style="153" customWidth="1"/>
    <col min="530" max="768" width="9.109375" style="153"/>
    <col min="769" max="769" width="13.33203125" style="153" customWidth="1"/>
    <col min="770" max="773" width="9.109375" style="153"/>
    <col min="774" max="774" width="14.33203125" style="153" customWidth="1"/>
    <col min="775" max="781" width="9.109375" style="153"/>
    <col min="782" max="782" width="13.88671875" style="153" customWidth="1"/>
    <col min="783" max="784" width="9.109375" style="153"/>
    <col min="785" max="785" width="13.109375" style="153" customWidth="1"/>
    <col min="786" max="1024" width="9.109375" style="153"/>
    <col min="1025" max="1025" width="13.33203125" style="153" customWidth="1"/>
    <col min="1026" max="1029" width="9.109375" style="153"/>
    <col min="1030" max="1030" width="14.33203125" style="153" customWidth="1"/>
    <col min="1031" max="1037" width="9.109375" style="153"/>
    <col min="1038" max="1038" width="13.88671875" style="153" customWidth="1"/>
    <col min="1039" max="1040" width="9.109375" style="153"/>
    <col min="1041" max="1041" width="13.109375" style="153" customWidth="1"/>
    <col min="1042" max="1280" width="9.109375" style="153"/>
    <col min="1281" max="1281" width="13.33203125" style="153" customWidth="1"/>
    <col min="1282" max="1285" width="9.109375" style="153"/>
    <col min="1286" max="1286" width="14.33203125" style="153" customWidth="1"/>
    <col min="1287" max="1293" width="9.109375" style="153"/>
    <col min="1294" max="1294" width="13.88671875" style="153" customWidth="1"/>
    <col min="1295" max="1296" width="9.109375" style="153"/>
    <col min="1297" max="1297" width="13.109375" style="153" customWidth="1"/>
    <col min="1298" max="1536" width="9.109375" style="153"/>
    <col min="1537" max="1537" width="13.33203125" style="153" customWidth="1"/>
    <col min="1538" max="1541" width="9.109375" style="153"/>
    <col min="1542" max="1542" width="14.33203125" style="153" customWidth="1"/>
    <col min="1543" max="1549" width="9.109375" style="153"/>
    <col min="1550" max="1550" width="13.88671875" style="153" customWidth="1"/>
    <col min="1551" max="1552" width="9.109375" style="153"/>
    <col min="1553" max="1553" width="13.109375" style="153" customWidth="1"/>
    <col min="1554" max="1792" width="9.109375" style="153"/>
    <col min="1793" max="1793" width="13.33203125" style="153" customWidth="1"/>
    <col min="1794" max="1797" width="9.109375" style="153"/>
    <col min="1798" max="1798" width="14.33203125" style="153" customWidth="1"/>
    <col min="1799" max="1805" width="9.109375" style="153"/>
    <col min="1806" max="1806" width="13.88671875" style="153" customWidth="1"/>
    <col min="1807" max="1808" width="9.109375" style="153"/>
    <col min="1809" max="1809" width="13.109375" style="153" customWidth="1"/>
    <col min="1810" max="2048" width="9.109375" style="153"/>
    <col min="2049" max="2049" width="13.33203125" style="153" customWidth="1"/>
    <col min="2050" max="2053" width="9.109375" style="153"/>
    <col min="2054" max="2054" width="14.33203125" style="153" customWidth="1"/>
    <col min="2055" max="2061" width="9.109375" style="153"/>
    <col min="2062" max="2062" width="13.88671875" style="153" customWidth="1"/>
    <col min="2063" max="2064" width="9.109375" style="153"/>
    <col min="2065" max="2065" width="13.109375" style="153" customWidth="1"/>
    <col min="2066" max="2304" width="9.109375" style="153"/>
    <col min="2305" max="2305" width="13.33203125" style="153" customWidth="1"/>
    <col min="2306" max="2309" width="9.109375" style="153"/>
    <col min="2310" max="2310" width="14.33203125" style="153" customWidth="1"/>
    <col min="2311" max="2317" width="9.109375" style="153"/>
    <col min="2318" max="2318" width="13.88671875" style="153" customWidth="1"/>
    <col min="2319" max="2320" width="9.109375" style="153"/>
    <col min="2321" max="2321" width="13.109375" style="153" customWidth="1"/>
    <col min="2322" max="2560" width="9.109375" style="153"/>
    <col min="2561" max="2561" width="13.33203125" style="153" customWidth="1"/>
    <col min="2562" max="2565" width="9.109375" style="153"/>
    <col min="2566" max="2566" width="14.33203125" style="153" customWidth="1"/>
    <col min="2567" max="2573" width="9.109375" style="153"/>
    <col min="2574" max="2574" width="13.88671875" style="153" customWidth="1"/>
    <col min="2575" max="2576" width="9.109375" style="153"/>
    <col min="2577" max="2577" width="13.109375" style="153" customWidth="1"/>
    <col min="2578" max="2816" width="9.109375" style="153"/>
    <col min="2817" max="2817" width="13.33203125" style="153" customWidth="1"/>
    <col min="2818" max="2821" width="9.109375" style="153"/>
    <col min="2822" max="2822" width="14.33203125" style="153" customWidth="1"/>
    <col min="2823" max="2829" width="9.109375" style="153"/>
    <col min="2830" max="2830" width="13.88671875" style="153" customWidth="1"/>
    <col min="2831" max="2832" width="9.109375" style="153"/>
    <col min="2833" max="2833" width="13.109375" style="153" customWidth="1"/>
    <col min="2834" max="3072" width="9.109375" style="153"/>
    <col min="3073" max="3073" width="13.33203125" style="153" customWidth="1"/>
    <col min="3074" max="3077" width="9.109375" style="153"/>
    <col min="3078" max="3078" width="14.33203125" style="153" customWidth="1"/>
    <col min="3079" max="3085" width="9.109375" style="153"/>
    <col min="3086" max="3086" width="13.88671875" style="153" customWidth="1"/>
    <col min="3087" max="3088" width="9.109375" style="153"/>
    <col min="3089" max="3089" width="13.109375" style="153" customWidth="1"/>
    <col min="3090" max="3328" width="9.109375" style="153"/>
    <col min="3329" max="3329" width="13.33203125" style="153" customWidth="1"/>
    <col min="3330" max="3333" width="9.109375" style="153"/>
    <col min="3334" max="3334" width="14.33203125" style="153" customWidth="1"/>
    <col min="3335" max="3341" width="9.109375" style="153"/>
    <col min="3342" max="3342" width="13.88671875" style="153" customWidth="1"/>
    <col min="3343" max="3344" width="9.109375" style="153"/>
    <col min="3345" max="3345" width="13.109375" style="153" customWidth="1"/>
    <col min="3346" max="3584" width="9.109375" style="153"/>
    <col min="3585" max="3585" width="13.33203125" style="153" customWidth="1"/>
    <col min="3586" max="3589" width="9.109375" style="153"/>
    <col min="3590" max="3590" width="14.33203125" style="153" customWidth="1"/>
    <col min="3591" max="3597" width="9.109375" style="153"/>
    <col min="3598" max="3598" width="13.88671875" style="153" customWidth="1"/>
    <col min="3599" max="3600" width="9.109375" style="153"/>
    <col min="3601" max="3601" width="13.109375" style="153" customWidth="1"/>
    <col min="3602" max="3840" width="9.109375" style="153"/>
    <col min="3841" max="3841" width="13.33203125" style="153" customWidth="1"/>
    <col min="3842" max="3845" width="9.109375" style="153"/>
    <col min="3846" max="3846" width="14.33203125" style="153" customWidth="1"/>
    <col min="3847" max="3853" width="9.109375" style="153"/>
    <col min="3854" max="3854" width="13.88671875" style="153" customWidth="1"/>
    <col min="3855" max="3856" width="9.109375" style="153"/>
    <col min="3857" max="3857" width="13.109375" style="153" customWidth="1"/>
    <col min="3858" max="4096" width="9.109375" style="153"/>
    <col min="4097" max="4097" width="13.33203125" style="153" customWidth="1"/>
    <col min="4098" max="4101" width="9.109375" style="153"/>
    <col min="4102" max="4102" width="14.33203125" style="153" customWidth="1"/>
    <col min="4103" max="4109" width="9.109375" style="153"/>
    <col min="4110" max="4110" width="13.88671875" style="153" customWidth="1"/>
    <col min="4111" max="4112" width="9.109375" style="153"/>
    <col min="4113" max="4113" width="13.109375" style="153" customWidth="1"/>
    <col min="4114" max="4352" width="9.109375" style="153"/>
    <col min="4353" max="4353" width="13.33203125" style="153" customWidth="1"/>
    <col min="4354" max="4357" width="9.109375" style="153"/>
    <col min="4358" max="4358" width="14.33203125" style="153" customWidth="1"/>
    <col min="4359" max="4365" width="9.109375" style="153"/>
    <col min="4366" max="4366" width="13.88671875" style="153" customWidth="1"/>
    <col min="4367" max="4368" width="9.109375" style="153"/>
    <col min="4369" max="4369" width="13.109375" style="153" customWidth="1"/>
    <col min="4370" max="4608" width="9.109375" style="153"/>
    <col min="4609" max="4609" width="13.33203125" style="153" customWidth="1"/>
    <col min="4610" max="4613" width="9.109375" style="153"/>
    <col min="4614" max="4614" width="14.33203125" style="153" customWidth="1"/>
    <col min="4615" max="4621" width="9.109375" style="153"/>
    <col min="4622" max="4622" width="13.88671875" style="153" customWidth="1"/>
    <col min="4623" max="4624" width="9.109375" style="153"/>
    <col min="4625" max="4625" width="13.109375" style="153" customWidth="1"/>
    <col min="4626" max="4864" width="9.109375" style="153"/>
    <col min="4865" max="4865" width="13.33203125" style="153" customWidth="1"/>
    <col min="4866" max="4869" width="9.109375" style="153"/>
    <col min="4870" max="4870" width="14.33203125" style="153" customWidth="1"/>
    <col min="4871" max="4877" width="9.109375" style="153"/>
    <col min="4878" max="4878" width="13.88671875" style="153" customWidth="1"/>
    <col min="4879" max="4880" width="9.109375" style="153"/>
    <col min="4881" max="4881" width="13.109375" style="153" customWidth="1"/>
    <col min="4882" max="5120" width="9.109375" style="153"/>
    <col min="5121" max="5121" width="13.33203125" style="153" customWidth="1"/>
    <col min="5122" max="5125" width="9.109375" style="153"/>
    <col min="5126" max="5126" width="14.33203125" style="153" customWidth="1"/>
    <col min="5127" max="5133" width="9.109375" style="153"/>
    <col min="5134" max="5134" width="13.88671875" style="153" customWidth="1"/>
    <col min="5135" max="5136" width="9.109375" style="153"/>
    <col min="5137" max="5137" width="13.109375" style="153" customWidth="1"/>
    <col min="5138" max="5376" width="9.109375" style="153"/>
    <col min="5377" max="5377" width="13.33203125" style="153" customWidth="1"/>
    <col min="5378" max="5381" width="9.109375" style="153"/>
    <col min="5382" max="5382" width="14.33203125" style="153" customWidth="1"/>
    <col min="5383" max="5389" width="9.109375" style="153"/>
    <col min="5390" max="5390" width="13.88671875" style="153" customWidth="1"/>
    <col min="5391" max="5392" width="9.109375" style="153"/>
    <col min="5393" max="5393" width="13.109375" style="153" customWidth="1"/>
    <col min="5394" max="5632" width="9.109375" style="153"/>
    <col min="5633" max="5633" width="13.33203125" style="153" customWidth="1"/>
    <col min="5634" max="5637" width="9.109375" style="153"/>
    <col min="5638" max="5638" width="14.33203125" style="153" customWidth="1"/>
    <col min="5639" max="5645" width="9.109375" style="153"/>
    <col min="5646" max="5646" width="13.88671875" style="153" customWidth="1"/>
    <col min="5647" max="5648" width="9.109375" style="153"/>
    <col min="5649" max="5649" width="13.109375" style="153" customWidth="1"/>
    <col min="5650" max="5888" width="9.109375" style="153"/>
    <col min="5889" max="5889" width="13.33203125" style="153" customWidth="1"/>
    <col min="5890" max="5893" width="9.109375" style="153"/>
    <col min="5894" max="5894" width="14.33203125" style="153" customWidth="1"/>
    <col min="5895" max="5901" width="9.109375" style="153"/>
    <col min="5902" max="5902" width="13.88671875" style="153" customWidth="1"/>
    <col min="5903" max="5904" width="9.109375" style="153"/>
    <col min="5905" max="5905" width="13.109375" style="153" customWidth="1"/>
    <col min="5906" max="6144" width="9.109375" style="153"/>
    <col min="6145" max="6145" width="13.33203125" style="153" customWidth="1"/>
    <col min="6146" max="6149" width="9.109375" style="153"/>
    <col min="6150" max="6150" width="14.33203125" style="153" customWidth="1"/>
    <col min="6151" max="6157" width="9.109375" style="153"/>
    <col min="6158" max="6158" width="13.88671875" style="153" customWidth="1"/>
    <col min="6159" max="6160" width="9.109375" style="153"/>
    <col min="6161" max="6161" width="13.109375" style="153" customWidth="1"/>
    <col min="6162" max="6400" width="9.109375" style="153"/>
    <col min="6401" max="6401" width="13.33203125" style="153" customWidth="1"/>
    <col min="6402" max="6405" width="9.109375" style="153"/>
    <col min="6406" max="6406" width="14.33203125" style="153" customWidth="1"/>
    <col min="6407" max="6413" width="9.109375" style="153"/>
    <col min="6414" max="6414" width="13.88671875" style="153" customWidth="1"/>
    <col min="6415" max="6416" width="9.109375" style="153"/>
    <col min="6417" max="6417" width="13.109375" style="153" customWidth="1"/>
    <col min="6418" max="6656" width="9.109375" style="153"/>
    <col min="6657" max="6657" width="13.33203125" style="153" customWidth="1"/>
    <col min="6658" max="6661" width="9.109375" style="153"/>
    <col min="6662" max="6662" width="14.33203125" style="153" customWidth="1"/>
    <col min="6663" max="6669" width="9.109375" style="153"/>
    <col min="6670" max="6670" width="13.88671875" style="153" customWidth="1"/>
    <col min="6671" max="6672" width="9.109375" style="153"/>
    <col min="6673" max="6673" width="13.109375" style="153" customWidth="1"/>
    <col min="6674" max="6912" width="9.109375" style="153"/>
    <col min="6913" max="6913" width="13.33203125" style="153" customWidth="1"/>
    <col min="6914" max="6917" width="9.109375" style="153"/>
    <col min="6918" max="6918" width="14.33203125" style="153" customWidth="1"/>
    <col min="6919" max="6925" width="9.109375" style="153"/>
    <col min="6926" max="6926" width="13.88671875" style="153" customWidth="1"/>
    <col min="6927" max="6928" width="9.109375" style="153"/>
    <col min="6929" max="6929" width="13.109375" style="153" customWidth="1"/>
    <col min="6930" max="7168" width="9.109375" style="153"/>
    <col min="7169" max="7169" width="13.33203125" style="153" customWidth="1"/>
    <col min="7170" max="7173" width="9.109375" style="153"/>
    <col min="7174" max="7174" width="14.33203125" style="153" customWidth="1"/>
    <col min="7175" max="7181" width="9.109375" style="153"/>
    <col min="7182" max="7182" width="13.88671875" style="153" customWidth="1"/>
    <col min="7183" max="7184" width="9.109375" style="153"/>
    <col min="7185" max="7185" width="13.109375" style="153" customWidth="1"/>
    <col min="7186" max="7424" width="9.109375" style="153"/>
    <col min="7425" max="7425" width="13.33203125" style="153" customWidth="1"/>
    <col min="7426" max="7429" width="9.109375" style="153"/>
    <col min="7430" max="7430" width="14.33203125" style="153" customWidth="1"/>
    <col min="7431" max="7437" width="9.109375" style="153"/>
    <col min="7438" max="7438" width="13.88671875" style="153" customWidth="1"/>
    <col min="7439" max="7440" width="9.109375" style="153"/>
    <col min="7441" max="7441" width="13.109375" style="153" customWidth="1"/>
    <col min="7442" max="7680" width="9.109375" style="153"/>
    <col min="7681" max="7681" width="13.33203125" style="153" customWidth="1"/>
    <col min="7682" max="7685" width="9.109375" style="153"/>
    <col min="7686" max="7686" width="14.33203125" style="153" customWidth="1"/>
    <col min="7687" max="7693" width="9.109375" style="153"/>
    <col min="7694" max="7694" width="13.88671875" style="153" customWidth="1"/>
    <col min="7695" max="7696" width="9.109375" style="153"/>
    <col min="7697" max="7697" width="13.109375" style="153" customWidth="1"/>
    <col min="7698" max="7936" width="9.109375" style="153"/>
    <col min="7937" max="7937" width="13.33203125" style="153" customWidth="1"/>
    <col min="7938" max="7941" width="9.109375" style="153"/>
    <col min="7942" max="7942" width="14.33203125" style="153" customWidth="1"/>
    <col min="7943" max="7949" width="9.109375" style="153"/>
    <col min="7950" max="7950" width="13.88671875" style="153" customWidth="1"/>
    <col min="7951" max="7952" width="9.109375" style="153"/>
    <col min="7953" max="7953" width="13.109375" style="153" customWidth="1"/>
    <col min="7954" max="8192" width="9.109375" style="153"/>
    <col min="8193" max="8193" width="13.33203125" style="153" customWidth="1"/>
    <col min="8194" max="8197" width="9.109375" style="153"/>
    <col min="8198" max="8198" width="14.33203125" style="153" customWidth="1"/>
    <col min="8199" max="8205" width="9.109375" style="153"/>
    <col min="8206" max="8206" width="13.88671875" style="153" customWidth="1"/>
    <col min="8207" max="8208" width="9.109375" style="153"/>
    <col min="8209" max="8209" width="13.109375" style="153" customWidth="1"/>
    <col min="8210" max="8448" width="9.109375" style="153"/>
    <col min="8449" max="8449" width="13.33203125" style="153" customWidth="1"/>
    <col min="8450" max="8453" width="9.109375" style="153"/>
    <col min="8454" max="8454" width="14.33203125" style="153" customWidth="1"/>
    <col min="8455" max="8461" width="9.109375" style="153"/>
    <col min="8462" max="8462" width="13.88671875" style="153" customWidth="1"/>
    <col min="8463" max="8464" width="9.109375" style="153"/>
    <col min="8465" max="8465" width="13.109375" style="153" customWidth="1"/>
    <col min="8466" max="8704" width="9.109375" style="153"/>
    <col min="8705" max="8705" width="13.33203125" style="153" customWidth="1"/>
    <col min="8706" max="8709" width="9.109375" style="153"/>
    <col min="8710" max="8710" width="14.33203125" style="153" customWidth="1"/>
    <col min="8711" max="8717" width="9.109375" style="153"/>
    <col min="8718" max="8718" width="13.88671875" style="153" customWidth="1"/>
    <col min="8719" max="8720" width="9.109375" style="153"/>
    <col min="8721" max="8721" width="13.109375" style="153" customWidth="1"/>
    <col min="8722" max="8960" width="9.109375" style="153"/>
    <col min="8961" max="8961" width="13.33203125" style="153" customWidth="1"/>
    <col min="8962" max="8965" width="9.109375" style="153"/>
    <col min="8966" max="8966" width="14.33203125" style="153" customWidth="1"/>
    <col min="8967" max="8973" width="9.109375" style="153"/>
    <col min="8974" max="8974" width="13.88671875" style="153" customWidth="1"/>
    <col min="8975" max="8976" width="9.109375" style="153"/>
    <col min="8977" max="8977" width="13.109375" style="153" customWidth="1"/>
    <col min="8978" max="9216" width="9.109375" style="153"/>
    <col min="9217" max="9217" width="13.33203125" style="153" customWidth="1"/>
    <col min="9218" max="9221" width="9.109375" style="153"/>
    <col min="9222" max="9222" width="14.33203125" style="153" customWidth="1"/>
    <col min="9223" max="9229" width="9.109375" style="153"/>
    <col min="9230" max="9230" width="13.88671875" style="153" customWidth="1"/>
    <col min="9231" max="9232" width="9.109375" style="153"/>
    <col min="9233" max="9233" width="13.109375" style="153" customWidth="1"/>
    <col min="9234" max="9472" width="9.109375" style="153"/>
    <col min="9473" max="9473" width="13.33203125" style="153" customWidth="1"/>
    <col min="9474" max="9477" width="9.109375" style="153"/>
    <col min="9478" max="9478" width="14.33203125" style="153" customWidth="1"/>
    <col min="9479" max="9485" width="9.109375" style="153"/>
    <col min="9486" max="9486" width="13.88671875" style="153" customWidth="1"/>
    <col min="9487" max="9488" width="9.109375" style="153"/>
    <col min="9489" max="9489" width="13.109375" style="153" customWidth="1"/>
    <col min="9490" max="9728" width="9.109375" style="153"/>
    <col min="9729" max="9729" width="13.33203125" style="153" customWidth="1"/>
    <col min="9730" max="9733" width="9.109375" style="153"/>
    <col min="9734" max="9734" width="14.33203125" style="153" customWidth="1"/>
    <col min="9735" max="9741" width="9.109375" style="153"/>
    <col min="9742" max="9742" width="13.88671875" style="153" customWidth="1"/>
    <col min="9743" max="9744" width="9.109375" style="153"/>
    <col min="9745" max="9745" width="13.109375" style="153" customWidth="1"/>
    <col min="9746" max="9984" width="9.109375" style="153"/>
    <col min="9985" max="9985" width="13.33203125" style="153" customWidth="1"/>
    <col min="9986" max="9989" width="9.109375" style="153"/>
    <col min="9990" max="9990" width="14.33203125" style="153" customWidth="1"/>
    <col min="9991" max="9997" width="9.109375" style="153"/>
    <col min="9998" max="9998" width="13.88671875" style="153" customWidth="1"/>
    <col min="9999" max="10000" width="9.109375" style="153"/>
    <col min="10001" max="10001" width="13.109375" style="153" customWidth="1"/>
    <col min="10002" max="10240" width="9.109375" style="153"/>
    <col min="10241" max="10241" width="13.33203125" style="153" customWidth="1"/>
    <col min="10242" max="10245" width="9.109375" style="153"/>
    <col min="10246" max="10246" width="14.33203125" style="153" customWidth="1"/>
    <col min="10247" max="10253" width="9.109375" style="153"/>
    <col min="10254" max="10254" width="13.88671875" style="153" customWidth="1"/>
    <col min="10255" max="10256" width="9.109375" style="153"/>
    <col min="10257" max="10257" width="13.109375" style="153" customWidth="1"/>
    <col min="10258" max="10496" width="9.109375" style="153"/>
    <col min="10497" max="10497" width="13.33203125" style="153" customWidth="1"/>
    <col min="10498" max="10501" width="9.109375" style="153"/>
    <col min="10502" max="10502" width="14.33203125" style="153" customWidth="1"/>
    <col min="10503" max="10509" width="9.109375" style="153"/>
    <col min="10510" max="10510" width="13.88671875" style="153" customWidth="1"/>
    <col min="10511" max="10512" width="9.109375" style="153"/>
    <col min="10513" max="10513" width="13.109375" style="153" customWidth="1"/>
    <col min="10514" max="10752" width="9.109375" style="153"/>
    <col min="10753" max="10753" width="13.33203125" style="153" customWidth="1"/>
    <col min="10754" max="10757" width="9.109375" style="153"/>
    <col min="10758" max="10758" width="14.33203125" style="153" customWidth="1"/>
    <col min="10759" max="10765" width="9.109375" style="153"/>
    <col min="10766" max="10766" width="13.88671875" style="153" customWidth="1"/>
    <col min="10767" max="10768" width="9.109375" style="153"/>
    <col min="10769" max="10769" width="13.109375" style="153" customWidth="1"/>
    <col min="10770" max="11008" width="9.109375" style="153"/>
    <col min="11009" max="11009" width="13.33203125" style="153" customWidth="1"/>
    <col min="11010" max="11013" width="9.109375" style="153"/>
    <col min="11014" max="11014" width="14.33203125" style="153" customWidth="1"/>
    <col min="11015" max="11021" width="9.109375" style="153"/>
    <col min="11022" max="11022" width="13.88671875" style="153" customWidth="1"/>
    <col min="11023" max="11024" width="9.109375" style="153"/>
    <col min="11025" max="11025" width="13.109375" style="153" customWidth="1"/>
    <col min="11026" max="11264" width="9.109375" style="153"/>
    <col min="11265" max="11265" width="13.33203125" style="153" customWidth="1"/>
    <col min="11266" max="11269" width="9.109375" style="153"/>
    <col min="11270" max="11270" width="14.33203125" style="153" customWidth="1"/>
    <col min="11271" max="11277" width="9.109375" style="153"/>
    <col min="11278" max="11278" width="13.88671875" style="153" customWidth="1"/>
    <col min="11279" max="11280" width="9.109375" style="153"/>
    <col min="11281" max="11281" width="13.109375" style="153" customWidth="1"/>
    <col min="11282" max="11520" width="9.109375" style="153"/>
    <col min="11521" max="11521" width="13.33203125" style="153" customWidth="1"/>
    <col min="11522" max="11525" width="9.109375" style="153"/>
    <col min="11526" max="11526" width="14.33203125" style="153" customWidth="1"/>
    <col min="11527" max="11533" width="9.109375" style="153"/>
    <col min="11534" max="11534" width="13.88671875" style="153" customWidth="1"/>
    <col min="11535" max="11536" width="9.109375" style="153"/>
    <col min="11537" max="11537" width="13.109375" style="153" customWidth="1"/>
    <col min="11538" max="11776" width="9.109375" style="153"/>
    <col min="11777" max="11777" width="13.33203125" style="153" customWidth="1"/>
    <col min="11778" max="11781" width="9.109375" style="153"/>
    <col min="11782" max="11782" width="14.33203125" style="153" customWidth="1"/>
    <col min="11783" max="11789" width="9.109375" style="153"/>
    <col min="11790" max="11790" width="13.88671875" style="153" customWidth="1"/>
    <col min="11791" max="11792" width="9.109375" style="153"/>
    <col min="11793" max="11793" width="13.109375" style="153" customWidth="1"/>
    <col min="11794" max="12032" width="9.109375" style="153"/>
    <col min="12033" max="12033" width="13.33203125" style="153" customWidth="1"/>
    <col min="12034" max="12037" width="9.109375" style="153"/>
    <col min="12038" max="12038" width="14.33203125" style="153" customWidth="1"/>
    <col min="12039" max="12045" width="9.109375" style="153"/>
    <col min="12046" max="12046" width="13.88671875" style="153" customWidth="1"/>
    <col min="12047" max="12048" width="9.109375" style="153"/>
    <col min="12049" max="12049" width="13.109375" style="153" customWidth="1"/>
    <col min="12050" max="12288" width="9.109375" style="153"/>
    <col min="12289" max="12289" width="13.33203125" style="153" customWidth="1"/>
    <col min="12290" max="12293" width="9.109375" style="153"/>
    <col min="12294" max="12294" width="14.33203125" style="153" customWidth="1"/>
    <col min="12295" max="12301" width="9.109375" style="153"/>
    <col min="12302" max="12302" width="13.88671875" style="153" customWidth="1"/>
    <col min="12303" max="12304" width="9.109375" style="153"/>
    <col min="12305" max="12305" width="13.109375" style="153" customWidth="1"/>
    <col min="12306" max="12544" width="9.109375" style="153"/>
    <col min="12545" max="12545" width="13.33203125" style="153" customWidth="1"/>
    <col min="12546" max="12549" width="9.109375" style="153"/>
    <col min="12550" max="12550" width="14.33203125" style="153" customWidth="1"/>
    <col min="12551" max="12557" width="9.109375" style="153"/>
    <col min="12558" max="12558" width="13.88671875" style="153" customWidth="1"/>
    <col min="12559" max="12560" width="9.109375" style="153"/>
    <col min="12561" max="12561" width="13.109375" style="153" customWidth="1"/>
    <col min="12562" max="12800" width="9.109375" style="153"/>
    <col min="12801" max="12801" width="13.33203125" style="153" customWidth="1"/>
    <col min="12802" max="12805" width="9.109375" style="153"/>
    <col min="12806" max="12806" width="14.33203125" style="153" customWidth="1"/>
    <col min="12807" max="12813" width="9.109375" style="153"/>
    <col min="12814" max="12814" width="13.88671875" style="153" customWidth="1"/>
    <col min="12815" max="12816" width="9.109375" style="153"/>
    <col min="12817" max="12817" width="13.109375" style="153" customWidth="1"/>
    <col min="12818" max="13056" width="9.109375" style="153"/>
    <col min="13057" max="13057" width="13.33203125" style="153" customWidth="1"/>
    <col min="13058" max="13061" width="9.109375" style="153"/>
    <col min="13062" max="13062" width="14.33203125" style="153" customWidth="1"/>
    <col min="13063" max="13069" width="9.109375" style="153"/>
    <col min="13070" max="13070" width="13.88671875" style="153" customWidth="1"/>
    <col min="13071" max="13072" width="9.109375" style="153"/>
    <col min="13073" max="13073" width="13.109375" style="153" customWidth="1"/>
    <col min="13074" max="13312" width="9.109375" style="153"/>
    <col min="13313" max="13313" width="13.33203125" style="153" customWidth="1"/>
    <col min="13314" max="13317" width="9.109375" style="153"/>
    <col min="13318" max="13318" width="14.33203125" style="153" customWidth="1"/>
    <col min="13319" max="13325" width="9.109375" style="153"/>
    <col min="13326" max="13326" width="13.88671875" style="153" customWidth="1"/>
    <col min="13327" max="13328" width="9.109375" style="153"/>
    <col min="13329" max="13329" width="13.109375" style="153" customWidth="1"/>
    <col min="13330" max="13568" width="9.109375" style="153"/>
    <col min="13569" max="13569" width="13.33203125" style="153" customWidth="1"/>
    <col min="13570" max="13573" width="9.109375" style="153"/>
    <col min="13574" max="13574" width="14.33203125" style="153" customWidth="1"/>
    <col min="13575" max="13581" width="9.109375" style="153"/>
    <col min="13582" max="13582" width="13.88671875" style="153" customWidth="1"/>
    <col min="13583" max="13584" width="9.109375" style="153"/>
    <col min="13585" max="13585" width="13.109375" style="153" customWidth="1"/>
    <col min="13586" max="13824" width="9.109375" style="153"/>
    <col min="13825" max="13825" width="13.33203125" style="153" customWidth="1"/>
    <col min="13826" max="13829" width="9.109375" style="153"/>
    <col min="13830" max="13830" width="14.33203125" style="153" customWidth="1"/>
    <col min="13831" max="13837" width="9.109375" style="153"/>
    <col min="13838" max="13838" width="13.88671875" style="153" customWidth="1"/>
    <col min="13839" max="13840" width="9.109375" style="153"/>
    <col min="13841" max="13841" width="13.109375" style="153" customWidth="1"/>
    <col min="13842" max="14080" width="9.109375" style="153"/>
    <col min="14081" max="14081" width="13.33203125" style="153" customWidth="1"/>
    <col min="14082" max="14085" width="9.109375" style="153"/>
    <col min="14086" max="14086" width="14.33203125" style="153" customWidth="1"/>
    <col min="14087" max="14093" width="9.109375" style="153"/>
    <col min="14094" max="14094" width="13.88671875" style="153" customWidth="1"/>
    <col min="14095" max="14096" width="9.109375" style="153"/>
    <col min="14097" max="14097" width="13.109375" style="153" customWidth="1"/>
    <col min="14098" max="14336" width="9.109375" style="153"/>
    <col min="14337" max="14337" width="13.33203125" style="153" customWidth="1"/>
    <col min="14338" max="14341" width="9.109375" style="153"/>
    <col min="14342" max="14342" width="14.33203125" style="153" customWidth="1"/>
    <col min="14343" max="14349" width="9.109375" style="153"/>
    <col min="14350" max="14350" width="13.88671875" style="153" customWidth="1"/>
    <col min="14351" max="14352" width="9.109375" style="153"/>
    <col min="14353" max="14353" width="13.109375" style="153" customWidth="1"/>
    <col min="14354" max="14592" width="9.109375" style="153"/>
    <col min="14593" max="14593" width="13.33203125" style="153" customWidth="1"/>
    <col min="14594" max="14597" width="9.109375" style="153"/>
    <col min="14598" max="14598" width="14.33203125" style="153" customWidth="1"/>
    <col min="14599" max="14605" width="9.109375" style="153"/>
    <col min="14606" max="14606" width="13.88671875" style="153" customWidth="1"/>
    <col min="14607" max="14608" width="9.109375" style="153"/>
    <col min="14609" max="14609" width="13.109375" style="153" customWidth="1"/>
    <col min="14610" max="14848" width="9.109375" style="153"/>
    <col min="14849" max="14849" width="13.33203125" style="153" customWidth="1"/>
    <col min="14850" max="14853" width="9.109375" style="153"/>
    <col min="14854" max="14854" width="14.33203125" style="153" customWidth="1"/>
    <col min="14855" max="14861" width="9.109375" style="153"/>
    <col min="14862" max="14862" width="13.88671875" style="153" customWidth="1"/>
    <col min="14863" max="14864" width="9.109375" style="153"/>
    <col min="14865" max="14865" width="13.109375" style="153" customWidth="1"/>
    <col min="14866" max="15104" width="9.109375" style="153"/>
    <col min="15105" max="15105" width="13.33203125" style="153" customWidth="1"/>
    <col min="15106" max="15109" width="9.109375" style="153"/>
    <col min="15110" max="15110" width="14.33203125" style="153" customWidth="1"/>
    <col min="15111" max="15117" width="9.109375" style="153"/>
    <col min="15118" max="15118" width="13.88671875" style="153" customWidth="1"/>
    <col min="15119" max="15120" width="9.109375" style="153"/>
    <col min="15121" max="15121" width="13.109375" style="153" customWidth="1"/>
    <col min="15122" max="15360" width="9.109375" style="153"/>
    <col min="15361" max="15361" width="13.33203125" style="153" customWidth="1"/>
    <col min="15362" max="15365" width="9.109375" style="153"/>
    <col min="15366" max="15366" width="14.33203125" style="153" customWidth="1"/>
    <col min="15367" max="15373" width="9.109375" style="153"/>
    <col min="15374" max="15374" width="13.88671875" style="153" customWidth="1"/>
    <col min="15375" max="15376" width="9.109375" style="153"/>
    <col min="15377" max="15377" width="13.109375" style="153" customWidth="1"/>
    <col min="15378" max="15616" width="9.109375" style="153"/>
    <col min="15617" max="15617" width="13.33203125" style="153" customWidth="1"/>
    <col min="15618" max="15621" width="9.109375" style="153"/>
    <col min="15622" max="15622" width="14.33203125" style="153" customWidth="1"/>
    <col min="15623" max="15629" width="9.109375" style="153"/>
    <col min="15630" max="15630" width="13.88671875" style="153" customWidth="1"/>
    <col min="15631" max="15632" width="9.109375" style="153"/>
    <col min="15633" max="15633" width="13.109375" style="153" customWidth="1"/>
    <col min="15634" max="15872" width="9.109375" style="153"/>
    <col min="15873" max="15873" width="13.33203125" style="153" customWidth="1"/>
    <col min="15874" max="15877" width="9.109375" style="153"/>
    <col min="15878" max="15878" width="14.33203125" style="153" customWidth="1"/>
    <col min="15879" max="15885" width="9.109375" style="153"/>
    <col min="15886" max="15886" width="13.88671875" style="153" customWidth="1"/>
    <col min="15887" max="15888" width="9.109375" style="153"/>
    <col min="15889" max="15889" width="13.109375" style="153" customWidth="1"/>
    <col min="15890" max="16128" width="9.109375" style="153"/>
    <col min="16129" max="16129" width="13.33203125" style="153" customWidth="1"/>
    <col min="16130" max="16133" width="9.109375" style="153"/>
    <col min="16134" max="16134" width="14.33203125" style="153" customWidth="1"/>
    <col min="16135" max="16141" width="9.109375" style="153"/>
    <col min="16142" max="16142" width="13.88671875" style="153" customWidth="1"/>
    <col min="16143" max="16144" width="9.109375" style="153"/>
    <col min="16145" max="16145" width="13.109375" style="153" customWidth="1"/>
    <col min="16146" max="16384" width="9.109375" style="153"/>
  </cols>
  <sheetData>
    <row r="1" spans="1:20" x14ac:dyDescent="0.25">
      <c r="A1" s="152" t="s">
        <v>567</v>
      </c>
      <c r="B1" s="152" t="s">
        <v>841</v>
      </c>
      <c r="C1" s="152" t="s">
        <v>842</v>
      </c>
      <c r="D1" s="152" t="s">
        <v>843</v>
      </c>
      <c r="E1" s="152" t="s">
        <v>844</v>
      </c>
      <c r="F1" s="152" t="s">
        <v>845</v>
      </c>
      <c r="G1" s="152" t="s">
        <v>846</v>
      </c>
      <c r="H1" s="152" t="s">
        <v>847</v>
      </c>
      <c r="I1" s="152" t="s">
        <v>848</v>
      </c>
      <c r="J1" s="152" t="s">
        <v>849</v>
      </c>
      <c r="K1" s="152" t="s">
        <v>850</v>
      </c>
      <c r="L1" s="152" t="s">
        <v>851</v>
      </c>
      <c r="M1" s="152" t="s">
        <v>852</v>
      </c>
      <c r="N1" s="152" t="s">
        <v>853</v>
      </c>
      <c r="O1" s="152" t="s">
        <v>854</v>
      </c>
      <c r="P1" s="152" t="s">
        <v>855</v>
      </c>
      <c r="Q1" s="152" t="s">
        <v>856</v>
      </c>
      <c r="S1" s="158" t="s">
        <v>1004</v>
      </c>
    </row>
    <row r="2" spans="1:20" x14ac:dyDescent="0.25">
      <c r="A2" s="152" t="s">
        <v>857</v>
      </c>
      <c r="B2" s="154" t="s">
        <v>1204</v>
      </c>
      <c r="C2" s="152" t="s">
        <v>858</v>
      </c>
      <c r="D2" s="152" t="s">
        <v>859</v>
      </c>
      <c r="E2" s="152" t="s">
        <v>860</v>
      </c>
      <c r="F2" s="152">
        <f>+'Cash Flow $s Y20-21'!D60-F3-F4-F5</f>
        <v>1743.94</v>
      </c>
      <c r="G2" s="152">
        <f>+'Cash Flow $s Y20-21'!E60-G3-G4-G5</f>
        <v>-4918.5500000000011</v>
      </c>
      <c r="H2" s="152">
        <f>+'Cash Flow $s Y20-21'!F60-H3-H4-H5</f>
        <v>-9837.1000000000022</v>
      </c>
      <c r="I2" s="152">
        <f>+'Cash Flow $s Y20-21'!G60-I3-I4-I5</f>
        <v>-371261.60000000003</v>
      </c>
      <c r="J2" s="152">
        <f>+'Cash Flow $s Y20-21'!H60-J3-J4-J5</f>
        <v>-9837.1000000000022</v>
      </c>
      <c r="K2" s="152">
        <f>+'Cash Flow $s Y20-21'!I60-K3-K4-K5</f>
        <v>-9837.1000000000022</v>
      </c>
      <c r="L2" s="152">
        <f>+'Cash Flow $s Y20-21'!J60-L3-L4-L5</f>
        <v>-371261.60000000003</v>
      </c>
      <c r="M2" s="152">
        <f>+'Cash Flow $s Y20-21'!K60-M3-M4-M5</f>
        <v>-9837.1000000000022</v>
      </c>
      <c r="N2" s="152">
        <f>+'Cash Flow $s Y20-21'!L60-N3-N4-N5</f>
        <v>-9837.1000000000022</v>
      </c>
      <c r="O2" s="152">
        <f>+'Cash Flow $s Y20-21'!M60-O3-O4-O5</f>
        <v>-371261.60000000003</v>
      </c>
      <c r="P2" s="152">
        <f>+'Cash Flow $s Y20-21'!N60-P3-P4-P5</f>
        <v>-9837.1000000000022</v>
      </c>
      <c r="Q2" s="152">
        <f>SUM('Cash Flow $s Y20-21'!O60:Q60)-Q3-Q4-Q5</f>
        <v>-364375.62999999995</v>
      </c>
      <c r="R2" s="221">
        <f>SUM(F2:Q2)</f>
        <v>-1540357.6400000001</v>
      </c>
      <c r="S2" s="159" t="s">
        <v>1005</v>
      </c>
    </row>
    <row r="3" spans="1:20" x14ac:dyDescent="0.25">
      <c r="A3" s="154" t="s">
        <v>861</v>
      </c>
      <c r="B3" s="154" t="s">
        <v>1204</v>
      </c>
      <c r="C3" s="152" t="s">
        <v>858</v>
      </c>
      <c r="D3" s="152" t="s">
        <v>859</v>
      </c>
      <c r="E3" s="152" t="s">
        <v>860</v>
      </c>
      <c r="F3" s="152">
        <f>38016*'Cash Flow %s Yr1'!D55</f>
        <v>760.32</v>
      </c>
      <c r="G3" s="152">
        <f>85537*'Cash Flow %s Yr1'!E55</f>
        <v>4276.8500000000004</v>
      </c>
      <c r="H3" s="152">
        <f>85537*'Cash Flow %s Yr1'!F55</f>
        <v>8553.7000000000007</v>
      </c>
      <c r="I3" s="152">
        <f>85537*'Cash Flow %s Yr1'!G55</f>
        <v>8553.7000000000007</v>
      </c>
      <c r="J3" s="152">
        <f>85537*'Cash Flow %s Yr1'!H55</f>
        <v>8553.7000000000007</v>
      </c>
      <c r="K3" s="152">
        <f>85537*'Cash Flow %s Yr1'!I55</f>
        <v>8553.7000000000007</v>
      </c>
      <c r="L3" s="152">
        <f>85537*'Cash Flow %s Yr1'!J55</f>
        <v>8553.7000000000007</v>
      </c>
      <c r="M3" s="152">
        <f>85537*'Cash Flow %s Yr1'!K55</f>
        <v>8553.7000000000007</v>
      </c>
      <c r="N3" s="152">
        <f>85537*'Cash Flow %s Yr1'!L55</f>
        <v>8553.7000000000007</v>
      </c>
      <c r="O3" s="152">
        <f>85537*'Cash Flow %s Yr1'!M55</f>
        <v>8553.7000000000007</v>
      </c>
      <c r="P3" s="152">
        <f>85537*'Cash Flow %s Yr1'!N55</f>
        <v>8553.7000000000007</v>
      </c>
      <c r="Q3" s="152">
        <f>85537*'Cash Flow %s Yr1'!O55</f>
        <v>2566.11</v>
      </c>
      <c r="R3" s="221">
        <f t="shared" ref="R3:R67" si="0">SUM(F3:Q3)</f>
        <v>84586.579999999987</v>
      </c>
      <c r="S3" s="159" t="s">
        <v>1006</v>
      </c>
    </row>
    <row r="4" spans="1:20" x14ac:dyDescent="0.25">
      <c r="A4" s="154" t="s">
        <v>1207</v>
      </c>
      <c r="B4" s="154" t="s">
        <v>1204</v>
      </c>
      <c r="C4" s="152" t="s">
        <v>858</v>
      </c>
      <c r="D4" s="152" t="s">
        <v>859</v>
      </c>
      <c r="E4" s="152" t="s">
        <v>860</v>
      </c>
      <c r="F4" s="152">
        <v>0</v>
      </c>
      <c r="G4" s="152">
        <v>0</v>
      </c>
      <c r="H4" s="152">
        <v>0</v>
      </c>
      <c r="I4" s="152">
        <v>361424.5</v>
      </c>
      <c r="J4" s="152">
        <v>0</v>
      </c>
      <c r="K4" s="152">
        <v>0</v>
      </c>
      <c r="L4" s="152">
        <v>361424.5</v>
      </c>
      <c r="M4" s="152">
        <v>0</v>
      </c>
      <c r="N4" s="152">
        <v>0</v>
      </c>
      <c r="O4" s="152">
        <v>361424.5</v>
      </c>
      <c r="P4" s="152">
        <v>0</v>
      </c>
      <c r="Q4" s="152">
        <v>361424.5</v>
      </c>
      <c r="R4" s="221">
        <f>SUM(F4:Q4)</f>
        <v>1445698</v>
      </c>
      <c r="S4" s="159"/>
    </row>
    <row r="5" spans="1:20" x14ac:dyDescent="0.25">
      <c r="A5" s="154" t="s">
        <v>1202</v>
      </c>
      <c r="B5" s="154" t="s">
        <v>1204</v>
      </c>
      <c r="C5" s="152" t="s">
        <v>858</v>
      </c>
      <c r="D5" s="152" t="s">
        <v>859</v>
      </c>
      <c r="E5" s="152" t="s">
        <v>860</v>
      </c>
      <c r="F5" s="152">
        <f>45000*'Cash Flow %s Yr1'!D55</f>
        <v>900</v>
      </c>
      <c r="G5" s="152">
        <f>183047*'Cash Flow %s Yr1'!E55</f>
        <v>9152.35</v>
      </c>
      <c r="H5" s="152">
        <f>183047*'Cash Flow %s Yr1'!F55</f>
        <v>18304.7</v>
      </c>
      <c r="I5" s="152">
        <f>183047*'Cash Flow %s Yr1'!G55</f>
        <v>18304.7</v>
      </c>
      <c r="J5" s="152">
        <f>183047*'Cash Flow %s Yr1'!H55</f>
        <v>18304.7</v>
      </c>
      <c r="K5" s="152">
        <f>183047*'Cash Flow %s Yr1'!I55</f>
        <v>18304.7</v>
      </c>
      <c r="L5" s="152">
        <f>183047*'Cash Flow %s Yr1'!J55</f>
        <v>18304.7</v>
      </c>
      <c r="M5" s="152">
        <f>183047*'Cash Flow %s Yr1'!K55</f>
        <v>18304.7</v>
      </c>
      <c r="N5" s="152">
        <f>183047*'Cash Flow %s Yr1'!L55</f>
        <v>18304.7</v>
      </c>
      <c r="O5" s="152">
        <f>183047*'Cash Flow %s Yr1'!M55</f>
        <v>18304.7</v>
      </c>
      <c r="P5" s="152">
        <f>183047*'Cash Flow %s Yr1'!N55</f>
        <v>18304.7</v>
      </c>
      <c r="Q5" s="152">
        <f>183047*'Cash Flow %s Yr1'!O55</f>
        <v>5491.41</v>
      </c>
      <c r="R5" s="221">
        <f t="shared" si="0"/>
        <v>180286.06000000003</v>
      </c>
      <c r="S5" s="159"/>
    </row>
    <row r="6" spans="1:20" x14ac:dyDescent="0.25">
      <c r="A6" s="152" t="s">
        <v>862</v>
      </c>
      <c r="B6" s="154" t="s">
        <v>1204</v>
      </c>
      <c r="C6" s="152" t="s">
        <v>858</v>
      </c>
      <c r="D6" s="152" t="s">
        <v>859</v>
      </c>
      <c r="E6" s="152" t="s">
        <v>860</v>
      </c>
      <c r="F6" s="152">
        <f>+'Cash Flow $s Y20-21'!D61</f>
        <v>0</v>
      </c>
      <c r="G6" s="152">
        <f>+'Cash Flow $s Y20-21'!E61</f>
        <v>0</v>
      </c>
      <c r="H6" s="152">
        <f>+'Cash Flow $s Y20-21'!F61</f>
        <v>0</v>
      </c>
      <c r="I6" s="152">
        <f>+'Cash Flow $s Y20-21'!G61</f>
        <v>0</v>
      </c>
      <c r="J6" s="152">
        <f>+'Cash Flow $s Y20-21'!H61</f>
        <v>0</v>
      </c>
      <c r="K6" s="152">
        <f>+'Cash Flow $s Y20-21'!I61</f>
        <v>0</v>
      </c>
      <c r="L6" s="152">
        <f>+'Cash Flow $s Y20-21'!J61</f>
        <v>0</v>
      </c>
      <c r="M6" s="152">
        <f>+'Cash Flow $s Y20-21'!K61</f>
        <v>0</v>
      </c>
      <c r="N6" s="152">
        <f>+'Cash Flow $s Y20-21'!L61</f>
        <v>0</v>
      </c>
      <c r="O6" s="152">
        <f>+'Cash Flow $s Y20-21'!M61</f>
        <v>0</v>
      </c>
      <c r="P6" s="152">
        <f>+'Cash Flow $s Y20-21'!N61</f>
        <v>0</v>
      </c>
      <c r="Q6" s="152">
        <f>+'Cash Flow $s Y20-21'!O61</f>
        <v>0</v>
      </c>
      <c r="R6" s="221">
        <f t="shared" si="0"/>
        <v>0</v>
      </c>
      <c r="S6" s="159"/>
    </row>
    <row r="7" spans="1:20" x14ac:dyDescent="0.25">
      <c r="A7" s="152" t="s">
        <v>863</v>
      </c>
      <c r="B7" s="154" t="s">
        <v>1204</v>
      </c>
      <c r="C7" s="152" t="s">
        <v>858</v>
      </c>
      <c r="D7" s="152" t="s">
        <v>859</v>
      </c>
      <c r="E7" s="152" t="s">
        <v>860</v>
      </c>
      <c r="F7" s="152">
        <v>0</v>
      </c>
      <c r="G7" s="152">
        <v>0</v>
      </c>
      <c r="H7" s="152">
        <v>0</v>
      </c>
      <c r="I7" s="152">
        <v>0</v>
      </c>
      <c r="J7" s="152">
        <v>0</v>
      </c>
      <c r="K7" s="152">
        <v>0</v>
      </c>
      <c r="L7" s="152">
        <v>0</v>
      </c>
      <c r="M7" s="152">
        <v>0</v>
      </c>
      <c r="N7" s="152">
        <v>0</v>
      </c>
      <c r="O7" s="152">
        <v>0</v>
      </c>
      <c r="P7" s="152">
        <v>0</v>
      </c>
      <c r="Q7" s="152">
        <v>0</v>
      </c>
      <c r="R7" s="221">
        <f t="shared" si="0"/>
        <v>0</v>
      </c>
      <c r="S7" s="160" t="s">
        <v>1002</v>
      </c>
    </row>
    <row r="8" spans="1:20" x14ac:dyDescent="0.25">
      <c r="A8" s="152" t="s">
        <v>864</v>
      </c>
      <c r="B8" s="154" t="s">
        <v>1204</v>
      </c>
      <c r="C8" s="152" t="s">
        <v>858</v>
      </c>
      <c r="D8" s="152" t="s">
        <v>859</v>
      </c>
      <c r="E8" s="152" t="s">
        <v>860</v>
      </c>
      <c r="F8" s="152">
        <v>0</v>
      </c>
      <c r="G8" s="152">
        <v>0</v>
      </c>
      <c r="H8" s="152">
        <v>0</v>
      </c>
      <c r="I8" s="152">
        <v>0</v>
      </c>
      <c r="J8" s="152">
        <v>0</v>
      </c>
      <c r="K8" s="152">
        <v>0</v>
      </c>
      <c r="L8" s="152">
        <v>0</v>
      </c>
      <c r="M8" s="152">
        <v>0</v>
      </c>
      <c r="N8" s="152">
        <v>0</v>
      </c>
      <c r="O8" s="152">
        <v>0</v>
      </c>
      <c r="P8" s="152">
        <v>0</v>
      </c>
      <c r="Q8" s="152">
        <v>0</v>
      </c>
      <c r="R8" s="221">
        <f t="shared" si="0"/>
        <v>0</v>
      </c>
      <c r="S8" s="159"/>
    </row>
    <row r="9" spans="1:20" x14ac:dyDescent="0.25">
      <c r="A9" s="152" t="s">
        <v>865</v>
      </c>
      <c r="B9" s="154" t="s">
        <v>1204</v>
      </c>
      <c r="C9" s="152" t="s">
        <v>858</v>
      </c>
      <c r="D9" s="152" t="s">
        <v>859</v>
      </c>
      <c r="E9" s="152" t="s">
        <v>860</v>
      </c>
      <c r="F9" s="152">
        <f>+'Cash Flow $s Y20-21'!D62</f>
        <v>0</v>
      </c>
      <c r="G9" s="152">
        <f>+'Cash Flow $s Y20-21'!E62</f>
        <v>0</v>
      </c>
      <c r="H9" s="152">
        <f>+'Cash Flow $s Y20-21'!F62</f>
        <v>0</v>
      </c>
      <c r="I9" s="152">
        <f>+'Cash Flow $s Y20-21'!G62</f>
        <v>0</v>
      </c>
      <c r="J9" s="152">
        <f>+'Cash Flow $s Y20-21'!H62</f>
        <v>0</v>
      </c>
      <c r="K9" s="152">
        <f>+'Cash Flow $s Y20-21'!I62</f>
        <v>0</v>
      </c>
      <c r="L9" s="152">
        <f>+'Cash Flow $s Y20-21'!J62</f>
        <v>0</v>
      </c>
      <c r="M9" s="152">
        <f>+'Cash Flow $s Y20-21'!K62</f>
        <v>0</v>
      </c>
      <c r="N9" s="152">
        <f>+'Cash Flow $s Y20-21'!L62</f>
        <v>0</v>
      </c>
      <c r="O9" s="152">
        <f>+'Cash Flow $s Y20-21'!M62</f>
        <v>0</v>
      </c>
      <c r="P9" s="152">
        <f>+'Cash Flow $s Y20-21'!N62</f>
        <v>0</v>
      </c>
      <c r="Q9" s="152">
        <f>+'Cash Flow $s Y20-21'!O62</f>
        <v>0</v>
      </c>
      <c r="R9" s="221">
        <f t="shared" si="0"/>
        <v>0</v>
      </c>
      <c r="S9" s="159"/>
      <c r="T9" s="160"/>
    </row>
    <row r="10" spans="1:20" x14ac:dyDescent="0.25">
      <c r="A10" s="152" t="s">
        <v>866</v>
      </c>
      <c r="B10" s="154" t="s">
        <v>1204</v>
      </c>
      <c r="C10" s="152" t="s">
        <v>858</v>
      </c>
      <c r="D10" s="152" t="s">
        <v>859</v>
      </c>
      <c r="E10" s="152" t="s">
        <v>860</v>
      </c>
      <c r="F10" s="152">
        <v>0</v>
      </c>
      <c r="G10" s="152">
        <v>0</v>
      </c>
      <c r="H10" s="152">
        <v>0</v>
      </c>
      <c r="I10" s="152">
        <v>0</v>
      </c>
      <c r="J10" s="152">
        <v>0</v>
      </c>
      <c r="K10" s="152">
        <v>0</v>
      </c>
      <c r="L10" s="152">
        <v>0</v>
      </c>
      <c r="M10" s="152">
        <v>0</v>
      </c>
      <c r="N10" s="152">
        <v>0</v>
      </c>
      <c r="O10" s="152">
        <v>0</v>
      </c>
      <c r="P10" s="152">
        <v>0</v>
      </c>
      <c r="Q10" s="152">
        <v>0</v>
      </c>
      <c r="R10" s="221">
        <f t="shared" si="0"/>
        <v>0</v>
      </c>
      <c r="S10" s="159"/>
    </row>
    <row r="11" spans="1:20" x14ac:dyDescent="0.25">
      <c r="A11" s="152" t="s">
        <v>867</v>
      </c>
      <c r="B11" s="154" t="s">
        <v>1204</v>
      </c>
      <c r="C11" s="152" t="s">
        <v>858</v>
      </c>
      <c r="D11" s="152" t="s">
        <v>859</v>
      </c>
      <c r="E11" s="152" t="s">
        <v>860</v>
      </c>
      <c r="F11" s="152">
        <v>0</v>
      </c>
      <c r="G11" s="152">
        <v>0</v>
      </c>
      <c r="H11" s="152">
        <v>0</v>
      </c>
      <c r="I11" s="152">
        <v>0</v>
      </c>
      <c r="J11" s="152">
        <v>0</v>
      </c>
      <c r="K11" s="152">
        <v>0</v>
      </c>
      <c r="L11" s="152">
        <v>0</v>
      </c>
      <c r="M11" s="152">
        <v>0</v>
      </c>
      <c r="N11" s="152">
        <v>0</v>
      </c>
      <c r="O11" s="152">
        <v>0</v>
      </c>
      <c r="P11" s="152">
        <v>0</v>
      </c>
      <c r="Q11" s="152">
        <v>0</v>
      </c>
      <c r="R11" s="221">
        <f t="shared" si="0"/>
        <v>0</v>
      </c>
      <c r="S11" s="159"/>
    </row>
    <row r="12" spans="1:20" x14ac:dyDescent="0.25">
      <c r="A12" s="152" t="s">
        <v>868</v>
      </c>
      <c r="B12" s="154" t="s">
        <v>1204</v>
      </c>
      <c r="C12" s="152" t="s">
        <v>858</v>
      </c>
      <c r="D12" s="152" t="s">
        <v>859</v>
      </c>
      <c r="E12" s="152" t="s">
        <v>860</v>
      </c>
      <c r="F12" s="152">
        <f>+'Cash Flow $s Y20-21'!D63</f>
        <v>0</v>
      </c>
      <c r="G12" s="152">
        <f>+'Cash Flow $s Y20-21'!E63</f>
        <v>0</v>
      </c>
      <c r="H12" s="152">
        <f>+'Cash Flow $s Y20-21'!F63</f>
        <v>0</v>
      </c>
      <c r="I12" s="152">
        <f>+'Cash Flow $s Y20-21'!G63</f>
        <v>0</v>
      </c>
      <c r="J12" s="152">
        <f>+'Cash Flow $s Y20-21'!H63</f>
        <v>0</v>
      </c>
      <c r="K12" s="152">
        <f>+'Cash Flow $s Y20-21'!I63</f>
        <v>0</v>
      </c>
      <c r="L12" s="152">
        <f>+'Cash Flow $s Y20-21'!J63</f>
        <v>0</v>
      </c>
      <c r="M12" s="152">
        <f>+'Cash Flow $s Y20-21'!K63</f>
        <v>0</v>
      </c>
      <c r="N12" s="152">
        <f>+'Cash Flow $s Y20-21'!L63</f>
        <v>0</v>
      </c>
      <c r="O12" s="152">
        <f>+'Cash Flow $s Y20-21'!M63</f>
        <v>0</v>
      </c>
      <c r="P12" s="152">
        <f>+'Cash Flow $s Y20-21'!N63</f>
        <v>0</v>
      </c>
      <c r="Q12" s="152">
        <f>+'Cash Flow $s Y20-21'!O63</f>
        <v>0</v>
      </c>
      <c r="R12" s="221">
        <f t="shared" si="0"/>
        <v>0</v>
      </c>
      <c r="S12" s="158" t="s">
        <v>999</v>
      </c>
    </row>
    <row r="13" spans="1:20" x14ac:dyDescent="0.25">
      <c r="A13" s="154" t="s">
        <v>1225</v>
      </c>
      <c r="B13" s="154" t="s">
        <v>1204</v>
      </c>
      <c r="C13" s="152" t="s">
        <v>858</v>
      </c>
      <c r="D13" s="152" t="s">
        <v>859</v>
      </c>
      <c r="E13" s="152" t="s">
        <v>860</v>
      </c>
      <c r="F13" s="152">
        <v>0</v>
      </c>
      <c r="G13" s="152">
        <v>0</v>
      </c>
      <c r="H13" s="152">
        <v>0</v>
      </c>
      <c r="I13" s="152">
        <v>0</v>
      </c>
      <c r="J13" s="152">
        <v>0</v>
      </c>
      <c r="K13" s="152">
        <v>0</v>
      </c>
      <c r="L13" s="152">
        <v>0</v>
      </c>
      <c r="M13" s="152">
        <v>0</v>
      </c>
      <c r="N13" s="152">
        <v>0</v>
      </c>
      <c r="O13" s="152">
        <v>0</v>
      </c>
      <c r="P13" s="152">
        <v>0</v>
      </c>
      <c r="Q13" s="152">
        <v>0</v>
      </c>
      <c r="R13" s="221">
        <f t="shared" si="0"/>
        <v>0</v>
      </c>
      <c r="S13" s="159" t="s">
        <v>1003</v>
      </c>
    </row>
    <row r="14" spans="1:20" x14ac:dyDescent="0.25">
      <c r="A14" s="152" t="s">
        <v>869</v>
      </c>
      <c r="B14" s="154" t="s">
        <v>1204</v>
      </c>
      <c r="C14" s="152" t="s">
        <v>858</v>
      </c>
      <c r="D14" s="152" t="s">
        <v>859</v>
      </c>
      <c r="E14" s="152" t="s">
        <v>860</v>
      </c>
      <c r="F14" s="152">
        <v>0</v>
      </c>
      <c r="G14" s="152">
        <v>0</v>
      </c>
      <c r="H14" s="152">
        <v>0</v>
      </c>
      <c r="I14" s="152">
        <v>0</v>
      </c>
      <c r="J14" s="152">
        <v>0</v>
      </c>
      <c r="K14" s="152">
        <v>0</v>
      </c>
      <c r="L14" s="152">
        <v>0</v>
      </c>
      <c r="M14" s="152">
        <v>0</v>
      </c>
      <c r="N14" s="152">
        <v>0</v>
      </c>
      <c r="O14" s="152">
        <v>0</v>
      </c>
      <c r="P14" s="152">
        <v>0</v>
      </c>
      <c r="Q14" s="152">
        <v>0</v>
      </c>
      <c r="R14" s="221">
        <f t="shared" si="0"/>
        <v>0</v>
      </c>
    </row>
    <row r="15" spans="1:20" x14ac:dyDescent="0.25">
      <c r="A15" s="152" t="s">
        <v>870</v>
      </c>
      <c r="B15" s="154" t="s">
        <v>1204</v>
      </c>
      <c r="C15" s="152" t="s">
        <v>858</v>
      </c>
      <c r="D15" s="152" t="s">
        <v>859</v>
      </c>
      <c r="E15" s="152" t="s">
        <v>860</v>
      </c>
      <c r="F15" s="227">
        <f>+'Cash Flow $s Y20-21'!D64</f>
        <v>6333.4810000000007</v>
      </c>
      <c r="G15" s="227">
        <f>+'Cash Flow $s Y20-21'!E64</f>
        <v>6333.4810000000007</v>
      </c>
      <c r="H15" s="227">
        <f>+'Cash Flow $s Y20-21'!F64</f>
        <v>6333.4810000000007</v>
      </c>
      <c r="I15" s="227">
        <f>+'Cash Flow $s Y20-21'!G64</f>
        <v>6333.4810000000007</v>
      </c>
      <c r="J15" s="227">
        <f>+'Cash Flow $s Y20-21'!H64</f>
        <v>6333.4810000000007</v>
      </c>
      <c r="K15" s="227">
        <f>+'Cash Flow $s Y20-21'!I64</f>
        <v>6333.4810000000007</v>
      </c>
      <c r="L15" s="227">
        <f>+'Cash Flow $s Y20-21'!J64</f>
        <v>6333.4810000000007</v>
      </c>
      <c r="M15" s="227">
        <f>+'Cash Flow $s Y20-21'!K64</f>
        <v>6333.4810000000007</v>
      </c>
      <c r="N15" s="227">
        <f>+'Cash Flow $s Y20-21'!L64</f>
        <v>6409.7880000000005</v>
      </c>
      <c r="O15" s="227">
        <f>+'Cash Flow $s Y20-21'!M64</f>
        <v>6409.7880000000005</v>
      </c>
      <c r="P15" s="227">
        <f>+'Cash Flow $s Y20-21'!N64</f>
        <v>6409.7880000000005</v>
      </c>
      <c r="Q15" s="227">
        <f>+'Cash Flow $s Y20-21'!O64</f>
        <v>6409.7880000000005</v>
      </c>
      <c r="R15" s="221">
        <f t="shared" si="0"/>
        <v>76307</v>
      </c>
    </row>
    <row r="16" spans="1:20" x14ac:dyDescent="0.25">
      <c r="A16" s="152" t="s">
        <v>871</v>
      </c>
      <c r="B16" s="154" t="s">
        <v>1204</v>
      </c>
      <c r="C16" s="152" t="s">
        <v>858</v>
      </c>
      <c r="D16" s="152" t="s">
        <v>859</v>
      </c>
      <c r="E16" s="152" t="s">
        <v>860</v>
      </c>
      <c r="F16" s="152">
        <v>0</v>
      </c>
      <c r="G16" s="152">
        <v>0</v>
      </c>
      <c r="H16" s="152">
        <v>0</v>
      </c>
      <c r="I16" s="152">
        <v>0</v>
      </c>
      <c r="J16" s="152">
        <v>0</v>
      </c>
      <c r="K16" s="152">
        <v>0</v>
      </c>
      <c r="L16" s="152">
        <v>0</v>
      </c>
      <c r="M16" s="152">
        <v>0</v>
      </c>
      <c r="N16" s="152">
        <v>0</v>
      </c>
      <c r="O16" s="152">
        <v>0</v>
      </c>
      <c r="P16" s="152">
        <v>0</v>
      </c>
      <c r="Q16" s="152">
        <v>0</v>
      </c>
      <c r="R16" s="221">
        <f t="shared" si="0"/>
        <v>0</v>
      </c>
    </row>
    <row r="17" spans="1:19" x14ac:dyDescent="0.25">
      <c r="A17" s="152" t="s">
        <v>872</v>
      </c>
      <c r="B17" s="154" t="s">
        <v>1204</v>
      </c>
      <c r="C17" s="152" t="s">
        <v>858</v>
      </c>
      <c r="D17" s="152" t="s">
        <v>859</v>
      </c>
      <c r="E17" s="152" t="s">
        <v>860</v>
      </c>
      <c r="F17" s="152">
        <v>0</v>
      </c>
      <c r="G17" s="152">
        <v>0</v>
      </c>
      <c r="H17" s="152">
        <v>0</v>
      </c>
      <c r="I17" s="152">
        <v>0</v>
      </c>
      <c r="J17" s="152">
        <v>0</v>
      </c>
      <c r="K17" s="152">
        <v>0</v>
      </c>
      <c r="L17" s="152">
        <v>0</v>
      </c>
      <c r="M17" s="152">
        <v>0</v>
      </c>
      <c r="N17" s="152">
        <v>0</v>
      </c>
      <c r="O17" s="152">
        <v>0</v>
      </c>
      <c r="P17" s="152">
        <v>0</v>
      </c>
      <c r="Q17" s="152">
        <v>0</v>
      </c>
      <c r="R17" s="221">
        <f t="shared" si="0"/>
        <v>0</v>
      </c>
    </row>
    <row r="18" spans="1:19" x14ac:dyDescent="0.25">
      <c r="A18" s="152" t="s">
        <v>873</v>
      </c>
      <c r="B18" s="154" t="s">
        <v>1204</v>
      </c>
      <c r="C18" s="152" t="s">
        <v>858</v>
      </c>
      <c r="D18" s="152" t="s">
        <v>859</v>
      </c>
      <c r="E18" s="152" t="s">
        <v>860</v>
      </c>
      <c r="F18" s="152">
        <v>0</v>
      </c>
      <c r="G18" s="152">
        <v>0</v>
      </c>
      <c r="H18" s="152">
        <v>0</v>
      </c>
      <c r="I18" s="152">
        <f>+'Cash Flow $s Y20-21'!G65</f>
        <v>0</v>
      </c>
      <c r="J18" s="152">
        <v>0</v>
      </c>
      <c r="K18" s="152">
        <v>0</v>
      </c>
      <c r="L18" s="152">
        <v>0</v>
      </c>
      <c r="M18" s="152">
        <v>0</v>
      </c>
      <c r="N18" s="152">
        <v>0</v>
      </c>
      <c r="O18" s="152">
        <v>0</v>
      </c>
      <c r="P18" s="152">
        <v>0</v>
      </c>
      <c r="Q18" s="152">
        <v>0</v>
      </c>
      <c r="R18" s="221">
        <f t="shared" si="0"/>
        <v>0</v>
      </c>
    </row>
    <row r="19" spans="1:19" x14ac:dyDescent="0.25">
      <c r="A19" s="152" t="s">
        <v>874</v>
      </c>
      <c r="B19" s="154" t="s">
        <v>1204</v>
      </c>
      <c r="C19" s="152" t="s">
        <v>858</v>
      </c>
      <c r="D19" s="152" t="s">
        <v>859</v>
      </c>
      <c r="E19" s="152" t="s">
        <v>860</v>
      </c>
      <c r="F19" s="152">
        <v>0</v>
      </c>
      <c r="G19" s="152">
        <v>0</v>
      </c>
      <c r="H19" s="152">
        <v>0</v>
      </c>
      <c r="I19" s="152">
        <v>0</v>
      </c>
      <c r="J19" s="152">
        <v>0</v>
      </c>
      <c r="K19" s="152">
        <v>0</v>
      </c>
      <c r="L19" s="152">
        <v>0</v>
      </c>
      <c r="M19" s="152">
        <v>0</v>
      </c>
      <c r="N19" s="152">
        <v>0</v>
      </c>
      <c r="O19" s="152">
        <v>0</v>
      </c>
      <c r="P19" s="152">
        <v>0</v>
      </c>
      <c r="Q19" s="152">
        <v>0</v>
      </c>
      <c r="R19" s="221">
        <f t="shared" si="0"/>
        <v>0</v>
      </c>
    </row>
    <row r="20" spans="1:19" x14ac:dyDescent="0.25">
      <c r="A20" s="152" t="s">
        <v>875</v>
      </c>
      <c r="B20" s="154" t="s">
        <v>1204</v>
      </c>
      <c r="C20" s="152" t="s">
        <v>858</v>
      </c>
      <c r="D20" s="152" t="s">
        <v>859</v>
      </c>
      <c r="E20" s="152" t="s">
        <v>860</v>
      </c>
      <c r="F20" s="152">
        <v>0</v>
      </c>
      <c r="G20" s="152">
        <v>0</v>
      </c>
      <c r="H20" s="152">
        <v>0</v>
      </c>
      <c r="I20" s="152">
        <v>0</v>
      </c>
      <c r="J20" s="152">
        <v>0</v>
      </c>
      <c r="K20" s="152">
        <v>0</v>
      </c>
      <c r="L20" s="152">
        <v>0</v>
      </c>
      <c r="M20" s="152">
        <v>0</v>
      </c>
      <c r="N20" s="152">
        <v>0</v>
      </c>
      <c r="O20" s="152">
        <v>0</v>
      </c>
      <c r="P20" s="152">
        <v>0</v>
      </c>
      <c r="Q20" s="152">
        <v>0</v>
      </c>
      <c r="R20" s="221">
        <f t="shared" si="0"/>
        <v>0</v>
      </c>
    </row>
    <row r="21" spans="1:19" x14ac:dyDescent="0.25">
      <c r="A21" s="152" t="s">
        <v>876</v>
      </c>
      <c r="B21" s="154" t="s">
        <v>1204</v>
      </c>
      <c r="C21" s="152" t="s">
        <v>858</v>
      </c>
      <c r="D21" s="152" t="s">
        <v>859</v>
      </c>
      <c r="E21" s="152" t="s">
        <v>860</v>
      </c>
      <c r="F21" s="152">
        <v>0</v>
      </c>
      <c r="G21" s="152">
        <f>IFERROR((VLOOKUP(LEFT($A21,4),'Cash Flow $s Y20-21'!$B$12:$R$159,5,FALSE)),0)</f>
        <v>0</v>
      </c>
      <c r="H21" s="152">
        <f>IFERROR((VLOOKUP(LEFT($A21,4),'Cash Flow $s Y20-21'!$B$12:$R$159,5,FALSE)),0)</f>
        <v>0</v>
      </c>
      <c r="I21" s="152">
        <f>IFERROR((VLOOKUP(LEFT($A21,4),'Cash Flow $s Y20-21'!$B$12:$R$159,6,FALSE)),0)</f>
        <v>0</v>
      </c>
      <c r="J21" s="152">
        <f>IFERROR((VLOOKUP(LEFT($A21,4),'Cash Flow $s Y20-21'!$B$12:$R$159,7,FALSE)),0)</f>
        <v>0</v>
      </c>
      <c r="K21" s="152">
        <f>IFERROR((VLOOKUP(LEFT($A21,4),'Cash Flow $s Y20-21'!$B$12:$R$159,8,FALSE)),0)</f>
        <v>0</v>
      </c>
      <c r="L21" s="152">
        <f>IFERROR((VLOOKUP(LEFT($A21,4),'Cash Flow $s Y20-21'!$B$12:$R$159,9,FALSE)),0)</f>
        <v>0</v>
      </c>
      <c r="M21" s="152">
        <f>IFERROR((VLOOKUP(LEFT($A21,4),'Cash Flow $s Y20-21'!$B$12:$R$159,10,FALSE)),0)</f>
        <v>0</v>
      </c>
      <c r="N21" s="152">
        <f>IFERROR((VLOOKUP(LEFT($A21,4),'Cash Flow $s Y20-21'!$B$12:$R$159,11,FALSE)),0)</f>
        <v>0</v>
      </c>
      <c r="O21" s="152">
        <f>IFERROR((VLOOKUP(LEFT($A21,4),'Cash Flow $s Y20-21'!$B$12:$R$159,12,FALSE)),0)</f>
        <v>0</v>
      </c>
      <c r="P21" s="152">
        <f>IFERROR((VLOOKUP(LEFT($A21,4),'Cash Flow $s Y20-21'!$B$12:$R$159,13,FALSE)),0)</f>
        <v>0</v>
      </c>
      <c r="Q21" s="152">
        <f>IFERROR((VLOOKUP(LEFT($A21,4),'Cash Flow $s Y20-21'!$B$12:$R$159,14,FALSE)),0)</f>
        <v>0</v>
      </c>
      <c r="R21" s="221">
        <f t="shared" si="0"/>
        <v>0</v>
      </c>
    </row>
    <row r="22" spans="1:19" x14ac:dyDescent="0.25">
      <c r="A22" s="152" t="s">
        <v>877</v>
      </c>
      <c r="B22" s="154" t="s">
        <v>1204</v>
      </c>
      <c r="C22" s="152" t="s">
        <v>858</v>
      </c>
      <c r="D22" s="152" t="s">
        <v>859</v>
      </c>
      <c r="E22" s="152" t="s">
        <v>860</v>
      </c>
      <c r="F22" s="152">
        <v>0</v>
      </c>
      <c r="G22" s="152">
        <v>0</v>
      </c>
      <c r="H22" s="152">
        <v>0</v>
      </c>
      <c r="I22" s="152">
        <v>0</v>
      </c>
      <c r="J22" s="152">
        <v>0</v>
      </c>
      <c r="K22" s="152">
        <v>0</v>
      </c>
      <c r="L22" s="152">
        <v>0</v>
      </c>
      <c r="M22" s="152">
        <v>0</v>
      </c>
      <c r="N22" s="152">
        <v>0</v>
      </c>
      <c r="O22" s="152">
        <v>0</v>
      </c>
      <c r="P22" s="152">
        <v>0</v>
      </c>
      <c r="Q22" s="152">
        <v>0</v>
      </c>
      <c r="R22" s="221">
        <f t="shared" si="0"/>
        <v>0</v>
      </c>
    </row>
    <row r="23" spans="1:19" x14ac:dyDescent="0.25">
      <c r="A23" s="152" t="s">
        <v>878</v>
      </c>
      <c r="B23" s="154" t="s">
        <v>1204</v>
      </c>
      <c r="C23" s="152" t="s">
        <v>858</v>
      </c>
      <c r="D23" s="152" t="s">
        <v>859</v>
      </c>
      <c r="E23" s="152" t="s">
        <v>860</v>
      </c>
      <c r="F23" s="152">
        <v>0</v>
      </c>
      <c r="G23" s="152">
        <v>0</v>
      </c>
      <c r="H23" s="152">
        <v>0</v>
      </c>
      <c r="I23" s="152">
        <v>0</v>
      </c>
      <c r="J23" s="152">
        <v>0</v>
      </c>
      <c r="K23" s="152">
        <v>0</v>
      </c>
      <c r="L23" s="152">
        <v>0</v>
      </c>
      <c r="M23" s="152">
        <v>0</v>
      </c>
      <c r="N23" s="152">
        <v>0</v>
      </c>
      <c r="O23" s="152">
        <v>0</v>
      </c>
      <c r="P23" s="152">
        <v>0</v>
      </c>
      <c r="Q23" s="152">
        <v>0</v>
      </c>
      <c r="R23" s="221">
        <f t="shared" si="0"/>
        <v>0</v>
      </c>
    </row>
    <row r="24" spans="1:19" x14ac:dyDescent="0.25">
      <c r="A24" s="152" t="s">
        <v>879</v>
      </c>
      <c r="B24" s="154" t="s">
        <v>1204</v>
      </c>
      <c r="C24" s="152" t="s">
        <v>858</v>
      </c>
      <c r="D24" s="152" t="s">
        <v>859</v>
      </c>
      <c r="E24" s="152" t="s">
        <v>860</v>
      </c>
      <c r="F24" s="152">
        <f>+'Cash Flow $s Y20-21'!D67</f>
        <v>0</v>
      </c>
      <c r="G24" s="152">
        <f>+'Cash Flow $s Y20-21'!E67</f>
        <v>0</v>
      </c>
      <c r="H24" s="152">
        <f>+'Cash Flow $s Y20-21'!F67</f>
        <v>0</v>
      </c>
      <c r="I24" s="152">
        <f>+'Cash Flow $s Y20-21'!G67</f>
        <v>0</v>
      </c>
      <c r="J24" s="152">
        <f>+'Cash Flow $s Y20-21'!H67</f>
        <v>0</v>
      </c>
      <c r="K24" s="152">
        <f>+'Cash Flow $s Y20-21'!I67</f>
        <v>0</v>
      </c>
      <c r="L24" s="152">
        <f>+'Cash Flow $s Y20-21'!J67</f>
        <v>0</v>
      </c>
      <c r="M24" s="152">
        <f>+'Cash Flow $s Y20-21'!K67</f>
        <v>0</v>
      </c>
      <c r="N24" s="152">
        <f>+'Cash Flow $s Y20-21'!L67</f>
        <v>0</v>
      </c>
      <c r="O24" s="152">
        <f>+'Cash Flow $s Y20-21'!M67</f>
        <v>0</v>
      </c>
      <c r="P24" s="152">
        <f>+'Cash Flow $s Y20-21'!N67</f>
        <v>0</v>
      </c>
      <c r="Q24" s="152">
        <f>+'Cash Flow $s Y20-21'!O67</f>
        <v>0</v>
      </c>
      <c r="R24" s="221">
        <f t="shared" si="0"/>
        <v>0</v>
      </c>
    </row>
    <row r="25" spans="1:19" x14ac:dyDescent="0.25">
      <c r="A25" s="152" t="s">
        <v>880</v>
      </c>
      <c r="B25" s="154" t="s">
        <v>1204</v>
      </c>
      <c r="C25" s="152" t="s">
        <v>858</v>
      </c>
      <c r="D25" s="152" t="s">
        <v>859</v>
      </c>
      <c r="E25" s="152" t="s">
        <v>860</v>
      </c>
      <c r="F25" s="152">
        <v>0</v>
      </c>
      <c r="G25" s="152">
        <v>0</v>
      </c>
      <c r="H25" s="152">
        <v>0</v>
      </c>
      <c r="I25" s="152">
        <v>0</v>
      </c>
      <c r="J25" s="152">
        <v>0</v>
      </c>
      <c r="K25" s="152">
        <v>0</v>
      </c>
      <c r="L25" s="152">
        <v>0</v>
      </c>
      <c r="M25" s="152">
        <v>0</v>
      </c>
      <c r="N25" s="152">
        <v>0</v>
      </c>
      <c r="O25" s="152">
        <v>0</v>
      </c>
      <c r="P25" s="152">
        <v>0</v>
      </c>
      <c r="Q25" s="152">
        <v>0</v>
      </c>
      <c r="R25" s="221">
        <f t="shared" si="0"/>
        <v>0</v>
      </c>
    </row>
    <row r="26" spans="1:19" x14ac:dyDescent="0.25">
      <c r="A26" s="152" t="s">
        <v>881</v>
      </c>
      <c r="B26" s="154" t="s">
        <v>1204</v>
      </c>
      <c r="C26" s="154" t="s">
        <v>858</v>
      </c>
      <c r="D26" s="154" t="s">
        <v>859</v>
      </c>
      <c r="E26" s="152" t="s">
        <v>860</v>
      </c>
      <c r="F26" s="152">
        <v>0</v>
      </c>
      <c r="G26" s="152">
        <v>0</v>
      </c>
      <c r="H26" s="152">
        <v>0</v>
      </c>
      <c r="I26" s="152">
        <v>0</v>
      </c>
      <c r="J26" s="152">
        <v>0</v>
      </c>
      <c r="K26" s="152">
        <v>0</v>
      </c>
      <c r="L26" s="152">
        <v>0</v>
      </c>
      <c r="M26" s="152">
        <v>0</v>
      </c>
      <c r="N26" s="152">
        <v>0</v>
      </c>
      <c r="O26" s="152">
        <v>0</v>
      </c>
      <c r="P26" s="152">
        <v>0</v>
      </c>
      <c r="Q26" s="152">
        <v>0</v>
      </c>
      <c r="R26" s="221">
        <f t="shared" si="0"/>
        <v>0</v>
      </c>
      <c r="S26" s="157">
        <f>SUM('Cash Flow $s Y20-21'!D68:R68)/SUM(Fiscal_Sets!F2:Q26)</f>
        <v>1.0000000000000009</v>
      </c>
    </row>
    <row r="27" spans="1:19" x14ac:dyDescent="0.25">
      <c r="A27" s="152" t="s">
        <v>882</v>
      </c>
      <c r="B27" s="154" t="s">
        <v>1204</v>
      </c>
      <c r="C27" s="152" t="s">
        <v>858</v>
      </c>
      <c r="D27" s="152" t="s">
        <v>859</v>
      </c>
      <c r="E27" s="152" t="s">
        <v>860</v>
      </c>
      <c r="F27" s="152">
        <f>+'Cash Flow $s Y20-21'!D71</f>
        <v>0</v>
      </c>
      <c r="G27" s="152">
        <f>+'Cash Flow $s Y20-21'!E71</f>
        <v>5566.05</v>
      </c>
      <c r="H27" s="152">
        <f>+'Cash Flow $s Y20-21'!F71</f>
        <v>11132.1</v>
      </c>
      <c r="I27" s="152">
        <f>+'Cash Flow $s Y20-21'!G71</f>
        <v>11132.1</v>
      </c>
      <c r="J27" s="152">
        <f>+'Cash Flow $s Y20-21'!H71</f>
        <v>11132.1</v>
      </c>
      <c r="K27" s="152">
        <f>+'Cash Flow $s Y20-21'!I71</f>
        <v>11132.1</v>
      </c>
      <c r="L27" s="152">
        <f>+'Cash Flow $s Y20-21'!J71</f>
        <v>11132.1</v>
      </c>
      <c r="M27" s="152">
        <f>+'Cash Flow $s Y20-21'!K71</f>
        <v>11132.1</v>
      </c>
      <c r="N27" s="152">
        <f>+'Cash Flow $s Y20-21'!L71</f>
        <v>11132.1</v>
      </c>
      <c r="O27" s="152">
        <f>+'Cash Flow $s Y20-21'!M71</f>
        <v>11132.1</v>
      </c>
      <c r="P27" s="152">
        <f>+'Cash Flow $s Y20-21'!N71</f>
        <v>11132.1</v>
      </c>
      <c r="Q27" s="152">
        <f>+'Cash Flow $s Y20-21'!O71</f>
        <v>5566.05</v>
      </c>
      <c r="R27" s="221">
        <f t="shared" si="0"/>
        <v>111321.00000000001</v>
      </c>
    </row>
    <row r="28" spans="1:19" x14ac:dyDescent="0.25">
      <c r="A28" s="152" t="s">
        <v>883</v>
      </c>
      <c r="B28" s="154" t="s">
        <v>1204</v>
      </c>
      <c r="C28" s="152" t="s">
        <v>858</v>
      </c>
      <c r="D28" s="152" t="s">
        <v>859</v>
      </c>
      <c r="E28" s="152" t="s">
        <v>860</v>
      </c>
      <c r="F28" s="152">
        <v>0</v>
      </c>
      <c r="G28" s="152">
        <v>0</v>
      </c>
      <c r="H28" s="152">
        <v>0</v>
      </c>
      <c r="I28" s="152">
        <v>0</v>
      </c>
      <c r="J28" s="152">
        <v>0</v>
      </c>
      <c r="K28" s="152">
        <v>0</v>
      </c>
      <c r="L28" s="152">
        <v>0</v>
      </c>
      <c r="M28" s="152">
        <v>0</v>
      </c>
      <c r="N28" s="152">
        <v>0</v>
      </c>
      <c r="O28" s="152">
        <v>0</v>
      </c>
      <c r="P28" s="152">
        <v>0</v>
      </c>
      <c r="Q28" s="152">
        <v>0</v>
      </c>
      <c r="R28" s="221">
        <f t="shared" si="0"/>
        <v>0</v>
      </c>
    </row>
    <row r="29" spans="1:19" x14ac:dyDescent="0.25">
      <c r="A29" s="152" t="s">
        <v>884</v>
      </c>
      <c r="B29" s="154" t="s">
        <v>1204</v>
      </c>
      <c r="C29" s="152" t="s">
        <v>858</v>
      </c>
      <c r="D29" s="152" t="s">
        <v>859</v>
      </c>
      <c r="E29" s="152" t="s">
        <v>860</v>
      </c>
      <c r="F29" s="152">
        <v>0</v>
      </c>
      <c r="G29" s="152">
        <v>0</v>
      </c>
      <c r="H29" s="152">
        <v>0</v>
      </c>
      <c r="I29" s="152">
        <v>0</v>
      </c>
      <c r="J29" s="152">
        <v>0</v>
      </c>
      <c r="K29" s="152">
        <v>0</v>
      </c>
      <c r="L29" s="152">
        <v>0</v>
      </c>
      <c r="M29" s="152">
        <v>0</v>
      </c>
      <c r="N29" s="152">
        <v>0</v>
      </c>
      <c r="O29" s="152">
        <v>0</v>
      </c>
      <c r="P29" s="152">
        <v>0</v>
      </c>
      <c r="Q29" s="152">
        <v>0</v>
      </c>
      <c r="R29" s="221">
        <f t="shared" si="0"/>
        <v>0</v>
      </c>
    </row>
    <row r="30" spans="1:19" x14ac:dyDescent="0.25">
      <c r="A30" s="152" t="s">
        <v>885</v>
      </c>
      <c r="B30" s="154" t="s">
        <v>1204</v>
      </c>
      <c r="C30" s="152" t="s">
        <v>858</v>
      </c>
      <c r="D30" s="152" t="s">
        <v>859</v>
      </c>
      <c r="E30" s="152" t="s">
        <v>860</v>
      </c>
      <c r="F30" s="152">
        <v>0</v>
      </c>
      <c r="G30" s="152">
        <v>0</v>
      </c>
      <c r="H30" s="152">
        <f>IFERROR((VLOOKUP(LEFT($A30,4),'Cash Flow $s Y20-21'!$B$12:$R$159,5,FALSE)),0)</f>
        <v>288.10000000000002</v>
      </c>
      <c r="I30" s="152">
        <f>IFERROR((VLOOKUP(LEFT($A30,4),'Cash Flow $s Y20-21'!$B$12:$R$159,6,FALSE)),0)</f>
        <v>288.10000000000002</v>
      </c>
      <c r="J30" s="152">
        <f>IFERROR((VLOOKUP(LEFT($A30,4),'Cash Flow $s Y20-21'!$B$12:$R$159,7,FALSE)),0)</f>
        <v>288.10000000000002</v>
      </c>
      <c r="K30" s="152">
        <f>IFERROR((VLOOKUP(LEFT($A30,4),'Cash Flow $s Y20-21'!$B$12:$R$159,8,FALSE)),0)</f>
        <v>288.10000000000002</v>
      </c>
      <c r="L30" s="152">
        <f>IFERROR((VLOOKUP(LEFT($A30,4),'Cash Flow $s Y20-21'!$B$12:$R$159,9,FALSE)),0)</f>
        <v>288.10000000000002</v>
      </c>
      <c r="M30" s="152">
        <f>IFERROR((VLOOKUP(LEFT($A30,4),'Cash Flow $s Y20-21'!$B$12:$R$159,10,FALSE)),0)</f>
        <v>288.10000000000002</v>
      </c>
      <c r="N30" s="152">
        <f>IFERROR((VLOOKUP(LEFT($A30,4),'Cash Flow $s Y20-21'!$B$12:$R$159,11,FALSE)),0)</f>
        <v>288.10000000000002</v>
      </c>
      <c r="O30" s="152">
        <f>IFERROR((VLOOKUP(LEFT($A30,4),'Cash Flow $s Y20-21'!$B$12:$R$159,12,FALSE)),0)</f>
        <v>288.10000000000002</v>
      </c>
      <c r="P30" s="152">
        <f>IFERROR((VLOOKUP(LEFT($A30,4),'Cash Flow $s Y20-21'!$B$12:$R$159,13,FALSE)),0)</f>
        <v>288.10000000000002</v>
      </c>
      <c r="Q30" s="152">
        <f>IFERROR((VLOOKUP(LEFT($A30,4),'Cash Flow $s Y20-21'!$B$12:$R$159,14,FALSE)),0)</f>
        <v>288.10000000000002</v>
      </c>
      <c r="R30" s="221">
        <f t="shared" si="0"/>
        <v>2880.9999999999995</v>
      </c>
    </row>
    <row r="31" spans="1:19" x14ac:dyDescent="0.25">
      <c r="A31" s="152" t="s">
        <v>886</v>
      </c>
      <c r="B31" s="154" t="s">
        <v>1204</v>
      </c>
      <c r="C31" s="152" t="s">
        <v>858</v>
      </c>
      <c r="D31" s="152" t="s">
        <v>859</v>
      </c>
      <c r="E31" s="152" t="s">
        <v>860</v>
      </c>
      <c r="F31" s="152">
        <v>0</v>
      </c>
      <c r="G31" s="152">
        <v>0</v>
      </c>
      <c r="H31" s="152">
        <v>0</v>
      </c>
      <c r="I31" s="152">
        <v>0</v>
      </c>
      <c r="J31" s="152">
        <v>0</v>
      </c>
      <c r="K31" s="152">
        <v>0</v>
      </c>
      <c r="L31" s="152">
        <v>0</v>
      </c>
      <c r="M31" s="152">
        <v>0</v>
      </c>
      <c r="N31" s="152">
        <v>0</v>
      </c>
      <c r="O31" s="152">
        <v>0</v>
      </c>
      <c r="P31" s="152">
        <v>0</v>
      </c>
      <c r="Q31" s="152">
        <v>0</v>
      </c>
      <c r="R31" s="221">
        <f t="shared" si="0"/>
        <v>0</v>
      </c>
    </row>
    <row r="32" spans="1:19" x14ac:dyDescent="0.25">
      <c r="A32" s="152" t="s">
        <v>887</v>
      </c>
      <c r="B32" s="154" t="s">
        <v>1204</v>
      </c>
      <c r="C32" s="152" t="s">
        <v>858</v>
      </c>
      <c r="D32" s="152" t="s">
        <v>859</v>
      </c>
      <c r="E32" s="152" t="s">
        <v>860</v>
      </c>
      <c r="F32" s="152">
        <v>0</v>
      </c>
      <c r="G32" s="152">
        <v>0</v>
      </c>
      <c r="H32" s="152">
        <v>0</v>
      </c>
      <c r="I32" s="152">
        <v>0</v>
      </c>
      <c r="J32" s="152">
        <v>0</v>
      </c>
      <c r="K32" s="152">
        <v>0</v>
      </c>
      <c r="L32" s="152">
        <v>0</v>
      </c>
      <c r="M32" s="152">
        <v>0</v>
      </c>
      <c r="N32" s="152">
        <v>0</v>
      </c>
      <c r="O32" s="152">
        <v>0</v>
      </c>
      <c r="P32" s="152">
        <v>0</v>
      </c>
      <c r="Q32" s="152">
        <v>0</v>
      </c>
      <c r="R32" s="221">
        <f t="shared" si="0"/>
        <v>0</v>
      </c>
    </row>
    <row r="33" spans="1:18" x14ac:dyDescent="0.25">
      <c r="A33" s="152" t="s">
        <v>888</v>
      </c>
      <c r="B33" s="154" t="s">
        <v>1204</v>
      </c>
      <c r="C33" s="152" t="s">
        <v>858</v>
      </c>
      <c r="D33" s="152" t="s">
        <v>859</v>
      </c>
      <c r="E33" s="152" t="s">
        <v>860</v>
      </c>
      <c r="F33" s="152">
        <v>0</v>
      </c>
      <c r="G33" s="152">
        <v>0</v>
      </c>
      <c r="H33" s="152">
        <f>IFERROR((VLOOKUP(LEFT($A33,4),'Cash Flow $s Y20-21'!$B$12:$R$159,5,FALSE)),0)</f>
        <v>2612.5</v>
      </c>
      <c r="I33" s="152">
        <f>IFERROR((VLOOKUP(LEFT($A33,4),'Cash Flow $s Y20-21'!$B$12:$R$159,6,FALSE)),0)</f>
        <v>2612.5</v>
      </c>
      <c r="J33" s="152">
        <f>IFERROR((VLOOKUP(LEFT($A33,4),'Cash Flow $s Y20-21'!$B$12:$R$159,7,FALSE)),0)</f>
        <v>2612.5</v>
      </c>
      <c r="K33" s="152">
        <f>IFERROR((VLOOKUP(LEFT($A33,4),'Cash Flow $s Y20-21'!$B$12:$R$159,8,FALSE)),0)</f>
        <v>2612.5</v>
      </c>
      <c r="L33" s="152">
        <f>IFERROR((VLOOKUP(LEFT($A33,4),'Cash Flow $s Y20-21'!$B$12:$R$159,9,FALSE)),0)</f>
        <v>2612.5</v>
      </c>
      <c r="M33" s="152">
        <f>IFERROR((VLOOKUP(LEFT($A33,4),'Cash Flow $s Y20-21'!$B$12:$R$159,10,FALSE)),0)</f>
        <v>2612.5</v>
      </c>
      <c r="N33" s="152">
        <f>IFERROR((VLOOKUP(LEFT($A33,4),'Cash Flow $s Y20-21'!$B$12:$R$159,11,FALSE)),0)</f>
        <v>2612.5</v>
      </c>
      <c r="O33" s="152">
        <f>IFERROR((VLOOKUP(LEFT($A33,4),'Cash Flow $s Y20-21'!$B$12:$R$159,12,FALSE)),0)</f>
        <v>2612.5</v>
      </c>
      <c r="P33" s="152">
        <f>IFERROR((VLOOKUP(LEFT($A33,4),'Cash Flow $s Y20-21'!$B$12:$R$159,13,FALSE)),0)</f>
        <v>2612.5</v>
      </c>
      <c r="Q33" s="152">
        <f>IFERROR((VLOOKUP(LEFT($A33,4),'Cash Flow $s Y20-21'!$B$12:$R$159,14,FALSE)),0)</f>
        <v>1306.25</v>
      </c>
      <c r="R33" s="221">
        <f t="shared" si="0"/>
        <v>24818.75</v>
      </c>
    </row>
    <row r="34" spans="1:18" x14ac:dyDescent="0.25">
      <c r="A34" s="152" t="s">
        <v>889</v>
      </c>
      <c r="B34" s="154" t="s">
        <v>1204</v>
      </c>
      <c r="C34" s="152" t="s">
        <v>858</v>
      </c>
      <c r="D34" s="152" t="s">
        <v>859</v>
      </c>
      <c r="E34" s="152" t="s">
        <v>860</v>
      </c>
      <c r="F34" s="152">
        <v>0</v>
      </c>
      <c r="G34" s="152">
        <v>0</v>
      </c>
      <c r="H34" s="152">
        <v>0</v>
      </c>
      <c r="I34" s="152">
        <v>0</v>
      </c>
      <c r="J34" s="152">
        <v>0</v>
      </c>
      <c r="K34" s="152">
        <v>0</v>
      </c>
      <c r="L34" s="152">
        <v>0</v>
      </c>
      <c r="M34" s="152">
        <v>0</v>
      </c>
      <c r="N34" s="152">
        <v>0</v>
      </c>
      <c r="O34" s="152">
        <v>0</v>
      </c>
      <c r="P34" s="152">
        <v>0</v>
      </c>
      <c r="Q34" s="152">
        <v>0</v>
      </c>
      <c r="R34" s="221">
        <f t="shared" si="0"/>
        <v>0</v>
      </c>
    </row>
    <row r="35" spans="1:18" x14ac:dyDescent="0.25">
      <c r="A35" s="152" t="s">
        <v>890</v>
      </c>
      <c r="B35" s="154" t="s">
        <v>1204</v>
      </c>
      <c r="C35" s="152" t="s">
        <v>858</v>
      </c>
      <c r="D35" s="152" t="s">
        <v>859</v>
      </c>
      <c r="E35" s="152" t="s">
        <v>860</v>
      </c>
      <c r="F35" s="152">
        <v>0</v>
      </c>
      <c r="G35" s="152">
        <v>0</v>
      </c>
      <c r="H35" s="152">
        <v>0</v>
      </c>
      <c r="I35" s="152">
        <v>0</v>
      </c>
      <c r="J35" s="152">
        <v>0</v>
      </c>
      <c r="K35" s="152">
        <v>0</v>
      </c>
      <c r="L35" s="152">
        <v>0</v>
      </c>
      <c r="M35" s="152">
        <v>0</v>
      </c>
      <c r="N35" s="152">
        <v>0</v>
      </c>
      <c r="O35" s="152">
        <v>0</v>
      </c>
      <c r="P35" s="152">
        <v>0</v>
      </c>
      <c r="Q35" s="152">
        <v>0</v>
      </c>
      <c r="R35" s="221">
        <f t="shared" si="0"/>
        <v>0</v>
      </c>
    </row>
    <row r="36" spans="1:18" x14ac:dyDescent="0.25">
      <c r="A36" s="152" t="s">
        <v>891</v>
      </c>
      <c r="B36" s="154" t="s">
        <v>1204</v>
      </c>
      <c r="C36" s="152" t="s">
        <v>858</v>
      </c>
      <c r="D36" s="152" t="s">
        <v>859</v>
      </c>
      <c r="E36" s="152" t="s">
        <v>860</v>
      </c>
      <c r="F36" s="152">
        <v>0</v>
      </c>
      <c r="G36" s="152">
        <v>0</v>
      </c>
      <c r="H36" s="152">
        <f>IFERROR((VLOOKUP(LEFT($A36,4),'Cash Flow $s Y20-21'!$B$12:$R$159,5,FALSE)),0)</f>
        <v>0</v>
      </c>
      <c r="I36" s="152">
        <f>IFERROR((VLOOKUP(LEFT($A36,4),'Cash Flow $s Y20-21'!$B$12:$R$159,6,FALSE)),0)</f>
        <v>0</v>
      </c>
      <c r="J36" s="152">
        <f>IFERROR((VLOOKUP(LEFT($A36,4),'Cash Flow $s Y20-21'!$B$12:$R$159,7,FALSE)),0)</f>
        <v>0</v>
      </c>
      <c r="K36" s="152">
        <f>IFERROR((VLOOKUP(LEFT($A36,4),'Cash Flow $s Y20-21'!$B$12:$R$159,8,FALSE)),0)</f>
        <v>0</v>
      </c>
      <c r="L36" s="152">
        <f>IFERROR((VLOOKUP(LEFT($A36,4),'Cash Flow $s Y20-21'!$B$12:$R$159,9,FALSE)),0)</f>
        <v>0</v>
      </c>
      <c r="M36" s="152">
        <f>IFERROR((VLOOKUP(LEFT($A36,4),'Cash Flow $s Y20-21'!$B$12:$R$159,10,FALSE)),0)</f>
        <v>0</v>
      </c>
      <c r="N36" s="152">
        <f>IFERROR((VLOOKUP(LEFT($A36,4),'Cash Flow $s Y20-21'!$B$12:$R$159,11,FALSE)),0)</f>
        <v>0</v>
      </c>
      <c r="O36" s="152">
        <f>IFERROR((VLOOKUP(LEFT($A36,4),'Cash Flow $s Y20-21'!$B$12:$R$159,12,FALSE)),0)</f>
        <v>0</v>
      </c>
      <c r="P36" s="152">
        <f>IFERROR((VLOOKUP(LEFT($A36,4),'Cash Flow $s Y20-21'!$B$12:$R$159,13,FALSE)),0)</f>
        <v>0</v>
      </c>
      <c r="Q36" s="152">
        <f>IFERROR((VLOOKUP(LEFT($A36,4),'Cash Flow $s Y20-21'!$B$12:$R$159,14,FALSE)),0)</f>
        <v>0</v>
      </c>
      <c r="R36" s="221">
        <f t="shared" si="0"/>
        <v>0</v>
      </c>
    </row>
    <row r="37" spans="1:18" x14ac:dyDescent="0.25">
      <c r="A37" s="152" t="s">
        <v>892</v>
      </c>
      <c r="B37" s="154" t="s">
        <v>1204</v>
      </c>
      <c r="C37" s="152" t="s">
        <v>858</v>
      </c>
      <c r="D37" s="152" t="s">
        <v>859</v>
      </c>
      <c r="E37" s="152" t="s">
        <v>860</v>
      </c>
      <c r="F37" s="152">
        <v>0</v>
      </c>
      <c r="G37" s="152">
        <v>0</v>
      </c>
      <c r="H37" s="152">
        <v>0</v>
      </c>
      <c r="I37" s="152">
        <v>0</v>
      </c>
      <c r="J37" s="152">
        <v>0</v>
      </c>
      <c r="K37" s="152">
        <v>0</v>
      </c>
      <c r="L37" s="152">
        <v>0</v>
      </c>
      <c r="M37" s="152">
        <v>0</v>
      </c>
      <c r="N37" s="152">
        <v>0</v>
      </c>
      <c r="O37" s="152">
        <v>0</v>
      </c>
      <c r="P37" s="152">
        <v>0</v>
      </c>
      <c r="Q37" s="152">
        <v>0</v>
      </c>
      <c r="R37" s="221">
        <f t="shared" si="0"/>
        <v>0</v>
      </c>
    </row>
    <row r="38" spans="1:18" x14ac:dyDescent="0.25">
      <c r="A38" s="152" t="s">
        <v>893</v>
      </c>
      <c r="B38" s="154" t="s">
        <v>1204</v>
      </c>
      <c r="C38" s="152" t="s">
        <v>858</v>
      </c>
      <c r="D38" s="152" t="s">
        <v>859</v>
      </c>
      <c r="E38" s="152" t="s">
        <v>860</v>
      </c>
      <c r="F38" s="152">
        <v>0</v>
      </c>
      <c r="G38" s="152">
        <v>0</v>
      </c>
      <c r="H38" s="152">
        <v>0</v>
      </c>
      <c r="I38" s="152">
        <v>0</v>
      </c>
      <c r="J38" s="152">
        <v>0</v>
      </c>
      <c r="K38" s="152">
        <v>0</v>
      </c>
      <c r="L38" s="152">
        <v>0</v>
      </c>
      <c r="M38" s="152">
        <v>0</v>
      </c>
      <c r="N38" s="152">
        <v>0</v>
      </c>
      <c r="O38" s="152">
        <v>0</v>
      </c>
      <c r="P38" s="152">
        <v>0</v>
      </c>
      <c r="Q38" s="152">
        <v>0</v>
      </c>
      <c r="R38" s="221">
        <f t="shared" si="0"/>
        <v>0</v>
      </c>
    </row>
    <row r="39" spans="1:18" x14ac:dyDescent="0.25">
      <c r="A39" s="152" t="s">
        <v>894</v>
      </c>
      <c r="B39" s="154" t="s">
        <v>1204</v>
      </c>
      <c r="C39" s="152" t="s">
        <v>858</v>
      </c>
      <c r="D39" s="152" t="s">
        <v>859</v>
      </c>
      <c r="E39" s="152" t="s">
        <v>860</v>
      </c>
      <c r="F39" s="152">
        <f>+'Cash Flow $s Y20-21'!D75-F40-F41</f>
        <v>-14791.596000000001</v>
      </c>
      <c r="G39" s="152">
        <f>+'Cash Flow $s Y20-21'!E75-G40-G41</f>
        <v>-14791.596000000001</v>
      </c>
      <c r="H39" s="152">
        <f>+'Cash Flow $s Y20-21'!F75-H40-H41</f>
        <v>-14791.596000000001</v>
      </c>
      <c r="I39" s="152">
        <f>+'Cash Flow $s Y20-21'!G75-I40-I41</f>
        <v>-14791.596000000001</v>
      </c>
      <c r="J39" s="152">
        <f>+'Cash Flow $s Y20-21'!H75-J40-J41</f>
        <v>-14791.596000000001</v>
      </c>
      <c r="K39" s="152">
        <f>+'Cash Flow $s Y20-21'!I75-K40-K41</f>
        <v>-14791.596000000001</v>
      </c>
      <c r="L39" s="152">
        <f>+'Cash Flow $s Y20-21'!J75-L40-L41</f>
        <v>-14791.596000000001</v>
      </c>
      <c r="M39" s="152">
        <f>+'Cash Flow $s Y20-21'!K75-M40-M41</f>
        <v>-14791.596000000001</v>
      </c>
      <c r="N39" s="152">
        <f>+'Cash Flow $s Y20-21'!L75-N40-N41</f>
        <v>-14969.808000000001</v>
      </c>
      <c r="O39" s="152">
        <f>+'Cash Flow $s Y20-21'!M75-O40-O41</f>
        <v>-14969.808000000001</v>
      </c>
      <c r="P39" s="152">
        <f>+'Cash Flow $s Y20-21'!N75-P40-P41</f>
        <v>-14969.808000000001</v>
      </c>
      <c r="Q39" s="152">
        <f>+'Cash Flow $s Y20-21'!O75-Q40-Q41</f>
        <v>-14969.808000000001</v>
      </c>
      <c r="R39" s="221">
        <f t="shared" si="0"/>
        <v>-178212</v>
      </c>
    </row>
    <row r="40" spans="1:18" x14ac:dyDescent="0.25">
      <c r="A40" s="152" t="s">
        <v>895</v>
      </c>
      <c r="B40" s="154" t="s">
        <v>1204</v>
      </c>
      <c r="C40" s="152" t="s">
        <v>858</v>
      </c>
      <c r="D40" s="152" t="s">
        <v>859</v>
      </c>
      <c r="E40" s="152" t="s">
        <v>860</v>
      </c>
      <c r="F40" s="152">
        <v>0</v>
      </c>
      <c r="G40" s="152">
        <v>0</v>
      </c>
      <c r="H40" s="152">
        <v>0</v>
      </c>
      <c r="I40" s="152">
        <v>0</v>
      </c>
      <c r="J40" s="152">
        <v>0</v>
      </c>
      <c r="K40" s="152">
        <v>0</v>
      </c>
      <c r="L40" s="152">
        <v>0</v>
      </c>
      <c r="M40" s="152">
        <v>0</v>
      </c>
      <c r="N40" s="152">
        <v>0</v>
      </c>
      <c r="O40" s="152">
        <v>0</v>
      </c>
      <c r="P40" s="152">
        <v>0</v>
      </c>
      <c r="Q40" s="152">
        <v>0</v>
      </c>
      <c r="R40" s="221">
        <f t="shared" si="0"/>
        <v>0</v>
      </c>
    </row>
    <row r="41" spans="1:18" x14ac:dyDescent="0.25">
      <c r="A41" s="152" t="s">
        <v>896</v>
      </c>
      <c r="B41" s="154" t="s">
        <v>1204</v>
      </c>
      <c r="C41" s="152" t="s">
        <v>858</v>
      </c>
      <c r="D41" s="152" t="s">
        <v>859</v>
      </c>
      <c r="E41" s="152" t="s">
        <v>860</v>
      </c>
      <c r="F41" s="152">
        <f>178212*'Cash Flow %s Yr1'!D70</f>
        <v>14791.596000000001</v>
      </c>
      <c r="G41" s="152">
        <f>178212*'Cash Flow %s Yr1'!E70</f>
        <v>14791.596000000001</v>
      </c>
      <c r="H41" s="152">
        <f>178212*'Cash Flow %s Yr1'!F70</f>
        <v>14791.596000000001</v>
      </c>
      <c r="I41" s="152">
        <f>178212*'Cash Flow %s Yr1'!G70</f>
        <v>14791.596000000001</v>
      </c>
      <c r="J41" s="152">
        <f>178212*'Cash Flow %s Yr1'!H70</f>
        <v>14791.596000000001</v>
      </c>
      <c r="K41" s="152">
        <f>178212*'Cash Flow %s Yr1'!I70</f>
        <v>14791.596000000001</v>
      </c>
      <c r="L41" s="152">
        <f>178212*'Cash Flow %s Yr1'!J70</f>
        <v>14791.596000000001</v>
      </c>
      <c r="M41" s="152">
        <f>178212*'Cash Flow %s Yr1'!K70</f>
        <v>14791.596000000001</v>
      </c>
      <c r="N41" s="152">
        <f>178212*'Cash Flow %s Yr1'!L70</f>
        <v>14969.808000000001</v>
      </c>
      <c r="O41" s="152">
        <f>178212*'Cash Flow %s Yr1'!M70</f>
        <v>14969.808000000001</v>
      </c>
      <c r="P41" s="152">
        <f>178212*'Cash Flow %s Yr1'!N70</f>
        <v>14969.808000000001</v>
      </c>
      <c r="Q41" s="152">
        <f>178212*'Cash Flow %s Yr1'!O70</f>
        <v>14969.808000000001</v>
      </c>
      <c r="R41" s="221">
        <f t="shared" si="0"/>
        <v>178212</v>
      </c>
    </row>
    <row r="42" spans="1:18" x14ac:dyDescent="0.25">
      <c r="A42" s="152" t="s">
        <v>897</v>
      </c>
      <c r="B42" s="154" t="s">
        <v>1204</v>
      </c>
      <c r="C42" s="152" t="s">
        <v>858</v>
      </c>
      <c r="D42" s="152" t="s">
        <v>859</v>
      </c>
      <c r="E42" s="152" t="s">
        <v>860</v>
      </c>
      <c r="F42" s="152">
        <f>IFERROR((VLOOKUP(LEFT($A42,4),'Cash Flow $s Y20-21'!$B$12:$R$159,3,FALSE)),0)</f>
        <v>2157.3360000000002</v>
      </c>
      <c r="G42" s="152">
        <f>IFERROR((VLOOKUP(LEFT($A42,4),'Cash Flow $s Y20-21'!$B$12:$R$159,4,FALSE)),0)</f>
        <v>2157.3360000000002</v>
      </c>
      <c r="H42" s="152">
        <f>IFERROR((VLOOKUP(LEFT($A42,4),'Cash Flow $s Y20-21'!$B$12:$R$159,5,FALSE)),0)</f>
        <v>2157.3360000000002</v>
      </c>
      <c r="I42" s="152">
        <f>IFERROR((VLOOKUP(LEFT($A42,4),'Cash Flow $s Y20-21'!$B$12:$R$159,6,FALSE)),0)</f>
        <v>2157.3360000000002</v>
      </c>
      <c r="J42" s="152">
        <f>IFERROR((VLOOKUP(LEFT($A42,4),'Cash Flow $s Y20-21'!$B$12:$R$159,7,FALSE)),0)</f>
        <v>2157.3360000000002</v>
      </c>
      <c r="K42" s="152">
        <f>IFERROR((VLOOKUP(LEFT($A42,4),'Cash Flow $s Y20-21'!$B$12:$R$159,8,FALSE)),0)</f>
        <v>2157.3360000000002</v>
      </c>
      <c r="L42" s="152">
        <f>IFERROR((VLOOKUP(LEFT($A42,4),'Cash Flow $s Y20-21'!$B$12:$R$159,9,FALSE)),0)</f>
        <v>2157.3360000000002</v>
      </c>
      <c r="M42" s="152">
        <f>IFERROR((VLOOKUP(LEFT($A42,4),'Cash Flow $s Y20-21'!$B$12:$R$159,10,FALSE)),0)</f>
        <v>2157.3360000000002</v>
      </c>
      <c r="N42" s="152">
        <f>IFERROR((VLOOKUP(LEFT($A42,4),'Cash Flow $s Y20-21'!$B$12:$R$159,11,FALSE)),0)</f>
        <v>2183.328</v>
      </c>
      <c r="O42" s="152">
        <f>IFERROR((VLOOKUP(LEFT($A42,4),'Cash Flow $s Y20-21'!$B$12:$R$159,12,FALSE)),0)</f>
        <v>2183.328</v>
      </c>
      <c r="P42" s="152">
        <f>IFERROR((VLOOKUP(LEFT($A42,4),'Cash Flow $s Y20-21'!$B$12:$R$159,13,FALSE)),0)</f>
        <v>2183.328</v>
      </c>
      <c r="Q42" s="152">
        <f>IFERROR((VLOOKUP(LEFT($A42,4),'Cash Flow $s Y20-21'!$B$12:$R$159,14,FALSE)),0)</f>
        <v>2183.328</v>
      </c>
      <c r="R42" s="221">
        <f t="shared" si="0"/>
        <v>25992.000000000004</v>
      </c>
    </row>
    <row r="43" spans="1:18" x14ac:dyDescent="0.25">
      <c r="A43" s="152" t="s">
        <v>898</v>
      </c>
      <c r="B43" s="154" t="s">
        <v>1204</v>
      </c>
      <c r="C43" s="152" t="s">
        <v>858</v>
      </c>
      <c r="D43" s="152" t="s">
        <v>859</v>
      </c>
      <c r="E43" s="152" t="s">
        <v>860</v>
      </c>
      <c r="F43" s="152">
        <v>0</v>
      </c>
      <c r="G43" s="152">
        <v>0</v>
      </c>
      <c r="H43" s="152">
        <v>0</v>
      </c>
      <c r="I43" s="152">
        <v>0</v>
      </c>
      <c r="J43" s="152">
        <v>0</v>
      </c>
      <c r="K43" s="152">
        <v>0</v>
      </c>
      <c r="L43" s="152">
        <v>0</v>
      </c>
      <c r="M43" s="152">
        <v>0</v>
      </c>
      <c r="N43" s="152">
        <v>0</v>
      </c>
      <c r="O43" s="152">
        <v>0</v>
      </c>
      <c r="P43" s="152">
        <v>0</v>
      </c>
      <c r="Q43" s="152">
        <v>0</v>
      </c>
      <c r="R43" s="221">
        <f t="shared" si="0"/>
        <v>0</v>
      </c>
    </row>
    <row r="44" spans="1:18" x14ac:dyDescent="0.25">
      <c r="A44" s="152" t="s">
        <v>899</v>
      </c>
      <c r="B44" s="154" t="s">
        <v>1204</v>
      </c>
      <c r="C44" s="152" t="s">
        <v>858</v>
      </c>
      <c r="D44" s="152" t="s">
        <v>859</v>
      </c>
      <c r="E44" s="152" t="s">
        <v>860</v>
      </c>
      <c r="F44" s="152">
        <v>0</v>
      </c>
      <c r="G44" s="152">
        <v>0</v>
      </c>
      <c r="H44" s="152">
        <v>0</v>
      </c>
      <c r="I44" s="152">
        <v>0</v>
      </c>
      <c r="J44" s="152">
        <v>0</v>
      </c>
      <c r="K44" s="152">
        <v>0</v>
      </c>
      <c r="L44" s="152">
        <v>0</v>
      </c>
      <c r="M44" s="152">
        <v>0</v>
      </c>
      <c r="N44" s="152">
        <v>0</v>
      </c>
      <c r="O44" s="152">
        <v>0</v>
      </c>
      <c r="P44" s="152">
        <v>0</v>
      </c>
      <c r="Q44" s="152">
        <v>0</v>
      </c>
      <c r="R44" s="221">
        <f t="shared" si="0"/>
        <v>0</v>
      </c>
    </row>
    <row r="45" spans="1:18" x14ac:dyDescent="0.25">
      <c r="A45" s="152" t="s">
        <v>900</v>
      </c>
      <c r="B45" s="154" t="s">
        <v>1204</v>
      </c>
      <c r="C45" s="152" t="s">
        <v>858</v>
      </c>
      <c r="D45" s="152" t="s">
        <v>859</v>
      </c>
      <c r="E45" s="152" t="s">
        <v>860</v>
      </c>
      <c r="F45" s="152">
        <v>0</v>
      </c>
      <c r="G45" s="152">
        <v>0</v>
      </c>
      <c r="H45" s="152">
        <f>IFERROR((VLOOKUP(LEFT($A45,4),'Cash Flow $s Y20-21'!$B$12:$R$159,5,FALSE)),0)</f>
        <v>0</v>
      </c>
      <c r="I45" s="152">
        <f>IFERROR((VLOOKUP(LEFT($A45,4),'Cash Flow $s Y20-21'!$B$12:$R$159,6,FALSE)),0)</f>
        <v>0</v>
      </c>
      <c r="J45" s="152">
        <f>IFERROR((VLOOKUP(LEFT($A45,4),'Cash Flow $s Y20-21'!$B$12:$R$159,7,FALSE)),0)</f>
        <v>0</v>
      </c>
      <c r="K45" s="152">
        <f>IFERROR((VLOOKUP(LEFT($A45,4),'Cash Flow $s Y20-21'!$B$12:$R$159,8,FALSE)),0)</f>
        <v>0</v>
      </c>
      <c r="L45" s="152">
        <f>IFERROR((VLOOKUP(LEFT($A45,4),'Cash Flow $s Y20-21'!$B$12:$R$159,9,FALSE)),0)</f>
        <v>0</v>
      </c>
      <c r="M45" s="152">
        <f>IFERROR((VLOOKUP(LEFT($A45,4),'Cash Flow $s Y20-21'!$B$12:$R$159,10,FALSE)),0)</f>
        <v>0</v>
      </c>
      <c r="N45" s="152">
        <f>IFERROR((VLOOKUP(LEFT($A45,4),'Cash Flow $s Y20-21'!$B$12:$R$159,11,FALSE)),0)</f>
        <v>0</v>
      </c>
      <c r="O45" s="152">
        <f>IFERROR((VLOOKUP(LEFT($A45,4),'Cash Flow $s Y20-21'!$B$12:$R$159,12,FALSE)),0)</f>
        <v>0</v>
      </c>
      <c r="P45" s="152">
        <f>IFERROR((VLOOKUP(LEFT($A45,4),'Cash Flow $s Y20-21'!$B$12:$R$159,13,FALSE)),0)</f>
        <v>0</v>
      </c>
      <c r="Q45" s="152">
        <f>IFERROR((VLOOKUP(LEFT($A45,4),'Cash Flow $s Y20-21'!$B$12:$R$159,14,FALSE)),0)</f>
        <v>0</v>
      </c>
      <c r="R45" s="221">
        <f t="shared" si="0"/>
        <v>0</v>
      </c>
    </row>
    <row r="46" spans="1:18" x14ac:dyDescent="0.25">
      <c r="A46" s="152" t="s">
        <v>901</v>
      </c>
      <c r="B46" s="154" t="s">
        <v>1204</v>
      </c>
      <c r="C46" s="152" t="s">
        <v>858</v>
      </c>
      <c r="D46" s="152" t="s">
        <v>859</v>
      </c>
      <c r="E46" s="152" t="s">
        <v>860</v>
      </c>
      <c r="F46" s="152">
        <v>0</v>
      </c>
      <c r="G46" s="152">
        <v>0</v>
      </c>
      <c r="H46" s="152">
        <v>0</v>
      </c>
      <c r="I46" s="152">
        <v>0</v>
      </c>
      <c r="J46" s="152">
        <v>0</v>
      </c>
      <c r="K46" s="152">
        <v>0</v>
      </c>
      <c r="L46" s="152">
        <v>0</v>
      </c>
      <c r="M46" s="152">
        <v>0</v>
      </c>
      <c r="N46" s="152">
        <v>0</v>
      </c>
      <c r="O46" s="152">
        <v>0</v>
      </c>
      <c r="P46" s="152">
        <v>0</v>
      </c>
      <c r="Q46" s="152">
        <v>0</v>
      </c>
      <c r="R46" s="221">
        <f t="shared" si="0"/>
        <v>0</v>
      </c>
    </row>
    <row r="47" spans="1:18" x14ac:dyDescent="0.25">
      <c r="A47" s="152" t="s">
        <v>902</v>
      </c>
      <c r="B47" s="154" t="s">
        <v>1204</v>
      </c>
      <c r="C47" s="152" t="s">
        <v>858</v>
      </c>
      <c r="D47" s="152" t="s">
        <v>859</v>
      </c>
      <c r="E47" s="152" t="s">
        <v>860</v>
      </c>
      <c r="F47" s="152">
        <v>0</v>
      </c>
      <c r="G47" s="152">
        <v>0</v>
      </c>
      <c r="H47" s="152">
        <v>0</v>
      </c>
      <c r="I47" s="152">
        <v>0</v>
      </c>
      <c r="J47" s="152">
        <v>0</v>
      </c>
      <c r="K47" s="152">
        <v>0</v>
      </c>
      <c r="L47" s="152">
        <v>0</v>
      </c>
      <c r="M47" s="152">
        <v>0</v>
      </c>
      <c r="N47" s="152">
        <v>0</v>
      </c>
      <c r="O47" s="152">
        <v>0</v>
      </c>
      <c r="P47" s="152">
        <v>0</v>
      </c>
      <c r="Q47" s="152">
        <v>0</v>
      </c>
      <c r="R47" s="221">
        <f t="shared" si="0"/>
        <v>0</v>
      </c>
    </row>
    <row r="48" spans="1:18" x14ac:dyDescent="0.25">
      <c r="A48" s="152" t="s">
        <v>903</v>
      </c>
      <c r="B48" s="154" t="s">
        <v>1204</v>
      </c>
      <c r="C48" s="152" t="s">
        <v>858</v>
      </c>
      <c r="D48" s="152" t="s">
        <v>859</v>
      </c>
      <c r="E48" s="152" t="s">
        <v>860</v>
      </c>
      <c r="F48" s="152">
        <f>+'Cash Flow $s Y20-21'!D78</f>
        <v>0</v>
      </c>
      <c r="G48" s="152">
        <f>+'Cash Flow $s Y20-21'!E78</f>
        <v>0</v>
      </c>
      <c r="H48" s="152">
        <f>+'Cash Flow $s Y20-21'!F78</f>
        <v>0</v>
      </c>
      <c r="I48" s="152">
        <f>+'Cash Flow $s Y20-21'!G78</f>
        <v>0</v>
      </c>
      <c r="J48" s="152">
        <f>+'Cash Flow $s Y20-21'!H78</f>
        <v>0</v>
      </c>
      <c r="K48" s="152">
        <f>+'Cash Flow $s Y20-21'!I78</f>
        <v>0</v>
      </c>
      <c r="L48" s="152">
        <f>+'Cash Flow $s Y20-21'!J78</f>
        <v>0</v>
      </c>
      <c r="M48" s="152">
        <f>+'Cash Flow $s Y20-21'!K78</f>
        <v>0</v>
      </c>
      <c r="N48" s="152">
        <f>+'Cash Flow $s Y20-21'!L78</f>
        <v>0</v>
      </c>
      <c r="O48" s="152">
        <f>+'Cash Flow $s Y20-21'!M78</f>
        <v>0</v>
      </c>
      <c r="P48" s="152">
        <f>+'Cash Flow $s Y20-21'!N78</f>
        <v>0</v>
      </c>
      <c r="Q48" s="152">
        <f>+'Cash Flow $s Y20-21'!O78</f>
        <v>0</v>
      </c>
      <c r="R48" s="221">
        <f t="shared" si="0"/>
        <v>0</v>
      </c>
    </row>
    <row r="49" spans="1:19" x14ac:dyDescent="0.25">
      <c r="A49" s="152" t="s">
        <v>904</v>
      </c>
      <c r="B49" s="154" t="s">
        <v>1204</v>
      </c>
      <c r="C49" s="152" t="s">
        <v>858</v>
      </c>
      <c r="D49" s="152" t="s">
        <v>859</v>
      </c>
      <c r="E49" s="152" t="s">
        <v>860</v>
      </c>
      <c r="F49" s="152">
        <v>0</v>
      </c>
      <c r="G49" s="152">
        <v>0</v>
      </c>
      <c r="H49" s="152">
        <v>0</v>
      </c>
      <c r="I49" s="152">
        <v>0</v>
      </c>
      <c r="J49" s="152">
        <v>0</v>
      </c>
      <c r="K49" s="152">
        <v>0</v>
      </c>
      <c r="L49" s="152">
        <v>0</v>
      </c>
      <c r="M49" s="152">
        <v>0</v>
      </c>
      <c r="N49" s="152">
        <v>0</v>
      </c>
      <c r="O49" s="152">
        <v>0</v>
      </c>
      <c r="P49" s="152">
        <v>0</v>
      </c>
      <c r="Q49" s="152">
        <v>0</v>
      </c>
      <c r="R49" s="221">
        <f t="shared" si="0"/>
        <v>0</v>
      </c>
    </row>
    <row r="50" spans="1:19" x14ac:dyDescent="0.25">
      <c r="A50" s="152" t="s">
        <v>905</v>
      </c>
      <c r="B50" s="154" t="s">
        <v>1204</v>
      </c>
      <c r="C50" s="152" t="s">
        <v>858</v>
      </c>
      <c r="D50" s="152" t="s">
        <v>859</v>
      </c>
      <c r="E50" s="152" t="s">
        <v>860</v>
      </c>
      <c r="F50" s="152">
        <v>0</v>
      </c>
      <c r="G50" s="152">
        <v>0</v>
      </c>
      <c r="H50" s="152">
        <v>0</v>
      </c>
      <c r="I50" s="152">
        <v>0</v>
      </c>
      <c r="J50" s="152">
        <v>0</v>
      </c>
      <c r="K50" s="152">
        <v>0</v>
      </c>
      <c r="L50" s="152">
        <v>0</v>
      </c>
      <c r="M50" s="152">
        <v>0</v>
      </c>
      <c r="N50" s="152">
        <v>0</v>
      </c>
      <c r="O50" s="152">
        <v>0</v>
      </c>
      <c r="P50" s="152">
        <v>0</v>
      </c>
      <c r="Q50" s="152">
        <v>0</v>
      </c>
      <c r="R50" s="221">
        <f t="shared" si="0"/>
        <v>0</v>
      </c>
    </row>
    <row r="51" spans="1:19" x14ac:dyDescent="0.25">
      <c r="A51" s="152" t="s">
        <v>906</v>
      </c>
      <c r="B51" s="154" t="s">
        <v>1204</v>
      </c>
      <c r="C51" s="152" t="s">
        <v>858</v>
      </c>
      <c r="D51" s="152" t="s">
        <v>859</v>
      </c>
      <c r="E51" s="152" t="s">
        <v>860</v>
      </c>
      <c r="F51" s="152">
        <v>0</v>
      </c>
      <c r="G51" s="152">
        <v>0</v>
      </c>
      <c r="H51" s="152">
        <f>IFERROR((VLOOKUP(LEFT($A51,4),'Cash Flow $s Y20-21'!$B$12:$R$159,5,FALSE)),0)</f>
        <v>0</v>
      </c>
      <c r="I51" s="152">
        <f>IFERROR((VLOOKUP(LEFT($A51,4),'Cash Flow $s Y20-21'!$B$12:$R$159,6,FALSE)),0)</f>
        <v>0</v>
      </c>
      <c r="J51" s="152">
        <f>IFERROR((VLOOKUP(LEFT($A51,4),'Cash Flow $s Y20-21'!$B$12:$R$159,7,FALSE)),0)</f>
        <v>0</v>
      </c>
      <c r="K51" s="152">
        <f>IFERROR((VLOOKUP(LEFT($A51,4),'Cash Flow $s Y20-21'!$B$12:$R$159,8,FALSE)),0)</f>
        <v>0</v>
      </c>
      <c r="L51" s="152">
        <f>IFERROR((VLOOKUP(LEFT($A51,4),'Cash Flow $s Y20-21'!$B$12:$R$159,9,FALSE)),0)</f>
        <v>0</v>
      </c>
      <c r="M51" s="152">
        <f>IFERROR((VLOOKUP(LEFT($A51,4),'Cash Flow $s Y20-21'!$B$12:$R$159,10,FALSE)),0)</f>
        <v>0</v>
      </c>
      <c r="N51" s="152">
        <f>IFERROR((VLOOKUP(LEFT($A51,4),'Cash Flow $s Y20-21'!$B$12:$R$159,11,FALSE)),0)</f>
        <v>0</v>
      </c>
      <c r="O51" s="152">
        <f>IFERROR((VLOOKUP(LEFT($A51,4),'Cash Flow $s Y20-21'!$B$12:$R$159,12,FALSE)),0)</f>
        <v>0</v>
      </c>
      <c r="P51" s="152">
        <f>IFERROR((VLOOKUP(LEFT($A51,4),'Cash Flow $s Y20-21'!$B$12:$R$159,13,FALSE)),0)</f>
        <v>0</v>
      </c>
      <c r="Q51" s="152">
        <f>IFERROR((VLOOKUP(LEFT($A51,4),'Cash Flow $s Y20-21'!$B$12:$R$159,14,FALSE)),0)</f>
        <v>0</v>
      </c>
      <c r="R51" s="221">
        <f t="shared" si="0"/>
        <v>0</v>
      </c>
    </row>
    <row r="52" spans="1:19" x14ac:dyDescent="0.25">
      <c r="A52" s="152" t="s">
        <v>907</v>
      </c>
      <c r="B52" s="154" t="s">
        <v>1204</v>
      </c>
      <c r="C52" s="152" t="s">
        <v>858</v>
      </c>
      <c r="D52" s="152" t="s">
        <v>859</v>
      </c>
      <c r="E52" s="152" t="s">
        <v>860</v>
      </c>
      <c r="F52" s="152">
        <v>0</v>
      </c>
      <c r="G52" s="152">
        <v>0</v>
      </c>
      <c r="H52" s="152">
        <v>0</v>
      </c>
      <c r="I52" s="152">
        <v>0</v>
      </c>
      <c r="J52" s="152">
        <v>0</v>
      </c>
      <c r="K52" s="152">
        <v>0</v>
      </c>
      <c r="L52" s="152">
        <v>0</v>
      </c>
      <c r="M52" s="152">
        <v>0</v>
      </c>
      <c r="N52" s="152">
        <v>0</v>
      </c>
      <c r="O52" s="152">
        <v>0</v>
      </c>
      <c r="P52" s="152">
        <v>0</v>
      </c>
      <c r="Q52" s="152">
        <v>0</v>
      </c>
      <c r="R52" s="221">
        <f t="shared" si="0"/>
        <v>0</v>
      </c>
    </row>
    <row r="53" spans="1:19" x14ac:dyDescent="0.25">
      <c r="A53" s="152" t="s">
        <v>908</v>
      </c>
      <c r="B53" s="154" t="s">
        <v>1204</v>
      </c>
      <c r="C53" s="152" t="s">
        <v>858</v>
      </c>
      <c r="D53" s="152" t="s">
        <v>859</v>
      </c>
      <c r="E53" s="152" t="s">
        <v>860</v>
      </c>
      <c r="F53" s="152">
        <v>0</v>
      </c>
      <c r="G53" s="152">
        <v>0</v>
      </c>
      <c r="H53" s="152">
        <v>0</v>
      </c>
      <c r="I53" s="152">
        <v>0</v>
      </c>
      <c r="J53" s="152">
        <v>0</v>
      </c>
      <c r="K53" s="152">
        <v>0</v>
      </c>
      <c r="L53" s="152">
        <v>0</v>
      </c>
      <c r="M53" s="152">
        <v>0</v>
      </c>
      <c r="N53" s="152">
        <v>0</v>
      </c>
      <c r="O53" s="152">
        <v>0</v>
      </c>
      <c r="P53" s="152">
        <v>0</v>
      </c>
      <c r="Q53" s="152">
        <v>0</v>
      </c>
      <c r="R53" s="221">
        <f t="shared" si="0"/>
        <v>0</v>
      </c>
    </row>
    <row r="54" spans="1:19" x14ac:dyDescent="0.25">
      <c r="A54" s="152" t="s">
        <v>909</v>
      </c>
      <c r="B54" s="154" t="s">
        <v>1204</v>
      </c>
      <c r="C54" s="152" t="s">
        <v>858</v>
      </c>
      <c r="D54" s="152" t="s">
        <v>859</v>
      </c>
      <c r="E54" s="152" t="s">
        <v>860</v>
      </c>
      <c r="F54" s="152">
        <v>0</v>
      </c>
      <c r="G54" s="152">
        <v>0</v>
      </c>
      <c r="H54" s="152">
        <f>IFERROR((VLOOKUP(LEFT($A54,4),'Cash Flow $s Y20-21'!$B$12:$R$159,5,FALSE)),0)</f>
        <v>0</v>
      </c>
      <c r="I54" s="152">
        <f>IFERROR((VLOOKUP(LEFT($A54,4),'Cash Flow $s Y20-21'!$B$12:$R$159,6,FALSE)),0)</f>
        <v>0</v>
      </c>
      <c r="J54" s="152">
        <f>IFERROR((VLOOKUP(LEFT($A54,4),'Cash Flow $s Y20-21'!$B$12:$R$159,7,FALSE)),0)</f>
        <v>0</v>
      </c>
      <c r="K54" s="152">
        <f>IFERROR((VLOOKUP(LEFT($A54,4),'Cash Flow $s Y20-21'!$B$12:$R$159,8,FALSE)),0)</f>
        <v>0</v>
      </c>
      <c r="L54" s="152">
        <f>IFERROR((VLOOKUP(LEFT($A54,4),'Cash Flow $s Y20-21'!$B$12:$R$159,9,FALSE)),0)</f>
        <v>0</v>
      </c>
      <c r="M54" s="152">
        <f>IFERROR((VLOOKUP(LEFT($A54,4),'Cash Flow $s Y20-21'!$B$12:$R$159,10,FALSE)),0)</f>
        <v>0</v>
      </c>
      <c r="N54" s="152">
        <f>IFERROR((VLOOKUP(LEFT($A54,4),'Cash Flow $s Y20-21'!$B$12:$R$159,11,FALSE)),0)</f>
        <v>0</v>
      </c>
      <c r="O54" s="152">
        <f>IFERROR((VLOOKUP(LEFT($A54,4),'Cash Flow $s Y20-21'!$B$12:$R$159,12,FALSE)),0)</f>
        <v>0</v>
      </c>
      <c r="P54" s="152">
        <f>IFERROR((VLOOKUP(LEFT($A54,4),'Cash Flow $s Y20-21'!$B$12:$R$159,13,FALSE)),0)</f>
        <v>0</v>
      </c>
      <c r="Q54" s="152">
        <f>IFERROR((VLOOKUP(LEFT($A54,4),'Cash Flow $s Y20-21'!$B$12:$R$159,14,FALSE)),0)</f>
        <v>0</v>
      </c>
      <c r="R54" s="221">
        <f t="shared" si="0"/>
        <v>0</v>
      </c>
    </row>
    <row r="55" spans="1:19" x14ac:dyDescent="0.25">
      <c r="A55" s="152" t="s">
        <v>910</v>
      </c>
      <c r="B55" s="154" t="s">
        <v>1204</v>
      </c>
      <c r="C55" s="152" t="s">
        <v>858</v>
      </c>
      <c r="D55" s="152" t="s">
        <v>859</v>
      </c>
      <c r="E55" s="152" t="s">
        <v>860</v>
      </c>
      <c r="F55" s="152">
        <v>0</v>
      </c>
      <c r="G55" s="152">
        <v>0</v>
      </c>
      <c r="H55" s="152">
        <v>0</v>
      </c>
      <c r="I55" s="152">
        <v>0</v>
      </c>
      <c r="J55" s="152">
        <v>0</v>
      </c>
      <c r="K55" s="152">
        <v>0</v>
      </c>
      <c r="L55" s="152">
        <v>0</v>
      </c>
      <c r="M55" s="152">
        <v>0</v>
      </c>
      <c r="N55" s="152">
        <v>0</v>
      </c>
      <c r="O55" s="152">
        <v>0</v>
      </c>
      <c r="P55" s="152">
        <v>0</v>
      </c>
      <c r="Q55" s="152">
        <v>0</v>
      </c>
      <c r="R55" s="221">
        <f t="shared" si="0"/>
        <v>0</v>
      </c>
    </row>
    <row r="56" spans="1:19" x14ac:dyDescent="0.25">
      <c r="A56" s="152" t="s">
        <v>911</v>
      </c>
      <c r="B56" s="154" t="s">
        <v>1204</v>
      </c>
      <c r="C56" s="152" t="s">
        <v>858</v>
      </c>
      <c r="D56" s="152" t="s">
        <v>859</v>
      </c>
      <c r="E56" s="152" t="s">
        <v>860</v>
      </c>
      <c r="F56" s="152">
        <v>0</v>
      </c>
      <c r="G56" s="152">
        <v>0</v>
      </c>
      <c r="H56" s="152">
        <v>0</v>
      </c>
      <c r="I56" s="152">
        <v>0</v>
      </c>
      <c r="J56" s="152">
        <v>0</v>
      </c>
      <c r="K56" s="152">
        <v>0</v>
      </c>
      <c r="L56" s="152">
        <v>0</v>
      </c>
      <c r="M56" s="152">
        <v>0</v>
      </c>
      <c r="N56" s="152">
        <v>0</v>
      </c>
      <c r="O56" s="152">
        <v>0</v>
      </c>
      <c r="P56" s="152">
        <v>0</v>
      </c>
      <c r="Q56" s="152">
        <v>0</v>
      </c>
      <c r="R56" s="221">
        <f t="shared" si="0"/>
        <v>0</v>
      </c>
      <c r="S56" s="157">
        <f>SUM('Cash Flow $s Y20-21'!D81:R81)/SUM(Fiscal_Sets!F27:Q56)</f>
        <v>1.0079160549715087</v>
      </c>
    </row>
    <row r="57" spans="1:19" x14ac:dyDescent="0.25">
      <c r="A57" s="152" t="s">
        <v>912</v>
      </c>
      <c r="B57" s="154" t="s">
        <v>1204</v>
      </c>
      <c r="C57" s="152" t="s">
        <v>858</v>
      </c>
      <c r="D57" s="152" t="s">
        <v>859</v>
      </c>
      <c r="E57" s="152" t="s">
        <v>860</v>
      </c>
      <c r="F57" s="152">
        <f>IFERROR((VLOOKUP(LEFT($A57,4),'Cash Flow $s Y20-21'!$B$12:$R$159,3,FALSE)),0)</f>
        <v>728.68000000000006</v>
      </c>
      <c r="G57" s="152">
        <f>IFERROR((VLOOKUP(LEFT($A57,4),'Cash Flow $s Y20-21'!$B$12:$R$159,4,FALSE)),0)</f>
        <v>1821.7</v>
      </c>
      <c r="H57" s="152">
        <f>IFERROR((VLOOKUP(LEFT($A57,4),'Cash Flow $s Y20-21'!$B$12:$R$159,5,FALSE)),0)</f>
        <v>3643.4</v>
      </c>
      <c r="I57" s="152">
        <f>IFERROR((VLOOKUP(LEFT($A57,4),'Cash Flow $s Y20-21'!$B$12:$R$159,6,FALSE)),0)</f>
        <v>3643.4</v>
      </c>
      <c r="J57" s="152">
        <f>IFERROR((VLOOKUP(LEFT($A57,4),'Cash Flow $s Y20-21'!$B$12:$R$159,7,FALSE)),0)</f>
        <v>3643.4</v>
      </c>
      <c r="K57" s="152">
        <f>IFERROR((VLOOKUP(LEFT($A57,4),'Cash Flow $s Y20-21'!$B$12:$R$159,8,FALSE)),0)</f>
        <v>3643.4</v>
      </c>
      <c r="L57" s="152">
        <f>IFERROR((VLOOKUP(LEFT($A57,4),'Cash Flow $s Y20-21'!$B$12:$R$159,9,FALSE)),0)</f>
        <v>3643.4</v>
      </c>
      <c r="M57" s="152">
        <f>IFERROR((VLOOKUP(LEFT($A57,4),'Cash Flow $s Y20-21'!$B$12:$R$159,10,FALSE)),0)</f>
        <v>3643.4</v>
      </c>
      <c r="N57" s="152">
        <f>IFERROR((VLOOKUP(LEFT($A57,4),'Cash Flow $s Y20-21'!$B$12:$R$159,11,FALSE)),0)</f>
        <v>3643.4</v>
      </c>
      <c r="O57" s="152">
        <f>IFERROR((VLOOKUP(LEFT($A57,4),'Cash Flow $s Y20-21'!$B$12:$R$159,12,FALSE)),0)</f>
        <v>3643.4</v>
      </c>
      <c r="P57" s="152">
        <f>IFERROR((VLOOKUP(LEFT($A57,4),'Cash Flow $s Y20-21'!$B$12:$R$159,13,FALSE)),0)</f>
        <v>3643.4</v>
      </c>
      <c r="Q57" s="152">
        <f>IFERROR((VLOOKUP(LEFT($A57,4),'Cash Flow $s Y20-21'!$B$12:$R$159,14,FALSE)),0)</f>
        <v>1093.02</v>
      </c>
      <c r="R57" s="221">
        <f t="shared" si="0"/>
        <v>36434</v>
      </c>
    </row>
    <row r="58" spans="1:19" x14ac:dyDescent="0.25">
      <c r="A58" s="155" t="s">
        <v>987</v>
      </c>
      <c r="B58" s="154" t="s">
        <v>1204</v>
      </c>
      <c r="C58" s="152" t="s">
        <v>858</v>
      </c>
      <c r="D58" s="152" t="s">
        <v>859</v>
      </c>
      <c r="E58" s="152" t="s">
        <v>860</v>
      </c>
      <c r="F58" s="152">
        <v>0</v>
      </c>
      <c r="G58" s="152">
        <v>0</v>
      </c>
      <c r="H58" s="152">
        <v>0</v>
      </c>
      <c r="I58" s="152">
        <v>0</v>
      </c>
      <c r="J58" s="152">
        <v>0</v>
      </c>
      <c r="K58" s="152">
        <v>0</v>
      </c>
      <c r="L58" s="152">
        <v>0</v>
      </c>
      <c r="M58" s="152">
        <v>0</v>
      </c>
      <c r="N58" s="152">
        <v>0</v>
      </c>
      <c r="O58" s="152">
        <v>0</v>
      </c>
      <c r="P58" s="152">
        <v>0</v>
      </c>
      <c r="Q58" s="152">
        <v>0</v>
      </c>
      <c r="R58" s="221">
        <f t="shared" si="0"/>
        <v>0</v>
      </c>
    </row>
    <row r="59" spans="1:19" x14ac:dyDescent="0.25">
      <c r="A59" s="155" t="s">
        <v>913</v>
      </c>
      <c r="B59" s="154" t="s">
        <v>1204</v>
      </c>
      <c r="C59" s="152" t="s">
        <v>858</v>
      </c>
      <c r="D59" s="152" t="s">
        <v>859</v>
      </c>
      <c r="E59" s="152" t="s">
        <v>860</v>
      </c>
      <c r="F59" s="152">
        <v>0</v>
      </c>
      <c r="G59" s="152">
        <v>0</v>
      </c>
      <c r="H59" s="152">
        <v>0</v>
      </c>
      <c r="I59" s="152">
        <v>0</v>
      </c>
      <c r="J59" s="152">
        <v>0</v>
      </c>
      <c r="K59" s="152">
        <v>0</v>
      </c>
      <c r="L59" s="152">
        <v>0</v>
      </c>
      <c r="M59" s="152">
        <v>0</v>
      </c>
      <c r="N59" s="152">
        <v>0</v>
      </c>
      <c r="O59" s="152">
        <v>0</v>
      </c>
      <c r="P59" s="152">
        <v>0</v>
      </c>
      <c r="Q59" s="152">
        <v>0</v>
      </c>
      <c r="R59" s="221">
        <f t="shared" si="0"/>
        <v>0</v>
      </c>
    </row>
    <row r="60" spans="1:19" x14ac:dyDescent="0.25">
      <c r="A60" s="155" t="s">
        <v>914</v>
      </c>
      <c r="B60" s="154" t="s">
        <v>1204</v>
      </c>
      <c r="C60" s="152" t="s">
        <v>858</v>
      </c>
      <c r="D60" s="152" t="s">
        <v>859</v>
      </c>
      <c r="E60" s="152" t="s">
        <v>860</v>
      </c>
      <c r="F60" s="152">
        <f>IFERROR((VLOOKUP(LEFT($A60,4),'Cash Flow $s Y20-21'!$B$12:$R$159,3,FALSE)),0)</f>
        <v>0</v>
      </c>
      <c r="G60" s="152">
        <f>IFERROR((VLOOKUP(LEFT($A60,4),'Cash Flow $s Y20-21'!$B$12:$R$159,4,FALSE)),0)</f>
        <v>0</v>
      </c>
      <c r="H60" s="152">
        <f>IFERROR((VLOOKUP(LEFT($A60,4),'Cash Flow $s Y20-21'!$B$12:$R$159,5,FALSE)),0)</f>
        <v>0</v>
      </c>
      <c r="I60" s="152">
        <f>IFERROR((VLOOKUP(LEFT($A60,4),'Cash Flow $s Y20-21'!$B$12:$R$159,6,FALSE)),0)</f>
        <v>0</v>
      </c>
      <c r="J60" s="152">
        <f>IFERROR((VLOOKUP(LEFT($A60,4),'Cash Flow $s Y20-21'!$B$12:$R$159,7,FALSE)),0)</f>
        <v>0</v>
      </c>
      <c r="K60" s="152">
        <f>IFERROR((VLOOKUP(LEFT($A60,4),'Cash Flow $s Y20-21'!$B$12:$R$159,8,FALSE)),0)</f>
        <v>0</v>
      </c>
      <c r="L60" s="152">
        <f>IFERROR((VLOOKUP(LEFT($A60,4),'Cash Flow $s Y20-21'!$B$12:$R$159,9,FALSE)),0)</f>
        <v>0</v>
      </c>
      <c r="M60" s="152">
        <f>IFERROR((VLOOKUP(LEFT($A60,4),'Cash Flow $s Y20-21'!$B$12:$R$159,10,FALSE)),0)</f>
        <v>0</v>
      </c>
      <c r="N60" s="152">
        <f>IFERROR((VLOOKUP(LEFT($A60,4),'Cash Flow $s Y20-21'!$B$12:$R$159,11,FALSE)),0)</f>
        <v>0</v>
      </c>
      <c r="O60" s="152">
        <f>IFERROR((VLOOKUP(LEFT($A60,4),'Cash Flow $s Y20-21'!$B$12:$R$159,12,FALSE)),0)</f>
        <v>0</v>
      </c>
      <c r="P60" s="152">
        <f>IFERROR((VLOOKUP(LEFT($A60,4),'Cash Flow $s Y20-21'!$B$12:$R$159,13,FALSE)),0)</f>
        <v>0</v>
      </c>
      <c r="Q60" s="152">
        <f>IFERROR((VLOOKUP(LEFT($A60,4),'Cash Flow $s Y20-21'!$B$12:$R$159,14,FALSE)),0)</f>
        <v>0</v>
      </c>
      <c r="R60" s="221">
        <f t="shared" si="0"/>
        <v>0</v>
      </c>
    </row>
    <row r="61" spans="1:19" x14ac:dyDescent="0.25">
      <c r="A61" s="155" t="s">
        <v>988</v>
      </c>
      <c r="B61" s="154" t="s">
        <v>1204</v>
      </c>
      <c r="C61" s="152" t="s">
        <v>858</v>
      </c>
      <c r="D61" s="152" t="s">
        <v>859</v>
      </c>
      <c r="E61" s="152" t="s">
        <v>860</v>
      </c>
      <c r="F61" s="152">
        <v>0</v>
      </c>
      <c r="G61" s="152">
        <v>0</v>
      </c>
      <c r="H61" s="152">
        <v>0</v>
      </c>
      <c r="I61" s="152">
        <v>0</v>
      </c>
      <c r="J61" s="152">
        <v>0</v>
      </c>
      <c r="K61" s="152">
        <v>0</v>
      </c>
      <c r="L61" s="152">
        <v>0</v>
      </c>
      <c r="M61" s="152">
        <v>0</v>
      </c>
      <c r="N61" s="152">
        <v>0</v>
      </c>
      <c r="O61" s="152">
        <v>0</v>
      </c>
      <c r="P61" s="152">
        <v>0</v>
      </c>
      <c r="Q61" s="152">
        <v>0</v>
      </c>
      <c r="R61" s="221">
        <f t="shared" si="0"/>
        <v>0</v>
      </c>
    </row>
    <row r="62" spans="1:19" x14ac:dyDescent="0.25">
      <c r="A62" s="155" t="s">
        <v>915</v>
      </c>
      <c r="B62" s="154" t="s">
        <v>1204</v>
      </c>
      <c r="C62" s="152" t="s">
        <v>858</v>
      </c>
      <c r="D62" s="152" t="s">
        <v>859</v>
      </c>
      <c r="E62" s="152" t="s">
        <v>860</v>
      </c>
      <c r="F62" s="152">
        <v>0</v>
      </c>
      <c r="G62" s="152">
        <v>0</v>
      </c>
      <c r="H62" s="152">
        <v>0</v>
      </c>
      <c r="I62" s="152">
        <v>0</v>
      </c>
      <c r="J62" s="152">
        <v>0</v>
      </c>
      <c r="K62" s="152">
        <v>0</v>
      </c>
      <c r="L62" s="152">
        <v>0</v>
      </c>
      <c r="M62" s="152">
        <v>0</v>
      </c>
      <c r="N62" s="152">
        <v>0</v>
      </c>
      <c r="O62" s="152">
        <v>0</v>
      </c>
      <c r="P62" s="152">
        <v>0</v>
      </c>
      <c r="Q62" s="152">
        <v>0</v>
      </c>
      <c r="R62" s="221">
        <f t="shared" si="0"/>
        <v>0</v>
      </c>
    </row>
    <row r="63" spans="1:19" x14ac:dyDescent="0.25">
      <c r="A63" s="155" t="s">
        <v>989</v>
      </c>
      <c r="B63" s="154" t="s">
        <v>1204</v>
      </c>
      <c r="C63" s="152" t="s">
        <v>858</v>
      </c>
      <c r="D63" s="152" t="s">
        <v>859</v>
      </c>
      <c r="E63" s="152" t="s">
        <v>860</v>
      </c>
      <c r="F63" s="152">
        <f>IFERROR((VLOOKUP(LEFT($A63,4),'Cash Flow $s Y20-21'!$B$12:$R$159,3,FALSE)),0)</f>
        <v>813.81500000000005</v>
      </c>
      <c r="G63" s="152">
        <f>IFERROR((VLOOKUP(LEFT($A63,4),'Cash Flow $s Y20-21'!$B$12:$R$159,4,FALSE)),0)</f>
        <v>813.81500000000005</v>
      </c>
      <c r="H63" s="152">
        <f>IFERROR((VLOOKUP(LEFT($A63,4),'Cash Flow $s Y20-21'!$B$12:$R$159,5,FALSE)),0)</f>
        <v>813.81500000000005</v>
      </c>
      <c r="I63" s="152">
        <f>IFERROR((VLOOKUP(LEFT($A63,4),'Cash Flow $s Y20-21'!$B$12:$R$159,6,FALSE)),0)</f>
        <v>813.81500000000005</v>
      </c>
      <c r="J63" s="152">
        <f>IFERROR((VLOOKUP(LEFT($A63,4),'Cash Flow $s Y20-21'!$B$12:$R$159,7,FALSE)),0)</f>
        <v>813.81500000000005</v>
      </c>
      <c r="K63" s="152">
        <f>IFERROR((VLOOKUP(LEFT($A63,4),'Cash Flow $s Y20-21'!$B$12:$R$159,8,FALSE)),0)</f>
        <v>813.81500000000005</v>
      </c>
      <c r="L63" s="152">
        <f>IFERROR((VLOOKUP(LEFT($A63,4),'Cash Flow $s Y20-21'!$B$12:$R$159,9,FALSE)),0)</f>
        <v>813.81500000000005</v>
      </c>
      <c r="M63" s="152">
        <f>IFERROR((VLOOKUP(LEFT($A63,4),'Cash Flow $s Y20-21'!$B$12:$R$159,10,FALSE)),0)</f>
        <v>813.81500000000005</v>
      </c>
      <c r="N63" s="152">
        <f>IFERROR((VLOOKUP(LEFT($A63,4),'Cash Flow $s Y20-21'!$B$12:$R$159,11,FALSE)),0)</f>
        <v>823.62</v>
      </c>
      <c r="O63" s="152">
        <f>IFERROR((VLOOKUP(LEFT($A63,4),'Cash Flow $s Y20-21'!$B$12:$R$159,12,FALSE)),0)</f>
        <v>823.62</v>
      </c>
      <c r="P63" s="152">
        <f>IFERROR((VLOOKUP(LEFT($A63,4),'Cash Flow $s Y20-21'!$B$12:$R$159,13,FALSE)),0)</f>
        <v>823.62</v>
      </c>
      <c r="Q63" s="152">
        <f>IFERROR((VLOOKUP(LEFT($A63,4),'Cash Flow $s Y20-21'!$B$12:$R$159,14,FALSE)),0)</f>
        <v>823.62</v>
      </c>
      <c r="R63" s="221">
        <f t="shared" si="0"/>
        <v>9805.0000000000018</v>
      </c>
    </row>
    <row r="64" spans="1:19" x14ac:dyDescent="0.25">
      <c r="A64" s="155" t="s">
        <v>990</v>
      </c>
      <c r="B64" s="154" t="s">
        <v>1204</v>
      </c>
      <c r="C64" s="152" t="s">
        <v>858</v>
      </c>
      <c r="D64" s="152" t="s">
        <v>859</v>
      </c>
      <c r="E64" s="152" t="s">
        <v>860</v>
      </c>
      <c r="F64" s="152">
        <v>0</v>
      </c>
      <c r="G64" s="152">
        <v>0</v>
      </c>
      <c r="H64" s="152">
        <v>0</v>
      </c>
      <c r="I64" s="152">
        <v>0</v>
      </c>
      <c r="J64" s="152">
        <v>0</v>
      </c>
      <c r="K64" s="152">
        <v>0</v>
      </c>
      <c r="L64" s="152">
        <v>0</v>
      </c>
      <c r="M64" s="152">
        <v>0</v>
      </c>
      <c r="N64" s="152">
        <v>0</v>
      </c>
      <c r="O64" s="152">
        <v>0</v>
      </c>
      <c r="P64" s="152">
        <v>0</v>
      </c>
      <c r="Q64" s="152">
        <v>0</v>
      </c>
      <c r="R64" s="221">
        <f t="shared" si="0"/>
        <v>0</v>
      </c>
    </row>
    <row r="65" spans="1:19" x14ac:dyDescent="0.25">
      <c r="A65" s="155" t="s">
        <v>916</v>
      </c>
      <c r="B65" s="154" t="s">
        <v>1204</v>
      </c>
      <c r="C65" s="152" t="s">
        <v>858</v>
      </c>
      <c r="D65" s="152" t="s">
        <v>859</v>
      </c>
      <c r="E65" s="152" t="s">
        <v>860</v>
      </c>
      <c r="F65" s="152">
        <v>0</v>
      </c>
      <c r="G65" s="152">
        <v>0</v>
      </c>
      <c r="H65" s="152">
        <v>0</v>
      </c>
      <c r="I65" s="152">
        <v>0</v>
      </c>
      <c r="J65" s="152">
        <v>0</v>
      </c>
      <c r="K65" s="152">
        <v>0</v>
      </c>
      <c r="L65" s="152">
        <v>0</v>
      </c>
      <c r="M65" s="152">
        <v>0</v>
      </c>
      <c r="N65" s="152">
        <v>0</v>
      </c>
      <c r="O65" s="152">
        <v>0</v>
      </c>
      <c r="P65" s="152">
        <v>0</v>
      </c>
      <c r="Q65" s="152">
        <v>0</v>
      </c>
      <c r="R65" s="221">
        <f t="shared" si="0"/>
        <v>0</v>
      </c>
    </row>
    <row r="66" spans="1:19" x14ac:dyDescent="0.25">
      <c r="A66" s="155" t="s">
        <v>917</v>
      </c>
      <c r="B66" s="154" t="s">
        <v>1204</v>
      </c>
      <c r="C66" s="152" t="s">
        <v>858</v>
      </c>
      <c r="D66" s="152" t="s">
        <v>859</v>
      </c>
      <c r="E66" s="152" t="s">
        <v>860</v>
      </c>
      <c r="F66" s="152">
        <f>IFERROR((VLOOKUP(LEFT($A66,4),'Cash Flow $s Y20-21'!$B$12:$R$159,3,FALSE)),0)</f>
        <v>529.54749780499992</v>
      </c>
      <c r="G66" s="152">
        <f>IFERROR((VLOOKUP(LEFT($A66,4),'Cash Flow $s Y20-21'!$B$12:$R$159,4,FALSE)),0)</f>
        <v>529.54749780499992</v>
      </c>
      <c r="H66" s="152">
        <f>IFERROR((VLOOKUP(LEFT($A66,4),'Cash Flow $s Y20-21'!$B$12:$R$159,5,FALSE)),0)</f>
        <v>529.54749780499992</v>
      </c>
      <c r="I66" s="152">
        <f>IFERROR((VLOOKUP(LEFT($A66,4),'Cash Flow $s Y20-21'!$B$12:$R$159,6,FALSE)),0)</f>
        <v>529.54749780499992</v>
      </c>
      <c r="J66" s="152">
        <f>IFERROR((VLOOKUP(LEFT($A66,4),'Cash Flow $s Y20-21'!$B$12:$R$159,7,FALSE)),0)</f>
        <v>529.54749780499992</v>
      </c>
      <c r="K66" s="152">
        <f>IFERROR((VLOOKUP(LEFT($A66,4),'Cash Flow $s Y20-21'!$B$12:$R$159,8,FALSE)),0)</f>
        <v>529.54749780499992</v>
      </c>
      <c r="L66" s="152">
        <f>IFERROR((VLOOKUP(LEFT($A66,4),'Cash Flow $s Y20-21'!$B$12:$R$159,9,FALSE)),0)</f>
        <v>529.54749780499992</v>
      </c>
      <c r="M66" s="152">
        <f>IFERROR((VLOOKUP(LEFT($A66,4),'Cash Flow $s Y20-21'!$B$12:$R$159,10,FALSE)),0)</f>
        <v>529.54749780499992</v>
      </c>
      <c r="N66" s="152">
        <f>IFERROR((VLOOKUP(LEFT($A66,4),'Cash Flow $s Y20-21'!$B$12:$R$159,11,FALSE)),0)</f>
        <v>535.9275881399999</v>
      </c>
      <c r="O66" s="152">
        <f>IFERROR((VLOOKUP(LEFT($A66,4),'Cash Flow $s Y20-21'!$B$12:$R$159,12,FALSE)),0)</f>
        <v>535.9275881399999</v>
      </c>
      <c r="P66" s="152">
        <f>IFERROR((VLOOKUP(LEFT($A66,4),'Cash Flow $s Y20-21'!$B$12:$R$159,13,FALSE)),0)</f>
        <v>535.9275881399999</v>
      </c>
      <c r="Q66" s="152">
        <f>IFERROR((VLOOKUP(LEFT($A66,4),'Cash Flow $s Y20-21'!$B$12:$R$159,14,FALSE)),0)</f>
        <v>535.9275881399999</v>
      </c>
      <c r="R66" s="221">
        <f t="shared" si="0"/>
        <v>6380.090334999998</v>
      </c>
    </row>
    <row r="67" spans="1:19" x14ac:dyDescent="0.25">
      <c r="A67" s="155" t="s">
        <v>918</v>
      </c>
      <c r="B67" s="154" t="s">
        <v>1204</v>
      </c>
      <c r="C67" s="152" t="s">
        <v>858</v>
      </c>
      <c r="D67" s="152" t="s">
        <v>859</v>
      </c>
      <c r="E67" s="152" t="s">
        <v>860</v>
      </c>
      <c r="F67" s="152">
        <v>0</v>
      </c>
      <c r="G67" s="152">
        <v>0</v>
      </c>
      <c r="H67" s="152">
        <v>0</v>
      </c>
      <c r="I67" s="152">
        <v>0</v>
      </c>
      <c r="J67" s="152">
        <v>0</v>
      </c>
      <c r="K67" s="152">
        <v>0</v>
      </c>
      <c r="L67" s="152">
        <v>0</v>
      </c>
      <c r="M67" s="152">
        <v>0</v>
      </c>
      <c r="N67" s="152">
        <v>0</v>
      </c>
      <c r="O67" s="152">
        <v>0</v>
      </c>
      <c r="P67" s="152">
        <v>0</v>
      </c>
      <c r="Q67" s="152">
        <v>0</v>
      </c>
      <c r="R67" s="221">
        <f t="shared" si="0"/>
        <v>0</v>
      </c>
    </row>
    <row r="68" spans="1:19" x14ac:dyDescent="0.25">
      <c r="A68" s="155" t="s">
        <v>919</v>
      </c>
      <c r="B68" s="154" t="s">
        <v>1204</v>
      </c>
      <c r="C68" s="152" t="s">
        <v>858</v>
      </c>
      <c r="D68" s="152" t="s">
        <v>859</v>
      </c>
      <c r="E68" s="152" t="s">
        <v>860</v>
      </c>
      <c r="F68" s="152">
        <v>0</v>
      </c>
      <c r="G68" s="152">
        <v>0</v>
      </c>
      <c r="H68" s="152">
        <v>0</v>
      </c>
      <c r="I68" s="152">
        <v>0</v>
      </c>
      <c r="J68" s="152">
        <v>0</v>
      </c>
      <c r="K68" s="152">
        <v>0</v>
      </c>
      <c r="L68" s="152">
        <v>0</v>
      </c>
      <c r="M68" s="152">
        <v>0</v>
      </c>
      <c r="N68" s="152">
        <v>0</v>
      </c>
      <c r="O68" s="152">
        <v>0</v>
      </c>
      <c r="P68" s="152">
        <v>0</v>
      </c>
      <c r="Q68" s="152">
        <v>0</v>
      </c>
      <c r="R68" s="221">
        <f t="shared" ref="R68:R97" si="1">SUM(F68:Q68)</f>
        <v>0</v>
      </c>
    </row>
    <row r="69" spans="1:19" x14ac:dyDescent="0.25">
      <c r="A69" s="155" t="s">
        <v>991</v>
      </c>
      <c r="B69" s="154" t="s">
        <v>1204</v>
      </c>
      <c r="C69" s="152" t="s">
        <v>858</v>
      </c>
      <c r="D69" s="152" t="s">
        <v>859</v>
      </c>
      <c r="E69" s="152" t="s">
        <v>860</v>
      </c>
      <c r="F69" s="152">
        <f>IFERROR((VLOOKUP(LEFT($A69,4),'Cash Flow $s Y20-21'!$B$12:$R$159,3,FALSE)),0)</f>
        <v>5077.1100000000006</v>
      </c>
      <c r="G69" s="152">
        <f>IFERROR((VLOOKUP(LEFT($A69,4),'Cash Flow $s Y20-21'!$B$12:$R$159,4,FALSE)),0)</f>
        <v>5077.1100000000006</v>
      </c>
      <c r="H69" s="152">
        <f>IFERROR((VLOOKUP(LEFT($A69,4),'Cash Flow $s Y20-21'!$B$12:$R$159,5,FALSE)),0)</f>
        <v>5077.1100000000006</v>
      </c>
      <c r="I69" s="152">
        <f>IFERROR((VLOOKUP(LEFT($A69,4),'Cash Flow $s Y20-21'!$B$12:$R$159,6,FALSE)),0)</f>
        <v>5077.1100000000006</v>
      </c>
      <c r="J69" s="152">
        <f>IFERROR((VLOOKUP(LEFT($A69,4),'Cash Flow $s Y20-21'!$B$12:$R$159,7,FALSE)),0)</f>
        <v>5077.1100000000006</v>
      </c>
      <c r="K69" s="152">
        <f>IFERROR((VLOOKUP(LEFT($A69,4),'Cash Flow $s Y20-21'!$B$12:$R$159,8,FALSE)),0)</f>
        <v>5077.1100000000006</v>
      </c>
      <c r="L69" s="152">
        <f>IFERROR((VLOOKUP(LEFT($A69,4),'Cash Flow $s Y20-21'!$B$12:$R$159,9,FALSE)),0)</f>
        <v>5077.1100000000006</v>
      </c>
      <c r="M69" s="152">
        <f>IFERROR((VLOOKUP(LEFT($A69,4),'Cash Flow $s Y20-21'!$B$12:$R$159,10,FALSE)),0)</f>
        <v>5077.1100000000006</v>
      </c>
      <c r="N69" s="152">
        <f>IFERROR((VLOOKUP(LEFT($A69,4),'Cash Flow $s Y20-21'!$B$12:$R$159,11,FALSE)),0)</f>
        <v>5138.2800000000007</v>
      </c>
      <c r="O69" s="152">
        <f>IFERROR((VLOOKUP(LEFT($A69,4),'Cash Flow $s Y20-21'!$B$12:$R$159,12,FALSE)),0)</f>
        <v>5138.2800000000007</v>
      </c>
      <c r="P69" s="152">
        <f>IFERROR((VLOOKUP(LEFT($A69,4),'Cash Flow $s Y20-21'!$B$12:$R$159,13,FALSE)),0)</f>
        <v>5138.2800000000007</v>
      </c>
      <c r="Q69" s="152">
        <f>IFERROR((VLOOKUP(LEFT($A69,4),'Cash Flow $s Y20-21'!$B$12:$R$159,14,FALSE)),0)</f>
        <v>5138.2800000000007</v>
      </c>
      <c r="R69" s="221">
        <f t="shared" si="1"/>
        <v>61170</v>
      </c>
    </row>
    <row r="70" spans="1:19" x14ac:dyDescent="0.25">
      <c r="A70" s="155" t="s">
        <v>992</v>
      </c>
      <c r="B70" s="154" t="s">
        <v>1204</v>
      </c>
      <c r="C70" s="152" t="s">
        <v>858</v>
      </c>
      <c r="D70" s="152" t="s">
        <v>859</v>
      </c>
      <c r="E70" s="152" t="s">
        <v>860</v>
      </c>
      <c r="F70" s="152">
        <v>0</v>
      </c>
      <c r="G70" s="152">
        <v>0</v>
      </c>
      <c r="H70" s="152">
        <v>0</v>
      </c>
      <c r="I70" s="152">
        <v>0</v>
      </c>
      <c r="J70" s="152">
        <v>0</v>
      </c>
      <c r="K70" s="152">
        <v>0</v>
      </c>
      <c r="L70" s="152">
        <v>0</v>
      </c>
      <c r="M70" s="152">
        <v>0</v>
      </c>
      <c r="N70" s="152">
        <v>0</v>
      </c>
      <c r="O70" s="152">
        <v>0</v>
      </c>
      <c r="P70" s="152">
        <v>0</v>
      </c>
      <c r="Q70" s="152">
        <v>0</v>
      </c>
      <c r="R70" s="221">
        <f t="shared" si="1"/>
        <v>0</v>
      </c>
    </row>
    <row r="71" spans="1:19" x14ac:dyDescent="0.25">
      <c r="A71" s="155" t="s">
        <v>920</v>
      </c>
      <c r="B71" s="154" t="s">
        <v>1204</v>
      </c>
      <c r="C71" s="152" t="s">
        <v>858</v>
      </c>
      <c r="D71" s="152" t="s">
        <v>859</v>
      </c>
      <c r="E71" s="152" t="s">
        <v>860</v>
      </c>
      <c r="F71" s="152">
        <v>0</v>
      </c>
      <c r="G71" s="152">
        <v>0</v>
      </c>
      <c r="H71" s="152">
        <v>0</v>
      </c>
      <c r="I71" s="152">
        <v>0</v>
      </c>
      <c r="J71" s="152">
        <v>0</v>
      </c>
      <c r="K71" s="152">
        <v>0</v>
      </c>
      <c r="L71" s="152">
        <v>0</v>
      </c>
      <c r="M71" s="152">
        <v>0</v>
      </c>
      <c r="N71" s="152">
        <v>0</v>
      </c>
      <c r="O71" s="152">
        <v>0</v>
      </c>
      <c r="P71" s="152">
        <v>0</v>
      </c>
      <c r="Q71" s="152">
        <v>0</v>
      </c>
      <c r="R71" s="221">
        <f t="shared" si="1"/>
        <v>0</v>
      </c>
    </row>
    <row r="72" spans="1:19" x14ac:dyDescent="0.25">
      <c r="A72" s="155" t="s">
        <v>993</v>
      </c>
      <c r="B72" s="154" t="s">
        <v>1204</v>
      </c>
      <c r="C72" s="152" t="s">
        <v>858</v>
      </c>
      <c r="D72" s="152" t="s">
        <v>859</v>
      </c>
      <c r="E72" s="152" t="s">
        <v>860</v>
      </c>
      <c r="F72" s="152">
        <f>IFERROR((VLOOKUP(LEFT($A72,4),'Cash Flow $s Y20-21'!$B$12:$R$159,3,FALSE)),0)</f>
        <v>233.39600000000002</v>
      </c>
      <c r="G72" s="152">
        <f>IFERROR((VLOOKUP(LEFT($A72,4),'Cash Flow $s Y20-21'!$B$12:$R$159,4,FALSE)),0)</f>
        <v>233.39600000000002</v>
      </c>
      <c r="H72" s="152">
        <f>IFERROR((VLOOKUP(LEFT($A72,4),'Cash Flow $s Y20-21'!$B$12:$R$159,5,FALSE)),0)</f>
        <v>233.39600000000002</v>
      </c>
      <c r="I72" s="152">
        <f>IFERROR((VLOOKUP(LEFT($A72,4),'Cash Flow $s Y20-21'!$B$12:$R$159,6,FALSE)),0)</f>
        <v>233.39600000000002</v>
      </c>
      <c r="J72" s="152">
        <f>IFERROR((VLOOKUP(LEFT($A72,4),'Cash Flow $s Y20-21'!$B$12:$R$159,7,FALSE)),0)</f>
        <v>233.39600000000002</v>
      </c>
      <c r="K72" s="152">
        <f>IFERROR((VLOOKUP(LEFT($A72,4),'Cash Flow $s Y20-21'!$B$12:$R$159,8,FALSE)),0)</f>
        <v>233.39600000000002</v>
      </c>
      <c r="L72" s="152">
        <f>IFERROR((VLOOKUP(LEFT($A72,4),'Cash Flow $s Y20-21'!$B$12:$R$159,9,FALSE)),0)</f>
        <v>233.39600000000002</v>
      </c>
      <c r="M72" s="152">
        <f>IFERROR((VLOOKUP(LEFT($A72,4),'Cash Flow $s Y20-21'!$B$12:$R$159,10,FALSE)),0)</f>
        <v>233.39600000000002</v>
      </c>
      <c r="N72" s="152">
        <f>IFERROR((VLOOKUP(LEFT($A72,4),'Cash Flow $s Y20-21'!$B$12:$R$159,11,FALSE)),0)</f>
        <v>236.20800000000003</v>
      </c>
      <c r="O72" s="152">
        <f>IFERROR((VLOOKUP(LEFT($A72,4),'Cash Flow $s Y20-21'!$B$12:$R$159,12,FALSE)),0)</f>
        <v>236.20800000000003</v>
      </c>
      <c r="P72" s="152">
        <f>IFERROR((VLOOKUP(LEFT($A72,4),'Cash Flow $s Y20-21'!$B$12:$R$159,13,FALSE)),0)</f>
        <v>236.20800000000003</v>
      </c>
      <c r="Q72" s="152">
        <f>IFERROR((VLOOKUP(LEFT($A72,4),'Cash Flow $s Y20-21'!$B$12:$R$159,14,FALSE)),0)</f>
        <v>236.20800000000003</v>
      </c>
      <c r="R72" s="221">
        <f t="shared" si="1"/>
        <v>2812</v>
      </c>
    </row>
    <row r="73" spans="1:19" x14ac:dyDescent="0.25">
      <c r="A73" s="155" t="s">
        <v>994</v>
      </c>
      <c r="B73" s="154" t="s">
        <v>1204</v>
      </c>
      <c r="C73" s="152" t="s">
        <v>858</v>
      </c>
      <c r="D73" s="152" t="s">
        <v>859</v>
      </c>
      <c r="E73" s="152" t="s">
        <v>860</v>
      </c>
      <c r="F73" s="152">
        <v>0</v>
      </c>
      <c r="G73" s="152">
        <v>0</v>
      </c>
      <c r="H73" s="152">
        <v>0</v>
      </c>
      <c r="I73" s="152">
        <v>0</v>
      </c>
      <c r="J73" s="152">
        <v>0</v>
      </c>
      <c r="K73" s="152">
        <v>0</v>
      </c>
      <c r="L73" s="152">
        <v>0</v>
      </c>
      <c r="M73" s="152">
        <v>0</v>
      </c>
      <c r="N73" s="152">
        <v>0</v>
      </c>
      <c r="O73" s="152">
        <v>0</v>
      </c>
      <c r="P73" s="152">
        <v>0</v>
      </c>
      <c r="Q73" s="152">
        <v>0</v>
      </c>
      <c r="R73" s="221">
        <f t="shared" si="1"/>
        <v>0</v>
      </c>
    </row>
    <row r="74" spans="1:19" x14ac:dyDescent="0.25">
      <c r="A74" s="155" t="s">
        <v>995</v>
      </c>
      <c r="B74" s="154" t="s">
        <v>1204</v>
      </c>
      <c r="C74" s="152" t="s">
        <v>858</v>
      </c>
      <c r="D74" s="152" t="s">
        <v>859</v>
      </c>
      <c r="E74" s="152" t="s">
        <v>860</v>
      </c>
      <c r="F74" s="152">
        <v>0</v>
      </c>
      <c r="G74" s="152">
        <v>0</v>
      </c>
      <c r="H74" s="152">
        <v>0</v>
      </c>
      <c r="I74" s="152">
        <v>0</v>
      </c>
      <c r="J74" s="152">
        <v>0</v>
      </c>
      <c r="K74" s="152">
        <v>0</v>
      </c>
      <c r="L74" s="152">
        <v>0</v>
      </c>
      <c r="M74" s="152">
        <v>0</v>
      </c>
      <c r="N74" s="152">
        <v>0</v>
      </c>
      <c r="O74" s="152">
        <v>0</v>
      </c>
      <c r="P74" s="152">
        <v>0</v>
      </c>
      <c r="Q74" s="152">
        <v>0</v>
      </c>
      <c r="R74" s="221">
        <f t="shared" si="1"/>
        <v>0</v>
      </c>
    </row>
    <row r="75" spans="1:19" x14ac:dyDescent="0.25">
      <c r="A75" s="155" t="s">
        <v>996</v>
      </c>
      <c r="B75" s="154" t="s">
        <v>1204</v>
      </c>
      <c r="C75" s="152" t="s">
        <v>858</v>
      </c>
      <c r="D75" s="152" t="s">
        <v>859</v>
      </c>
      <c r="E75" s="152" t="s">
        <v>860</v>
      </c>
      <c r="F75" s="152">
        <f>IFERROR((VLOOKUP(LEFT($A75,4),'Cash Flow $s Y20-21'!$B$12:$R$159,3,FALSE)),0)</f>
        <v>895.98500000000001</v>
      </c>
      <c r="G75" s="152">
        <f>IFERROR((VLOOKUP(LEFT($A75,4),'Cash Flow $s Y20-21'!$B$12:$R$159,4,FALSE)),0)</f>
        <v>895.98500000000001</v>
      </c>
      <c r="H75" s="152">
        <f>IFERROR((VLOOKUP(LEFT($A75,4),'Cash Flow $s Y20-21'!$B$12:$R$159,5,FALSE)),0)</f>
        <v>895.98500000000001</v>
      </c>
      <c r="I75" s="152">
        <f>IFERROR((VLOOKUP(LEFT($A75,4),'Cash Flow $s Y20-21'!$B$12:$R$159,6,FALSE)),0)</f>
        <v>895.98500000000001</v>
      </c>
      <c r="J75" s="152">
        <f>IFERROR((VLOOKUP(LEFT($A75,4),'Cash Flow $s Y20-21'!$B$12:$R$159,7,FALSE)),0)</f>
        <v>895.98500000000001</v>
      </c>
      <c r="K75" s="152">
        <f>IFERROR((VLOOKUP(LEFT($A75,4),'Cash Flow $s Y20-21'!$B$12:$R$159,8,FALSE)),0)</f>
        <v>895.98500000000001</v>
      </c>
      <c r="L75" s="152">
        <f>IFERROR((VLOOKUP(LEFT($A75,4),'Cash Flow $s Y20-21'!$B$12:$R$159,9,FALSE)),0)</f>
        <v>895.98500000000001</v>
      </c>
      <c r="M75" s="152">
        <f>IFERROR((VLOOKUP(LEFT($A75,4),'Cash Flow $s Y20-21'!$B$12:$R$159,10,FALSE)),0)</f>
        <v>895.98500000000001</v>
      </c>
      <c r="N75" s="152">
        <f>IFERROR((VLOOKUP(LEFT($A75,4),'Cash Flow $s Y20-21'!$B$12:$R$159,11,FALSE)),0)</f>
        <v>906.78000000000009</v>
      </c>
      <c r="O75" s="152">
        <f>IFERROR((VLOOKUP(LEFT($A75,4),'Cash Flow $s Y20-21'!$B$12:$R$159,12,FALSE)),0)</f>
        <v>906.78000000000009</v>
      </c>
      <c r="P75" s="152">
        <f>IFERROR((VLOOKUP(LEFT($A75,4),'Cash Flow $s Y20-21'!$B$12:$R$159,13,FALSE)),0)</f>
        <v>906.78000000000009</v>
      </c>
      <c r="Q75" s="152">
        <f>IFERROR((VLOOKUP(LEFT($A75,4),'Cash Flow $s Y20-21'!$B$12:$R$159,14,FALSE)),0)</f>
        <v>906.78000000000009</v>
      </c>
      <c r="R75" s="221">
        <f t="shared" si="1"/>
        <v>10795</v>
      </c>
    </row>
    <row r="76" spans="1:19" x14ac:dyDescent="0.25">
      <c r="A76" s="155" t="s">
        <v>997</v>
      </c>
      <c r="B76" s="154" t="s">
        <v>1204</v>
      </c>
      <c r="C76" s="152" t="s">
        <v>858</v>
      </c>
      <c r="D76" s="152" t="s">
        <v>859</v>
      </c>
      <c r="E76" s="152" t="s">
        <v>860</v>
      </c>
      <c r="F76" s="152">
        <v>0</v>
      </c>
      <c r="G76" s="152">
        <v>0</v>
      </c>
      <c r="H76" s="152">
        <v>0</v>
      </c>
      <c r="I76" s="152">
        <v>0</v>
      </c>
      <c r="J76" s="152">
        <v>0</v>
      </c>
      <c r="K76" s="152">
        <v>0</v>
      </c>
      <c r="L76" s="152">
        <v>0</v>
      </c>
      <c r="M76" s="152">
        <v>0</v>
      </c>
      <c r="N76" s="152">
        <v>0</v>
      </c>
      <c r="O76" s="152">
        <v>0</v>
      </c>
      <c r="P76" s="152">
        <v>0</v>
      </c>
      <c r="Q76" s="152">
        <v>0</v>
      </c>
      <c r="R76" s="221">
        <f t="shared" si="1"/>
        <v>0</v>
      </c>
    </row>
    <row r="77" spans="1:19" x14ac:dyDescent="0.25">
      <c r="A77" s="155" t="s">
        <v>998</v>
      </c>
      <c r="B77" s="154" t="s">
        <v>1204</v>
      </c>
      <c r="C77" s="152" t="s">
        <v>858</v>
      </c>
      <c r="D77" s="152" t="s">
        <v>859</v>
      </c>
      <c r="E77" s="152" t="s">
        <v>860</v>
      </c>
      <c r="F77" s="152">
        <v>0</v>
      </c>
      <c r="G77" s="152">
        <v>0</v>
      </c>
      <c r="H77" s="152">
        <v>0</v>
      </c>
      <c r="I77" s="152">
        <v>0</v>
      </c>
      <c r="J77" s="152">
        <v>0</v>
      </c>
      <c r="K77" s="152">
        <v>0</v>
      </c>
      <c r="L77" s="152">
        <v>0</v>
      </c>
      <c r="M77" s="152">
        <v>0</v>
      </c>
      <c r="N77" s="152">
        <v>0</v>
      </c>
      <c r="O77" s="152">
        <v>0</v>
      </c>
      <c r="P77" s="152">
        <v>0</v>
      </c>
      <c r="Q77" s="152">
        <v>0</v>
      </c>
      <c r="R77" s="221">
        <f t="shared" si="1"/>
        <v>0</v>
      </c>
      <c r="S77" s="157">
        <f>SUM('Cash Flow $s Y20-21'!D93:R93)/SUM(Fiscal_Sets!F57:Q77)</f>
        <v>1.0000000000000007</v>
      </c>
    </row>
    <row r="78" spans="1:19" x14ac:dyDescent="0.25">
      <c r="A78" s="155" t="s">
        <v>921</v>
      </c>
      <c r="B78" s="154" t="s">
        <v>1204</v>
      </c>
      <c r="C78" s="152" t="s">
        <v>858</v>
      </c>
      <c r="D78" s="152" t="s">
        <v>859</v>
      </c>
      <c r="E78" s="152" t="s">
        <v>860</v>
      </c>
      <c r="F78" s="152">
        <f>+'Cash Flow $s Y20-21'!D96</f>
        <v>1972.2</v>
      </c>
      <c r="G78" s="152">
        <f>+'Cash Flow $s Y20-21'!E96</f>
        <v>1972.2</v>
      </c>
      <c r="H78" s="152">
        <f>+'Cash Flow $s Y20-21'!F96</f>
        <v>1972.2</v>
      </c>
      <c r="I78" s="152">
        <f>+'Cash Flow $s Y20-21'!G96</f>
        <v>1972.2</v>
      </c>
      <c r="J78" s="152">
        <f>+'Cash Flow $s Y20-21'!H96</f>
        <v>1972.2</v>
      </c>
      <c r="K78" s="152">
        <f>+'Cash Flow $s Y20-21'!I96</f>
        <v>1972.2</v>
      </c>
      <c r="L78" s="152">
        <f>+'Cash Flow $s Y20-21'!J96</f>
        <v>1972.2</v>
      </c>
      <c r="M78" s="152">
        <f>+'Cash Flow $s Y20-21'!K96</f>
        <v>1972.2</v>
      </c>
      <c r="N78" s="152">
        <f>+'Cash Flow $s Y20-21'!L96</f>
        <v>1972.2</v>
      </c>
      <c r="O78" s="152">
        <f>+'Cash Flow $s Y20-21'!M96</f>
        <v>1972.2</v>
      </c>
      <c r="P78" s="152">
        <f>+'Cash Flow $s Y20-21'!N96</f>
        <v>0</v>
      </c>
      <c r="Q78" s="152">
        <f>+'Cash Flow $s Y20-21'!O96</f>
        <v>0</v>
      </c>
      <c r="R78" s="221">
        <f t="shared" si="1"/>
        <v>19722.000000000004</v>
      </c>
    </row>
    <row r="79" spans="1:19" x14ac:dyDescent="0.25">
      <c r="A79" s="155" t="s">
        <v>922</v>
      </c>
      <c r="B79" s="154" t="s">
        <v>1204</v>
      </c>
      <c r="C79" s="152" t="s">
        <v>858</v>
      </c>
      <c r="D79" s="152" t="s">
        <v>859</v>
      </c>
      <c r="E79" s="152" t="s">
        <v>860</v>
      </c>
      <c r="F79" s="152">
        <f>+'Cash Flow $s Y20-21'!D97</f>
        <v>98.95</v>
      </c>
      <c r="G79" s="152">
        <f>+'Cash Flow $s Y20-21'!E97</f>
        <v>197.9</v>
      </c>
      <c r="H79" s="152">
        <f>+'Cash Flow $s Y20-21'!F97</f>
        <v>197.9</v>
      </c>
      <c r="I79" s="152">
        <f>+'Cash Flow $s Y20-21'!G97</f>
        <v>197.9</v>
      </c>
      <c r="J79" s="152">
        <f>+'Cash Flow $s Y20-21'!H97</f>
        <v>197.9</v>
      </c>
      <c r="K79" s="152">
        <f>+'Cash Flow $s Y20-21'!I97</f>
        <v>197.9</v>
      </c>
      <c r="L79" s="152">
        <f>+'Cash Flow $s Y20-21'!J97</f>
        <v>197.9</v>
      </c>
      <c r="M79" s="152">
        <f>+'Cash Flow $s Y20-21'!K97</f>
        <v>197.9</v>
      </c>
      <c r="N79" s="152">
        <f>+'Cash Flow $s Y20-21'!L97</f>
        <v>197.9</v>
      </c>
      <c r="O79" s="152">
        <f>+'Cash Flow $s Y20-21'!M97</f>
        <v>197.9</v>
      </c>
      <c r="P79" s="152">
        <f>+'Cash Flow $s Y20-21'!N97</f>
        <v>98.95</v>
      </c>
      <c r="Q79" s="152">
        <f>+'Cash Flow $s Y20-21'!O97</f>
        <v>0</v>
      </c>
      <c r="R79" s="221">
        <f t="shared" si="1"/>
        <v>1979.0000000000005</v>
      </c>
    </row>
    <row r="80" spans="1:19" x14ac:dyDescent="0.25">
      <c r="A80" s="155" t="s">
        <v>923</v>
      </c>
      <c r="B80" s="154" t="s">
        <v>1204</v>
      </c>
      <c r="C80" s="152" t="s">
        <v>858</v>
      </c>
      <c r="D80" s="152" t="s">
        <v>859</v>
      </c>
      <c r="E80" s="152" t="s">
        <v>860</v>
      </c>
      <c r="F80" s="152">
        <f>+'Cash Flow $s Y20-21'!D98</f>
        <v>1723.2460000000001</v>
      </c>
      <c r="G80" s="152">
        <f>+'Cash Flow $s Y20-21'!E98</f>
        <v>1723.2460000000001</v>
      </c>
      <c r="H80" s="152">
        <f>+'Cash Flow $s Y20-21'!F98</f>
        <v>1723.2460000000001</v>
      </c>
      <c r="I80" s="152">
        <f>+'Cash Flow $s Y20-21'!G98</f>
        <v>1723.2460000000001</v>
      </c>
      <c r="J80" s="152">
        <f>+'Cash Flow $s Y20-21'!H98</f>
        <v>1723.2460000000001</v>
      </c>
      <c r="K80" s="152">
        <f>+'Cash Flow $s Y20-21'!I98</f>
        <v>1723.2460000000001</v>
      </c>
      <c r="L80" s="152">
        <f>+'Cash Flow $s Y20-21'!J98</f>
        <v>1723.2460000000001</v>
      </c>
      <c r="M80" s="152">
        <f>+'Cash Flow $s Y20-21'!K98</f>
        <v>1723.2460000000001</v>
      </c>
      <c r="N80" s="152">
        <f>+'Cash Flow $s Y20-21'!L98</f>
        <v>1744.008</v>
      </c>
      <c r="O80" s="152">
        <f>+'Cash Flow $s Y20-21'!M98</f>
        <v>1744.008</v>
      </c>
      <c r="P80" s="152">
        <f>+'Cash Flow $s Y20-21'!N98</f>
        <v>1744.008</v>
      </c>
      <c r="Q80" s="152">
        <f>+'Cash Flow $s Y20-21'!O98</f>
        <v>1744.008</v>
      </c>
      <c r="R80" s="221">
        <f t="shared" si="1"/>
        <v>20762</v>
      </c>
    </row>
    <row r="81" spans="1:18" x14ac:dyDescent="0.25">
      <c r="A81" s="155" t="s">
        <v>924</v>
      </c>
      <c r="B81" s="154" t="s">
        <v>1204</v>
      </c>
      <c r="C81" s="152" t="s">
        <v>858</v>
      </c>
      <c r="D81" s="152" t="s">
        <v>859</v>
      </c>
      <c r="E81" s="152" t="s">
        <v>860</v>
      </c>
      <c r="F81" s="152">
        <f>+'Cash Flow $s Y20-21'!D99</f>
        <v>479.07600000000002</v>
      </c>
      <c r="G81" s="152">
        <f>+'Cash Flow $s Y20-21'!E99</f>
        <v>479.07600000000002</v>
      </c>
      <c r="H81" s="152">
        <f>+'Cash Flow $s Y20-21'!F99</f>
        <v>479.07600000000002</v>
      </c>
      <c r="I81" s="152">
        <f>+'Cash Flow $s Y20-21'!G99</f>
        <v>479.07600000000002</v>
      </c>
      <c r="J81" s="152">
        <f>+'Cash Flow $s Y20-21'!H99</f>
        <v>479.07600000000002</v>
      </c>
      <c r="K81" s="152">
        <f>+'Cash Flow $s Y20-21'!I99</f>
        <v>479.07600000000002</v>
      </c>
      <c r="L81" s="152">
        <f>+'Cash Flow $s Y20-21'!J99</f>
        <v>479.07600000000002</v>
      </c>
      <c r="M81" s="152">
        <f>+'Cash Flow $s Y20-21'!K99</f>
        <v>479.07600000000002</v>
      </c>
      <c r="N81" s="152">
        <f>+'Cash Flow $s Y20-21'!L99</f>
        <v>479.07600000000002</v>
      </c>
      <c r="O81" s="152">
        <f>+'Cash Flow $s Y20-21'!M99</f>
        <v>479.07600000000002</v>
      </c>
      <c r="P81" s="152">
        <f>+'Cash Flow $s Y20-21'!N99</f>
        <v>479.07600000000002</v>
      </c>
      <c r="Q81" s="152">
        <f>+'Cash Flow $s Y20-21'!O99</f>
        <v>479.07600000000002</v>
      </c>
      <c r="R81" s="221">
        <f t="shared" si="1"/>
        <v>5748.9120000000003</v>
      </c>
    </row>
    <row r="82" spans="1:18" x14ac:dyDescent="0.25">
      <c r="A82" s="155" t="s">
        <v>925</v>
      </c>
      <c r="B82" s="154" t="s">
        <v>1204</v>
      </c>
      <c r="C82" s="152" t="s">
        <v>858</v>
      </c>
      <c r="D82" s="152" t="s">
        <v>859</v>
      </c>
      <c r="E82" s="152" t="s">
        <v>860</v>
      </c>
      <c r="F82" s="152">
        <f>+'Cash Flow $s Y20-21'!D100</f>
        <v>0</v>
      </c>
      <c r="G82" s="152">
        <f>+'Cash Flow $s Y20-21'!E100</f>
        <v>0</v>
      </c>
      <c r="H82" s="152">
        <f>+'Cash Flow $s Y20-21'!F100</f>
        <v>0</v>
      </c>
      <c r="I82" s="152">
        <f>+'Cash Flow $s Y20-21'!G100</f>
        <v>0</v>
      </c>
      <c r="J82" s="152">
        <f>+'Cash Flow $s Y20-21'!H100</f>
        <v>0</v>
      </c>
      <c r="K82" s="152">
        <f>+'Cash Flow $s Y20-21'!I100</f>
        <v>0</v>
      </c>
      <c r="L82" s="152">
        <f>+'Cash Flow $s Y20-21'!J100</f>
        <v>0</v>
      </c>
      <c r="M82" s="152">
        <f>+'Cash Flow $s Y20-21'!K100</f>
        <v>0</v>
      </c>
      <c r="N82" s="152">
        <f>+'Cash Flow $s Y20-21'!L100</f>
        <v>0</v>
      </c>
      <c r="O82" s="152">
        <f>+'Cash Flow $s Y20-21'!M100</f>
        <v>0</v>
      </c>
      <c r="P82" s="152">
        <f>+'Cash Flow $s Y20-21'!N100</f>
        <v>0</v>
      </c>
      <c r="Q82" s="152">
        <f>+'Cash Flow $s Y20-21'!O100</f>
        <v>0</v>
      </c>
      <c r="R82" s="221">
        <f t="shared" si="1"/>
        <v>0</v>
      </c>
    </row>
    <row r="83" spans="1:18" x14ac:dyDescent="0.25">
      <c r="A83" s="155" t="s">
        <v>926</v>
      </c>
      <c r="B83" s="154" t="s">
        <v>1204</v>
      </c>
      <c r="C83" s="152" t="s">
        <v>858</v>
      </c>
      <c r="D83" s="152" t="s">
        <v>859</v>
      </c>
      <c r="E83" s="152" t="s">
        <v>860</v>
      </c>
      <c r="F83" s="152">
        <f>+'Cash Flow $s Y20-21'!D101</f>
        <v>261.11799999999999</v>
      </c>
      <c r="G83" s="152">
        <f>+'Cash Flow $s Y20-21'!E101</f>
        <v>261.11799999999999</v>
      </c>
      <c r="H83" s="152">
        <f>+'Cash Flow $s Y20-21'!F101</f>
        <v>261.11799999999999</v>
      </c>
      <c r="I83" s="152">
        <f>+'Cash Flow $s Y20-21'!G101</f>
        <v>261.11799999999999</v>
      </c>
      <c r="J83" s="152">
        <f>+'Cash Flow $s Y20-21'!H101</f>
        <v>261.11799999999999</v>
      </c>
      <c r="K83" s="152">
        <f>+'Cash Flow $s Y20-21'!I101</f>
        <v>261.11799999999999</v>
      </c>
      <c r="L83" s="152">
        <f>+'Cash Flow $s Y20-21'!J101</f>
        <v>261.11799999999999</v>
      </c>
      <c r="M83" s="152">
        <f>+'Cash Flow $s Y20-21'!K101</f>
        <v>261.11799999999999</v>
      </c>
      <c r="N83" s="152">
        <f>+'Cash Flow $s Y20-21'!L101</f>
        <v>261.11799999999999</v>
      </c>
      <c r="O83" s="152">
        <f>+'Cash Flow $s Y20-21'!M101</f>
        <v>261.11799999999999</v>
      </c>
      <c r="P83" s="152">
        <f>+'Cash Flow $s Y20-21'!N101</f>
        <v>261.11799999999999</v>
      </c>
      <c r="Q83" s="152">
        <f>+'Cash Flow $s Y20-21'!O101</f>
        <v>261.11799999999999</v>
      </c>
      <c r="R83" s="221">
        <f t="shared" si="1"/>
        <v>3133.4159999999997</v>
      </c>
    </row>
    <row r="84" spans="1:18" x14ac:dyDescent="0.25">
      <c r="A84" s="155" t="s">
        <v>927</v>
      </c>
      <c r="B84" s="154" t="s">
        <v>1204</v>
      </c>
      <c r="C84" s="152" t="s">
        <v>858</v>
      </c>
      <c r="D84" s="152" t="s">
        <v>859</v>
      </c>
      <c r="E84" s="152" t="s">
        <v>860</v>
      </c>
      <c r="F84" s="152">
        <f>+'Cash Flow $s Y20-21'!D117</f>
        <v>0</v>
      </c>
      <c r="G84" s="152">
        <f>+'Cash Flow $s Y20-21'!E117</f>
        <v>0</v>
      </c>
      <c r="H84" s="152">
        <f>+'Cash Flow $s Y20-21'!F117</f>
        <v>38.699999999999996</v>
      </c>
      <c r="I84" s="152">
        <f>+'Cash Flow $s Y20-21'!G117</f>
        <v>12.9</v>
      </c>
      <c r="J84" s="152">
        <f>+'Cash Flow $s Y20-21'!H117</f>
        <v>12.9</v>
      </c>
      <c r="K84" s="152">
        <f>+'Cash Flow $s Y20-21'!I117</f>
        <v>12.9</v>
      </c>
      <c r="L84" s="152">
        <f>+'Cash Flow $s Y20-21'!J117</f>
        <v>12.9</v>
      </c>
      <c r="M84" s="152">
        <f>+'Cash Flow $s Y20-21'!K117</f>
        <v>12.9</v>
      </c>
      <c r="N84" s="152">
        <f>+'Cash Flow $s Y20-21'!L117</f>
        <v>12.9</v>
      </c>
      <c r="O84" s="152">
        <f>+'Cash Flow $s Y20-21'!M117</f>
        <v>12.9</v>
      </c>
      <c r="P84" s="152">
        <f>+'Cash Flow $s Y20-21'!N117</f>
        <v>0</v>
      </c>
      <c r="Q84" s="152">
        <f>+'Cash Flow $s Y20-21'!O117</f>
        <v>0</v>
      </c>
      <c r="R84" s="221">
        <f t="shared" si="1"/>
        <v>129.00000000000003</v>
      </c>
    </row>
    <row r="85" spans="1:18" x14ac:dyDescent="0.25">
      <c r="A85" s="155" t="s">
        <v>928</v>
      </c>
      <c r="B85" s="154" t="s">
        <v>1204</v>
      </c>
      <c r="C85" s="152" t="s">
        <v>858</v>
      </c>
      <c r="D85" s="152" t="s">
        <v>859</v>
      </c>
      <c r="E85" s="152" t="s">
        <v>860</v>
      </c>
      <c r="F85" s="152">
        <f>+'Cash Flow $s Y20-21'!D118-F86</f>
        <v>0</v>
      </c>
      <c r="G85" s="152">
        <f>+'Cash Flow $s Y20-21'!E118-G86</f>
        <v>0</v>
      </c>
      <c r="H85" s="152">
        <f>+'Cash Flow $s Y20-21'!F118-H86</f>
        <v>750</v>
      </c>
      <c r="I85" s="152">
        <f>+'Cash Flow $s Y20-21'!G118-I86</f>
        <v>500</v>
      </c>
      <c r="J85" s="152">
        <f>+'Cash Flow $s Y20-21'!H118-J86</f>
        <v>500</v>
      </c>
      <c r="K85" s="152">
        <f>+'Cash Flow $s Y20-21'!I118-K86</f>
        <v>-250</v>
      </c>
      <c r="L85" s="152">
        <f>+'Cash Flow $s Y20-21'!J118-L86</f>
        <v>500</v>
      </c>
      <c r="M85" s="152">
        <f>+'Cash Flow $s Y20-21'!K118-M86</f>
        <v>500</v>
      </c>
      <c r="N85" s="152">
        <f>+'Cash Flow $s Y20-21'!L118-N86</f>
        <v>-250</v>
      </c>
      <c r="O85" s="152">
        <f>+'Cash Flow $s Y20-21'!M118-O86</f>
        <v>500</v>
      </c>
      <c r="P85" s="152">
        <f>+'Cash Flow $s Y20-21'!N118-P86</f>
        <v>0</v>
      </c>
      <c r="Q85" s="152">
        <f>+'Cash Flow $s Y20-21'!O118-Q86</f>
        <v>-750</v>
      </c>
      <c r="R85" s="221">
        <f t="shared" si="1"/>
        <v>2000</v>
      </c>
    </row>
    <row r="86" spans="1:18" x14ac:dyDescent="0.25">
      <c r="A86" s="155" t="s">
        <v>1208</v>
      </c>
      <c r="B86" s="154" t="s">
        <v>1204</v>
      </c>
      <c r="C86" s="152" t="s">
        <v>858</v>
      </c>
      <c r="D86" s="152" t="s">
        <v>859</v>
      </c>
      <c r="E86" s="152" t="s">
        <v>860</v>
      </c>
      <c r="F86" s="152">
        <v>0</v>
      </c>
      <c r="G86" s="152">
        <v>0</v>
      </c>
      <c r="H86" s="152">
        <v>750</v>
      </c>
      <c r="I86" s="152">
        <v>0</v>
      </c>
      <c r="J86" s="152">
        <v>0</v>
      </c>
      <c r="K86" s="152">
        <v>750</v>
      </c>
      <c r="L86" s="152">
        <v>0</v>
      </c>
      <c r="M86" s="152">
        <v>0</v>
      </c>
      <c r="N86" s="152">
        <v>750</v>
      </c>
      <c r="O86" s="152">
        <v>0</v>
      </c>
      <c r="P86" s="152">
        <v>0</v>
      </c>
      <c r="Q86" s="152">
        <v>750</v>
      </c>
      <c r="R86" s="221">
        <f t="shared" si="1"/>
        <v>3000</v>
      </c>
    </row>
    <row r="87" spans="1:18" x14ac:dyDescent="0.25">
      <c r="A87" s="155" t="s">
        <v>929</v>
      </c>
      <c r="B87" s="154" t="s">
        <v>1204</v>
      </c>
      <c r="C87" s="152" t="s">
        <v>858</v>
      </c>
      <c r="D87" s="152" t="s">
        <v>859</v>
      </c>
      <c r="E87" s="152" t="s">
        <v>860</v>
      </c>
      <c r="F87" s="152">
        <v>0</v>
      </c>
      <c r="G87" s="152">
        <v>0</v>
      </c>
      <c r="H87" s="152">
        <f>IFERROR((VLOOKUP(LEFT($A87,4),'Cash Flow $s Y20-21'!$B$12:$R$159,5,FALSE)),0)</f>
        <v>2351.4</v>
      </c>
      <c r="I87" s="152">
        <f>IFERROR((VLOOKUP(LEFT($A87,4),'Cash Flow $s Y20-21'!$B$12:$R$159,6,FALSE)),0)</f>
        <v>783.80000000000007</v>
      </c>
      <c r="J87" s="152">
        <f>IFERROR((VLOOKUP(LEFT($A87,4),'Cash Flow $s Y20-21'!$B$12:$R$159,7,FALSE)),0)</f>
        <v>783.80000000000007</v>
      </c>
      <c r="K87" s="152">
        <f>IFERROR((VLOOKUP(LEFT($A87,4),'Cash Flow $s Y20-21'!$B$12:$R$159,8,FALSE)),0)</f>
        <v>783.80000000000007</v>
      </c>
      <c r="L87" s="152">
        <f>IFERROR((VLOOKUP(LEFT($A87,4),'Cash Flow $s Y20-21'!$B$12:$R$159,9,FALSE)),0)</f>
        <v>783.80000000000007</v>
      </c>
      <c r="M87" s="152">
        <f>IFERROR((VLOOKUP(LEFT($A87,4),'Cash Flow $s Y20-21'!$B$12:$R$159,10,FALSE)),0)</f>
        <v>783.80000000000007</v>
      </c>
      <c r="N87" s="152">
        <f>IFERROR((VLOOKUP(LEFT($A87,4),'Cash Flow $s Y20-21'!$B$12:$R$159,11,FALSE)),0)</f>
        <v>783.80000000000007</v>
      </c>
      <c r="O87" s="152">
        <f>IFERROR((VLOOKUP(LEFT($A87,4),'Cash Flow $s Y20-21'!$B$12:$R$159,12,FALSE)),0)</f>
        <v>783.80000000000007</v>
      </c>
      <c r="P87" s="152">
        <v>0</v>
      </c>
      <c r="Q87" s="152">
        <v>0</v>
      </c>
      <c r="R87" s="221">
        <f t="shared" si="1"/>
        <v>7838.0000000000009</v>
      </c>
    </row>
    <row r="88" spans="1:18" x14ac:dyDescent="0.25">
      <c r="A88" s="155" t="s">
        <v>930</v>
      </c>
      <c r="B88" s="154" t="s">
        <v>1204</v>
      </c>
      <c r="C88" s="152" t="s">
        <v>858</v>
      </c>
      <c r="D88" s="152" t="s">
        <v>859</v>
      </c>
      <c r="E88" s="152" t="s">
        <v>860</v>
      </c>
      <c r="F88" s="152">
        <v>0</v>
      </c>
      <c r="G88" s="152">
        <v>0</v>
      </c>
      <c r="H88" s="152">
        <f>IFERROR((VLOOKUP(LEFT($A88,4),'Cash Flow $s Y20-21'!$B$12:$R$159,5,FALSE)),0)</f>
        <v>6472.8</v>
      </c>
      <c r="I88" s="152">
        <f>IFERROR((VLOOKUP(LEFT($A88,4),'Cash Flow $s Y20-21'!$B$12:$R$159,6,FALSE)),0)</f>
        <v>2157.6</v>
      </c>
      <c r="J88" s="152">
        <f>IFERROR((VLOOKUP(LEFT($A88,4),'Cash Flow $s Y20-21'!$B$12:$R$159,7,FALSE)),0)</f>
        <v>2157.6</v>
      </c>
      <c r="K88" s="152">
        <f>IFERROR((VLOOKUP(LEFT($A88,4),'Cash Flow $s Y20-21'!$B$12:$R$159,8,FALSE)),0)</f>
        <v>2157.6</v>
      </c>
      <c r="L88" s="152">
        <f>IFERROR((VLOOKUP(LEFT($A88,4),'Cash Flow $s Y20-21'!$B$12:$R$159,9,FALSE)),0)</f>
        <v>2157.6</v>
      </c>
      <c r="M88" s="152">
        <f>IFERROR((VLOOKUP(LEFT($A88,4),'Cash Flow $s Y20-21'!$B$12:$R$159,10,FALSE)),0)</f>
        <v>2157.6</v>
      </c>
      <c r="N88" s="152">
        <f>IFERROR((VLOOKUP(LEFT($A88,4),'Cash Flow $s Y20-21'!$B$12:$R$159,11,FALSE)),0)</f>
        <v>2157.6</v>
      </c>
      <c r="O88" s="152">
        <f>IFERROR((VLOOKUP(LEFT($A88,4),'Cash Flow $s Y20-21'!$B$12:$R$159,12,FALSE)),0)</f>
        <v>2157.6</v>
      </c>
      <c r="P88" s="152">
        <v>0</v>
      </c>
      <c r="Q88" s="152">
        <v>0</v>
      </c>
      <c r="R88" s="221">
        <f t="shared" si="1"/>
        <v>21575.999999999996</v>
      </c>
    </row>
    <row r="89" spans="1:18" x14ac:dyDescent="0.25">
      <c r="A89" s="155" t="s">
        <v>931</v>
      </c>
      <c r="B89" s="154" t="s">
        <v>1204</v>
      </c>
      <c r="C89" s="152" t="s">
        <v>858</v>
      </c>
      <c r="D89" s="152" t="s">
        <v>859</v>
      </c>
      <c r="E89" s="152" t="s">
        <v>860</v>
      </c>
      <c r="F89" s="152">
        <f>+'Cash Flow $s Y20-21'!D122</f>
        <v>1525.623</v>
      </c>
      <c r="G89" s="152">
        <f>+'Cash Flow $s Y20-21'!E122</f>
        <v>1525.623</v>
      </c>
      <c r="H89" s="152">
        <f>+'Cash Flow $s Y20-21'!F122</f>
        <v>1525.623</v>
      </c>
      <c r="I89" s="152">
        <f>+'Cash Flow $s Y20-21'!G122</f>
        <v>1525.623</v>
      </c>
      <c r="J89" s="152">
        <f>+'Cash Flow $s Y20-21'!H122</f>
        <v>1525.623</v>
      </c>
      <c r="K89" s="152">
        <f>+'Cash Flow $s Y20-21'!I122</f>
        <v>1525.623</v>
      </c>
      <c r="L89" s="152">
        <f>+'Cash Flow $s Y20-21'!J122</f>
        <v>1525.623</v>
      </c>
      <c r="M89" s="152">
        <f>+'Cash Flow $s Y20-21'!K122</f>
        <v>1525.623</v>
      </c>
      <c r="N89" s="152">
        <f>+'Cash Flow $s Y20-21'!L122</f>
        <v>1544.0040000000001</v>
      </c>
      <c r="O89" s="152">
        <f>+'Cash Flow $s Y20-21'!M122</f>
        <v>1544.0040000000001</v>
      </c>
      <c r="P89" s="152">
        <f>+'Cash Flow $s Y20-21'!N122</f>
        <v>1544.0040000000001</v>
      </c>
      <c r="Q89" s="152">
        <f>+'Cash Flow $s Y20-21'!O122</f>
        <v>1544.0040000000001</v>
      </c>
      <c r="R89" s="221">
        <f t="shared" si="1"/>
        <v>18381</v>
      </c>
    </row>
    <row r="90" spans="1:18" x14ac:dyDescent="0.25">
      <c r="A90" s="155" t="s">
        <v>932</v>
      </c>
      <c r="B90" s="154" t="s">
        <v>1204</v>
      </c>
      <c r="C90" s="152" t="s">
        <v>858</v>
      </c>
      <c r="D90" s="152" t="s">
        <v>859</v>
      </c>
      <c r="E90" s="152" t="s">
        <v>860</v>
      </c>
      <c r="F90" s="152">
        <f>+'Cash Flow $s Y20-21'!D123</f>
        <v>20.916</v>
      </c>
      <c r="G90" s="152">
        <f>+'Cash Flow $s Y20-21'!E123</f>
        <v>20.916</v>
      </c>
      <c r="H90" s="152">
        <f>+'Cash Flow $s Y20-21'!F123</f>
        <v>20.916</v>
      </c>
      <c r="I90" s="152">
        <f>+'Cash Flow $s Y20-21'!G123</f>
        <v>20.916</v>
      </c>
      <c r="J90" s="152">
        <f>+'Cash Flow $s Y20-21'!H123</f>
        <v>20.916</v>
      </c>
      <c r="K90" s="152">
        <f>+'Cash Flow $s Y20-21'!I123</f>
        <v>20.916</v>
      </c>
      <c r="L90" s="152">
        <f>+'Cash Flow $s Y20-21'!J123</f>
        <v>20.916</v>
      </c>
      <c r="M90" s="152">
        <f>+'Cash Flow $s Y20-21'!K123</f>
        <v>20.916</v>
      </c>
      <c r="N90" s="152">
        <f>+'Cash Flow $s Y20-21'!L123</f>
        <v>21.168000000000003</v>
      </c>
      <c r="O90" s="152">
        <f>+'Cash Flow $s Y20-21'!M123</f>
        <v>21.168000000000003</v>
      </c>
      <c r="P90" s="152">
        <f>+'Cash Flow $s Y20-21'!N123</f>
        <v>21.168000000000003</v>
      </c>
      <c r="Q90" s="152">
        <f>+'Cash Flow $s Y20-21'!O123</f>
        <v>21.168000000000003</v>
      </c>
      <c r="R90" s="221">
        <f t="shared" si="1"/>
        <v>252.00000000000003</v>
      </c>
    </row>
    <row r="91" spans="1:18" x14ac:dyDescent="0.25">
      <c r="A91" s="155" t="s">
        <v>933</v>
      </c>
      <c r="B91" s="154" t="s">
        <v>1204</v>
      </c>
      <c r="C91" s="152" t="s">
        <v>858</v>
      </c>
      <c r="D91" s="152" t="s">
        <v>859</v>
      </c>
      <c r="E91" s="152" t="s">
        <v>860</v>
      </c>
      <c r="F91" s="152">
        <f>+'Cash Flow $s Y20-21'!D124</f>
        <v>0</v>
      </c>
      <c r="G91" s="152">
        <f>+'Cash Flow $s Y20-21'!E124</f>
        <v>0</v>
      </c>
      <c r="H91" s="152">
        <f>+'Cash Flow $s Y20-21'!F124</f>
        <v>0</v>
      </c>
      <c r="I91" s="152">
        <f>+'Cash Flow $s Y20-21'!G124</f>
        <v>0</v>
      </c>
      <c r="J91" s="152">
        <f>+'Cash Flow $s Y20-21'!H124</f>
        <v>0</v>
      </c>
      <c r="K91" s="152">
        <f>+'Cash Flow $s Y20-21'!I124</f>
        <v>0</v>
      </c>
      <c r="L91" s="152">
        <f>+'Cash Flow $s Y20-21'!J124</f>
        <v>0</v>
      </c>
      <c r="M91" s="152">
        <f>+'Cash Flow $s Y20-21'!K124</f>
        <v>0</v>
      </c>
      <c r="N91" s="152">
        <f>+'Cash Flow $s Y20-21'!L124</f>
        <v>0</v>
      </c>
      <c r="O91" s="152">
        <f>+'Cash Flow $s Y20-21'!M124</f>
        <v>0</v>
      </c>
      <c r="P91" s="152">
        <f>+'Cash Flow $s Y20-21'!N124</f>
        <v>0</v>
      </c>
      <c r="Q91" s="152">
        <f>+'Cash Flow $s Y20-21'!O124</f>
        <v>0</v>
      </c>
      <c r="R91" s="221">
        <f t="shared" si="1"/>
        <v>0</v>
      </c>
    </row>
    <row r="92" spans="1:18" x14ac:dyDescent="0.25">
      <c r="A92" s="155" t="s">
        <v>934</v>
      </c>
      <c r="B92" s="154" t="s">
        <v>1204</v>
      </c>
      <c r="C92" s="152" t="s">
        <v>858</v>
      </c>
      <c r="D92" s="152" t="s">
        <v>859</v>
      </c>
      <c r="E92" s="152" t="s">
        <v>860</v>
      </c>
      <c r="F92" s="152">
        <f>+'Cash Flow $s Y20-21'!D125</f>
        <v>4302.1390000000001</v>
      </c>
      <c r="G92" s="152">
        <f>+'Cash Flow $s Y20-21'!E125</f>
        <v>4302.1390000000001</v>
      </c>
      <c r="H92" s="152">
        <f>+'Cash Flow $s Y20-21'!F125</f>
        <v>4302.1390000000001</v>
      </c>
      <c r="I92" s="152">
        <f>+'Cash Flow $s Y20-21'!G125</f>
        <v>4302.1390000000001</v>
      </c>
      <c r="J92" s="152">
        <f>+'Cash Flow $s Y20-21'!H125</f>
        <v>4302.1390000000001</v>
      </c>
      <c r="K92" s="152">
        <f>+'Cash Flow $s Y20-21'!I125</f>
        <v>4302.1390000000001</v>
      </c>
      <c r="L92" s="152">
        <f>+'Cash Flow $s Y20-21'!J125</f>
        <v>4302.1390000000001</v>
      </c>
      <c r="M92" s="152">
        <f>+'Cash Flow $s Y20-21'!K125</f>
        <v>4302.1390000000001</v>
      </c>
      <c r="N92" s="152">
        <f>+'Cash Flow $s Y20-21'!L125</f>
        <v>4353.9720000000007</v>
      </c>
      <c r="O92" s="152">
        <f>+'Cash Flow $s Y20-21'!M125</f>
        <v>4353.9720000000007</v>
      </c>
      <c r="P92" s="152">
        <f>+'Cash Flow $s Y20-21'!N125</f>
        <v>4353.9720000000007</v>
      </c>
      <c r="Q92" s="152">
        <f>+'Cash Flow $s Y20-21'!O125</f>
        <v>4353.9720000000007</v>
      </c>
      <c r="R92" s="221">
        <f t="shared" si="1"/>
        <v>51833.000000000007</v>
      </c>
    </row>
    <row r="93" spans="1:18" x14ac:dyDescent="0.25">
      <c r="A93" s="155" t="s">
        <v>935</v>
      </c>
      <c r="B93" s="154" t="s">
        <v>1204</v>
      </c>
      <c r="C93" s="152" t="s">
        <v>858</v>
      </c>
      <c r="D93" s="152" t="s">
        <v>859</v>
      </c>
      <c r="E93" s="152" t="s">
        <v>860</v>
      </c>
      <c r="F93" s="152">
        <f>+'Cash Flow $s Y20-21'!D126</f>
        <v>0</v>
      </c>
      <c r="G93" s="152">
        <f>+'Cash Flow $s Y20-21'!E126</f>
        <v>0</v>
      </c>
      <c r="H93" s="152">
        <f>+'Cash Flow $s Y20-21'!F126</f>
        <v>0</v>
      </c>
      <c r="I93" s="152">
        <f>+'Cash Flow $s Y20-21'!G126</f>
        <v>0</v>
      </c>
      <c r="J93" s="152">
        <f>+'Cash Flow $s Y20-21'!H126</f>
        <v>0</v>
      </c>
      <c r="K93" s="152">
        <f>+'Cash Flow $s Y20-21'!I126</f>
        <v>0</v>
      </c>
      <c r="L93" s="152">
        <f>+'Cash Flow $s Y20-21'!J126</f>
        <v>0</v>
      </c>
      <c r="M93" s="152">
        <f>+'Cash Flow $s Y20-21'!K126</f>
        <v>0</v>
      </c>
      <c r="N93" s="152">
        <f>+'Cash Flow $s Y20-21'!L126</f>
        <v>0</v>
      </c>
      <c r="O93" s="152">
        <f>+'Cash Flow $s Y20-21'!M126</f>
        <v>0</v>
      </c>
      <c r="P93" s="152">
        <f>+'Cash Flow $s Y20-21'!N126</f>
        <v>0</v>
      </c>
      <c r="Q93" s="152">
        <f>+'Cash Flow $s Y20-21'!O126</f>
        <v>0</v>
      </c>
      <c r="R93" s="221">
        <f t="shared" si="1"/>
        <v>0</v>
      </c>
    </row>
    <row r="94" spans="1:18" x14ac:dyDescent="0.25">
      <c r="A94" s="155" t="s">
        <v>1193</v>
      </c>
      <c r="B94" s="154" t="s">
        <v>1204</v>
      </c>
      <c r="C94" s="152" t="s">
        <v>858</v>
      </c>
      <c r="D94" s="152" t="s">
        <v>859</v>
      </c>
      <c r="E94" s="152" t="s">
        <v>860</v>
      </c>
      <c r="F94" s="152">
        <f>+'Cash Flow $s Y20-21'!D127</f>
        <v>296.642</v>
      </c>
      <c r="G94" s="152">
        <f>+'Cash Flow $s Y20-21'!E127</f>
        <v>296.642</v>
      </c>
      <c r="H94" s="152">
        <f>+'Cash Flow $s Y20-21'!F127</f>
        <v>296.642</v>
      </c>
      <c r="I94" s="152">
        <f>+'Cash Flow $s Y20-21'!G127</f>
        <v>296.642</v>
      </c>
      <c r="J94" s="152">
        <f>+'Cash Flow $s Y20-21'!H127</f>
        <v>296.642</v>
      </c>
      <c r="K94" s="152">
        <f>+'Cash Flow $s Y20-21'!I127</f>
        <v>296.642</v>
      </c>
      <c r="L94" s="152">
        <f>+'Cash Flow $s Y20-21'!J127</f>
        <v>296.642</v>
      </c>
      <c r="M94" s="152">
        <f>+'Cash Flow $s Y20-21'!K127</f>
        <v>296.642</v>
      </c>
      <c r="N94" s="152">
        <f>+'Cash Flow $s Y20-21'!L127</f>
        <v>300.21600000000001</v>
      </c>
      <c r="O94" s="152">
        <f>+'Cash Flow $s Y20-21'!M127</f>
        <v>300.21600000000001</v>
      </c>
      <c r="P94" s="152">
        <f>+'Cash Flow $s Y20-21'!N127</f>
        <v>300.21600000000001</v>
      </c>
      <c r="Q94" s="152">
        <f>+'Cash Flow $s Y20-21'!O127</f>
        <v>300.21600000000001</v>
      </c>
      <c r="R94" s="221">
        <f t="shared" si="1"/>
        <v>3573.9999999999995</v>
      </c>
    </row>
    <row r="95" spans="1:18" x14ac:dyDescent="0.25">
      <c r="A95" s="155" t="s">
        <v>936</v>
      </c>
      <c r="B95" s="154" t="s">
        <v>1204</v>
      </c>
      <c r="C95" s="152" t="s">
        <v>858</v>
      </c>
      <c r="D95" s="152" t="s">
        <v>859</v>
      </c>
      <c r="E95" s="152" t="s">
        <v>860</v>
      </c>
      <c r="F95" s="152">
        <f>+'Cash Flow $s Y20-21'!D128</f>
        <v>8.3000000000000004E-2</v>
      </c>
      <c r="G95" s="152">
        <f>+'Cash Flow $s Y20-21'!E128</f>
        <v>8.3000000000000004E-2</v>
      </c>
      <c r="H95" s="152">
        <f>+'Cash Flow $s Y20-21'!F128</f>
        <v>8.3000000000000004E-2</v>
      </c>
      <c r="I95" s="152">
        <f>+'Cash Flow $s Y20-21'!G128</f>
        <v>8.3000000000000004E-2</v>
      </c>
      <c r="J95" s="152">
        <f>+'Cash Flow $s Y20-21'!H128</f>
        <v>8.3000000000000004E-2</v>
      </c>
      <c r="K95" s="152">
        <f>+'Cash Flow $s Y20-21'!I128</f>
        <v>8.3000000000000004E-2</v>
      </c>
      <c r="L95" s="152">
        <f>+'Cash Flow $s Y20-21'!J128</f>
        <v>8.3000000000000004E-2</v>
      </c>
      <c r="M95" s="152">
        <f>+'Cash Flow $s Y20-21'!K128</f>
        <v>8.3000000000000004E-2</v>
      </c>
      <c r="N95" s="152">
        <f>+'Cash Flow $s Y20-21'!L128</f>
        <v>8.4000000000000005E-2</v>
      </c>
      <c r="O95" s="152">
        <f>+'Cash Flow $s Y20-21'!M128</f>
        <v>8.4000000000000005E-2</v>
      </c>
      <c r="P95" s="152">
        <f>+'Cash Flow $s Y20-21'!N128</f>
        <v>8.4000000000000005E-2</v>
      </c>
      <c r="Q95" s="152">
        <f>+'Cash Flow $s Y20-21'!O128</f>
        <v>8.4000000000000005E-2</v>
      </c>
      <c r="R95" s="221">
        <f t="shared" si="1"/>
        <v>0.99999999999999989</v>
      </c>
    </row>
    <row r="96" spans="1:18" x14ac:dyDescent="0.25">
      <c r="A96" s="155" t="s">
        <v>937</v>
      </c>
      <c r="B96" s="154" t="s">
        <v>1204</v>
      </c>
      <c r="C96" s="152" t="s">
        <v>858</v>
      </c>
      <c r="D96" s="152" t="s">
        <v>859</v>
      </c>
      <c r="E96" s="152" t="s">
        <v>860</v>
      </c>
      <c r="F96" s="152">
        <f>+'Cash Flow $s Y20-21'!D129</f>
        <v>50.215000000000003</v>
      </c>
      <c r="G96" s="152">
        <f>+'Cash Flow $s Y20-21'!E129</f>
        <v>50.215000000000003</v>
      </c>
      <c r="H96" s="152">
        <f>+'Cash Flow $s Y20-21'!F129</f>
        <v>50.215000000000003</v>
      </c>
      <c r="I96" s="152">
        <f>+'Cash Flow $s Y20-21'!G129</f>
        <v>50.215000000000003</v>
      </c>
      <c r="J96" s="152">
        <f>+'Cash Flow $s Y20-21'!H129</f>
        <v>50.215000000000003</v>
      </c>
      <c r="K96" s="152">
        <f>+'Cash Flow $s Y20-21'!I129</f>
        <v>50.215000000000003</v>
      </c>
      <c r="L96" s="152">
        <f>+'Cash Flow $s Y20-21'!J129</f>
        <v>50.215000000000003</v>
      </c>
      <c r="M96" s="152">
        <f>+'Cash Flow $s Y20-21'!K129</f>
        <v>50.215000000000003</v>
      </c>
      <c r="N96" s="152">
        <f>+'Cash Flow $s Y20-21'!L129</f>
        <v>50.82</v>
      </c>
      <c r="O96" s="152">
        <f>+'Cash Flow $s Y20-21'!M129</f>
        <v>50.82</v>
      </c>
      <c r="P96" s="152">
        <f>+'Cash Flow $s Y20-21'!N129</f>
        <v>50.82</v>
      </c>
      <c r="Q96" s="152">
        <f>+'Cash Flow $s Y20-21'!O129</f>
        <v>50.82</v>
      </c>
      <c r="R96" s="221">
        <f t="shared" si="1"/>
        <v>605.00000000000011</v>
      </c>
    </row>
    <row r="97" spans="1:19" x14ac:dyDescent="0.25">
      <c r="A97" s="155" t="s">
        <v>938</v>
      </c>
      <c r="B97" s="154" t="s">
        <v>1204</v>
      </c>
      <c r="C97" s="152" t="s">
        <v>858</v>
      </c>
      <c r="D97" s="152" t="s">
        <v>859</v>
      </c>
      <c r="E97" s="152" t="s">
        <v>860</v>
      </c>
      <c r="F97" s="152">
        <f>+'Cash Flow $s Y20-21'!D130</f>
        <v>171.56100000000001</v>
      </c>
      <c r="G97" s="152">
        <f>+'Cash Flow $s Y20-21'!E130</f>
        <v>171.56100000000001</v>
      </c>
      <c r="H97" s="152">
        <f>+'Cash Flow $s Y20-21'!F130</f>
        <v>171.56100000000001</v>
      </c>
      <c r="I97" s="152">
        <f>+'Cash Flow $s Y20-21'!G130</f>
        <v>171.56100000000001</v>
      </c>
      <c r="J97" s="152">
        <f>+'Cash Flow $s Y20-21'!H130</f>
        <v>171.56100000000001</v>
      </c>
      <c r="K97" s="152">
        <f>+'Cash Flow $s Y20-21'!I130</f>
        <v>171.56100000000001</v>
      </c>
      <c r="L97" s="152">
        <f>+'Cash Flow $s Y20-21'!J130</f>
        <v>171.56100000000001</v>
      </c>
      <c r="M97" s="152">
        <f>+'Cash Flow $s Y20-21'!K130</f>
        <v>171.56100000000001</v>
      </c>
      <c r="N97" s="152">
        <f>+'Cash Flow $s Y20-21'!L130</f>
        <v>173.62800000000001</v>
      </c>
      <c r="O97" s="152">
        <f>+'Cash Flow $s Y20-21'!M130</f>
        <v>173.62800000000001</v>
      </c>
      <c r="P97" s="152">
        <f>+'Cash Flow $s Y20-21'!N130</f>
        <v>173.62800000000001</v>
      </c>
      <c r="Q97" s="152">
        <f>+'Cash Flow $s Y20-21'!O130</f>
        <v>173.62800000000001</v>
      </c>
      <c r="R97" s="221">
        <f t="shared" si="1"/>
        <v>2066.9999999999995</v>
      </c>
    </row>
    <row r="98" spans="1:19" x14ac:dyDescent="0.25">
      <c r="A98" s="155" t="s">
        <v>939</v>
      </c>
      <c r="B98" s="154" t="s">
        <v>1204</v>
      </c>
      <c r="C98" s="152" t="s">
        <v>858</v>
      </c>
      <c r="D98" s="152" t="s">
        <v>859</v>
      </c>
      <c r="E98" s="152" t="s">
        <v>860</v>
      </c>
      <c r="F98" s="152">
        <f>+'Cash Flow $s Y20-21'!D131</f>
        <v>491.36</v>
      </c>
      <c r="G98" s="152">
        <f>+'Cash Flow $s Y20-21'!E131</f>
        <v>491.36</v>
      </c>
      <c r="H98" s="152">
        <f>+'Cash Flow $s Y20-21'!F131</f>
        <v>491.36</v>
      </c>
      <c r="I98" s="152">
        <f>+'Cash Flow $s Y20-21'!G131</f>
        <v>491.36</v>
      </c>
      <c r="J98" s="152">
        <f>+'Cash Flow $s Y20-21'!H131</f>
        <v>491.36</v>
      </c>
      <c r="K98" s="152">
        <f>+'Cash Flow $s Y20-21'!I131</f>
        <v>491.36</v>
      </c>
      <c r="L98" s="152">
        <f>+'Cash Flow $s Y20-21'!J131</f>
        <v>491.36</v>
      </c>
      <c r="M98" s="152">
        <f>+'Cash Flow $s Y20-21'!K131</f>
        <v>491.36</v>
      </c>
      <c r="N98" s="152">
        <f>+'Cash Flow $s Y20-21'!L131</f>
        <v>497.28000000000003</v>
      </c>
      <c r="O98" s="152">
        <f>+'Cash Flow $s Y20-21'!M131</f>
        <v>497.28000000000003</v>
      </c>
      <c r="P98" s="152">
        <f>+'Cash Flow $s Y20-21'!N131</f>
        <v>497.28000000000003</v>
      </c>
      <c r="Q98" s="152">
        <f>+'Cash Flow $s Y20-21'!O131</f>
        <v>497.28000000000003</v>
      </c>
      <c r="R98" s="221">
        <f t="shared" ref="R98:R150" si="2">SUM(F98:Q98)</f>
        <v>5920</v>
      </c>
    </row>
    <row r="99" spans="1:19" x14ac:dyDescent="0.25">
      <c r="A99" s="155" t="s">
        <v>940</v>
      </c>
      <c r="B99" s="154" t="s">
        <v>1204</v>
      </c>
      <c r="C99" s="152" t="s">
        <v>858</v>
      </c>
      <c r="D99" s="152" t="s">
        <v>859</v>
      </c>
      <c r="E99" s="152" t="s">
        <v>860</v>
      </c>
      <c r="F99" s="152">
        <f>+'Cash Flow $s Y20-21'!D132</f>
        <v>60.092000000000006</v>
      </c>
      <c r="G99" s="152">
        <f>+'Cash Flow $s Y20-21'!E132</f>
        <v>60.092000000000006</v>
      </c>
      <c r="H99" s="152">
        <f>+'Cash Flow $s Y20-21'!F132</f>
        <v>60.092000000000006</v>
      </c>
      <c r="I99" s="152">
        <f>+'Cash Flow $s Y20-21'!G132</f>
        <v>60.092000000000006</v>
      </c>
      <c r="J99" s="152">
        <f>+'Cash Flow $s Y20-21'!H132</f>
        <v>60.092000000000006</v>
      </c>
      <c r="K99" s="152">
        <f>+'Cash Flow $s Y20-21'!I132</f>
        <v>60.092000000000006</v>
      </c>
      <c r="L99" s="152">
        <f>+'Cash Flow $s Y20-21'!J132</f>
        <v>60.092000000000006</v>
      </c>
      <c r="M99" s="152">
        <f>+'Cash Flow $s Y20-21'!K132</f>
        <v>60.092000000000006</v>
      </c>
      <c r="N99" s="152">
        <f>+'Cash Flow $s Y20-21'!L132</f>
        <v>60.816000000000003</v>
      </c>
      <c r="O99" s="152">
        <f>+'Cash Flow $s Y20-21'!M132</f>
        <v>60.816000000000003</v>
      </c>
      <c r="P99" s="152">
        <f>+'Cash Flow $s Y20-21'!N132</f>
        <v>60.816000000000003</v>
      </c>
      <c r="Q99" s="152">
        <f>+'Cash Flow $s Y20-21'!O132</f>
        <v>60.816000000000003</v>
      </c>
      <c r="R99" s="221">
        <f t="shared" si="2"/>
        <v>724.00000000000011</v>
      </c>
    </row>
    <row r="100" spans="1:19" x14ac:dyDescent="0.25">
      <c r="A100" s="155" t="s">
        <v>941</v>
      </c>
      <c r="B100" s="154" t="s">
        <v>1204</v>
      </c>
      <c r="C100" s="152" t="s">
        <v>858</v>
      </c>
      <c r="D100" s="152" t="s">
        <v>859</v>
      </c>
      <c r="E100" s="152" t="s">
        <v>860</v>
      </c>
      <c r="F100" s="152">
        <f>+'Cash Flow $s Y20-21'!D133</f>
        <v>0</v>
      </c>
      <c r="G100" s="152">
        <f>+'Cash Flow $s Y20-21'!E133</f>
        <v>0</v>
      </c>
      <c r="H100" s="152">
        <f>+'Cash Flow $s Y20-21'!F133</f>
        <v>0</v>
      </c>
      <c r="I100" s="152">
        <f>+'Cash Flow $s Y20-21'!G133</f>
        <v>0</v>
      </c>
      <c r="J100" s="152">
        <f>+'Cash Flow $s Y20-21'!H133</f>
        <v>3000</v>
      </c>
      <c r="K100" s="152">
        <f>+'Cash Flow $s Y20-21'!I133</f>
        <v>0</v>
      </c>
      <c r="L100" s="152">
        <f>+'Cash Flow $s Y20-21'!J133</f>
        <v>0</v>
      </c>
      <c r="M100" s="152">
        <f>+'Cash Flow $s Y20-21'!K133</f>
        <v>0</v>
      </c>
      <c r="N100" s="152">
        <f>+'Cash Flow $s Y20-21'!L133</f>
        <v>0</v>
      </c>
      <c r="O100" s="152">
        <f>+'Cash Flow $s Y20-21'!M133</f>
        <v>0</v>
      </c>
      <c r="P100" s="152">
        <f>+'Cash Flow $s Y20-21'!N133</f>
        <v>3000</v>
      </c>
      <c r="Q100" s="152">
        <f>+'Cash Flow $s Y20-21'!O133</f>
        <v>0</v>
      </c>
      <c r="R100" s="221">
        <f t="shared" si="2"/>
        <v>6000</v>
      </c>
    </row>
    <row r="101" spans="1:19" x14ac:dyDescent="0.25">
      <c r="A101" s="155" t="s">
        <v>942</v>
      </c>
      <c r="B101" s="154" t="s">
        <v>1204</v>
      </c>
      <c r="C101" s="152" t="s">
        <v>858</v>
      </c>
      <c r="D101" s="152" t="s">
        <v>859</v>
      </c>
      <c r="E101" s="152" t="s">
        <v>860</v>
      </c>
      <c r="F101" s="152">
        <f>+'Cash Flow $s Y20-21'!D134</f>
        <v>103.75</v>
      </c>
      <c r="G101" s="152">
        <f>+'Cash Flow $s Y20-21'!E134</f>
        <v>103.75</v>
      </c>
      <c r="H101" s="152">
        <f>+'Cash Flow $s Y20-21'!F134</f>
        <v>103.75</v>
      </c>
      <c r="I101" s="152">
        <f>+'Cash Flow $s Y20-21'!G134</f>
        <v>103.75</v>
      </c>
      <c r="J101" s="152">
        <f>+'Cash Flow $s Y20-21'!H134</f>
        <v>103.75</v>
      </c>
      <c r="K101" s="152">
        <f>+'Cash Flow $s Y20-21'!I134</f>
        <v>103.75</v>
      </c>
      <c r="L101" s="152">
        <f>+'Cash Flow $s Y20-21'!J134</f>
        <v>103.75</v>
      </c>
      <c r="M101" s="152">
        <f>+'Cash Flow $s Y20-21'!K134</f>
        <v>103.75</v>
      </c>
      <c r="N101" s="152">
        <f>+'Cash Flow $s Y20-21'!L134</f>
        <v>105</v>
      </c>
      <c r="O101" s="152">
        <f>+'Cash Flow $s Y20-21'!M134</f>
        <v>105</v>
      </c>
      <c r="P101" s="152">
        <f>+'Cash Flow $s Y20-21'!N134</f>
        <v>105</v>
      </c>
      <c r="Q101" s="152">
        <f>+'Cash Flow $s Y20-21'!O134</f>
        <v>105</v>
      </c>
      <c r="R101" s="221">
        <f t="shared" si="2"/>
        <v>1250</v>
      </c>
    </row>
    <row r="102" spans="1:19" x14ac:dyDescent="0.25">
      <c r="A102" s="155" t="s">
        <v>943</v>
      </c>
      <c r="B102" s="154" t="s">
        <v>1204</v>
      </c>
      <c r="C102" s="152" t="s">
        <v>858</v>
      </c>
      <c r="D102" s="152" t="s">
        <v>859</v>
      </c>
      <c r="E102" s="152" t="s">
        <v>860</v>
      </c>
      <c r="F102" s="152">
        <f>+'Cash Flow $s Y20-21'!D135</f>
        <v>0</v>
      </c>
      <c r="G102" s="152">
        <f>+'Cash Flow $s Y20-21'!E135</f>
        <v>0</v>
      </c>
      <c r="H102" s="152">
        <f>+'Cash Flow $s Y20-21'!F135</f>
        <v>2.5</v>
      </c>
      <c r="I102" s="152">
        <f>+'Cash Flow $s Y20-21'!G135</f>
        <v>2.5</v>
      </c>
      <c r="J102" s="152">
        <f>+'Cash Flow $s Y20-21'!H135</f>
        <v>2.5</v>
      </c>
      <c r="K102" s="152">
        <f>+'Cash Flow $s Y20-21'!I135</f>
        <v>2.5</v>
      </c>
      <c r="L102" s="152">
        <f>+'Cash Flow $s Y20-21'!J135</f>
        <v>2.5</v>
      </c>
      <c r="M102" s="152">
        <f>+'Cash Flow $s Y20-21'!K135</f>
        <v>2.5</v>
      </c>
      <c r="N102" s="152">
        <f>+'Cash Flow $s Y20-21'!L135</f>
        <v>2.5</v>
      </c>
      <c r="O102" s="152">
        <f>+'Cash Flow $s Y20-21'!M135</f>
        <v>2.5</v>
      </c>
      <c r="P102" s="152">
        <f>+'Cash Flow $s Y20-21'!N135</f>
        <v>2.5</v>
      </c>
      <c r="Q102" s="152">
        <f>+'Cash Flow $s Y20-21'!O135</f>
        <v>2.5</v>
      </c>
      <c r="R102" s="221">
        <f t="shared" si="2"/>
        <v>25</v>
      </c>
    </row>
    <row r="103" spans="1:19" x14ac:dyDescent="0.25">
      <c r="A103" s="155" t="s">
        <v>1201</v>
      </c>
      <c r="B103" s="154" t="s">
        <v>1204</v>
      </c>
      <c r="C103" s="152" t="s">
        <v>858</v>
      </c>
      <c r="D103" s="152" t="s">
        <v>859</v>
      </c>
      <c r="E103" s="152" t="s">
        <v>860</v>
      </c>
      <c r="F103" s="152">
        <f>+'Cash Flow $s Y20-21'!D136</f>
        <v>23.248651500000001</v>
      </c>
      <c r="G103" s="152">
        <f>+'Cash Flow $s Y20-21'!E136</f>
        <v>23.248651500000001</v>
      </c>
      <c r="H103" s="152">
        <f>+'Cash Flow $s Y20-21'!F136</f>
        <v>23.248651500000001</v>
      </c>
      <c r="I103" s="152">
        <f>+'Cash Flow $s Y20-21'!G136</f>
        <v>23.248651500000001</v>
      </c>
      <c r="J103" s="152">
        <f>+'Cash Flow $s Y20-21'!H136</f>
        <v>23.248651500000001</v>
      </c>
      <c r="K103" s="152">
        <f>+'Cash Flow $s Y20-21'!I136</f>
        <v>23.248651500000001</v>
      </c>
      <c r="L103" s="152">
        <f>+'Cash Flow $s Y20-21'!J136</f>
        <v>23.248651500000001</v>
      </c>
      <c r="M103" s="152">
        <f>+'Cash Flow $s Y20-21'!K136</f>
        <v>23.248651500000001</v>
      </c>
      <c r="N103" s="152">
        <f>+'Cash Flow $s Y20-21'!L136</f>
        <v>23.248651500000001</v>
      </c>
      <c r="O103" s="152">
        <f>+'Cash Flow $s Y20-21'!M136</f>
        <v>23.248651500000001</v>
      </c>
      <c r="P103" s="152">
        <f>+'Cash Flow $s Y20-21'!N136</f>
        <v>23.248651500000001</v>
      </c>
      <c r="Q103" s="152">
        <f>+'Cash Flow $s Y20-21'!O136</f>
        <v>23.264694000000002</v>
      </c>
      <c r="R103" s="221">
        <f t="shared" si="2"/>
        <v>278.99986049999995</v>
      </c>
    </row>
    <row r="104" spans="1:19" x14ac:dyDescent="0.25">
      <c r="A104" s="155" t="s">
        <v>944</v>
      </c>
      <c r="B104" s="154" t="s">
        <v>1204</v>
      </c>
      <c r="C104" s="152" t="s">
        <v>858</v>
      </c>
      <c r="D104" s="152" t="s">
        <v>859</v>
      </c>
      <c r="E104" s="152" t="s">
        <v>860</v>
      </c>
      <c r="F104" s="152">
        <f>+'Cash Flow $s Y20-21'!D137</f>
        <v>0</v>
      </c>
      <c r="G104" s="152">
        <f>+'Cash Flow $s Y20-21'!E137</f>
        <v>0</v>
      </c>
      <c r="H104" s="152">
        <f>+'Cash Flow $s Y20-21'!F137</f>
        <v>0</v>
      </c>
      <c r="I104" s="152">
        <f>+'Cash Flow $s Y20-21'!G137</f>
        <v>0</v>
      </c>
      <c r="J104" s="152">
        <f>+'Cash Flow $s Y20-21'!H137</f>
        <v>0</v>
      </c>
      <c r="K104" s="152">
        <f>+'Cash Flow $s Y20-21'!I137</f>
        <v>0</v>
      </c>
      <c r="L104" s="152">
        <f>+'Cash Flow $s Y20-21'!J137</f>
        <v>0</v>
      </c>
      <c r="M104" s="152">
        <f>+'Cash Flow $s Y20-21'!K137</f>
        <v>0</v>
      </c>
      <c r="N104" s="152">
        <f>+'Cash Flow $s Y20-21'!L137</f>
        <v>0</v>
      </c>
      <c r="O104" s="152">
        <f>+'Cash Flow $s Y20-21'!M137</f>
        <v>0</v>
      </c>
      <c r="P104" s="152">
        <f>+'Cash Flow $s Y20-21'!N137</f>
        <v>0</v>
      </c>
      <c r="Q104" s="152">
        <f>+'Cash Flow $s Y20-21'!O137</f>
        <v>0</v>
      </c>
      <c r="R104" s="221">
        <f t="shared" si="2"/>
        <v>0</v>
      </c>
    </row>
    <row r="105" spans="1:19" x14ac:dyDescent="0.25">
      <c r="A105" s="155" t="s">
        <v>1226</v>
      </c>
      <c r="B105" s="154" t="s">
        <v>1204</v>
      </c>
      <c r="C105" s="152" t="s">
        <v>858</v>
      </c>
      <c r="D105" s="152" t="s">
        <v>859</v>
      </c>
      <c r="E105" s="152" t="s">
        <v>860</v>
      </c>
      <c r="F105" s="152">
        <f>+'Cash Flow $s Y20-21'!D138</f>
        <v>0</v>
      </c>
      <c r="G105" s="152">
        <f>+'Cash Flow $s Y20-21'!E138</f>
        <v>0</v>
      </c>
      <c r="H105" s="152">
        <f>+'Cash Flow $s Y20-21'!F138</f>
        <v>0</v>
      </c>
      <c r="I105" s="152">
        <f>+'Cash Flow $s Y20-21'!G138</f>
        <v>0</v>
      </c>
      <c r="J105" s="152">
        <f>+'Cash Flow $s Y20-21'!H138</f>
        <v>0</v>
      </c>
      <c r="K105" s="152">
        <f>+'Cash Flow $s Y20-21'!I138</f>
        <v>0</v>
      </c>
      <c r="L105" s="152">
        <f>+'Cash Flow $s Y20-21'!J138</f>
        <v>0</v>
      </c>
      <c r="M105" s="152">
        <f>+'Cash Flow $s Y20-21'!K138</f>
        <v>0</v>
      </c>
      <c r="N105" s="152">
        <f>+'Cash Flow $s Y20-21'!L138</f>
        <v>0</v>
      </c>
      <c r="O105" s="152">
        <f>+'Cash Flow $s Y20-21'!M138</f>
        <v>0</v>
      </c>
      <c r="P105" s="152">
        <f>+'Cash Flow $s Y20-21'!N138</f>
        <v>0</v>
      </c>
      <c r="Q105" s="152">
        <f>+'Cash Flow $s Y20-21'!O138</f>
        <v>0</v>
      </c>
      <c r="R105" s="221">
        <f t="shared" si="2"/>
        <v>0</v>
      </c>
    </row>
    <row r="106" spans="1:19" x14ac:dyDescent="0.25">
      <c r="A106" s="155" t="s">
        <v>1227</v>
      </c>
      <c r="B106" s="154" t="s">
        <v>1204</v>
      </c>
      <c r="C106" s="152" t="s">
        <v>858</v>
      </c>
      <c r="D106" s="152" t="s">
        <v>859</v>
      </c>
      <c r="E106" s="152" t="s">
        <v>860</v>
      </c>
      <c r="F106" s="152" t="str">
        <f>IFERROR((VLOOKUP(LEFT($A106,4),'Cash Flow $s Y20-21'!$B$12:$R$159,3,FALSE)),0)</f>
        <v/>
      </c>
      <c r="G106" s="152" t="str">
        <f>IFERROR((VLOOKUP(LEFT($A106,4),'Cash Flow $s Y20-21'!$B$12:$R$159,4,FALSE)),0)</f>
        <v/>
      </c>
      <c r="H106" s="152">
        <f>IFERROR((VLOOKUP(LEFT($A106,4),'Cash Flow $s Y20-21'!$B$12:$R$159,5,FALSE)),0)</f>
        <v>0</v>
      </c>
      <c r="I106" s="152">
        <f>IFERROR((VLOOKUP(LEFT($A106,4),'Cash Flow $s Y20-21'!$B$12:$R$159,6,FALSE)),0)</f>
        <v>0</v>
      </c>
      <c r="J106" s="152">
        <f>IFERROR((VLOOKUP(LEFT($A106,4),'Cash Flow $s Y20-21'!$B$12:$R$159,7,FALSE)),0)</f>
        <v>0</v>
      </c>
      <c r="K106" s="152">
        <f>IFERROR((VLOOKUP(LEFT($A106,4),'Cash Flow $s Y20-21'!$B$12:$R$159,8,FALSE)),0)</f>
        <v>0</v>
      </c>
      <c r="L106" s="152">
        <f>IFERROR((VLOOKUP(LEFT($A106,4),'Cash Flow $s Y20-21'!$B$12:$R$159,9,FALSE)),0)</f>
        <v>0</v>
      </c>
      <c r="M106" s="152">
        <f>IFERROR((VLOOKUP(LEFT($A106,4),'Cash Flow $s Y20-21'!$B$12:$R$159,10,FALSE)),0)</f>
        <v>0</v>
      </c>
      <c r="N106" s="152">
        <f>IFERROR((VLOOKUP(LEFT($A106,4),'Cash Flow $s Y20-21'!$B$12:$R$159,11,FALSE)),0)</f>
        <v>0</v>
      </c>
      <c r="O106" s="152">
        <f>IFERROR((VLOOKUP(LEFT($A106,4),'Cash Flow $s Y20-21'!$B$12:$R$159,12,FALSE)),0)</f>
        <v>0</v>
      </c>
      <c r="P106" s="152">
        <f>IFERROR((VLOOKUP(LEFT($A106,4),'Cash Flow $s Y20-21'!$B$12:$R$159,13,FALSE)),0)</f>
        <v>0</v>
      </c>
      <c r="Q106" s="152">
        <f>IFERROR((VLOOKUP(LEFT($A106,4),'Cash Flow $s Y20-21'!$B$12:$R$159,14,FALSE)),0)</f>
        <v>0</v>
      </c>
      <c r="R106" s="221">
        <f>SUM(F106:Q106)</f>
        <v>0</v>
      </c>
    </row>
    <row r="107" spans="1:19" x14ac:dyDescent="0.25">
      <c r="A107" s="155" t="s">
        <v>945</v>
      </c>
      <c r="B107" s="154" t="s">
        <v>1204</v>
      </c>
      <c r="C107" s="152" t="s">
        <v>858</v>
      </c>
      <c r="D107" s="152" t="s">
        <v>859</v>
      </c>
      <c r="E107" s="152" t="s">
        <v>860</v>
      </c>
      <c r="F107" s="152" t="str">
        <f>IFERROR((VLOOKUP(LEFT($A107,4),'Cash Flow $s Y20-21'!$B$12:$R$159,3,FALSE)),0)</f>
        <v/>
      </c>
      <c r="G107" s="152" t="str">
        <f>IFERROR((VLOOKUP(LEFT($A107,4),'Cash Flow $s Y20-21'!$B$12:$R$159,4,FALSE)),0)</f>
        <v/>
      </c>
      <c r="H107" s="152">
        <f>IFERROR((VLOOKUP(LEFT($A107,4),'Cash Flow $s Y20-21'!$B$12:$R$159,5,FALSE)),0)</f>
        <v>502</v>
      </c>
      <c r="I107" s="152">
        <f>IFERROR((VLOOKUP(LEFT($A107,4),'Cash Flow $s Y20-21'!$B$12:$R$159,6,FALSE)),0)</f>
        <v>502</v>
      </c>
      <c r="J107" s="152">
        <f>IFERROR((VLOOKUP(LEFT($A107,4),'Cash Flow $s Y20-21'!$B$12:$R$159,7,FALSE)),0)</f>
        <v>502</v>
      </c>
      <c r="K107" s="152">
        <f>IFERROR((VLOOKUP(LEFT($A107,4),'Cash Flow $s Y20-21'!$B$12:$R$159,8,FALSE)),0)</f>
        <v>502</v>
      </c>
      <c r="L107" s="152">
        <f>IFERROR((VLOOKUP(LEFT($A107,4),'Cash Flow $s Y20-21'!$B$12:$R$159,9,FALSE)),0)</f>
        <v>502</v>
      </c>
      <c r="M107" s="152">
        <f>IFERROR((VLOOKUP(LEFT($A107,4),'Cash Flow $s Y20-21'!$B$12:$R$159,10,FALSE)),0)</f>
        <v>502</v>
      </c>
      <c r="N107" s="152">
        <f>IFERROR((VLOOKUP(LEFT($A107,4),'Cash Flow $s Y20-21'!$B$12:$R$159,11,FALSE)),0)</f>
        <v>502</v>
      </c>
      <c r="O107" s="152">
        <f>IFERROR((VLOOKUP(LEFT($A107,4),'Cash Flow $s Y20-21'!$B$12:$R$159,12,FALSE)),0)</f>
        <v>502</v>
      </c>
      <c r="P107" s="152">
        <f>IFERROR((VLOOKUP(LEFT($A107,4),'Cash Flow $s Y20-21'!$B$12:$R$159,13,FALSE)),0)</f>
        <v>502</v>
      </c>
      <c r="Q107" s="152">
        <f>IFERROR((VLOOKUP(LEFT($A107,4),'Cash Flow $s Y20-21'!$B$12:$R$159,14,FALSE)),0)</f>
        <v>502</v>
      </c>
      <c r="R107" s="221">
        <f t="shared" si="2"/>
        <v>5020</v>
      </c>
    </row>
    <row r="108" spans="1:19" x14ac:dyDescent="0.25">
      <c r="A108" s="155" t="s">
        <v>946</v>
      </c>
      <c r="B108" s="154" t="s">
        <v>1204</v>
      </c>
      <c r="C108" s="152" t="s">
        <v>858</v>
      </c>
      <c r="D108" s="152" t="s">
        <v>859</v>
      </c>
      <c r="E108" s="152" t="s">
        <v>860</v>
      </c>
      <c r="F108" s="152">
        <v>0</v>
      </c>
      <c r="G108" s="152">
        <v>0</v>
      </c>
      <c r="H108" s="152">
        <v>0</v>
      </c>
      <c r="I108" s="152">
        <v>0</v>
      </c>
      <c r="J108" s="152">
        <v>0</v>
      </c>
      <c r="K108" s="152">
        <v>0</v>
      </c>
      <c r="L108" s="152">
        <v>0</v>
      </c>
      <c r="M108" s="152">
        <v>0</v>
      </c>
      <c r="N108" s="152">
        <v>0</v>
      </c>
      <c r="O108" s="152">
        <v>0</v>
      </c>
      <c r="P108" s="152">
        <v>0</v>
      </c>
      <c r="Q108" s="152">
        <v>0</v>
      </c>
      <c r="R108" s="221">
        <f t="shared" si="2"/>
        <v>0</v>
      </c>
    </row>
    <row r="109" spans="1:19" x14ac:dyDescent="0.25">
      <c r="A109" s="155" t="s">
        <v>947</v>
      </c>
      <c r="B109" s="154" t="s">
        <v>1204</v>
      </c>
      <c r="C109" s="152" t="s">
        <v>858</v>
      </c>
      <c r="D109" s="152" t="s">
        <v>859</v>
      </c>
      <c r="E109" s="152" t="s">
        <v>860</v>
      </c>
      <c r="F109" s="152">
        <v>0</v>
      </c>
      <c r="G109" s="152">
        <v>0</v>
      </c>
      <c r="H109" s="152">
        <v>0</v>
      </c>
      <c r="I109" s="152">
        <v>0</v>
      </c>
      <c r="J109" s="152">
        <v>0</v>
      </c>
      <c r="K109" s="152">
        <v>0</v>
      </c>
      <c r="L109" s="152">
        <v>0</v>
      </c>
      <c r="M109" s="152">
        <v>0</v>
      </c>
      <c r="N109" s="152">
        <v>0</v>
      </c>
      <c r="O109" s="152">
        <v>0</v>
      </c>
      <c r="P109" s="152">
        <v>0</v>
      </c>
      <c r="Q109" s="152">
        <v>0</v>
      </c>
      <c r="R109" s="221">
        <f t="shared" si="2"/>
        <v>0</v>
      </c>
    </row>
    <row r="110" spans="1:19" x14ac:dyDescent="0.25">
      <c r="A110" s="155" t="s">
        <v>948</v>
      </c>
      <c r="B110" s="154" t="s">
        <v>1204</v>
      </c>
      <c r="C110" s="152" t="s">
        <v>858</v>
      </c>
      <c r="D110" s="152" t="s">
        <v>859</v>
      </c>
      <c r="E110" s="152" t="s">
        <v>860</v>
      </c>
      <c r="F110" s="152" t="str">
        <f>IFERROR((VLOOKUP(LEFT($A110,4),'Cash Flow $s Y20-21'!$B$12:$R$159,3,FALSE)),0)</f>
        <v/>
      </c>
      <c r="G110" s="152" t="str">
        <f>IFERROR((VLOOKUP(LEFT($A110,4),'Cash Flow $s Y20-21'!$B$12:$R$159,4,FALSE)),0)</f>
        <v/>
      </c>
      <c r="H110" s="152" t="str">
        <f>IFERROR((VLOOKUP(LEFT($A110,4),'Cash Flow $s Y20-21'!$B$12:$R$159,5,FALSE)),0)</f>
        <v/>
      </c>
      <c r="I110" s="152" t="str">
        <f>IFERROR((VLOOKUP(LEFT($A110,4),'Cash Flow $s Y20-21'!$B$12:$R$159,6,FALSE)),0)</f>
        <v/>
      </c>
      <c r="J110" s="152" t="str">
        <f>IFERROR((VLOOKUP(LEFT($A110,4),'Cash Flow $s Y20-21'!$B$12:$R$159,7,FALSE)),0)</f>
        <v/>
      </c>
      <c r="K110" s="152" t="str">
        <f>IFERROR((VLOOKUP(LEFT($A110,4),'Cash Flow $s Y20-21'!$B$12:$R$159,8,FALSE)),0)</f>
        <v/>
      </c>
      <c r="L110" s="152" t="str">
        <f>IFERROR((VLOOKUP(LEFT($A110,4),'Cash Flow $s Y20-21'!$B$12:$R$159,9,FALSE)),0)</f>
        <v/>
      </c>
      <c r="M110" s="152" t="str">
        <f>IFERROR((VLOOKUP(LEFT($A110,4),'Cash Flow $s Y20-21'!$B$12:$R$159,10,FALSE)),0)</f>
        <v/>
      </c>
      <c r="N110" s="152" t="str">
        <f>IFERROR((VLOOKUP(LEFT($A110,4),'Cash Flow $s Y20-21'!$B$12:$R$159,11,FALSE)),0)</f>
        <v/>
      </c>
      <c r="O110" s="152" t="str">
        <f>IFERROR((VLOOKUP(LEFT($A110,4),'Cash Flow $s Y20-21'!$B$12:$R$159,12,FALSE)),0)</f>
        <v/>
      </c>
      <c r="P110" s="152" t="str">
        <f>IFERROR((VLOOKUP(LEFT($A110,4),'Cash Flow $s Y20-21'!$B$12:$R$159,13,FALSE)),0)</f>
        <v/>
      </c>
      <c r="Q110" s="152" t="str">
        <f>IFERROR((VLOOKUP(LEFT($A110,4),'Cash Flow $s Y20-21'!$B$12:$R$159,14,FALSE)),0)</f>
        <v/>
      </c>
      <c r="R110" s="221">
        <f t="shared" si="2"/>
        <v>0</v>
      </c>
    </row>
    <row r="111" spans="1:19" x14ac:dyDescent="0.25">
      <c r="A111" s="155" t="s">
        <v>949</v>
      </c>
      <c r="B111" s="154" t="s">
        <v>1204</v>
      </c>
      <c r="C111" s="152" t="s">
        <v>858</v>
      </c>
      <c r="D111" s="152" t="s">
        <v>859</v>
      </c>
      <c r="E111" s="152" t="s">
        <v>860</v>
      </c>
      <c r="F111" s="152">
        <v>0</v>
      </c>
      <c r="G111" s="152">
        <v>0</v>
      </c>
      <c r="H111" s="152">
        <v>0</v>
      </c>
      <c r="I111" s="152">
        <v>0</v>
      </c>
      <c r="J111" s="152">
        <v>0</v>
      </c>
      <c r="K111" s="152">
        <v>0</v>
      </c>
      <c r="L111" s="152">
        <v>0</v>
      </c>
      <c r="M111" s="152">
        <v>0</v>
      </c>
      <c r="N111" s="152">
        <v>0</v>
      </c>
      <c r="O111" s="152">
        <v>0</v>
      </c>
      <c r="P111" s="152">
        <v>0</v>
      </c>
      <c r="Q111" s="152">
        <v>0</v>
      </c>
      <c r="R111" s="221">
        <f t="shared" si="2"/>
        <v>0</v>
      </c>
    </row>
    <row r="112" spans="1:19" x14ac:dyDescent="0.25">
      <c r="A112" s="155" t="s">
        <v>950</v>
      </c>
      <c r="B112" s="154" t="s">
        <v>1204</v>
      </c>
      <c r="C112" s="152" t="s">
        <v>858</v>
      </c>
      <c r="D112" s="152" t="s">
        <v>859</v>
      </c>
      <c r="E112" s="152" t="s">
        <v>860</v>
      </c>
      <c r="F112" s="152">
        <v>0</v>
      </c>
      <c r="G112" s="152">
        <v>0</v>
      </c>
      <c r="H112" s="152">
        <v>0</v>
      </c>
      <c r="I112" s="152">
        <v>0</v>
      </c>
      <c r="J112" s="152">
        <v>0</v>
      </c>
      <c r="K112" s="152">
        <v>0</v>
      </c>
      <c r="L112" s="152">
        <v>0</v>
      </c>
      <c r="M112" s="152">
        <v>0</v>
      </c>
      <c r="N112" s="152">
        <v>0</v>
      </c>
      <c r="O112" s="152">
        <v>0</v>
      </c>
      <c r="P112" s="152">
        <v>0</v>
      </c>
      <c r="Q112" s="152">
        <v>0</v>
      </c>
      <c r="R112" s="221">
        <f t="shared" si="2"/>
        <v>0</v>
      </c>
      <c r="S112" s="157" t="e">
        <f>SUM('Cash Flow $s Y20-21'!D150:R150)/SUM(Fiscal_Sets!F84:Q112)</f>
        <v>#REF!</v>
      </c>
    </row>
    <row r="113" spans="1:20" x14ac:dyDescent="0.25">
      <c r="A113" s="155" t="s">
        <v>951</v>
      </c>
      <c r="B113" s="154" t="s">
        <v>1204</v>
      </c>
      <c r="C113" s="152" t="s">
        <v>858</v>
      </c>
      <c r="D113" s="152" t="s">
        <v>859</v>
      </c>
      <c r="E113" s="152" t="s">
        <v>860</v>
      </c>
      <c r="F113" s="152">
        <f>+'Cash Flow $s Y20-21'!D153</f>
        <v>0</v>
      </c>
      <c r="G113" s="152">
        <f>+'Cash Flow $s Y20-21'!E153</f>
        <v>0</v>
      </c>
      <c r="H113" s="152">
        <f>+'Cash Flow $s Y20-21'!F153</f>
        <v>0</v>
      </c>
      <c r="I113" s="152">
        <f>+'Cash Flow $s Y20-21'!G153</f>
        <v>0</v>
      </c>
      <c r="J113" s="152">
        <f>+'Cash Flow $s Y20-21'!H153</f>
        <v>0</v>
      </c>
      <c r="K113" s="152">
        <f>+'Cash Flow $s Y20-21'!I153</f>
        <v>0</v>
      </c>
      <c r="L113" s="152">
        <f>+'Cash Flow $s Y20-21'!J153</f>
        <v>0</v>
      </c>
      <c r="M113" s="152">
        <f>+'Cash Flow $s Y20-21'!K153</f>
        <v>0</v>
      </c>
      <c r="N113" s="152">
        <f>+'Cash Flow $s Y20-21'!L153</f>
        <v>0</v>
      </c>
      <c r="O113" s="152">
        <f>+'Cash Flow $s Y20-21'!M153</f>
        <v>0</v>
      </c>
      <c r="P113" s="152">
        <f>+'Cash Flow $s Y20-21'!N153</f>
        <v>0</v>
      </c>
      <c r="Q113" s="152">
        <f>+'Cash Flow $s Y20-21'!O153</f>
        <v>2908.72</v>
      </c>
      <c r="R113" s="221">
        <f t="shared" si="2"/>
        <v>2908.72</v>
      </c>
      <c r="S113" s="157">
        <f>SUM('Cash Flow $s Y20-21'!D154:R154)/SUM(Fiscal_Sets!F113:Q113)</f>
        <v>1</v>
      </c>
    </row>
    <row r="114" spans="1:20" x14ac:dyDescent="0.25">
      <c r="A114" s="155" t="s">
        <v>952</v>
      </c>
      <c r="B114" s="154" t="s">
        <v>1204</v>
      </c>
      <c r="C114" s="152" t="s">
        <v>858</v>
      </c>
      <c r="D114" s="152" t="s">
        <v>859</v>
      </c>
      <c r="E114" s="152" t="s">
        <v>860</v>
      </c>
      <c r="F114" s="152">
        <f>IFERROR((VLOOKUP(LEFT($A114,4),'Cash Flow $s Y20-21'!$B$12:$R$159,3,FALSE)),0)</f>
        <v>0</v>
      </c>
      <c r="G114" s="152">
        <f>IFERROR((VLOOKUP(LEFT($A114,4),'Cash Flow $s Y20-21'!$B$12:$R$159,4,FALSE)),0)</f>
        <v>0</v>
      </c>
      <c r="H114" s="152">
        <f>IFERROR((VLOOKUP(LEFT($A114,4),'Cash Flow $s Y20-21'!$B$12:$R$159,5,FALSE)),0)</f>
        <v>0</v>
      </c>
      <c r="I114" s="152">
        <f>IFERROR((VLOOKUP(LEFT($A114,4),'Cash Flow $s Y20-21'!$B$12:$R$159,6,FALSE)),0)</f>
        <v>0</v>
      </c>
      <c r="J114" s="152">
        <f>IFERROR((VLOOKUP(LEFT($A114,4),'Cash Flow $s Y20-21'!$B$12:$R$159,7,FALSE)),0)</f>
        <v>0</v>
      </c>
      <c r="K114" s="152">
        <f>IFERROR((VLOOKUP(LEFT($A114,4),'Cash Flow $s Y20-21'!$B$12:$R$159,8,FALSE)),0)</f>
        <v>0</v>
      </c>
      <c r="L114" s="152">
        <f>IFERROR((VLOOKUP(LEFT($A114,4),'Cash Flow $s Y20-21'!$B$12:$R$159,9,FALSE)),0)</f>
        <v>0</v>
      </c>
      <c r="M114" s="152">
        <f>IFERROR((VLOOKUP(LEFT($A114,4),'Cash Flow $s Y20-21'!$B$12:$R$159,6,FALSE)),0)</f>
        <v>0</v>
      </c>
      <c r="N114" s="152">
        <f>IFERROR((VLOOKUP(LEFT($A114,4),'Cash Flow $s Y20-21'!$B$12:$R$159,10,FALSE)),0)</f>
        <v>0</v>
      </c>
      <c r="O114" s="152">
        <f>IFERROR((VLOOKUP(LEFT($A114,4),'Cash Flow $s Y20-21'!$B$12:$R$159,11,FALSE)),0)</f>
        <v>0</v>
      </c>
      <c r="P114" s="152">
        <f>IFERROR((VLOOKUP(LEFT($A114,4),'Cash Flow $s Y20-21'!$B$12:$R$159,12,FALSE)),0)</f>
        <v>0</v>
      </c>
      <c r="Q114" s="152">
        <f>IFERROR((VLOOKUP(LEFT($A114,4),'Cash Flow $s Y20-21'!$B$12:$R$159,13,FALSE)),0)</f>
        <v>0</v>
      </c>
      <c r="R114" s="221">
        <f t="shared" si="2"/>
        <v>0</v>
      </c>
    </row>
    <row r="115" spans="1:20" x14ac:dyDescent="0.25">
      <c r="A115" s="155" t="s">
        <v>953</v>
      </c>
      <c r="B115" s="154" t="s">
        <v>1204</v>
      </c>
      <c r="C115" s="152" t="s">
        <v>858</v>
      </c>
      <c r="D115" s="152" t="s">
        <v>859</v>
      </c>
      <c r="E115" s="152" t="s">
        <v>860</v>
      </c>
      <c r="F115" s="152">
        <v>0</v>
      </c>
      <c r="G115" s="152">
        <v>0</v>
      </c>
      <c r="H115" s="152">
        <v>0</v>
      </c>
      <c r="I115" s="152">
        <v>0</v>
      </c>
      <c r="J115" s="152">
        <v>0</v>
      </c>
      <c r="K115" s="152">
        <v>0</v>
      </c>
      <c r="L115" s="152">
        <v>0</v>
      </c>
      <c r="M115" s="152">
        <v>0</v>
      </c>
      <c r="N115" s="152">
        <v>0</v>
      </c>
      <c r="O115" s="152">
        <v>0</v>
      </c>
      <c r="P115" s="152">
        <v>0</v>
      </c>
      <c r="Q115" s="152">
        <v>0</v>
      </c>
      <c r="R115" s="221">
        <f t="shared" si="2"/>
        <v>0</v>
      </c>
    </row>
    <row r="116" spans="1:20" x14ac:dyDescent="0.25">
      <c r="A116" s="155" t="s">
        <v>954</v>
      </c>
      <c r="B116" s="154" t="s">
        <v>1204</v>
      </c>
      <c r="C116" s="152" t="s">
        <v>858</v>
      </c>
      <c r="D116" s="152" t="s">
        <v>859</v>
      </c>
      <c r="E116" s="152" t="s">
        <v>860</v>
      </c>
      <c r="F116" s="152">
        <v>0</v>
      </c>
      <c r="G116" s="152">
        <v>0</v>
      </c>
      <c r="H116" s="152">
        <v>0</v>
      </c>
      <c r="I116" s="152">
        <v>0</v>
      </c>
      <c r="J116" s="152">
        <v>0</v>
      </c>
      <c r="K116" s="152">
        <v>0</v>
      </c>
      <c r="L116" s="152">
        <v>0</v>
      </c>
      <c r="M116" s="152">
        <v>0</v>
      </c>
      <c r="N116" s="152">
        <v>0</v>
      </c>
      <c r="O116" s="152">
        <v>0</v>
      </c>
      <c r="P116" s="152">
        <v>0</v>
      </c>
      <c r="Q116" s="152">
        <v>0</v>
      </c>
      <c r="R116" s="221">
        <f t="shared" si="2"/>
        <v>0</v>
      </c>
    </row>
    <row r="117" spans="1:20" x14ac:dyDescent="0.25">
      <c r="A117" s="155" t="s">
        <v>955</v>
      </c>
      <c r="B117" s="154" t="s">
        <v>1204</v>
      </c>
      <c r="C117" s="152" t="s">
        <v>858</v>
      </c>
      <c r="D117" s="152" t="s">
        <v>859</v>
      </c>
      <c r="E117" s="152" t="s">
        <v>860</v>
      </c>
      <c r="F117" s="152" t="str">
        <f>IFERROR((VLOOKUP(LEFT($A117,4),'Cash Flow $s Y20-21'!$B$12:$R$159,3,FALSE)),0)</f>
        <v/>
      </c>
      <c r="G117" s="152" t="str">
        <f>IFERROR((VLOOKUP(LEFT($A117,4),'Cash Flow $s Y20-21'!$B$12:$R$159,4,FALSE)),0)</f>
        <v/>
      </c>
      <c r="H117" s="152">
        <f>IFERROR((VLOOKUP(LEFT($A117,4),'Cash Flow $s Y20-21'!$B$12:$R$159,5,FALSE)),0)</f>
        <v>9607.2389999999996</v>
      </c>
      <c r="I117" s="152">
        <f>IFERROR((VLOOKUP(LEFT($A117,4),'Cash Flow $s Y20-21'!$B$12:$R$159,6,FALSE)),0)</f>
        <v>9607.2389999999996</v>
      </c>
      <c r="J117" s="152">
        <f>IFERROR((VLOOKUP(LEFT($A117,4),'Cash Flow $s Y20-21'!$B$12:$R$159,7,FALSE)),0)</f>
        <v>9607.2389999999996</v>
      </c>
      <c r="K117" s="152">
        <f>IFERROR((VLOOKUP(LEFT($A117,4),'Cash Flow $s Y20-21'!$B$12:$R$159,8,FALSE)),0)</f>
        <v>9607.2389999999996</v>
      </c>
      <c r="L117" s="152">
        <f>IFERROR((VLOOKUP(LEFT($A117,4),'Cash Flow $s Y20-21'!$B$12:$R$159,9,FALSE)),0)</f>
        <v>9607.2389999999996</v>
      </c>
      <c r="M117" s="152">
        <f>IFERROR((VLOOKUP(LEFT($A117,4),'Cash Flow $s Y20-21'!$B$12:$R$159,10,FALSE)),0)</f>
        <v>9607.2389999999996</v>
      </c>
      <c r="N117" s="152">
        <f>IFERROR((VLOOKUP(LEFT($A117,4),'Cash Flow $s Y20-21'!$B$12:$R$159,11,FALSE)),0)</f>
        <v>9607.2389999999996</v>
      </c>
      <c r="O117" s="152">
        <f>IFERROR((VLOOKUP(LEFT($A117,4),'Cash Flow $s Y20-21'!$B$12:$R$159,12,FALSE)),0)</f>
        <v>9607.2389999999996</v>
      </c>
      <c r="P117" s="152">
        <f>IFERROR((VLOOKUP(LEFT($A117,4),'Cash Flow $s Y20-21'!$B$12:$R$159,13,FALSE)),0)</f>
        <v>9607.2389999999996</v>
      </c>
      <c r="Q117" s="152">
        <f>IFERROR((VLOOKUP(LEFT($A117,4),'Cash Flow $s Y20-21'!$B$12:$R$159,14,FALSE)),0)</f>
        <v>9607.2389999999996</v>
      </c>
      <c r="R117" s="221">
        <f t="shared" si="2"/>
        <v>96072.39</v>
      </c>
    </row>
    <row r="118" spans="1:20" x14ac:dyDescent="0.25">
      <c r="A118" s="155" t="s">
        <v>1190</v>
      </c>
      <c r="B118" s="154" t="s">
        <v>1204</v>
      </c>
      <c r="C118" s="152" t="s">
        <v>858</v>
      </c>
      <c r="D118" s="152" t="s">
        <v>859</v>
      </c>
      <c r="E118" s="152" t="s">
        <v>860</v>
      </c>
      <c r="F118" s="152">
        <f>IFERROR((VLOOKUP(LEFT($A118,4),'Cash Flow $s Y20-21'!$B$12:$R$159,3,FALSE)),0)</f>
        <v>0</v>
      </c>
      <c r="G118" s="152">
        <f>IFERROR((VLOOKUP(LEFT($A118,4),'Cash Flow $s Y20-21'!$B$12:$R$159,4,FALSE)),0)</f>
        <v>0</v>
      </c>
      <c r="H118" s="152">
        <f>IFERROR((VLOOKUP(LEFT($A118,4),'Cash Flow $s Y20-21'!$B$12:$R$159,5,FALSE)),0)</f>
        <v>0</v>
      </c>
      <c r="I118" s="152">
        <f>IFERROR((VLOOKUP(LEFT($A118,4),'Cash Flow $s Y20-21'!$B$12:$R$159,6,FALSE)),0)</f>
        <v>0</v>
      </c>
      <c r="J118" s="152">
        <f>IFERROR((VLOOKUP(LEFT($A118,4),'Cash Flow $s Y20-21'!$B$12:$R$159,7,FALSE)),0)</f>
        <v>0</v>
      </c>
      <c r="K118" s="152">
        <f>IFERROR((VLOOKUP(LEFT($A118,4),'Cash Flow $s Y20-21'!$B$12:$R$159,8,FALSE)),0)</f>
        <v>0</v>
      </c>
      <c r="L118" s="152">
        <f>IFERROR((VLOOKUP(LEFT($A118,4),'Cash Flow $s Y20-21'!$B$12:$R$159,9,FALSE)),0)</f>
        <v>0</v>
      </c>
      <c r="M118" s="152">
        <f>IFERROR((VLOOKUP(LEFT($A118,4),'Cash Flow $s Y20-21'!$B$12:$R$159,10,FALSE)),0)</f>
        <v>0</v>
      </c>
      <c r="N118" s="152">
        <f>IFERROR((VLOOKUP(LEFT($A118,4),'Cash Flow $s Y20-21'!$B$12:$R$159,11,FALSE)),0)</f>
        <v>0</v>
      </c>
      <c r="O118" s="152">
        <f>IFERROR((VLOOKUP(LEFT($A118,4),'Cash Flow $s Y20-21'!$B$12:$R$159,12,FALSE)),0)</f>
        <v>0</v>
      </c>
      <c r="P118" s="152">
        <f>IFERROR((VLOOKUP(LEFT($A118,4),'Cash Flow $s Y20-21'!$B$12:$R$159,13,FALSE)),0)</f>
        <v>0</v>
      </c>
      <c r="Q118" s="152">
        <f>IFERROR((VLOOKUP(LEFT($A118,4),'Cash Flow $s Y20-21'!$B$12:$R$159,14,FALSE)),0)</f>
        <v>0</v>
      </c>
      <c r="R118" s="221">
        <f t="shared" si="2"/>
        <v>0</v>
      </c>
    </row>
    <row r="119" spans="1:20" x14ac:dyDescent="0.25">
      <c r="A119" s="155" t="s">
        <v>1187</v>
      </c>
      <c r="B119" s="154" t="s">
        <v>1204</v>
      </c>
      <c r="C119" s="152" t="s">
        <v>858</v>
      </c>
      <c r="D119" s="152" t="s">
        <v>859</v>
      </c>
      <c r="E119" s="152" t="s">
        <v>860</v>
      </c>
      <c r="F119" s="161">
        <f>IFERROR((-VLOOKUP(LEFT($A119,4),'Cash Flow $s Y20-21'!$B$12:$R$159,3,FALSE)),0)</f>
        <v>0</v>
      </c>
      <c r="G119" s="161">
        <f>IFERROR((-VLOOKUP(LEFT($A119,4),'Cash Flow $s Y20-21'!$B$12:$R$159,4,FALSE)),0)</f>
        <v>0</v>
      </c>
      <c r="H119" s="161">
        <f>IFERROR((-VLOOKUP(LEFT($A119,4),'Cash Flow $s Y20-21'!$B$12:$R$159,5,FALSE)),0)</f>
        <v>0</v>
      </c>
      <c r="I119" s="161">
        <f>IFERROR((-VLOOKUP(LEFT($A119,4),'Cash Flow $s Y20-21'!$B$12:$R$159,6,FALSE)),0)</f>
        <v>0</v>
      </c>
      <c r="J119" s="161">
        <f>IFERROR((-VLOOKUP(LEFT($A119,4),'Cash Flow $s Y20-21'!$B$12:$R$159,7,FALSE)),0)</f>
        <v>0</v>
      </c>
      <c r="K119" s="161">
        <f>IFERROR((-VLOOKUP(LEFT($A119,4),'Cash Flow $s Y20-21'!$B$12:$R$159,8,FALSE)),0)</f>
        <v>0</v>
      </c>
      <c r="L119" s="161">
        <f>IFERROR((-VLOOKUP(LEFT($A119,4),'Cash Flow $s Y20-21'!$B$12:$R$159,9,FALSE)),0)</f>
        <v>0</v>
      </c>
      <c r="M119" s="161">
        <f>IFERROR((-VLOOKUP(LEFT($A119,4),'Cash Flow $s Y20-21'!$B$12:$R$159,10,FALSE)),0)</f>
        <v>0</v>
      </c>
      <c r="N119" s="161">
        <f>IFERROR((-VLOOKUP(LEFT($A119,4),'Cash Flow $s Y20-21'!$B$12:$R$159,11,FALSE)),0)</f>
        <v>0</v>
      </c>
      <c r="O119" s="161">
        <f>IFERROR((-VLOOKUP(LEFT($A119,4),'Cash Flow $s Y20-21'!$B$12:$R$159,12,FALSE)),0)</f>
        <v>0</v>
      </c>
      <c r="P119" s="161">
        <f>IFERROR((-VLOOKUP(LEFT($A119,4),'Cash Flow $s Y20-21'!$B$12:$R$159,13,FALSE)),0)</f>
        <v>0</v>
      </c>
      <c r="Q119" s="161">
        <f>IFERROR((-VLOOKUP(LEFT($A119,4),'Cash Flow $s Y20-21'!$B$12:$R$159,14,FALSE)-VLOOKUP(LEFT($A119,4),'Cash Flow $s Y20-21'!$B$12:$R$159,15,FALSE)-VLOOKUP(LEFT($A119,4),'Cash Flow $s Y20-21'!$B$12:$R$159,16,FALSE)-VLOOKUP(LEFT($A119,4),'Cash Flow $s Y20-21'!$B$12:$R$159,17,FALSE)),0)</f>
        <v>0</v>
      </c>
      <c r="R119" s="221">
        <f t="shared" si="2"/>
        <v>0</v>
      </c>
    </row>
    <row r="120" spans="1:20" x14ac:dyDescent="0.25">
      <c r="A120" s="155" t="s">
        <v>1194</v>
      </c>
      <c r="B120" s="154" t="s">
        <v>1204</v>
      </c>
      <c r="C120" s="152" t="s">
        <v>858</v>
      </c>
      <c r="D120" s="152" t="s">
        <v>859</v>
      </c>
      <c r="E120" s="152" t="s">
        <v>860</v>
      </c>
      <c r="F120" s="161">
        <f>IFERROR((-VLOOKUP(LEFT($A120,4),'Cash Flow $s Y20-21'!$B$12:$R$159,3,FALSE)),0)</f>
        <v>0</v>
      </c>
      <c r="G120" s="161">
        <f>IFERROR((-VLOOKUP(LEFT($A120,4),'Cash Flow $s Y20-21'!$B$12:$R$159,4,FALSE)),0)</f>
        <v>0</v>
      </c>
      <c r="H120" s="161">
        <f>IFERROR((-VLOOKUP(LEFT($A120,4),'Cash Flow $s Y20-21'!$B$12:$R$159,5,FALSE)),0)</f>
        <v>0</v>
      </c>
      <c r="I120" s="161">
        <f>IFERROR((-VLOOKUP(LEFT($A120,4),'Cash Flow $s Y20-21'!$B$12:$R$159,6,FALSE)),0)</f>
        <v>0</v>
      </c>
      <c r="J120" s="161">
        <f>IFERROR((-VLOOKUP(LEFT($A120,4),'Cash Flow $s Y20-21'!$B$12:$R$159,7,FALSE)),0)</f>
        <v>0</v>
      </c>
      <c r="K120" s="161">
        <f>IFERROR((-VLOOKUP(LEFT($A120,4),'Cash Flow $s Y20-21'!$B$12:$R$159,8,FALSE)),0)</f>
        <v>0</v>
      </c>
      <c r="L120" s="161">
        <f>IFERROR((-VLOOKUP(LEFT($A120,4),'Cash Flow $s Y20-21'!$B$12:$R$159,9,FALSE)),0)</f>
        <v>0</v>
      </c>
      <c r="M120" s="161">
        <f>IFERROR((-VLOOKUP(LEFT($A120,4),'Cash Flow $s Y20-21'!$B$12:$R$159,10,FALSE)),0)</f>
        <v>0</v>
      </c>
      <c r="N120" s="161">
        <f>IFERROR((-VLOOKUP(LEFT($A120,4),'Cash Flow $s Y20-21'!$B$12:$R$159,11,FALSE)),0)</f>
        <v>0</v>
      </c>
      <c r="O120" s="161">
        <f>IFERROR((-VLOOKUP(LEFT($A120,4),'Cash Flow $s Y20-21'!$B$12:$R$159,12,FALSE)),0)</f>
        <v>0</v>
      </c>
      <c r="P120" s="161">
        <f>IFERROR((-VLOOKUP(LEFT($A120,4),'Cash Flow $s Y20-21'!$B$12:$R$159,13,FALSE)),0)</f>
        <v>0</v>
      </c>
      <c r="Q120" s="161">
        <f>IFERROR((-VLOOKUP(LEFT($A120,4),'Cash Flow $s Y20-21'!$B$12:$R$159,14,FALSE)-VLOOKUP(LEFT($A120,4),'Cash Flow $s Y20-21'!$B$12:$R$159,15,FALSE)-VLOOKUP(LEFT($A120,4),'Cash Flow $s Y20-21'!$B$12:$R$159,16,FALSE)-VLOOKUP(LEFT($A120,4),'Cash Flow $s Y20-21'!$B$12:$R$159,17,FALSE)),0)</f>
        <v>0</v>
      </c>
      <c r="R120" s="221">
        <f t="shared" si="2"/>
        <v>0</v>
      </c>
    </row>
    <row r="121" spans="1:20" x14ac:dyDescent="0.25">
      <c r="A121" s="155" t="s">
        <v>956</v>
      </c>
      <c r="B121" s="154" t="s">
        <v>1204</v>
      </c>
      <c r="C121" s="152" t="s">
        <v>858</v>
      </c>
      <c r="D121" s="152" t="s">
        <v>859</v>
      </c>
      <c r="E121" s="152" t="s">
        <v>860</v>
      </c>
      <c r="F121" s="161">
        <f>IFERROR((-VLOOKUP(LEFT($A121,4),'Cash Flow $s Y20-21'!$B$12:$R$159,3,FALSE)),0)</f>
        <v>0</v>
      </c>
      <c r="G121" s="161">
        <f>IFERROR((-VLOOKUP(LEFT($A121,4),'Cash Flow $s Y20-21'!$B$12:$R$159,4,FALSE)),0)</f>
        <v>0</v>
      </c>
      <c r="H121" s="161">
        <f>IFERROR((-VLOOKUP(LEFT($A121,4),'Cash Flow $s Y20-21'!$B$12:$R$159,5,FALSE)),0)</f>
        <v>0</v>
      </c>
      <c r="I121" s="161">
        <f>IFERROR((-VLOOKUP(LEFT($A121,4),'Cash Flow $s Y20-21'!$B$12:$R$159,6,FALSE)),0)</f>
        <v>0</v>
      </c>
      <c r="J121" s="161">
        <f>IFERROR((-VLOOKUP(LEFT($A121,4),'Cash Flow $s Y20-21'!$B$12:$R$159,7,FALSE)),0)</f>
        <v>0</v>
      </c>
      <c r="K121" s="161">
        <f>IFERROR((-VLOOKUP(LEFT($A121,4),'Cash Flow $s Y20-21'!$B$12:$R$159,8,FALSE)),0)</f>
        <v>0</v>
      </c>
      <c r="L121" s="161">
        <f>IFERROR((-VLOOKUP(LEFT($A121,4),'Cash Flow $s Y20-21'!$B$12:$R$159,9,FALSE)),0)</f>
        <v>0</v>
      </c>
      <c r="M121" s="161">
        <f>IFERROR((-VLOOKUP(LEFT($A121,4),'Cash Flow $s Y20-21'!$B$12:$R$159,10,FALSE)),0)</f>
        <v>0</v>
      </c>
      <c r="N121" s="161">
        <f>IFERROR((-VLOOKUP(LEFT($A121,4),'Cash Flow $s Y20-21'!$B$12:$R$159,11,FALSE)),0)</f>
        <v>0</v>
      </c>
      <c r="O121" s="161">
        <f>IFERROR((-VLOOKUP(LEFT($A121,4),'Cash Flow $s Y20-21'!$B$12:$R$159,12,FALSE)),0)</f>
        <v>0</v>
      </c>
      <c r="P121" s="161">
        <f>IFERROR((-VLOOKUP(LEFT($A121,4),'Cash Flow $s Y20-21'!$B$12:$R$159,13,FALSE)),0)</f>
        <v>0</v>
      </c>
      <c r="Q121" s="161">
        <f>IFERROR((-VLOOKUP(LEFT($A121,4),'Cash Flow $s Y20-21'!$B$12:$R$159,14,FALSE)-VLOOKUP(LEFT($A121,4),'Cash Flow $s Y20-21'!$B$12:$R$159,15,FALSE)-VLOOKUP(LEFT($A121,4),'Cash Flow $s Y20-21'!$B$12:$R$159,16,FALSE)-VLOOKUP(LEFT($A121,4),'Cash Flow $s Y20-21'!$B$12:$R$159,17,FALSE)),0)</f>
        <v>0</v>
      </c>
      <c r="R121" s="221">
        <f t="shared" si="2"/>
        <v>0</v>
      </c>
      <c r="S121" s="152"/>
    </row>
    <row r="122" spans="1:20" x14ac:dyDescent="0.25">
      <c r="A122" s="155" t="s">
        <v>957</v>
      </c>
      <c r="B122" s="154" t="s">
        <v>1204</v>
      </c>
      <c r="C122" s="152" t="s">
        <v>858</v>
      </c>
      <c r="D122" s="152" t="s">
        <v>859</v>
      </c>
      <c r="E122" s="152" t="s">
        <v>860</v>
      </c>
      <c r="F122" s="161">
        <f>-'Cash Flow $s Y20-21'!D14</f>
        <v>0</v>
      </c>
      <c r="G122" s="161">
        <f>-'Cash Flow $s Y20-21'!E14</f>
        <v>-20985.66</v>
      </c>
      <c r="H122" s="161">
        <f>-'Cash Flow $s Y20-21'!F14</f>
        <v>-41971.32</v>
      </c>
      <c r="I122" s="161">
        <f>-'Cash Flow $s Y20-21'!G14</f>
        <v>-27980.880000000001</v>
      </c>
      <c r="J122" s="161">
        <f>-'Cash Flow $s Y20-21'!H14</f>
        <v>-27980.880000000001</v>
      </c>
      <c r="K122" s="161">
        <f>-'Cash Flow $s Y20-21'!I14</f>
        <v>-27980.880000000001</v>
      </c>
      <c r="L122" s="161">
        <f>-'Cash Flow $s Y20-21'!J14</f>
        <v>-27980.880000000001</v>
      </c>
      <c r="M122" s="161">
        <f>-'Cash Flow $s Y20-21'!K14</f>
        <v>-27980.880000000001</v>
      </c>
      <c r="N122" s="161">
        <f>-'Cash Flow $s Y20-21'!L14</f>
        <v>-48966.540000000008</v>
      </c>
      <c r="O122" s="161">
        <f>-'Cash Flow $s Y20-21'!M14</f>
        <v>-24483.270000000004</v>
      </c>
      <c r="P122" s="161">
        <f>-'Cash Flow $s Y20-21'!N14</f>
        <v>-24483.270000000004</v>
      </c>
      <c r="Q122" s="161">
        <f>-SUM('Cash Flow $s Y20-21'!O14:R14)</f>
        <v>-48966.540000000008</v>
      </c>
      <c r="R122" s="221">
        <f t="shared" si="2"/>
        <v>-349761</v>
      </c>
    </row>
    <row r="123" spans="1:20" x14ac:dyDescent="0.25">
      <c r="A123" s="155" t="s">
        <v>958</v>
      </c>
      <c r="B123" s="154" t="s">
        <v>1204</v>
      </c>
      <c r="C123" s="152" t="s">
        <v>858</v>
      </c>
      <c r="D123" s="152" t="s">
        <v>859</v>
      </c>
      <c r="E123" s="152" t="s">
        <v>860</v>
      </c>
      <c r="F123" s="161">
        <f>IFERROR((-VLOOKUP(LEFT($A123,4),'Cash Flow $s Y20-21'!$B$12:$R$159,3,FALSE)),0)</f>
        <v>0</v>
      </c>
      <c r="G123" s="161">
        <f>IFERROR((-VLOOKUP(LEFT($A123,4),'Cash Flow $s Y20-21'!$B$12:$R$159,4,FALSE)),0)</f>
        <v>0</v>
      </c>
      <c r="H123" s="161">
        <f>IFERROR((-VLOOKUP(LEFT($A123,4),'Cash Flow $s Y20-21'!$B$12:$R$159,5,FALSE)),0)</f>
        <v>0</v>
      </c>
      <c r="I123" s="161">
        <f>IFERROR((-VLOOKUP(LEFT($A123,4),'Cash Flow $s Y20-21'!$B$12:$R$159,6,FALSE)),0)</f>
        <v>0</v>
      </c>
      <c r="J123" s="161">
        <f>IFERROR((-VLOOKUP(LEFT($A123,4),'Cash Flow $s Y20-21'!$B$12:$R$159,7,FALSE)),0)</f>
        <v>0</v>
      </c>
      <c r="K123" s="161">
        <f>IFERROR((-VLOOKUP(LEFT($A123,4),'Cash Flow $s Y20-21'!$B$12:$R$159,8,FALSE)),0)</f>
        <v>0</v>
      </c>
      <c r="L123" s="161">
        <f>IFERROR((-VLOOKUP(LEFT($A123,4),'Cash Flow $s Y20-21'!$B$12:$R$159,9,FALSE)),0)</f>
        <v>0</v>
      </c>
      <c r="M123" s="161">
        <f>IFERROR((-VLOOKUP(LEFT($A123,4),'Cash Flow $s Y20-21'!$B$12:$R$159,10,FALSE)),0)</f>
        <v>0</v>
      </c>
      <c r="N123" s="161">
        <f>IFERROR((-VLOOKUP(LEFT($A123,4),'Cash Flow $s Y20-21'!$B$12:$R$159,11,FALSE)),0)</f>
        <v>0</v>
      </c>
      <c r="O123" s="161">
        <f>IFERROR((-VLOOKUP(LEFT($A123,4),'Cash Flow $s Y20-21'!$B$12:$R$159,12,FALSE)),0)</f>
        <v>0</v>
      </c>
      <c r="P123" s="161">
        <f>IFERROR((-VLOOKUP(LEFT($A123,4),'Cash Flow $s Y20-21'!$B$12:$R$159,13,FALSE)),0)</f>
        <v>0</v>
      </c>
      <c r="Q123" s="161">
        <f>IFERROR((-VLOOKUP(LEFT($A123,4),'Cash Flow $s Y20-21'!$B$12:$R$159,14,FALSE)-VLOOKUP(LEFT($A123,4),'Cash Flow $s Y20-21'!$B$12:$R$159,15,FALSE)-VLOOKUP(LEFT($A123,4),'Cash Flow $s Y20-21'!$B$12:$R$159,16,FALSE)-VLOOKUP(LEFT($A123,4),'Cash Flow $s Y20-21'!$B$12:$R$159,17,FALSE)),0)</f>
        <v>0</v>
      </c>
      <c r="R123" s="221">
        <f t="shared" si="2"/>
        <v>0</v>
      </c>
    </row>
    <row r="124" spans="1:20" x14ac:dyDescent="0.25">
      <c r="A124" s="155" t="s">
        <v>959</v>
      </c>
      <c r="B124" s="154" t="s">
        <v>1204</v>
      </c>
      <c r="C124" s="152" t="s">
        <v>858</v>
      </c>
      <c r="D124" s="152" t="s">
        <v>859</v>
      </c>
      <c r="E124" s="152" t="s">
        <v>860</v>
      </c>
      <c r="F124" s="161">
        <f>IFERROR((-VLOOKUP(LEFT($A124,4),'Cash Flow $s Y20-21'!$B$12:$R$159,3,FALSE)),0)</f>
        <v>0</v>
      </c>
      <c r="G124" s="161">
        <f>IFERROR((-VLOOKUP(LEFT($A124,4),'Cash Flow $s Y20-21'!$B$12:$R$159,4,FALSE)),0)</f>
        <v>0</v>
      </c>
      <c r="H124" s="161">
        <f>IFERROR((-VLOOKUP(LEFT($A124,4),'Cash Flow $s Y20-21'!$B$12:$R$159,5,FALSE)),0)</f>
        <v>0</v>
      </c>
      <c r="I124" s="161">
        <f>IFERROR((-VLOOKUP(LEFT($A124,4),'Cash Flow $s Y20-21'!$B$12:$R$159,6,FALSE)),0)</f>
        <v>0</v>
      </c>
      <c r="J124" s="161">
        <f>IFERROR((-VLOOKUP(LEFT($A124,4),'Cash Flow $s Y20-21'!$B$12:$R$159,7,FALSE)),0)</f>
        <v>0</v>
      </c>
      <c r="K124" s="161">
        <f>IFERROR((-VLOOKUP(LEFT($A124,4),'Cash Flow $s Y20-21'!$B$12:$R$159,8,FALSE)),0)</f>
        <v>0</v>
      </c>
      <c r="L124" s="161">
        <f>IFERROR((-VLOOKUP(LEFT($A124,4),'Cash Flow $s Y20-21'!$B$12:$R$159,9,FALSE)),0)</f>
        <v>0</v>
      </c>
      <c r="M124" s="161">
        <f>IFERROR((-VLOOKUP(LEFT($A124,4),'Cash Flow $s Y20-21'!$B$12:$R$159,10,FALSE)),0)</f>
        <v>0</v>
      </c>
      <c r="N124" s="161">
        <f>IFERROR((-VLOOKUP(LEFT($A124,4),'Cash Flow $s Y20-21'!$B$12:$R$159,11,FALSE)),0)</f>
        <v>0</v>
      </c>
      <c r="O124" s="161">
        <f>IFERROR((-VLOOKUP(LEFT($A124,4),'Cash Flow $s Y20-21'!$B$12:$R$159,12,FALSE)),0)</f>
        <v>0</v>
      </c>
      <c r="P124" s="161">
        <f>IFERROR((-VLOOKUP(LEFT($A124,4),'Cash Flow $s Y20-21'!$B$12:$R$159,13,FALSE)),0)</f>
        <v>0</v>
      </c>
      <c r="Q124" s="161">
        <f>IFERROR((-VLOOKUP(LEFT($A124,4),'Cash Flow $s Y20-21'!$B$12:$R$159,14,FALSE)-VLOOKUP(LEFT($A124,4),'Cash Flow $s Y20-21'!$B$12:$R$159,15,FALSE)-VLOOKUP(LEFT($A124,4),'Cash Flow $s Y20-21'!$B$12:$R$159,16,FALSE)-VLOOKUP(LEFT($A124,4),'Cash Flow $s Y20-21'!$B$12:$R$159,17,FALSE)),0)</f>
        <v>0</v>
      </c>
      <c r="R124" s="221">
        <f t="shared" si="2"/>
        <v>0</v>
      </c>
    </row>
    <row r="125" spans="1:20" x14ac:dyDescent="0.25">
      <c r="A125" s="155" t="s">
        <v>960</v>
      </c>
      <c r="B125" s="154" t="s">
        <v>1204</v>
      </c>
      <c r="C125" s="152" t="s">
        <v>858</v>
      </c>
      <c r="D125" s="152" t="s">
        <v>859</v>
      </c>
      <c r="E125" s="152" t="s">
        <v>860</v>
      </c>
      <c r="F125" s="161">
        <f>IFERROR((-VLOOKUP(LEFT($A125,4),'Cash Flow $s Y20-21'!$B$12:$R$159,3,FALSE)),0)</f>
        <v>0</v>
      </c>
      <c r="G125" s="161">
        <f>IFERROR((-VLOOKUP(LEFT($A125,4),'Cash Flow $s Y20-21'!$B$12:$R$159,4,FALSE)),0)</f>
        <v>0</v>
      </c>
      <c r="H125" s="161">
        <f>IFERROR((-VLOOKUP(LEFT($A125,4),'Cash Flow $s Y20-21'!$B$12:$R$159,5,FALSE)),0)</f>
        <v>0</v>
      </c>
      <c r="I125" s="161">
        <f>IFERROR((-VLOOKUP(LEFT($A125,4),'Cash Flow $s Y20-21'!$B$12:$R$159,6,FALSE)),0)</f>
        <v>0</v>
      </c>
      <c r="J125" s="161">
        <f>IFERROR((-VLOOKUP(LEFT($A125,4),'Cash Flow $s Y20-21'!$B$12:$R$159,7,FALSE)),0)</f>
        <v>0</v>
      </c>
      <c r="K125" s="161">
        <f>IFERROR((-VLOOKUP(LEFT($A125,4),'Cash Flow $s Y20-21'!$B$12:$R$159,8,FALSE)),0)</f>
        <v>0</v>
      </c>
      <c r="L125" s="161">
        <f>IFERROR((-VLOOKUP(LEFT($A125,4),'Cash Flow $s Y20-21'!$B$12:$R$159,9,FALSE)),0)</f>
        <v>0</v>
      </c>
      <c r="M125" s="161">
        <f>IFERROR((-VLOOKUP(LEFT($A125,4),'Cash Flow $s Y20-21'!$B$12:$R$159,10,FALSE)),0)</f>
        <v>0</v>
      </c>
      <c r="N125" s="161">
        <f>IFERROR((-VLOOKUP(LEFT($A125,4),'Cash Flow $s Y20-21'!$B$12:$R$159,11,FALSE)),0)</f>
        <v>0</v>
      </c>
      <c r="O125" s="161">
        <f>IFERROR((-VLOOKUP(LEFT($A125,4),'Cash Flow $s Y20-21'!$B$12:$R$159,12,FALSE)),0)</f>
        <v>0</v>
      </c>
      <c r="P125" s="161">
        <f>IFERROR((-VLOOKUP(LEFT($A125,4),'Cash Flow $s Y20-21'!$B$12:$R$159,13,FALSE)),0)</f>
        <v>0</v>
      </c>
      <c r="Q125" s="161">
        <f>IFERROR((-VLOOKUP(LEFT($A125,4),'Cash Flow $s Y20-21'!$B$12:$R$159,14,FALSE)-VLOOKUP(LEFT($A125,4),'Cash Flow $s Y20-21'!$B$12:$R$159,15,FALSE)-VLOOKUP(LEFT($A125,4),'Cash Flow $s Y20-21'!$B$12:$R$159,16,FALSE)-VLOOKUP(LEFT($A125,4),'Cash Flow $s Y20-21'!$B$12:$R$159,17,FALSE)),0)</f>
        <v>0</v>
      </c>
      <c r="R125" s="221">
        <f t="shared" si="2"/>
        <v>0</v>
      </c>
    </row>
    <row r="126" spans="1:20" x14ac:dyDescent="0.25">
      <c r="A126" s="155" t="s">
        <v>961</v>
      </c>
      <c r="B126" s="154" t="s">
        <v>1204</v>
      </c>
      <c r="C126" s="152" t="s">
        <v>858</v>
      </c>
      <c r="D126" s="152" t="s">
        <v>859</v>
      </c>
      <c r="E126" s="152" t="s">
        <v>860</v>
      </c>
      <c r="F126" s="161">
        <v>0</v>
      </c>
      <c r="G126" s="161">
        <v>0</v>
      </c>
      <c r="H126" s="161">
        <v>0</v>
      </c>
      <c r="I126" s="161">
        <v>0</v>
      </c>
      <c r="J126" s="161">
        <v>0</v>
      </c>
      <c r="K126" s="161">
        <v>0</v>
      </c>
      <c r="L126" s="161">
        <v>0</v>
      </c>
      <c r="M126" s="161">
        <v>0</v>
      </c>
      <c r="N126" s="161">
        <v>0</v>
      </c>
      <c r="O126" s="161">
        <v>0</v>
      </c>
      <c r="P126" s="161">
        <v>0</v>
      </c>
      <c r="Q126" s="161">
        <v>0</v>
      </c>
      <c r="R126" s="221">
        <f t="shared" si="2"/>
        <v>0</v>
      </c>
    </row>
    <row r="127" spans="1:20" x14ac:dyDescent="0.25">
      <c r="A127" s="155" t="s">
        <v>962</v>
      </c>
      <c r="B127" s="154" t="s">
        <v>1204</v>
      </c>
      <c r="C127" s="152" t="s">
        <v>858</v>
      </c>
      <c r="D127" s="152" t="s">
        <v>859</v>
      </c>
      <c r="E127" s="152" t="s">
        <v>860</v>
      </c>
      <c r="F127" s="161">
        <f>-'Cash Flow $s Y20-21'!D33</f>
        <v>0</v>
      </c>
      <c r="G127" s="161">
        <f>-'Cash Flow $s Y20-21'!E33</f>
        <v>0</v>
      </c>
      <c r="H127" s="161">
        <f>-'Cash Flow $s Y20-21'!F33</f>
        <v>0</v>
      </c>
      <c r="I127" s="161">
        <f>-'Cash Flow $s Y20-21'!G33</f>
        <v>0</v>
      </c>
      <c r="J127" s="161">
        <f>-'Cash Flow $s Y20-21'!H33</f>
        <v>0</v>
      </c>
      <c r="K127" s="161">
        <f>-'Cash Flow $s Y20-21'!I33</f>
        <v>0</v>
      </c>
      <c r="L127" s="161">
        <f>-'Cash Flow $s Y20-21'!J33</f>
        <v>-8278.5</v>
      </c>
      <c r="M127" s="161">
        <f>-'Cash Flow $s Y20-21'!K33</f>
        <v>0</v>
      </c>
      <c r="N127" s="161">
        <f>-'Cash Flow $s Y20-21'!L33</f>
        <v>0</v>
      </c>
      <c r="O127" s="161">
        <f>-'Cash Flow $s Y20-21'!M33</f>
        <v>-16557</v>
      </c>
      <c r="P127" s="161">
        <f>-'Cash Flow $s Y20-21'!N33</f>
        <v>0</v>
      </c>
      <c r="Q127" s="161">
        <f>-'Cash Flow $s Y20-21'!O33</f>
        <v>-8278.5</v>
      </c>
      <c r="R127" s="221">
        <f t="shared" si="2"/>
        <v>-33114</v>
      </c>
      <c r="S127" s="152"/>
      <c r="T127" s="152"/>
    </row>
    <row r="128" spans="1:20" x14ac:dyDescent="0.25">
      <c r="A128" s="155" t="s">
        <v>963</v>
      </c>
      <c r="B128" s="154" t="s">
        <v>1204</v>
      </c>
      <c r="C128" s="152" t="s">
        <v>858</v>
      </c>
      <c r="D128" s="152" t="s">
        <v>859</v>
      </c>
      <c r="E128" s="152" t="s">
        <v>860</v>
      </c>
      <c r="F128" s="161">
        <f>-'Cash Flow $s Y20-21'!D34</f>
        <v>0</v>
      </c>
      <c r="G128" s="161">
        <f>-'Cash Flow $s Y20-21'!E34</f>
        <v>0</v>
      </c>
      <c r="H128" s="161">
        <f>-'Cash Flow $s Y20-21'!F34</f>
        <v>0</v>
      </c>
      <c r="I128" s="161">
        <f>-'Cash Flow $s Y20-21'!G34</f>
        <v>0</v>
      </c>
      <c r="J128" s="161">
        <f>-'Cash Flow $s Y20-21'!H34</f>
        <v>0</v>
      </c>
      <c r="K128" s="161">
        <f>-'Cash Flow $s Y20-21'!I34</f>
        <v>0</v>
      </c>
      <c r="L128" s="161">
        <f>-'Cash Flow $s Y20-21'!J34</f>
        <v>-927</v>
      </c>
      <c r="M128" s="161">
        <f>-'Cash Flow $s Y20-21'!K34</f>
        <v>0</v>
      </c>
      <c r="N128" s="161">
        <f>-'Cash Flow $s Y20-21'!L34</f>
        <v>0</v>
      </c>
      <c r="O128" s="161">
        <f>-'Cash Flow $s Y20-21'!M34</f>
        <v>-1854</v>
      </c>
      <c r="P128" s="161">
        <f>-'Cash Flow $s Y20-21'!N34</f>
        <v>0</v>
      </c>
      <c r="Q128" s="161">
        <f>-'Cash Flow $s Y20-21'!O34</f>
        <v>-927</v>
      </c>
      <c r="R128" s="221">
        <f t="shared" si="2"/>
        <v>-3708</v>
      </c>
    </row>
    <row r="129" spans="1:19" x14ac:dyDescent="0.25">
      <c r="A129" s="155" t="s">
        <v>964</v>
      </c>
      <c r="B129" s="154" t="s">
        <v>1204</v>
      </c>
      <c r="C129" s="152" t="s">
        <v>858</v>
      </c>
      <c r="D129" s="152" t="s">
        <v>859</v>
      </c>
      <c r="E129" s="152" t="s">
        <v>860</v>
      </c>
      <c r="F129" s="161">
        <f>IFERROR((-VLOOKUP(LEFT($A129,4),'Cash Flow $s Y20-21'!$B$12:$R$159,3,FALSE)),0)</f>
        <v>0</v>
      </c>
      <c r="G129" s="161">
        <f>IFERROR((-VLOOKUP(LEFT($A129,4),'Cash Flow $s Y20-21'!$B$12:$R$159,4,FALSE)),0)</f>
        <v>0</v>
      </c>
      <c r="H129" s="161">
        <f>IFERROR((-VLOOKUP(LEFT($A129,4),'Cash Flow $s Y20-21'!$B$12:$R$159,5,FALSE)),0)</f>
        <v>0</v>
      </c>
      <c r="I129" s="161">
        <f>IFERROR((-VLOOKUP(LEFT($A129,4),'Cash Flow $s Y20-21'!$B$12:$R$159,6,FALSE)),0)</f>
        <v>0</v>
      </c>
      <c r="J129" s="161">
        <f>IFERROR((-VLOOKUP(LEFT($A129,4),'Cash Flow $s Y20-21'!$B$12:$R$159,7,FALSE)),0)</f>
        <v>0</v>
      </c>
      <c r="K129" s="161">
        <f>IFERROR((-VLOOKUP(LEFT($A129,4),'Cash Flow $s Y20-21'!$B$12:$R$159,8,FALSE)),0)</f>
        <v>0</v>
      </c>
      <c r="L129" s="161">
        <f>IFERROR((-VLOOKUP(LEFT($A129,4),'Cash Flow $s Y20-21'!$B$12:$R$159,9,FALSE)),0)</f>
        <v>0</v>
      </c>
      <c r="M129" s="161">
        <f>IFERROR((-VLOOKUP(LEFT($A129,4),'Cash Flow $s Y20-21'!$B$12:$R$159,10,FALSE)),0)</f>
        <v>0</v>
      </c>
      <c r="N129" s="161">
        <f>IFERROR((-VLOOKUP(LEFT($A129,4),'Cash Flow $s Y20-21'!$B$12:$R$159,11,FALSE)),0)</f>
        <v>0</v>
      </c>
      <c r="O129" s="161">
        <f>IFERROR((-VLOOKUP(LEFT($A129,4),'Cash Flow $s Y20-21'!$B$12:$R$159,12,FALSE)),0)</f>
        <v>0</v>
      </c>
      <c r="P129" s="161">
        <f>IFERROR((-VLOOKUP(LEFT($A129,4),'Cash Flow $s Y20-21'!$B$12:$R$159,13,FALSE)),0)</f>
        <v>0</v>
      </c>
      <c r="Q129" s="161">
        <f>IFERROR((-VLOOKUP(LEFT($A129,4),'Cash Flow $s Y20-21'!$B$12:$R$159,14,FALSE)-VLOOKUP(LEFT($A129,4),'Cash Flow $s Y20-21'!$B$12:$R$159,15,FALSE)-VLOOKUP(LEFT($A129,4),'Cash Flow $s Y20-21'!$B$12:$R$159,16,FALSE)-VLOOKUP(LEFT($A129,4),'Cash Flow $s Y20-21'!$B$12:$R$159,17,FALSE)),0)</f>
        <v>0</v>
      </c>
      <c r="R129" s="221">
        <f t="shared" si="2"/>
        <v>0</v>
      </c>
    </row>
    <row r="130" spans="1:19" x14ac:dyDescent="0.25">
      <c r="A130" s="155" t="s">
        <v>965</v>
      </c>
      <c r="B130" s="154" t="s">
        <v>1204</v>
      </c>
      <c r="C130" s="152" t="s">
        <v>858</v>
      </c>
      <c r="D130" s="152" t="s">
        <v>859</v>
      </c>
      <c r="E130" s="152" t="s">
        <v>860</v>
      </c>
      <c r="F130" s="161">
        <f>IFERROR((-VLOOKUP(LEFT($A130,4),'Cash Flow $s Y20-21'!$B$12:$R$159,3,FALSE)),0)</f>
        <v>0</v>
      </c>
      <c r="G130" s="161">
        <f>IFERROR((-VLOOKUP(LEFT($A130,4),'Cash Flow $s Y20-21'!$B$12:$R$159,4,FALSE)),0)</f>
        <v>0</v>
      </c>
      <c r="H130" s="161">
        <f>IFERROR((-VLOOKUP(LEFT($A130,4),'Cash Flow $s Y20-21'!$B$12:$R$159,5,FALSE)),0)</f>
        <v>0</v>
      </c>
      <c r="I130" s="161">
        <f>IFERROR((-VLOOKUP(LEFT($A130,4),'Cash Flow $s Y20-21'!$B$12:$R$159,6,FALSE)),0)</f>
        <v>0</v>
      </c>
      <c r="J130" s="161">
        <f>IFERROR((-VLOOKUP(LEFT($A130,4),'Cash Flow $s Y20-21'!$B$12:$R$159,7,FALSE)),0)</f>
        <v>0</v>
      </c>
      <c r="K130" s="161">
        <f>IFERROR((-VLOOKUP(LEFT($A130,4),'Cash Flow $s Y20-21'!$B$12:$R$159,8,FALSE)),0)</f>
        <v>0</v>
      </c>
      <c r="L130" s="161">
        <f>IFERROR((-VLOOKUP(LEFT($A130,4),'Cash Flow $s Y20-21'!$B$12:$R$159,9,FALSE)),0)</f>
        <v>0</v>
      </c>
      <c r="M130" s="161">
        <f>IFERROR((-VLOOKUP(LEFT($A130,4),'Cash Flow $s Y20-21'!$B$12:$R$159,10,FALSE)),0)</f>
        <v>0</v>
      </c>
      <c r="N130" s="161">
        <f>IFERROR((-VLOOKUP(LEFT($A130,4),'Cash Flow $s Y20-21'!$B$12:$R$159,11,FALSE)),0)</f>
        <v>0</v>
      </c>
      <c r="O130" s="161">
        <f>IFERROR((-VLOOKUP(LEFT($A130,4),'Cash Flow $s Y20-21'!$B$12:$R$159,12,FALSE)),0)</f>
        <v>0</v>
      </c>
      <c r="P130" s="161">
        <f>IFERROR((-VLOOKUP(LEFT($A130,4),'Cash Flow $s Y20-21'!$B$12:$R$159,13,FALSE)),0)</f>
        <v>0</v>
      </c>
      <c r="Q130" s="161">
        <f>IFERROR((-VLOOKUP(LEFT($A130,4),'Cash Flow $s Y20-21'!$B$12:$R$159,14,FALSE)-VLOOKUP(LEFT($A130,4),'Cash Flow $s Y20-21'!$B$12:$R$159,15,FALSE)-VLOOKUP(LEFT($A130,4),'Cash Flow $s Y20-21'!$B$12:$R$159,16,FALSE)-VLOOKUP(LEFT($A130,4),'Cash Flow $s Y20-21'!$B$12:$R$159,17,FALSE)),0)</f>
        <v>0</v>
      </c>
      <c r="R130" s="221">
        <f t="shared" si="2"/>
        <v>0</v>
      </c>
    </row>
    <row r="131" spans="1:19" x14ac:dyDescent="0.25">
      <c r="A131" s="155" t="s">
        <v>966</v>
      </c>
      <c r="B131" s="154" t="s">
        <v>1204</v>
      </c>
      <c r="C131" s="152" t="s">
        <v>858</v>
      </c>
      <c r="D131" s="152" t="s">
        <v>859</v>
      </c>
      <c r="E131" s="152" t="s">
        <v>860</v>
      </c>
      <c r="F131" s="161">
        <f>IFERROR((-VLOOKUP(LEFT($A131,4),'Cash Flow $s Y20-21'!$B$12:$R$159,3,FALSE)),0)</f>
        <v>0</v>
      </c>
      <c r="G131" s="161">
        <f>IFERROR((-VLOOKUP(LEFT($A131,4),'Cash Flow $s Y20-21'!$B$12:$R$159,4,FALSE)),0)</f>
        <v>0</v>
      </c>
      <c r="H131" s="161">
        <f>IFERROR((-VLOOKUP(LEFT($A131,4),'Cash Flow $s Y20-21'!$B$12:$R$159,5,FALSE)),0)</f>
        <v>0</v>
      </c>
      <c r="I131" s="161">
        <f>IFERROR((-VLOOKUP(LEFT($A131,4),'Cash Flow $s Y20-21'!$B$12:$R$159,6,FALSE)),0)</f>
        <v>0</v>
      </c>
      <c r="J131" s="161">
        <f>IFERROR((-VLOOKUP(LEFT($A131,4),'Cash Flow $s Y20-21'!$B$12:$R$159,7,FALSE)),0)</f>
        <v>0</v>
      </c>
      <c r="K131" s="161">
        <f>IFERROR((-VLOOKUP(LEFT($A131,4),'Cash Flow $s Y20-21'!$B$12:$R$159,8,FALSE)),0)</f>
        <v>0</v>
      </c>
      <c r="L131" s="161">
        <f>IFERROR((-VLOOKUP(LEFT($A131,4),'Cash Flow $s Y20-21'!$B$12:$R$159,9,FALSE)),0)</f>
        <v>0</v>
      </c>
      <c r="M131" s="161">
        <f>IFERROR((-VLOOKUP(LEFT($A131,4),'Cash Flow $s Y20-21'!$B$12:$R$159,10,FALSE)),0)</f>
        <v>0</v>
      </c>
      <c r="N131" s="161">
        <f>IFERROR((-VLOOKUP(LEFT($A131,4),'Cash Flow $s Y20-21'!$B$12:$R$159,11,FALSE)),0)</f>
        <v>0</v>
      </c>
      <c r="O131" s="161">
        <f>IFERROR((-VLOOKUP(LEFT($A131,4),'Cash Flow $s Y20-21'!$B$12:$R$159,12,FALSE)),0)</f>
        <v>0</v>
      </c>
      <c r="P131" s="161">
        <f>IFERROR((-VLOOKUP(LEFT($A131,4),'Cash Flow $s Y20-21'!$B$12:$R$159,13,FALSE)),0)</f>
        <v>0</v>
      </c>
      <c r="Q131" s="161">
        <f>IFERROR((-VLOOKUP(LEFT($A131,4),'Cash Flow $s Y20-21'!$B$12:$R$159,14,FALSE)-VLOOKUP(LEFT($A131,4),'Cash Flow $s Y20-21'!$B$12:$R$159,15,FALSE)-VLOOKUP(LEFT($A131,4),'Cash Flow $s Y20-21'!$B$12:$R$159,16,FALSE)-VLOOKUP(LEFT($A131,4),'Cash Flow $s Y20-21'!$B$12:$R$159,17,FALSE)),0)</f>
        <v>0</v>
      </c>
      <c r="R131" s="221">
        <f t="shared" si="2"/>
        <v>0</v>
      </c>
    </row>
    <row r="132" spans="1:19" x14ac:dyDescent="0.25">
      <c r="A132" s="155" t="s">
        <v>967</v>
      </c>
      <c r="B132" s="154" t="s">
        <v>1204</v>
      </c>
      <c r="C132" s="152" t="s">
        <v>858</v>
      </c>
      <c r="D132" s="152" t="s">
        <v>859</v>
      </c>
      <c r="E132" s="152" t="s">
        <v>860</v>
      </c>
      <c r="F132" s="161">
        <f>IFERROR((-VLOOKUP(LEFT($A132,4),'Cash Flow $s Y20-21'!$B$12:$R$159,3,FALSE)),0)</f>
        <v>0</v>
      </c>
      <c r="G132" s="161">
        <f>IFERROR((-VLOOKUP(LEFT($A132,4),'Cash Flow $s Y20-21'!$B$12:$R$159,4,FALSE)),0)</f>
        <v>0</v>
      </c>
      <c r="H132" s="161">
        <f>IFERROR((-VLOOKUP(LEFT($A132,4),'Cash Flow $s Y20-21'!$B$12:$R$159,5,FALSE)),0)</f>
        <v>0</v>
      </c>
      <c r="I132" s="161">
        <f>IFERROR((-VLOOKUP(LEFT($A132,4),'Cash Flow $s Y20-21'!$B$12:$R$159,6,FALSE)),0)</f>
        <v>0</v>
      </c>
      <c r="J132" s="161">
        <f>IFERROR((-VLOOKUP(LEFT($A132,4),'Cash Flow $s Y20-21'!$B$12:$R$159,7,FALSE)),0)</f>
        <v>0</v>
      </c>
      <c r="K132" s="161">
        <f>IFERROR((-VLOOKUP(LEFT($A132,4),'Cash Flow $s Y20-21'!$B$12:$R$159,8,FALSE)),0)</f>
        <v>0</v>
      </c>
      <c r="L132" s="161">
        <f>IFERROR((-VLOOKUP(LEFT($A132,4),'Cash Flow $s Y20-21'!$B$12:$R$159,9,FALSE)),0)</f>
        <v>0</v>
      </c>
      <c r="M132" s="161">
        <f>IFERROR((-VLOOKUP(LEFT($A132,4),'Cash Flow $s Y20-21'!$B$12:$R$159,10,FALSE)),0)</f>
        <v>0</v>
      </c>
      <c r="N132" s="161">
        <f>IFERROR((-VLOOKUP(LEFT($A132,4),'Cash Flow $s Y20-21'!$B$12:$R$159,11,FALSE)),0)</f>
        <v>0</v>
      </c>
      <c r="O132" s="161">
        <f>IFERROR((-VLOOKUP(LEFT($A132,4),'Cash Flow $s Y20-21'!$B$12:$R$159,12,FALSE)),0)</f>
        <v>0</v>
      </c>
      <c r="P132" s="161">
        <f>IFERROR((-VLOOKUP(LEFT($A132,4),'Cash Flow $s Y20-21'!$B$12:$R$159,13,FALSE)),0)</f>
        <v>0</v>
      </c>
      <c r="Q132" s="161">
        <f>IFERROR((-VLOOKUP(LEFT($A132,4),'Cash Flow $s Y20-21'!$B$12:$R$159,14,FALSE)-VLOOKUP(LEFT($A132,4),'Cash Flow $s Y20-21'!$B$12:$R$159,15,FALSE)-VLOOKUP(LEFT($A132,4),'Cash Flow $s Y20-21'!$B$12:$R$159,16,FALSE)-VLOOKUP(LEFT($A132,4),'Cash Flow $s Y20-21'!$B$12:$R$159,17,FALSE)),0)</f>
        <v>0</v>
      </c>
      <c r="R132" s="221">
        <f t="shared" si="2"/>
        <v>0</v>
      </c>
    </row>
    <row r="133" spans="1:19" x14ac:dyDescent="0.25">
      <c r="A133" s="155" t="s">
        <v>968</v>
      </c>
      <c r="B133" s="154" t="s">
        <v>1204</v>
      </c>
      <c r="C133" s="152" t="s">
        <v>858</v>
      </c>
      <c r="D133" s="152" t="s">
        <v>859</v>
      </c>
      <c r="E133" s="152" t="s">
        <v>860</v>
      </c>
      <c r="F133" s="161">
        <v>0</v>
      </c>
      <c r="G133" s="161">
        <v>0</v>
      </c>
      <c r="H133" s="161">
        <v>0</v>
      </c>
      <c r="I133" s="161">
        <v>0</v>
      </c>
      <c r="J133" s="161">
        <v>0</v>
      </c>
      <c r="K133" s="161">
        <v>0</v>
      </c>
      <c r="L133" s="161">
        <v>0</v>
      </c>
      <c r="M133" s="161">
        <v>0</v>
      </c>
      <c r="N133" s="161">
        <v>0</v>
      </c>
      <c r="O133" s="161">
        <v>0</v>
      </c>
      <c r="P133" s="161">
        <v>0</v>
      </c>
      <c r="Q133" s="161">
        <v>0</v>
      </c>
      <c r="R133" s="221">
        <f t="shared" si="2"/>
        <v>0</v>
      </c>
      <c r="S133" s="159" t="s">
        <v>1000</v>
      </c>
    </row>
    <row r="134" spans="1:19" x14ac:dyDescent="0.25">
      <c r="A134" s="155" t="s">
        <v>969</v>
      </c>
      <c r="B134" s="154" t="s">
        <v>1204</v>
      </c>
      <c r="C134" s="152" t="s">
        <v>858</v>
      </c>
      <c r="D134" s="152" t="s">
        <v>859</v>
      </c>
      <c r="E134" s="152" t="s">
        <v>860</v>
      </c>
      <c r="F134" s="161">
        <v>0</v>
      </c>
      <c r="G134" s="161">
        <v>0</v>
      </c>
      <c r="H134" s="161">
        <v>0</v>
      </c>
      <c r="I134" s="161">
        <v>0</v>
      </c>
      <c r="J134" s="161">
        <v>0</v>
      </c>
      <c r="K134" s="161">
        <v>0</v>
      </c>
      <c r="L134" s="161">
        <v>0</v>
      </c>
      <c r="M134" s="161">
        <v>0</v>
      </c>
      <c r="N134" s="161">
        <v>0</v>
      </c>
      <c r="O134" s="161">
        <v>0</v>
      </c>
      <c r="P134" s="161">
        <v>0</v>
      </c>
      <c r="Q134" s="161">
        <v>0</v>
      </c>
      <c r="R134" s="221">
        <f t="shared" si="2"/>
        <v>0</v>
      </c>
      <c r="S134" s="157">
        <f>SUM('Cash Flow $s Y20-21'!D39:R39)/-SUM(Fiscal_Sets!F124:Q134)</f>
        <v>3.1093368095160501</v>
      </c>
    </row>
    <row r="135" spans="1:19" x14ac:dyDescent="0.25">
      <c r="A135" s="155" t="s">
        <v>970</v>
      </c>
      <c r="B135" s="154" t="s">
        <v>1204</v>
      </c>
      <c r="C135" s="152" t="s">
        <v>858</v>
      </c>
      <c r="D135" s="152" t="s">
        <v>859</v>
      </c>
      <c r="E135" s="152" t="s">
        <v>860</v>
      </c>
      <c r="F135" s="161">
        <v>0</v>
      </c>
      <c r="G135" s="161">
        <v>0</v>
      </c>
      <c r="H135" s="161">
        <v>0</v>
      </c>
      <c r="I135" s="161">
        <v>0</v>
      </c>
      <c r="J135" s="161">
        <v>0</v>
      </c>
      <c r="K135" s="161">
        <v>0</v>
      </c>
      <c r="L135" s="161">
        <v>0</v>
      </c>
      <c r="M135" s="161">
        <v>0</v>
      </c>
      <c r="N135" s="161">
        <v>0</v>
      </c>
      <c r="O135" s="161">
        <v>0</v>
      </c>
      <c r="P135" s="161">
        <v>0</v>
      </c>
      <c r="Q135" s="161">
        <v>0</v>
      </c>
      <c r="R135" s="221">
        <f t="shared" si="2"/>
        <v>0</v>
      </c>
    </row>
    <row r="136" spans="1:19" x14ac:dyDescent="0.25">
      <c r="A136" s="155" t="s">
        <v>971</v>
      </c>
      <c r="B136" s="154" t="s">
        <v>1204</v>
      </c>
      <c r="C136" s="152" t="s">
        <v>858</v>
      </c>
      <c r="D136" s="152" t="s">
        <v>859</v>
      </c>
      <c r="E136" s="152" t="s">
        <v>860</v>
      </c>
      <c r="F136" s="161">
        <f>IFERROR((-VLOOKUP(LEFT($A136,4),'Cash Flow $s Y20-21'!$B$12:$R$159,3,FALSE)),0)</f>
        <v>0</v>
      </c>
      <c r="G136" s="161">
        <f>IFERROR((-VLOOKUP(LEFT($A136,4),'Cash Flow $s Y20-21'!$B$12:$R$159,4,FALSE)),0)</f>
        <v>0</v>
      </c>
      <c r="H136" s="161">
        <f>IFERROR((-VLOOKUP(LEFT($A136,4),'Cash Flow $s Y20-21'!$B$12:$R$159,5,FALSE)),0)</f>
        <v>0</v>
      </c>
      <c r="I136" s="161">
        <f>IFERROR((-VLOOKUP(LEFT($A136,4),'Cash Flow $s Y20-21'!$B$12:$R$159,6,FALSE)),0)</f>
        <v>0</v>
      </c>
      <c r="J136" s="161">
        <f>IFERROR((-VLOOKUP(LEFT($A136,4),'Cash Flow $s Y20-21'!$B$12:$R$159,7,FALSE)),0)</f>
        <v>0</v>
      </c>
      <c r="K136" s="161">
        <f>IFERROR((-VLOOKUP(LEFT($A136,4),'Cash Flow $s Y20-21'!$B$12:$R$159,8,FALSE)),0)</f>
        <v>0</v>
      </c>
      <c r="L136" s="161">
        <f>IFERROR((-VLOOKUP(LEFT($A136,4),'Cash Flow $s Y20-21'!$B$12:$R$159,9,FALSE)),0)</f>
        <v>0</v>
      </c>
      <c r="M136" s="161">
        <f>IFERROR((-VLOOKUP(LEFT($A136,4),'Cash Flow $s Y20-21'!$B$12:$R$159,10,FALSE)),0)</f>
        <v>0</v>
      </c>
      <c r="N136" s="161">
        <f>IFERROR((-VLOOKUP(LEFT($A136,4),'Cash Flow $s Y20-21'!$B$12:$R$159,11,FALSE)),0)</f>
        <v>0</v>
      </c>
      <c r="O136" s="161">
        <f>IFERROR((-VLOOKUP(LEFT($A136,4),'Cash Flow $s Y20-21'!$B$12:$R$159,12,FALSE)),0)</f>
        <v>0</v>
      </c>
      <c r="P136" s="161">
        <f>IFERROR((-VLOOKUP(LEFT($A136,4),'Cash Flow $s Y20-21'!$B$12:$R$159,13,FALSE)),0)</f>
        <v>0</v>
      </c>
      <c r="Q136" s="161">
        <f>IFERROR((-VLOOKUP(LEFT($A136,4),'Cash Flow $s Y20-21'!$B$12:$R$159,14,FALSE)-VLOOKUP(LEFT($A136,4),'Cash Flow $s Y20-21'!$B$12:$R$159,15,FALSE)-VLOOKUP(LEFT($A136,4),'Cash Flow $s Y20-21'!$B$12:$R$159,16,FALSE)-VLOOKUP(LEFT($A136,4),'Cash Flow $s Y20-21'!$B$12:$R$159,17,FALSE)),0)</f>
        <v>0</v>
      </c>
      <c r="R136" s="221">
        <f t="shared" si="2"/>
        <v>0</v>
      </c>
    </row>
    <row r="137" spans="1:19" x14ac:dyDescent="0.25">
      <c r="A137" s="155" t="s">
        <v>1195</v>
      </c>
      <c r="B137" s="154" t="s">
        <v>1204</v>
      </c>
      <c r="C137" s="152" t="s">
        <v>858</v>
      </c>
      <c r="D137" s="152" t="s">
        <v>859</v>
      </c>
      <c r="E137" s="152" t="s">
        <v>860</v>
      </c>
      <c r="F137" s="161">
        <f>IFERROR((-VLOOKUP(LEFT($A137,4),'Cash Flow $s Y20-21'!$B$12:$R$159,3,FALSE)),0)</f>
        <v>0</v>
      </c>
      <c r="G137" s="161">
        <f>IFERROR((-VLOOKUP(LEFT($A137,4),'Cash Flow $s Y20-21'!$B$12:$R$159,4,FALSE)),0)</f>
        <v>0</v>
      </c>
      <c r="H137" s="161">
        <f>IFERROR((-VLOOKUP(LEFT($A137,4),'Cash Flow $s Y20-21'!$B$12:$R$159,5,FALSE)),0)</f>
        <v>0</v>
      </c>
      <c r="I137" s="161">
        <f>IFERROR((-VLOOKUP(LEFT($A137,4),'Cash Flow $s Y20-21'!$B$12:$R$159,6,FALSE)),0)</f>
        <v>0</v>
      </c>
      <c r="J137" s="161">
        <f>IFERROR((-VLOOKUP(LEFT($A137,4),'Cash Flow $s Y20-21'!$B$12:$R$159,7,FALSE)),0)</f>
        <v>0</v>
      </c>
      <c r="K137" s="161">
        <f>IFERROR((-VLOOKUP(LEFT($A137,4),'Cash Flow $s Y20-21'!$B$12:$R$159,8,FALSE)),0)</f>
        <v>0</v>
      </c>
      <c r="L137" s="161">
        <f>IFERROR((-VLOOKUP(LEFT($A137,4),'Cash Flow $s Y20-21'!$B$12:$R$159,9,FALSE)),0)</f>
        <v>0</v>
      </c>
      <c r="M137" s="161">
        <f>IFERROR((-VLOOKUP(LEFT($A137,4),'Cash Flow $s Y20-21'!$B$12:$R$159,10,FALSE)),0)</f>
        <v>0</v>
      </c>
      <c r="N137" s="161">
        <f>IFERROR((-VLOOKUP(LEFT($A137,4),'Cash Flow $s Y20-21'!$B$12:$R$159,11,FALSE)),0)</f>
        <v>0</v>
      </c>
      <c r="O137" s="161">
        <f>IFERROR((-VLOOKUP(LEFT($A137,4),'Cash Flow $s Y20-21'!$B$12:$R$159,12,FALSE)),0)</f>
        <v>0</v>
      </c>
      <c r="P137" s="161">
        <f>IFERROR((-VLOOKUP(LEFT($A137,4),'Cash Flow $s Y20-21'!$B$12:$R$159,13,FALSE)),0)</f>
        <v>0</v>
      </c>
      <c r="Q137" s="161">
        <f>IFERROR((-VLOOKUP(LEFT($A137,4),'Cash Flow $s Y20-21'!$B$12:$R$159,14,FALSE)-VLOOKUP(LEFT($A137,4),'Cash Flow $s Y20-21'!$B$12:$R$159,15,FALSE)-VLOOKUP(LEFT($A137,4),'Cash Flow $s Y20-21'!$B$12:$R$159,16,FALSE)-VLOOKUP(LEFT($A137,4),'Cash Flow $s Y20-21'!$B$12:$R$159,17,FALSE)),0)</f>
        <v>0</v>
      </c>
      <c r="R137" s="221">
        <f t="shared" si="2"/>
        <v>0</v>
      </c>
    </row>
    <row r="138" spans="1:19" x14ac:dyDescent="0.25">
      <c r="A138" s="155" t="s">
        <v>972</v>
      </c>
      <c r="B138" s="154" t="s">
        <v>1204</v>
      </c>
      <c r="C138" s="152" t="s">
        <v>858</v>
      </c>
      <c r="D138" s="152" t="s">
        <v>859</v>
      </c>
      <c r="E138" s="152" t="s">
        <v>860</v>
      </c>
      <c r="F138" s="161">
        <f>IFERROR((-VLOOKUP(LEFT($A138,4),'Cash Flow $s Y20-21'!$B$12:$R$159,3,FALSE)),0)</f>
        <v>0</v>
      </c>
      <c r="G138" s="161">
        <f>IFERROR((-VLOOKUP(LEFT($A138,4),'Cash Flow $s Y20-21'!$B$12:$R$159,4,FALSE)),0)</f>
        <v>0</v>
      </c>
      <c r="H138" s="161">
        <f>IFERROR((-VLOOKUP(LEFT($A138,4),'Cash Flow $s Y20-21'!$B$12:$R$159,5,FALSE)),0)</f>
        <v>0</v>
      </c>
      <c r="I138" s="161">
        <f>IFERROR((-VLOOKUP(LEFT($A138,4),'Cash Flow $s Y20-21'!$B$12:$R$159,6,FALSE)),0)</f>
        <v>0</v>
      </c>
      <c r="J138" s="161">
        <f>IFERROR((-VLOOKUP(LEFT($A138,4),'Cash Flow $s Y20-21'!$B$12:$R$159,7,FALSE)),0)</f>
        <v>0</v>
      </c>
      <c r="K138" s="161">
        <f>IFERROR((-VLOOKUP(LEFT($A138,4),'Cash Flow $s Y20-21'!$B$12:$R$159,8,FALSE)),0)</f>
        <v>0</v>
      </c>
      <c r="L138" s="161">
        <f>IFERROR((-VLOOKUP(LEFT($A138,4),'Cash Flow $s Y20-21'!$B$12:$R$159,9,FALSE)),0)</f>
        <v>0</v>
      </c>
      <c r="M138" s="161">
        <f>IFERROR((-VLOOKUP(LEFT($A138,4),'Cash Flow $s Y20-21'!$B$12:$R$159,10,FALSE)),0)</f>
        <v>0</v>
      </c>
      <c r="N138" s="161">
        <f>IFERROR((-VLOOKUP(LEFT($A138,4),'Cash Flow $s Y20-21'!$B$12:$R$159,11,FALSE)),0)</f>
        <v>0</v>
      </c>
      <c r="O138" s="161">
        <f>IFERROR((-VLOOKUP(LEFT($A138,4),'Cash Flow $s Y20-21'!$B$12:$R$159,12,FALSE)),0)</f>
        <v>0</v>
      </c>
      <c r="P138" s="161">
        <f>IFERROR((-VLOOKUP(LEFT($A138,4),'Cash Flow $s Y20-21'!$B$12:$R$159,13,FALSE)),0)</f>
        <v>0</v>
      </c>
      <c r="Q138" s="161">
        <f>IFERROR((-VLOOKUP(LEFT($A138,4),'Cash Flow $s Y20-21'!$B$12:$R$159,14,FALSE)-VLOOKUP(LEFT($A138,4),'Cash Flow $s Y20-21'!$B$12:$R$159,15,FALSE)-VLOOKUP(LEFT($A138,4),'Cash Flow $s Y20-21'!$B$12:$R$159,16,FALSE)-VLOOKUP(LEFT($A138,4),'Cash Flow $s Y20-21'!$B$12:$R$159,17,FALSE)),0)</f>
        <v>0</v>
      </c>
      <c r="R138" s="221">
        <f t="shared" si="2"/>
        <v>0</v>
      </c>
    </row>
    <row r="139" spans="1:19" x14ac:dyDescent="0.25">
      <c r="A139" s="155" t="s">
        <v>1203</v>
      </c>
      <c r="B139" s="154" t="s">
        <v>1204</v>
      </c>
      <c r="C139" s="152" t="s">
        <v>858</v>
      </c>
      <c r="D139" s="152" t="s">
        <v>859</v>
      </c>
      <c r="E139" s="152" t="s">
        <v>860</v>
      </c>
      <c r="F139" s="161">
        <f>IFERROR((-VLOOKUP(LEFT($A139,4),'Cash Flow $s Y20-21'!$B$12:$R$159,3,FALSE)),0)</f>
        <v>0</v>
      </c>
      <c r="G139" s="161">
        <f>IFERROR((-VLOOKUP(LEFT($A139,4),'Cash Flow $s Y20-21'!$B$12:$R$159,4,FALSE)),0)</f>
        <v>0</v>
      </c>
      <c r="H139" s="161">
        <f>IFERROR((-VLOOKUP(LEFT($A139,4),'Cash Flow $s Y20-21'!$B$12:$R$159,5,FALSE)),0)</f>
        <v>0</v>
      </c>
      <c r="I139" s="161">
        <f>IFERROR((-VLOOKUP(LEFT($A139,4),'Cash Flow $s Y20-21'!$B$12:$R$159,6,FALSE)),0)</f>
        <v>0</v>
      </c>
      <c r="J139" s="161">
        <f>IFERROR((-VLOOKUP(LEFT($A139,4),'Cash Flow $s Y20-21'!$B$12:$R$159,7,FALSE)),0)</f>
        <v>0</v>
      </c>
      <c r="K139" s="161">
        <f>IFERROR((-VLOOKUP(LEFT($A139,4),'Cash Flow $s Y20-21'!$B$12:$R$159,8,FALSE)),0)</f>
        <v>0</v>
      </c>
      <c r="L139" s="161">
        <f>IFERROR((-VLOOKUP(LEFT($A139,4),'Cash Flow $s Y20-21'!$B$12:$R$159,9,FALSE)),0)</f>
        <v>0</v>
      </c>
      <c r="M139" s="161">
        <f>IFERROR((-VLOOKUP(LEFT($A139,4),'Cash Flow $s Y20-21'!$B$12:$R$159,10,FALSE)),0)</f>
        <v>0</v>
      </c>
      <c r="N139" s="161">
        <f>IFERROR((-VLOOKUP(LEFT($A139,4),'Cash Flow $s Y20-21'!$B$12:$R$159,11,FALSE)),0)</f>
        <v>0</v>
      </c>
      <c r="O139" s="161">
        <f>IFERROR((-VLOOKUP(LEFT($A139,4),'Cash Flow $s Y20-21'!$B$12:$R$159,12,FALSE)),0)</f>
        <v>0</v>
      </c>
      <c r="P139" s="161">
        <f>IFERROR((-VLOOKUP(LEFT($A139,4),'Cash Flow $s Y20-21'!$B$12:$R$159,13,FALSE)),0)</f>
        <v>0</v>
      </c>
      <c r="Q139" s="161">
        <f>IFERROR((-VLOOKUP(LEFT($A139,4),'Cash Flow $s Y20-21'!$B$12:$R$159,14,FALSE)-VLOOKUP(LEFT($A139,4),'Cash Flow $s Y20-21'!$B$12:$R$159,15,FALSE)-VLOOKUP(LEFT($A139,4),'Cash Flow $s Y20-21'!$B$12:$R$159,16,FALSE)-VLOOKUP(LEFT($A139,4),'Cash Flow $s Y20-21'!$B$12:$R$159,17,FALSE)),0)</f>
        <v>0</v>
      </c>
      <c r="R139" s="221">
        <f t="shared" si="2"/>
        <v>0</v>
      </c>
    </row>
    <row r="140" spans="1:19" x14ac:dyDescent="0.25">
      <c r="A140" s="155" t="s">
        <v>973</v>
      </c>
      <c r="B140" s="154" t="s">
        <v>1204</v>
      </c>
      <c r="C140" s="152" t="s">
        <v>858</v>
      </c>
      <c r="D140" s="152" t="s">
        <v>859</v>
      </c>
      <c r="E140" s="152" t="s">
        <v>860</v>
      </c>
      <c r="F140" s="161" t="e">
        <f>-'Cash Flow $s Y20-21'!D26</f>
        <v>#VALUE!</v>
      </c>
      <c r="G140" s="161" t="e">
        <f>-'Cash Flow $s Y20-21'!E26</f>
        <v>#VALUE!</v>
      </c>
      <c r="H140" s="161" t="e">
        <f>-'Cash Flow $s Y20-21'!F26</f>
        <v>#VALUE!</v>
      </c>
      <c r="I140" s="161" t="e">
        <f>-'Cash Flow $s Y20-21'!G26</f>
        <v>#VALUE!</v>
      </c>
      <c r="J140" s="161" t="e">
        <f>-'Cash Flow $s Y20-21'!H26</f>
        <v>#VALUE!</v>
      </c>
      <c r="K140" s="161" t="e">
        <f>-'Cash Flow $s Y20-21'!I26</f>
        <v>#VALUE!</v>
      </c>
      <c r="L140" s="161" t="e">
        <f>-'Cash Flow $s Y20-21'!J26</f>
        <v>#VALUE!</v>
      </c>
      <c r="M140" s="161" t="e">
        <f>-'Cash Flow $s Y20-21'!K26</f>
        <v>#VALUE!</v>
      </c>
      <c r="N140" s="161" t="e">
        <f>-'Cash Flow $s Y20-21'!L26</f>
        <v>#VALUE!</v>
      </c>
      <c r="O140" s="161" t="e">
        <f>-'Cash Flow $s Y20-21'!M26</f>
        <v>#VALUE!</v>
      </c>
      <c r="P140" s="161" t="e">
        <f>-'Cash Flow $s Y20-21'!N26</f>
        <v>#VALUE!</v>
      </c>
      <c r="Q140" s="161" t="e">
        <f>-'Cash Flow $s Y20-21'!O26</f>
        <v>#VALUE!</v>
      </c>
      <c r="R140" s="221" t="e">
        <f t="shared" si="2"/>
        <v>#VALUE!</v>
      </c>
    </row>
    <row r="141" spans="1:19" x14ac:dyDescent="0.25">
      <c r="A141" s="155" t="s">
        <v>974</v>
      </c>
      <c r="B141" s="154" t="s">
        <v>1204</v>
      </c>
      <c r="C141" s="152" t="s">
        <v>858</v>
      </c>
      <c r="D141" s="152" t="s">
        <v>859</v>
      </c>
      <c r="E141" s="152" t="s">
        <v>860</v>
      </c>
      <c r="F141" s="161">
        <v>0</v>
      </c>
      <c r="G141" s="161">
        <v>0</v>
      </c>
      <c r="H141" s="161">
        <v>0</v>
      </c>
      <c r="I141" s="161">
        <v>0</v>
      </c>
      <c r="J141" s="161">
        <v>0</v>
      </c>
      <c r="K141" s="161">
        <v>0</v>
      </c>
      <c r="L141" s="161">
        <v>0</v>
      </c>
      <c r="M141" s="161">
        <v>0</v>
      </c>
      <c r="N141" s="161">
        <v>0</v>
      </c>
      <c r="O141" s="161">
        <v>0</v>
      </c>
      <c r="P141" s="161">
        <v>0</v>
      </c>
      <c r="Q141" s="161">
        <v>0</v>
      </c>
      <c r="R141" s="221">
        <f t="shared" si="2"/>
        <v>0</v>
      </c>
    </row>
    <row r="142" spans="1:19" x14ac:dyDescent="0.25">
      <c r="A142" s="155" t="s">
        <v>975</v>
      </c>
      <c r="B142" s="154" t="s">
        <v>1204</v>
      </c>
      <c r="C142" s="152" t="s">
        <v>858</v>
      </c>
      <c r="D142" s="152" t="s">
        <v>859</v>
      </c>
      <c r="E142" s="152" t="s">
        <v>860</v>
      </c>
      <c r="F142" s="161">
        <f>IFERROR((-VLOOKUP(LEFT($A142,4),'Cash Flow $s Y20-21'!$B$12:$R$159,3,FALSE)),0)</f>
        <v>0</v>
      </c>
      <c r="G142" s="161">
        <f>IFERROR((-VLOOKUP(LEFT($A142,4),'Cash Flow $s Y20-21'!$B$12:$R$159,4,FALSE)),0)</f>
        <v>0</v>
      </c>
      <c r="H142" s="161">
        <f>IFERROR((-VLOOKUP(LEFT($A142,4),'Cash Flow $s Y20-21'!$B$12:$R$159,5,FALSE)),0)</f>
        <v>0</v>
      </c>
      <c r="I142" s="161">
        <f>IFERROR((-VLOOKUP(LEFT($A142,4),'Cash Flow $s Y20-21'!$B$12:$R$159,6,FALSE)),0)</f>
        <v>0</v>
      </c>
      <c r="J142" s="161">
        <f>IFERROR((-VLOOKUP(LEFT($A142,4),'Cash Flow $s Y20-21'!$B$12:$R$159,7,FALSE)),0)</f>
        <v>0</v>
      </c>
      <c r="K142" s="161">
        <f>IFERROR((-VLOOKUP(LEFT($A142,4),'Cash Flow $s Y20-21'!$B$12:$R$159,8,FALSE)),0)</f>
        <v>0</v>
      </c>
      <c r="L142" s="161">
        <f>IFERROR((-VLOOKUP(LEFT($A142,4),'Cash Flow $s Y20-21'!$B$12:$R$159,9,FALSE)),0)</f>
        <v>0</v>
      </c>
      <c r="M142" s="161">
        <f>IFERROR((-VLOOKUP(LEFT($A142,4),'Cash Flow $s Y20-21'!$B$12:$R$159,10,FALSE)),0)</f>
        <v>0</v>
      </c>
      <c r="N142" s="161">
        <f>IFERROR((-VLOOKUP(LEFT($A142,4),'Cash Flow $s Y20-21'!$B$12:$R$159,11,FALSE)),0)</f>
        <v>0</v>
      </c>
      <c r="O142" s="161">
        <f>IFERROR((-VLOOKUP(LEFT($A142,4),'Cash Flow $s Y20-21'!$B$12:$R$159,12,FALSE)),0)</f>
        <v>0</v>
      </c>
      <c r="P142" s="161">
        <f>IFERROR((-VLOOKUP(LEFT($A142,4),'Cash Flow $s Y20-21'!$B$12:$R$159,13,FALSE)),0)</f>
        <v>0</v>
      </c>
      <c r="Q142" s="161">
        <f>IFERROR((-VLOOKUP(LEFT($A142,4),'Cash Flow $s Y20-21'!$B$12:$R$159,14,FALSE)-VLOOKUP(LEFT($A142,4),'Cash Flow $s Y20-21'!$B$12:$R$159,15,FALSE)-VLOOKUP(LEFT($A142,4),'Cash Flow $s Y20-21'!$B$12:$R$159,16,FALSE)-VLOOKUP(LEFT($A142,4),'Cash Flow $s Y20-21'!$B$12:$R$159,17,FALSE)),0)</f>
        <v>0</v>
      </c>
      <c r="R142" s="221">
        <f t="shared" si="2"/>
        <v>0</v>
      </c>
    </row>
    <row r="143" spans="1:19" x14ac:dyDescent="0.25">
      <c r="A143" s="155" t="s">
        <v>976</v>
      </c>
      <c r="B143" s="154" t="s">
        <v>1204</v>
      </c>
      <c r="C143" s="152" t="s">
        <v>858</v>
      </c>
      <c r="D143" s="152" t="s">
        <v>859</v>
      </c>
      <c r="E143" s="152" t="s">
        <v>860</v>
      </c>
      <c r="F143" s="161">
        <f>IFERROR((-VLOOKUP(LEFT($A143,4),'Cash Flow $s Y20-21'!$B$12:$R$159,3,FALSE)),0)</f>
        <v>0</v>
      </c>
      <c r="G143" s="161">
        <f>IFERROR((-VLOOKUP(LEFT($A143,4),'Cash Flow $s Y20-21'!$B$12:$R$159,4,FALSE)),0)</f>
        <v>0</v>
      </c>
      <c r="H143" s="161">
        <f>IFERROR((-VLOOKUP(LEFT($A143,4),'Cash Flow $s Y20-21'!$B$12:$R$159,5,FALSE)),0)</f>
        <v>0</v>
      </c>
      <c r="I143" s="161">
        <f>IFERROR((-VLOOKUP(LEFT($A143,4),'Cash Flow $s Y20-21'!$B$12:$R$159,6,FALSE)),0)</f>
        <v>0</v>
      </c>
      <c r="J143" s="161">
        <f>IFERROR((-VLOOKUP(LEFT($A143,4),'Cash Flow $s Y20-21'!$B$12:$R$159,7,FALSE)),0)</f>
        <v>0</v>
      </c>
      <c r="K143" s="161">
        <f>IFERROR((-VLOOKUP(LEFT($A143,4),'Cash Flow $s Y20-21'!$B$12:$R$159,8,FALSE)),0)</f>
        <v>0</v>
      </c>
      <c r="L143" s="161">
        <f>IFERROR((-VLOOKUP(LEFT($A143,4),'Cash Flow $s Y20-21'!$B$12:$R$159,9,FALSE)),0)</f>
        <v>0</v>
      </c>
      <c r="M143" s="161">
        <f>IFERROR((-VLOOKUP(LEFT($A143,4),'Cash Flow $s Y20-21'!$B$12:$R$159,10,FALSE)),0)</f>
        <v>0</v>
      </c>
      <c r="N143" s="161">
        <f>IFERROR((-VLOOKUP(LEFT($A143,4),'Cash Flow $s Y20-21'!$B$12:$R$159,11,FALSE)),0)</f>
        <v>0</v>
      </c>
      <c r="O143" s="161">
        <f>IFERROR((-VLOOKUP(LEFT($A143,4),'Cash Flow $s Y20-21'!$B$12:$R$159,12,FALSE)),0)</f>
        <v>0</v>
      </c>
      <c r="P143" s="161">
        <f>IFERROR((-VLOOKUP(LEFT($A143,4),'Cash Flow $s Y20-21'!$B$12:$R$159,13,FALSE)),0)</f>
        <v>0</v>
      </c>
      <c r="Q143" s="161">
        <f>IFERROR((-VLOOKUP(LEFT($A143,4),'Cash Flow $s Y20-21'!$B$12:$R$159,14,FALSE)-VLOOKUP(LEFT($A143,4),'Cash Flow $s Y20-21'!$B$12:$R$159,15,FALSE)-VLOOKUP(LEFT($A143,4),'Cash Flow $s Y20-21'!$B$12:$R$159,16,FALSE)-VLOOKUP(LEFT($A143,4),'Cash Flow $s Y20-21'!$B$12:$R$159,17,FALSE)),0)</f>
        <v>0</v>
      </c>
      <c r="R143" s="221">
        <f t="shared" si="2"/>
        <v>0</v>
      </c>
    </row>
    <row r="144" spans="1:19" x14ac:dyDescent="0.25">
      <c r="A144" s="155" t="s">
        <v>977</v>
      </c>
      <c r="B144" s="154" t="s">
        <v>1204</v>
      </c>
      <c r="C144" s="152" t="s">
        <v>858</v>
      </c>
      <c r="D144" s="152" t="s">
        <v>859</v>
      </c>
      <c r="E144" s="152" t="s">
        <v>860</v>
      </c>
      <c r="F144" s="161">
        <f>IFERROR((-VLOOKUP(LEFT($A144,4),'Cash Flow $s Y20-21'!$B$12:$R$159,3,FALSE)),0)</f>
        <v>0</v>
      </c>
      <c r="G144" s="161">
        <f>IFERROR((-VLOOKUP(LEFT($A144,4),'Cash Flow $s Y20-21'!$B$12:$R$159,4,FALSE)),0)</f>
        <v>0</v>
      </c>
      <c r="H144" s="161">
        <f>IFERROR((-VLOOKUP(LEFT($A144,4),'Cash Flow $s Y20-21'!$B$12:$R$159,5,FALSE)),0)</f>
        <v>0</v>
      </c>
      <c r="I144" s="161">
        <f>IFERROR((-VLOOKUP(LEFT($A144,4),'Cash Flow $s Y20-21'!$B$12:$R$159,6,FALSE)),0)</f>
        <v>0</v>
      </c>
      <c r="J144" s="161">
        <f>IFERROR((-VLOOKUP(LEFT($A144,4),'Cash Flow $s Y20-21'!$B$12:$R$159,7,FALSE)),0)</f>
        <v>0</v>
      </c>
      <c r="K144" s="161">
        <f>IFERROR((-VLOOKUP(LEFT($A144,4),'Cash Flow $s Y20-21'!$B$12:$R$159,8,FALSE)),0)</f>
        <v>0</v>
      </c>
      <c r="L144" s="161">
        <f>IFERROR((-VLOOKUP(LEFT($A144,4),'Cash Flow $s Y20-21'!$B$12:$R$159,9,FALSE)),0)</f>
        <v>0</v>
      </c>
      <c r="M144" s="161">
        <f>IFERROR((-VLOOKUP(LEFT($A144,4),'Cash Flow $s Y20-21'!$B$12:$R$159,10,FALSE)),0)</f>
        <v>0</v>
      </c>
      <c r="N144" s="161">
        <f>IFERROR((-VLOOKUP(LEFT($A144,4),'Cash Flow $s Y20-21'!$B$12:$R$159,11,FALSE)),0)</f>
        <v>0</v>
      </c>
      <c r="O144" s="161">
        <f>IFERROR((-VLOOKUP(LEFT($A144,4),'Cash Flow $s Y20-21'!$B$12:$R$159,12,FALSE)),0)</f>
        <v>0</v>
      </c>
      <c r="P144" s="161">
        <f>IFERROR((-VLOOKUP(LEFT($A144,4),'Cash Flow $s Y20-21'!$B$12:$R$159,13,FALSE)),0)</f>
        <v>0</v>
      </c>
      <c r="Q144" s="161">
        <f>IFERROR((-VLOOKUP(LEFT($A144,4),'Cash Flow $s Y20-21'!$B$12:$R$159,14,FALSE)-VLOOKUP(LEFT($A144,4),'Cash Flow $s Y20-21'!$B$12:$R$159,15,FALSE)-VLOOKUP(LEFT($A144,4),'Cash Flow $s Y20-21'!$B$12:$R$159,16,FALSE)-VLOOKUP(LEFT($A144,4),'Cash Flow $s Y20-21'!$B$12:$R$159,17,FALSE)),0)</f>
        <v>0</v>
      </c>
      <c r="R144" s="221">
        <f t="shared" si="2"/>
        <v>0</v>
      </c>
    </row>
    <row r="145" spans="1:19" x14ac:dyDescent="0.25">
      <c r="A145" s="155" t="s">
        <v>1228</v>
      </c>
      <c r="B145" s="154" t="s">
        <v>1204</v>
      </c>
      <c r="C145" s="152" t="s">
        <v>858</v>
      </c>
      <c r="D145" s="152" t="s">
        <v>859</v>
      </c>
      <c r="E145" s="152" t="s">
        <v>860</v>
      </c>
      <c r="F145" s="161">
        <f>-'Cash Flow $s Y20-21'!D42</f>
        <v>-645.90600000000006</v>
      </c>
      <c r="G145" s="161">
        <f>-'Cash Flow $s Y20-21'!E42</f>
        <v>-645.90600000000006</v>
      </c>
      <c r="H145" s="161">
        <f>-'Cash Flow $s Y20-21'!F42</f>
        <v>-645.90600000000006</v>
      </c>
      <c r="I145" s="161">
        <f>-'Cash Flow $s Y20-21'!G42</f>
        <v>-645.90600000000006</v>
      </c>
      <c r="J145" s="161">
        <f>-'Cash Flow $s Y20-21'!H42</f>
        <v>-645.90600000000006</v>
      </c>
      <c r="K145" s="161">
        <f>-'Cash Flow $s Y20-21'!I42</f>
        <v>-645.90600000000006</v>
      </c>
      <c r="L145" s="161">
        <f>-'Cash Flow $s Y20-21'!J42</f>
        <v>-645.90600000000006</v>
      </c>
      <c r="M145" s="161">
        <f>-'Cash Flow $s Y20-21'!K42</f>
        <v>-645.90600000000006</v>
      </c>
      <c r="N145" s="161">
        <f>-'Cash Flow $s Y20-21'!L42</f>
        <v>-653.68799999999999</v>
      </c>
      <c r="O145" s="161">
        <f>-'Cash Flow $s Y20-21'!M42</f>
        <v>-653.68799999999999</v>
      </c>
      <c r="P145" s="161">
        <f>-'Cash Flow $s Y20-21'!N42</f>
        <v>-653.68799999999999</v>
      </c>
      <c r="Q145" s="161">
        <f>-'Cash Flow $s Y20-21'!O42</f>
        <v>-653.68799999999999</v>
      </c>
      <c r="R145" s="221">
        <f t="shared" si="2"/>
        <v>-7782.0000000000009</v>
      </c>
    </row>
    <row r="146" spans="1:19" x14ac:dyDescent="0.25">
      <c r="A146" s="155" t="s">
        <v>1206</v>
      </c>
      <c r="B146" s="154" t="s">
        <v>1204</v>
      </c>
      <c r="C146" s="152" t="s">
        <v>858</v>
      </c>
      <c r="D146" s="152" t="s">
        <v>859</v>
      </c>
      <c r="E146" s="152" t="s">
        <v>860</v>
      </c>
      <c r="F146" s="161">
        <v>0</v>
      </c>
      <c r="G146" s="161">
        <v>0</v>
      </c>
      <c r="H146" s="161">
        <v>0</v>
      </c>
      <c r="I146" s="161">
        <v>0</v>
      </c>
      <c r="J146" s="161">
        <v>0</v>
      </c>
      <c r="K146" s="161">
        <v>0</v>
      </c>
      <c r="L146" s="161">
        <v>0</v>
      </c>
      <c r="M146" s="161">
        <v>0</v>
      </c>
      <c r="N146" s="161">
        <v>0</v>
      </c>
      <c r="O146" s="161">
        <v>0</v>
      </c>
      <c r="P146" s="161">
        <v>0</v>
      </c>
      <c r="Q146" s="161">
        <v>0</v>
      </c>
      <c r="R146" s="221">
        <f t="shared" si="2"/>
        <v>0</v>
      </c>
    </row>
    <row r="147" spans="1:19" x14ac:dyDescent="0.25">
      <c r="A147" s="155" t="s">
        <v>1205</v>
      </c>
      <c r="B147" s="154" t="s">
        <v>1204</v>
      </c>
      <c r="C147" s="152" t="s">
        <v>858</v>
      </c>
      <c r="D147" s="152" t="s">
        <v>859</v>
      </c>
      <c r="E147" s="152" t="s">
        <v>860</v>
      </c>
      <c r="F147" s="161" t="e">
        <f>-'Cash Flow $s Y20-21'!D46</f>
        <v>#VALUE!</v>
      </c>
      <c r="G147" s="161" t="e">
        <f>-'Cash Flow $s Y20-21'!E46</f>
        <v>#VALUE!</v>
      </c>
      <c r="H147" s="161" t="e">
        <f>-'Cash Flow $s Y20-21'!F46</f>
        <v>#VALUE!</v>
      </c>
      <c r="I147" s="161" t="e">
        <f>-'Cash Flow $s Y20-21'!G46</f>
        <v>#VALUE!</v>
      </c>
      <c r="J147" s="161" t="e">
        <f>-'Cash Flow $s Y20-21'!H46</f>
        <v>#VALUE!</v>
      </c>
      <c r="K147" s="161" t="e">
        <f>-'Cash Flow $s Y20-21'!I46</f>
        <v>#VALUE!</v>
      </c>
      <c r="L147" s="161" t="e">
        <f>-'Cash Flow $s Y20-21'!J46</f>
        <v>#VALUE!</v>
      </c>
      <c r="M147" s="161" t="e">
        <f>-'Cash Flow $s Y20-21'!K46</f>
        <v>#VALUE!</v>
      </c>
      <c r="N147" s="161" t="e">
        <f>-'Cash Flow $s Y20-21'!L46</f>
        <v>#VALUE!</v>
      </c>
      <c r="O147" s="161" t="e">
        <f>-'Cash Flow $s Y20-21'!M46</f>
        <v>#VALUE!</v>
      </c>
      <c r="P147" s="161" t="e">
        <f>-'Cash Flow $s Y20-21'!N46</f>
        <v>#VALUE!</v>
      </c>
      <c r="Q147" s="161" t="e">
        <f>-'Cash Flow $s Y20-21'!O46</f>
        <v>#VALUE!</v>
      </c>
      <c r="R147" s="221" t="e">
        <f t="shared" si="2"/>
        <v>#VALUE!</v>
      </c>
    </row>
    <row r="148" spans="1:19" x14ac:dyDescent="0.25">
      <c r="A148" s="155" t="s">
        <v>978</v>
      </c>
      <c r="B148" s="154" t="s">
        <v>1204</v>
      </c>
      <c r="C148" s="152" t="s">
        <v>858</v>
      </c>
      <c r="D148" s="152" t="s">
        <v>859</v>
      </c>
      <c r="E148" s="152" t="s">
        <v>860</v>
      </c>
      <c r="F148" s="161">
        <f>IFERROR((-VLOOKUP(LEFT($A148,4),'Cash Flow $s Y20-21'!$B$12:$R$159,3,FALSE)),0)</f>
        <v>0</v>
      </c>
      <c r="G148" s="161">
        <f>IFERROR((-VLOOKUP(LEFT($A148,4),'Cash Flow $s Y20-21'!$B$12:$R$159,4,FALSE)),0)</f>
        <v>0</v>
      </c>
      <c r="H148" s="161">
        <f>IFERROR((-VLOOKUP(LEFT($A148,4),'Cash Flow $s Y20-21'!$B$12:$R$159,5,FALSE)),0)</f>
        <v>0</v>
      </c>
      <c r="I148" s="161">
        <f>IFERROR((-VLOOKUP(LEFT($A148,4),'Cash Flow $s Y20-21'!$B$12:$R$159,6,FALSE)),0)</f>
        <v>0</v>
      </c>
      <c r="J148" s="161">
        <f>IFERROR((-VLOOKUP(LEFT($A148,4),'Cash Flow $s Y20-21'!$B$12:$R$159,7,FALSE)),0)</f>
        <v>0</v>
      </c>
      <c r="K148" s="161">
        <f>IFERROR((-VLOOKUP(LEFT($A148,4),'Cash Flow $s Y20-21'!$B$12:$R$159,8,FALSE)),0)</f>
        <v>0</v>
      </c>
      <c r="L148" s="161">
        <f>IFERROR((-VLOOKUP(LEFT($A148,4),'Cash Flow $s Y20-21'!$B$12:$R$159,9,FALSE)),0)</f>
        <v>0</v>
      </c>
      <c r="M148" s="161">
        <f>IFERROR((-VLOOKUP(LEFT($A148,4),'Cash Flow $s Y20-21'!$B$12:$R$159,10,FALSE)),0)</f>
        <v>0</v>
      </c>
      <c r="N148" s="161">
        <f>IFERROR((-VLOOKUP(LEFT($A148,4),'Cash Flow $s Y20-21'!$B$12:$R$159,11,FALSE)),0)</f>
        <v>0</v>
      </c>
      <c r="O148" s="161">
        <f>IFERROR((-VLOOKUP(LEFT($A148,4),'Cash Flow $s Y20-21'!$B$12:$R$159,12,FALSE)),0)</f>
        <v>0</v>
      </c>
      <c r="P148" s="161">
        <f>IFERROR((-VLOOKUP(LEFT($A148,4),'Cash Flow $s Y20-21'!$B$12:$R$159,13,FALSE)),0)</f>
        <v>0</v>
      </c>
      <c r="Q148" s="161">
        <f>IFERROR((-VLOOKUP(LEFT($A148,4),'Cash Flow $s Y20-21'!$B$12:$R$159,14,FALSE)-VLOOKUP(LEFT($A148,4),'Cash Flow $s Y20-21'!$B$12:$R$159,15,FALSE)-VLOOKUP(LEFT($A148,4),'Cash Flow $s Y20-21'!$B$12:$R$159,16,FALSE)-VLOOKUP(LEFT($A148,4),'Cash Flow $s Y20-21'!$B$12:$R$159,17,FALSE)),0)</f>
        <v>0</v>
      </c>
      <c r="R148" s="221">
        <f t="shared" si="2"/>
        <v>0</v>
      </c>
    </row>
    <row r="149" spans="1:19" x14ac:dyDescent="0.25">
      <c r="A149" s="155" t="s">
        <v>979</v>
      </c>
      <c r="B149" s="154" t="s">
        <v>1204</v>
      </c>
      <c r="C149" s="152" t="s">
        <v>858</v>
      </c>
      <c r="D149" s="152" t="s">
        <v>859</v>
      </c>
      <c r="E149" s="152" t="s">
        <v>860</v>
      </c>
      <c r="F149" s="161" t="e">
        <f>-'Cash Flow $s Y20-21'!D48</f>
        <v>#VALUE!</v>
      </c>
      <c r="G149" s="161" t="e">
        <f>-'Cash Flow $s Y20-21'!E48</f>
        <v>#VALUE!</v>
      </c>
      <c r="H149" s="161" t="e">
        <f>-'Cash Flow $s Y20-21'!F48</f>
        <v>#VALUE!</v>
      </c>
      <c r="I149" s="161" t="e">
        <f>-'Cash Flow $s Y20-21'!G48</f>
        <v>#VALUE!</v>
      </c>
      <c r="J149" s="161" t="e">
        <f>-'Cash Flow $s Y20-21'!H48</f>
        <v>#VALUE!</v>
      </c>
      <c r="K149" s="161" t="e">
        <f>-'Cash Flow $s Y20-21'!I48</f>
        <v>#VALUE!</v>
      </c>
      <c r="L149" s="161" t="e">
        <f>-'Cash Flow $s Y20-21'!J48</f>
        <v>#VALUE!</v>
      </c>
      <c r="M149" s="161" t="e">
        <f>-'Cash Flow $s Y20-21'!K48</f>
        <v>#VALUE!</v>
      </c>
      <c r="N149" s="161" t="e">
        <f>-'Cash Flow $s Y20-21'!L48</f>
        <v>#VALUE!</v>
      </c>
      <c r="O149" s="161" t="e">
        <f>-'Cash Flow $s Y20-21'!M48</f>
        <v>#VALUE!</v>
      </c>
      <c r="P149" s="161" t="e">
        <f>-'Cash Flow $s Y20-21'!N48</f>
        <v>#VALUE!</v>
      </c>
      <c r="Q149" s="161" t="e">
        <f>-'Cash Flow $s Y20-21'!O48</f>
        <v>#VALUE!</v>
      </c>
      <c r="R149" s="221" t="e">
        <f t="shared" si="2"/>
        <v>#VALUE!</v>
      </c>
    </row>
    <row r="150" spans="1:19" x14ac:dyDescent="0.25">
      <c r="A150" s="155" t="s">
        <v>980</v>
      </c>
      <c r="B150" s="154" t="s">
        <v>1204</v>
      </c>
      <c r="C150" s="152" t="s">
        <v>858</v>
      </c>
      <c r="D150" s="152" t="s">
        <v>859</v>
      </c>
      <c r="E150" s="152" t="s">
        <v>860</v>
      </c>
      <c r="F150" s="161" t="e">
        <f>-'Cash Flow $s Y20-21'!D49</f>
        <v>#VALUE!</v>
      </c>
      <c r="G150" s="161" t="e">
        <f>-'Cash Flow $s Y20-21'!E49</f>
        <v>#VALUE!</v>
      </c>
      <c r="H150" s="161" t="e">
        <f>-'Cash Flow $s Y20-21'!F49</f>
        <v>#VALUE!</v>
      </c>
      <c r="I150" s="161" t="e">
        <f>-'Cash Flow $s Y20-21'!G49</f>
        <v>#VALUE!</v>
      </c>
      <c r="J150" s="161" t="e">
        <f>-'Cash Flow $s Y20-21'!H49</f>
        <v>#VALUE!</v>
      </c>
      <c r="K150" s="161" t="e">
        <f>-'Cash Flow $s Y20-21'!I49</f>
        <v>#VALUE!</v>
      </c>
      <c r="L150" s="161" t="e">
        <f>-'Cash Flow $s Y20-21'!J49</f>
        <v>#VALUE!</v>
      </c>
      <c r="M150" s="161" t="e">
        <f>-'Cash Flow $s Y20-21'!K49</f>
        <v>#VALUE!</v>
      </c>
      <c r="N150" s="161" t="e">
        <f>-'Cash Flow $s Y20-21'!L49</f>
        <v>#VALUE!</v>
      </c>
      <c r="O150" s="161" t="e">
        <f>-'Cash Flow $s Y20-21'!M49</f>
        <v>#VALUE!</v>
      </c>
      <c r="P150" s="161" t="e">
        <f>-'Cash Flow $s Y20-21'!N49</f>
        <v>#VALUE!</v>
      </c>
      <c r="Q150" s="161" t="e">
        <f>-'Cash Flow $s Y20-21'!O49</f>
        <v>#VALUE!</v>
      </c>
      <c r="R150" s="221" t="e">
        <f t="shared" si="2"/>
        <v>#VALUE!</v>
      </c>
    </row>
    <row r="151" spans="1:19" x14ac:dyDescent="0.25">
      <c r="A151" s="155" t="s">
        <v>981</v>
      </c>
      <c r="B151" s="154" t="s">
        <v>1204</v>
      </c>
      <c r="C151" s="152" t="s">
        <v>858</v>
      </c>
      <c r="D151" s="152" t="s">
        <v>859</v>
      </c>
      <c r="E151" s="152" t="s">
        <v>860</v>
      </c>
      <c r="F151" s="161">
        <f>-'Cash Flow $s Y20-21'!D50</f>
        <v>0</v>
      </c>
      <c r="G151" s="161">
        <f>-'Cash Flow $s Y20-21'!E50</f>
        <v>0</v>
      </c>
      <c r="H151" s="161">
        <f>-'Cash Flow $s Y20-21'!F50</f>
        <v>-96.600000000000009</v>
      </c>
      <c r="I151" s="161">
        <f>-'Cash Flow $s Y20-21'!G50</f>
        <v>-96.600000000000009</v>
      </c>
      <c r="J151" s="161">
        <f>-'Cash Flow $s Y20-21'!H50</f>
        <v>-96.600000000000009</v>
      </c>
      <c r="K151" s="161">
        <f>-'Cash Flow $s Y20-21'!I50</f>
        <v>-96.600000000000009</v>
      </c>
      <c r="L151" s="161">
        <f>-'Cash Flow $s Y20-21'!J50</f>
        <v>-96.600000000000009</v>
      </c>
      <c r="M151" s="161">
        <f>-'Cash Flow $s Y20-21'!K50</f>
        <v>-96.600000000000009</v>
      </c>
      <c r="N151" s="161">
        <f>-'Cash Flow $s Y20-21'!L50</f>
        <v>-96.600000000000009</v>
      </c>
      <c r="O151" s="161">
        <f>-'Cash Flow $s Y20-21'!M50</f>
        <v>-96.600000000000009</v>
      </c>
      <c r="P151" s="161">
        <f>-'Cash Flow $s Y20-21'!N50</f>
        <v>-96.600000000000009</v>
      </c>
      <c r="Q151" s="161">
        <f>-'Cash Flow $s Y20-21'!O50</f>
        <v>-96.600000000000009</v>
      </c>
      <c r="R151" s="221">
        <f t="shared" ref="R151:R156" si="3">SUM(F151:Q151)</f>
        <v>-966.00000000000011</v>
      </c>
    </row>
    <row r="152" spans="1:19" x14ac:dyDescent="0.25">
      <c r="A152" s="155" t="s">
        <v>982</v>
      </c>
      <c r="B152" s="154" t="s">
        <v>1204</v>
      </c>
      <c r="C152" s="152" t="s">
        <v>858</v>
      </c>
      <c r="D152" s="152" t="s">
        <v>859</v>
      </c>
      <c r="E152" s="152" t="s">
        <v>860</v>
      </c>
      <c r="F152" s="161">
        <f>IFERROR((-VLOOKUP(LEFT($A152,4),'Cash Flow $s Y20-21'!$B$12:$R$159,3,FALSE)),0)</f>
        <v>0</v>
      </c>
      <c r="G152" s="161">
        <f>IFERROR((-VLOOKUP(LEFT($A152,4),'Cash Flow $s Y20-21'!$B$12:$R$159,4,FALSE)),0)</f>
        <v>0</v>
      </c>
      <c r="H152" s="161">
        <f>IFERROR((-VLOOKUP(LEFT($A152,4),'Cash Flow $s Y20-21'!$B$12:$R$159,5,FALSE)),0)</f>
        <v>0</v>
      </c>
      <c r="I152" s="161">
        <f>IFERROR((-VLOOKUP(LEFT($A152,4),'Cash Flow $s Y20-21'!$B$12:$R$159,6,FALSE)),0)</f>
        <v>0</v>
      </c>
      <c r="J152" s="161">
        <f>IFERROR((-VLOOKUP(LEFT($A152,4),'Cash Flow $s Y20-21'!$B$12:$R$159,7,FALSE)),0)</f>
        <v>0</v>
      </c>
      <c r="K152" s="161">
        <f>IFERROR((-VLOOKUP(LEFT($A152,4),'Cash Flow $s Y20-21'!$B$12:$R$159,8,FALSE)),0)</f>
        <v>0</v>
      </c>
      <c r="L152" s="161">
        <f>IFERROR((-VLOOKUP(LEFT($A152,4),'Cash Flow $s Y20-21'!$B$12:$R$159,9,FALSE)),0)</f>
        <v>0</v>
      </c>
      <c r="M152" s="161">
        <f>IFERROR((-VLOOKUP(LEFT($A152,4),'Cash Flow $s Y20-21'!$B$12:$R$159,10,FALSE)),0)</f>
        <v>0</v>
      </c>
      <c r="N152" s="161">
        <f>IFERROR((-VLOOKUP(LEFT($A152,4),'Cash Flow $s Y20-21'!$B$12:$R$159,11,FALSE)),0)</f>
        <v>0</v>
      </c>
      <c r="O152" s="161">
        <f>IFERROR((-VLOOKUP(LEFT($A152,4),'Cash Flow $s Y20-21'!$B$12:$R$159,12,FALSE)),0)</f>
        <v>0</v>
      </c>
      <c r="P152" s="161">
        <f>IFERROR((-VLOOKUP(LEFT($A152,4),'Cash Flow $s Y20-21'!$B$12:$R$159,13,FALSE)),0)</f>
        <v>0</v>
      </c>
      <c r="Q152" s="161">
        <f>IFERROR((-VLOOKUP(LEFT($A152,4),'Cash Flow $s Y20-21'!$B$12:$R$159,14,FALSE)-VLOOKUP(LEFT($A152,4),'Cash Flow $s Y20-21'!$B$12:$R$159,15,FALSE)-VLOOKUP(LEFT($A152,4),'Cash Flow $s Y20-21'!$B$12:$R$159,16,FALSE)-VLOOKUP(LEFT($A152,4),'Cash Flow $s Y20-21'!$B$12:$R$159,17,FALSE)),0)</f>
        <v>0</v>
      </c>
      <c r="R152" s="221">
        <f t="shared" si="3"/>
        <v>0</v>
      </c>
    </row>
    <row r="153" spans="1:19" x14ac:dyDescent="0.25">
      <c r="A153" s="155" t="s">
        <v>983</v>
      </c>
      <c r="B153" s="154" t="s">
        <v>1204</v>
      </c>
      <c r="C153" s="152" t="s">
        <v>858</v>
      </c>
      <c r="D153" s="152" t="s">
        <v>859</v>
      </c>
      <c r="E153" s="152" t="s">
        <v>860</v>
      </c>
      <c r="F153" s="161" t="e">
        <f>-'Cash Flow $s Y20-21'!D52</f>
        <v>#VALUE!</v>
      </c>
      <c r="G153" s="161" t="e">
        <f>-'Cash Flow $s Y20-21'!E52</f>
        <v>#VALUE!</v>
      </c>
      <c r="H153" s="161" t="e">
        <f>-'Cash Flow $s Y20-21'!F52</f>
        <v>#VALUE!</v>
      </c>
      <c r="I153" s="161" t="e">
        <f>-'Cash Flow $s Y20-21'!G52</f>
        <v>#VALUE!</v>
      </c>
      <c r="J153" s="161" t="e">
        <f>-'Cash Flow $s Y20-21'!H52</f>
        <v>#VALUE!</v>
      </c>
      <c r="K153" s="161" t="e">
        <f>-'Cash Flow $s Y20-21'!I52</f>
        <v>#VALUE!</v>
      </c>
      <c r="L153" s="161" t="e">
        <f>-'Cash Flow $s Y20-21'!J52</f>
        <v>#VALUE!</v>
      </c>
      <c r="M153" s="161" t="e">
        <f>-'Cash Flow $s Y20-21'!K52</f>
        <v>#VALUE!</v>
      </c>
      <c r="N153" s="161" t="e">
        <f>-'Cash Flow $s Y20-21'!L52</f>
        <v>#VALUE!</v>
      </c>
      <c r="O153" s="161" t="e">
        <f>-'Cash Flow $s Y20-21'!M52</f>
        <v>#VALUE!</v>
      </c>
      <c r="P153" s="161" t="e">
        <f>-'Cash Flow $s Y20-21'!N52</f>
        <v>#VALUE!</v>
      </c>
      <c r="Q153" s="161" t="e">
        <f>-'Cash Flow $s Y20-21'!O52</f>
        <v>#VALUE!</v>
      </c>
      <c r="R153" s="221" t="e">
        <f t="shared" si="3"/>
        <v>#VALUE!</v>
      </c>
    </row>
    <row r="154" spans="1:19" x14ac:dyDescent="0.25">
      <c r="A154" s="155" t="s">
        <v>984</v>
      </c>
      <c r="B154" s="154" t="s">
        <v>1204</v>
      </c>
      <c r="C154" s="152" t="s">
        <v>858</v>
      </c>
      <c r="D154" s="152" t="s">
        <v>859</v>
      </c>
      <c r="E154" s="152" t="s">
        <v>860</v>
      </c>
      <c r="F154" s="161">
        <f>-'Cash Flow $s Y20-21'!D53</f>
        <v>0</v>
      </c>
      <c r="G154" s="161">
        <f>-'Cash Flow $s Y20-21'!E53</f>
        <v>0</v>
      </c>
      <c r="H154" s="161">
        <f>-'Cash Flow $s Y20-21'!F53</f>
        <v>0</v>
      </c>
      <c r="I154" s="161">
        <f>-'Cash Flow $s Y20-21'!G53</f>
        <v>0</v>
      </c>
      <c r="J154" s="161">
        <f>-'Cash Flow $s Y20-21'!H53</f>
        <v>0</v>
      </c>
      <c r="K154" s="161">
        <f>-'Cash Flow $s Y20-21'!I53</f>
        <v>0</v>
      </c>
      <c r="L154" s="161">
        <f>-'Cash Flow $s Y20-21'!J53</f>
        <v>0</v>
      </c>
      <c r="M154" s="161">
        <f>-'Cash Flow $s Y20-21'!K53</f>
        <v>0</v>
      </c>
      <c r="N154" s="161">
        <f>-'Cash Flow $s Y20-21'!L53</f>
        <v>0</v>
      </c>
      <c r="O154" s="161">
        <f>-'Cash Flow $s Y20-21'!M53</f>
        <v>0</v>
      </c>
      <c r="P154" s="161">
        <f>-'Cash Flow $s Y20-21'!N53</f>
        <v>0</v>
      </c>
      <c r="Q154" s="161">
        <f>-'Cash Flow $s Y20-21'!O53</f>
        <v>0</v>
      </c>
      <c r="R154" s="221">
        <f t="shared" si="3"/>
        <v>0</v>
      </c>
    </row>
    <row r="155" spans="1:19" x14ac:dyDescent="0.25">
      <c r="A155" s="155" t="s">
        <v>985</v>
      </c>
      <c r="B155" s="154" t="s">
        <v>1204</v>
      </c>
      <c r="C155" s="152" t="s">
        <v>858</v>
      </c>
      <c r="D155" s="152" t="s">
        <v>859</v>
      </c>
      <c r="E155" s="152" t="s">
        <v>860</v>
      </c>
      <c r="F155" s="161">
        <f>IFERROR((-VLOOKUP(LEFT($A155,4),'Cash Flow $s Y20-21'!$B$12:$R$159,3,FALSE)),0)</f>
        <v>0</v>
      </c>
      <c r="G155" s="161">
        <f>IFERROR((-VLOOKUP(LEFT($A155,4),'Cash Flow $s Y20-21'!$B$12:$R$159,4,FALSE)),0)</f>
        <v>0</v>
      </c>
      <c r="H155" s="161">
        <f>IFERROR((-VLOOKUP(LEFT($A155,4),'Cash Flow $s Y20-21'!$B$12:$R$159,5,FALSE)),0)</f>
        <v>0</v>
      </c>
      <c r="I155" s="161">
        <f>IFERROR((-VLOOKUP(LEFT($A155,4),'Cash Flow $s Y20-21'!$B$12:$R$159,6,FALSE)),0)</f>
        <v>0</v>
      </c>
      <c r="J155" s="161">
        <f>IFERROR((-VLOOKUP(LEFT($A155,4),'Cash Flow $s Y20-21'!$B$12:$R$159,7,FALSE)),0)</f>
        <v>0</v>
      </c>
      <c r="K155" s="161">
        <f>IFERROR((-VLOOKUP(LEFT($A155,4),'Cash Flow $s Y20-21'!$B$12:$R$159,8,FALSE)),0)</f>
        <v>0</v>
      </c>
      <c r="L155" s="161">
        <f>IFERROR((-VLOOKUP(LEFT($A155,4),'Cash Flow $s Y20-21'!$B$12:$R$159,9,FALSE)),0)</f>
        <v>0</v>
      </c>
      <c r="M155" s="161">
        <f>IFERROR((-VLOOKUP(LEFT($A155,4),'Cash Flow $s Y20-21'!$B$12:$R$159,10,FALSE)),0)</f>
        <v>0</v>
      </c>
      <c r="N155" s="161">
        <f>IFERROR((-VLOOKUP(LEFT($A155,4),'Cash Flow $s Y20-21'!$B$12:$R$159,11,FALSE)),0)</f>
        <v>0</v>
      </c>
      <c r="O155" s="161">
        <f>IFERROR((-VLOOKUP(LEFT($A155,4),'Cash Flow $s Y20-21'!$B$12:$R$159,12,FALSE)),0)</f>
        <v>0</v>
      </c>
      <c r="P155" s="161">
        <f>IFERROR((-VLOOKUP(LEFT($A155,4),'Cash Flow $s Y20-21'!$B$12:$R$159,13,FALSE)),0)</f>
        <v>0</v>
      </c>
      <c r="Q155" s="161">
        <f>IFERROR((-VLOOKUP(LEFT($A155,4),'Cash Flow $s Y20-21'!$B$12:$R$159,14,FALSE)-VLOOKUP(LEFT($A155,4),'Cash Flow $s Y20-21'!$B$12:$R$159,15,FALSE)-VLOOKUP(LEFT($A155,4),'Cash Flow $s Y20-21'!$B$12:$R$159,16,FALSE)-VLOOKUP(LEFT($A155,4),'Cash Flow $s Y20-21'!$B$12:$R$159,17,FALSE)),0)</f>
        <v>0</v>
      </c>
      <c r="R155" s="221">
        <f t="shared" si="3"/>
        <v>0</v>
      </c>
      <c r="S155" s="159" t="s">
        <v>1001</v>
      </c>
    </row>
    <row r="156" spans="1:19" x14ac:dyDescent="0.25">
      <c r="A156" s="155" t="s">
        <v>986</v>
      </c>
      <c r="B156" s="154" t="s">
        <v>1204</v>
      </c>
      <c r="C156" s="152" t="s">
        <v>858</v>
      </c>
      <c r="D156" s="152" t="s">
        <v>859</v>
      </c>
      <c r="E156" s="152" t="s">
        <v>860</v>
      </c>
      <c r="F156" s="161">
        <v>0</v>
      </c>
      <c r="G156" s="161">
        <v>0</v>
      </c>
      <c r="H156" s="161">
        <v>0</v>
      </c>
      <c r="I156" s="161">
        <v>0</v>
      </c>
      <c r="J156" s="161">
        <v>0</v>
      </c>
      <c r="K156" s="161">
        <v>0</v>
      </c>
      <c r="L156" s="161">
        <v>0</v>
      </c>
      <c r="M156" s="161">
        <v>0</v>
      </c>
      <c r="N156" s="161">
        <v>0</v>
      </c>
      <c r="O156" s="161">
        <v>0</v>
      </c>
      <c r="P156" s="161">
        <v>0</v>
      </c>
      <c r="Q156" s="161">
        <v>0</v>
      </c>
      <c r="R156" s="221">
        <f t="shared" si="3"/>
        <v>0</v>
      </c>
      <c r="S156" s="157" t="e">
        <f>SUM('Cash Flow $s Y20-21'!D28:R28,'Cash Flow $s Y20-21'!D55:R55)/-SUM(Fiscal_Sets!F135:Q156,Fiscal_Sets!F119:Q123)</f>
        <v>#VALUE!</v>
      </c>
    </row>
    <row r="157" spans="1:19" x14ac:dyDescent="0.25">
      <c r="A157" s="156"/>
      <c r="R157" s="221" t="e">
        <f>SUM(R2:R156)</f>
        <v>#VALUE!</v>
      </c>
    </row>
    <row r="158" spans="1:19" x14ac:dyDescent="0.25">
      <c r="A158" s="156"/>
      <c r="S158" s="159"/>
    </row>
    <row r="159" spans="1:19" x14ac:dyDescent="0.25">
      <c r="A159" s="156"/>
    </row>
    <row r="160" spans="1:19" x14ac:dyDescent="0.25">
      <c r="A160" s="156"/>
    </row>
  </sheetData>
  <pageMargins left="0.75" right="0.75" top="1" bottom="1" header="0.5" footer="0.5"/>
  <pageSetup orientation="portrait"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Z90"/>
  <sheetViews>
    <sheetView zoomScale="80" zoomScaleNormal="80" workbookViewId="0">
      <pane xSplit="3" ySplit="6" topLeftCell="P23" activePane="bottomRight" state="frozen"/>
      <selection activeCell="S20" sqref="S20"/>
      <selection pane="topRight" activeCell="S20" sqref="S20"/>
      <selection pane="bottomLeft" activeCell="S20" sqref="S20"/>
      <selection pane="bottomRight" activeCell="V88" sqref="V88"/>
    </sheetView>
  </sheetViews>
  <sheetFormatPr defaultColWidth="9.109375" defaultRowHeight="15.6" outlineLevelRow="1" x14ac:dyDescent="0.3"/>
  <cols>
    <col min="1" max="1" width="7.33203125" style="6" customWidth="1"/>
    <col min="2" max="2" width="13.5546875" style="7" customWidth="1"/>
    <col min="3" max="3" width="23.44140625" style="217" customWidth="1"/>
    <col min="4" max="4" width="28.5546875" style="217" customWidth="1"/>
    <col min="5" max="5" width="19.88671875" style="217" customWidth="1"/>
    <col min="6" max="8" width="9.109375" style="7"/>
    <col min="9" max="9" width="14.5546875" style="7" bestFit="1" customWidth="1"/>
    <col min="10" max="10" width="16.88671875" style="7" bestFit="1" customWidth="1"/>
    <col min="11" max="11" width="12.6640625" style="7" bestFit="1" customWidth="1"/>
    <col min="12" max="12" width="11.5546875" style="7" customWidth="1"/>
    <col min="13" max="13" width="17" style="6" customWidth="1"/>
    <col min="14" max="14" width="17.44140625" style="7" bestFit="1" customWidth="1"/>
    <col min="15" max="15" width="17" style="6" bestFit="1" customWidth="1"/>
    <col min="16" max="16" width="14.5546875" style="6" customWidth="1"/>
    <col min="17" max="18" width="12.109375" style="6" customWidth="1"/>
    <col min="19" max="19" width="12.44140625" style="7" customWidth="1"/>
    <col min="20" max="21" width="15.5546875" style="6" customWidth="1"/>
    <col min="22" max="22" width="19.44140625" style="6" customWidth="1"/>
    <col min="23" max="23" width="18.44140625" style="6" customWidth="1"/>
    <col min="24" max="24" width="19.6640625" style="6" customWidth="1"/>
    <col min="25" max="26" width="15.5546875" style="6" customWidth="1"/>
    <col min="27" max="16384" width="9.109375" style="6"/>
  </cols>
  <sheetData>
    <row r="1" spans="1:26" ht="20.399999999999999" x14ac:dyDescent="0.35">
      <c r="A1" s="21" t="str">
        <f>'Student Info'!$A$1</f>
        <v>Three Rivers - 23-65565-0123737</v>
      </c>
    </row>
    <row r="2" spans="1:26" ht="17.399999999999999" x14ac:dyDescent="0.3">
      <c r="A2" s="20" t="s">
        <v>725</v>
      </c>
      <c r="I2" s="180">
        <v>2.29E-2</v>
      </c>
      <c r="J2" s="181" t="s">
        <v>1013</v>
      </c>
      <c r="O2" s="8">
        <v>0.16919999999999999</v>
      </c>
      <c r="P2" s="276">
        <v>0.2291</v>
      </c>
      <c r="Q2" s="276">
        <f>+'Employee Input 20-21'!Q2</f>
        <v>6.25E-2</v>
      </c>
      <c r="R2" s="276">
        <f>+'Employee Input 20-21'!R2</f>
        <v>1.4500000000000001E-2</v>
      </c>
      <c r="S2" s="277">
        <f>+'Employee Input 20-21'!S2</f>
        <v>500</v>
      </c>
      <c r="T2" s="276"/>
      <c r="U2" s="277">
        <v>400</v>
      </c>
      <c r="V2" s="276">
        <f>+'Employee Input 20-21'!V2</f>
        <v>1.2999999999999999E-2</v>
      </c>
      <c r="X2" s="12">
        <f>(0.08*$M2/1000)+(0.025*$M2/1000)+(0.14%*$M2)+(0.05*$M2/10)</f>
        <v>0</v>
      </c>
    </row>
    <row r="3" spans="1:26" ht="17.399999999999999" x14ac:dyDescent="0.3">
      <c r="A3" s="20" t="str">
        <f>'Student Info'!E6</f>
        <v>2021-22</v>
      </c>
      <c r="O3" s="9" t="s">
        <v>562</v>
      </c>
      <c r="P3" s="9" t="s">
        <v>563</v>
      </c>
      <c r="Q3" s="9" t="s">
        <v>1018</v>
      </c>
      <c r="R3" s="9" t="s">
        <v>671</v>
      </c>
      <c r="S3" s="9" t="s">
        <v>566</v>
      </c>
      <c r="T3" s="9"/>
      <c r="U3" s="9" t="s">
        <v>669</v>
      </c>
      <c r="V3" s="9" t="s">
        <v>670</v>
      </c>
      <c r="W3" s="9"/>
      <c r="X3" s="9" t="s">
        <v>1025</v>
      </c>
    </row>
    <row r="4" spans="1:26" ht="27" customHeight="1" x14ac:dyDescent="0.3"/>
    <row r="5" spans="1:26" x14ac:dyDescent="0.3">
      <c r="B5" s="13" t="s">
        <v>0</v>
      </c>
      <c r="J5" s="17" t="s">
        <v>676</v>
      </c>
      <c r="K5" s="13" t="s">
        <v>742</v>
      </c>
      <c r="L5" s="18"/>
      <c r="M5" s="17" t="s">
        <v>674</v>
      </c>
      <c r="N5" s="13" t="s">
        <v>729</v>
      </c>
      <c r="O5" s="284" t="s">
        <v>30</v>
      </c>
      <c r="P5" s="284" t="s">
        <v>38</v>
      </c>
      <c r="Q5" s="284" t="s">
        <v>1014</v>
      </c>
      <c r="R5" s="284" t="s">
        <v>1016</v>
      </c>
      <c r="S5" s="43" t="s">
        <v>564</v>
      </c>
      <c r="T5" s="284" t="s">
        <v>717</v>
      </c>
      <c r="U5" s="284" t="s">
        <v>718</v>
      </c>
      <c r="V5" s="284" t="s">
        <v>719</v>
      </c>
      <c r="W5" s="284" t="s">
        <v>1023</v>
      </c>
      <c r="X5" s="284" t="s">
        <v>1022</v>
      </c>
      <c r="Y5" s="19" t="s">
        <v>672</v>
      </c>
      <c r="Z5" s="17" t="s">
        <v>676</v>
      </c>
    </row>
    <row r="6" spans="1:26" ht="16.2" thickBot="1" x14ac:dyDescent="0.35">
      <c r="A6" s="22"/>
      <c r="B6" s="23"/>
      <c r="C6" s="24" t="s">
        <v>1</v>
      </c>
      <c r="D6" s="24" t="s">
        <v>2</v>
      </c>
      <c r="E6" s="24" t="s">
        <v>4</v>
      </c>
      <c r="F6" s="23" t="s">
        <v>3</v>
      </c>
      <c r="G6" s="23"/>
      <c r="H6" s="23"/>
      <c r="I6" s="23" t="s">
        <v>5</v>
      </c>
      <c r="J6" s="25" t="s">
        <v>739</v>
      </c>
      <c r="K6" s="23" t="s">
        <v>743</v>
      </c>
      <c r="L6" s="23" t="s">
        <v>741</v>
      </c>
      <c r="M6" s="25" t="s">
        <v>675</v>
      </c>
      <c r="N6" s="23" t="s">
        <v>730</v>
      </c>
      <c r="O6" s="26" t="s">
        <v>6</v>
      </c>
      <c r="P6" s="26" t="s">
        <v>7</v>
      </c>
      <c r="Q6" s="190" t="s">
        <v>1015</v>
      </c>
      <c r="R6" s="190" t="s">
        <v>1017</v>
      </c>
      <c r="S6" s="24" t="s">
        <v>565</v>
      </c>
      <c r="T6" s="26" t="s">
        <v>1019</v>
      </c>
      <c r="U6" s="190" t="s">
        <v>1020</v>
      </c>
      <c r="V6" s="190" t="s">
        <v>1021</v>
      </c>
      <c r="W6" s="26" t="s">
        <v>1024</v>
      </c>
      <c r="X6" s="190" t="s">
        <v>1027</v>
      </c>
      <c r="Y6" s="27" t="s">
        <v>673</v>
      </c>
      <c r="Z6" s="25" t="s">
        <v>675</v>
      </c>
    </row>
    <row r="7" spans="1:26" x14ac:dyDescent="0.3">
      <c r="B7" s="14"/>
      <c r="C7" s="15">
        <f>+'Employee Input 20-21'!C7</f>
        <v>0</v>
      </c>
      <c r="D7" s="15">
        <f>+'Employee Input 20-21'!D7</f>
        <v>0</v>
      </c>
      <c r="E7" s="15">
        <f>+'Employee Input 20-21'!E7</f>
        <v>0</v>
      </c>
      <c r="F7" s="260"/>
      <c r="G7" s="260"/>
      <c r="H7" s="260"/>
      <c r="I7" s="293">
        <f>+'Employee Input 20-21'!I7*(1+$I$2)</f>
        <v>0</v>
      </c>
      <c r="J7" s="10">
        <f>+I7</f>
        <v>0</v>
      </c>
      <c r="K7" s="11">
        <f>+'Employee Input 20-21'!K7</f>
        <v>0</v>
      </c>
      <c r="L7" s="11">
        <f>+'Employee Input 20-21'!L7</f>
        <v>0</v>
      </c>
      <c r="M7" s="10">
        <f>SUM(J7:L7)</f>
        <v>0</v>
      </c>
      <c r="N7" s="16">
        <f>+'Employee Input 20-21'!N7</f>
        <v>0</v>
      </c>
      <c r="O7" s="10" t="str">
        <f>IF($N7="STRS",$O$2*$M7,"")</f>
        <v/>
      </c>
      <c r="P7" s="10" t="str">
        <f>IF($N7="PERS",$P$2*$M7,"")</f>
        <v/>
      </c>
      <c r="Q7" s="10">
        <f>IF($N7="STRS","",$Q$2*$M7)</f>
        <v>0</v>
      </c>
      <c r="R7" s="10">
        <f>$R$2*M7</f>
        <v>0</v>
      </c>
      <c r="S7" s="279"/>
      <c r="T7" s="10" t="str">
        <f>IF($P7="STRS",$Q$2*$O7,"")</f>
        <v/>
      </c>
      <c r="U7" s="12"/>
      <c r="V7" s="12">
        <f>$V$2*$M7</f>
        <v>0</v>
      </c>
      <c r="W7" s="12"/>
      <c r="X7" s="12"/>
      <c r="Y7" s="12">
        <f>SUM(T7:X7,O7:R7)</f>
        <v>0</v>
      </c>
      <c r="Z7" s="12">
        <f>Y7+M7</f>
        <v>0</v>
      </c>
    </row>
    <row r="8" spans="1:26" x14ac:dyDescent="0.3">
      <c r="B8" s="14"/>
      <c r="C8" s="15"/>
      <c r="D8" s="15"/>
      <c r="E8" s="15"/>
      <c r="F8" s="260"/>
      <c r="G8" s="260"/>
      <c r="H8" s="260"/>
      <c r="I8" s="293"/>
      <c r="J8" s="10"/>
      <c r="K8" s="11"/>
      <c r="L8" s="11"/>
      <c r="M8" s="10"/>
      <c r="N8" s="16"/>
      <c r="O8" s="10"/>
      <c r="P8" s="10"/>
      <c r="Q8" s="10"/>
      <c r="R8" s="10"/>
      <c r="S8" s="279"/>
      <c r="T8" s="10"/>
      <c r="U8" s="12"/>
      <c r="V8" s="12"/>
      <c r="W8" s="12"/>
      <c r="X8" s="12"/>
      <c r="Y8" s="12"/>
      <c r="Z8" s="12"/>
    </row>
    <row r="9" spans="1:26" x14ac:dyDescent="0.3">
      <c r="B9" s="14">
        <f>+'Employee Input 20-21'!B9</f>
        <v>1100</v>
      </c>
      <c r="C9" s="15">
        <f>+'Employee Input 20-21'!C9</f>
        <v>0</v>
      </c>
      <c r="D9" s="15" t="str">
        <f>+'Employee Input 20-21'!D9</f>
        <v>Natalie Shoptaw</v>
      </c>
      <c r="E9" s="15" t="str">
        <f>+'Employee Input 20-21'!E9</f>
        <v>Teacher</v>
      </c>
      <c r="F9" s="260">
        <f>+'Employee Input 20-21'!F9</f>
        <v>1</v>
      </c>
      <c r="G9" s="260"/>
      <c r="H9" s="260"/>
      <c r="I9" s="293">
        <v>51055</v>
      </c>
      <c r="J9" s="10">
        <f t="shared" ref="J9:J21" si="0">+I9</f>
        <v>51055</v>
      </c>
      <c r="K9" s="11">
        <v>1250</v>
      </c>
      <c r="L9" s="11">
        <f>+'Employee Input 20-21'!L9</f>
        <v>0</v>
      </c>
      <c r="M9" s="10">
        <f t="shared" ref="M9:M21" si="1">SUM(J9:L9)</f>
        <v>52305</v>
      </c>
      <c r="N9" s="16" t="str">
        <f>+'Employee Input 20-21'!N9</f>
        <v>STRS</v>
      </c>
      <c r="O9" s="10">
        <f t="shared" ref="O9:O15" si="2">IF($N9="STRS",$O$2*$M9,"")</f>
        <v>8850.0059999999994</v>
      </c>
      <c r="P9" s="10" t="str">
        <f t="shared" ref="P9:P15" si="3">IF($N9="PERS",$P$2*$M9,"")</f>
        <v/>
      </c>
      <c r="Q9" s="10" t="str">
        <f t="shared" ref="Q9:Q15" si="4">IF($N9="STRS","",$Q$2*$M9)</f>
        <v/>
      </c>
      <c r="R9" s="10">
        <f t="shared" ref="R9:R15" si="5">$R$2*M9</f>
        <v>758.42250000000001</v>
      </c>
      <c r="S9" s="279"/>
      <c r="T9" s="261">
        <v>11464</v>
      </c>
      <c r="U9" s="12">
        <f>$U$2*F9</f>
        <v>400</v>
      </c>
      <c r="V9" s="12">
        <f t="shared" ref="V9:V15" si="6">$V$2*$M9</f>
        <v>679.96499999999992</v>
      </c>
      <c r="W9" s="12"/>
      <c r="X9" s="12"/>
      <c r="Y9" s="12">
        <f t="shared" ref="Y9:Y21" si="7">SUM(T9:X9,O9:R9)</f>
        <v>22152.393499999998</v>
      </c>
      <c r="Z9" s="12">
        <f t="shared" ref="Z9:Z21" si="8">Y9+M9</f>
        <v>74457.393500000006</v>
      </c>
    </row>
    <row r="10" spans="1:26" x14ac:dyDescent="0.3">
      <c r="B10" s="14">
        <f>+'Employee Input 20-21'!B10</f>
        <v>1100</v>
      </c>
      <c r="C10" s="15">
        <f>+'Employee Input 20-21'!C10</f>
        <v>0</v>
      </c>
      <c r="D10" s="15" t="str">
        <f>+'Employee Input 20-21'!D10</f>
        <v>Dani Krebs</v>
      </c>
      <c r="E10" s="15" t="str">
        <f>+'Employee Input 20-21'!E10</f>
        <v>Teacher</v>
      </c>
      <c r="F10" s="260">
        <f>+'Employee Input 20-21'!F10</f>
        <v>1</v>
      </c>
      <c r="G10" s="260"/>
      <c r="H10" s="260"/>
      <c r="I10" s="293">
        <v>45020</v>
      </c>
      <c r="J10" s="10">
        <f t="shared" si="0"/>
        <v>45020</v>
      </c>
      <c r="K10" s="11"/>
      <c r="L10" s="11">
        <f>+'Employee Input 20-21'!L10</f>
        <v>0</v>
      </c>
      <c r="M10" s="10">
        <f t="shared" si="1"/>
        <v>45020</v>
      </c>
      <c r="N10" s="16" t="str">
        <f>+'Employee Input 20-21'!N10</f>
        <v>STRS</v>
      </c>
      <c r="O10" s="10">
        <f t="shared" si="2"/>
        <v>7617.3839999999991</v>
      </c>
      <c r="P10" s="10" t="str">
        <f t="shared" si="3"/>
        <v/>
      </c>
      <c r="Q10" s="10" t="str">
        <f t="shared" si="4"/>
        <v/>
      </c>
      <c r="R10" s="10">
        <f t="shared" si="5"/>
        <v>652.79000000000008</v>
      </c>
      <c r="S10" s="279"/>
      <c r="T10" s="261">
        <v>9514</v>
      </c>
      <c r="U10" s="12">
        <f>$U$2*F10</f>
        <v>400</v>
      </c>
      <c r="V10" s="12">
        <f t="shared" si="6"/>
        <v>585.26</v>
      </c>
      <c r="W10" s="12"/>
      <c r="X10" s="12"/>
      <c r="Y10" s="12">
        <f t="shared" si="7"/>
        <v>18769.434000000001</v>
      </c>
      <c r="Z10" s="12">
        <f t="shared" si="8"/>
        <v>63789.434000000001</v>
      </c>
    </row>
    <row r="11" spans="1:26" x14ac:dyDescent="0.3">
      <c r="B11" s="14">
        <f>+'Employee Input 20-21'!B11</f>
        <v>1100</v>
      </c>
      <c r="C11" s="15">
        <f>+'Employee Input 20-21'!C11</f>
        <v>0</v>
      </c>
      <c r="D11" s="15" t="s">
        <v>1342</v>
      </c>
      <c r="E11" s="15" t="str">
        <f>+'Employee Input 20-21'!E11</f>
        <v>Teacher</v>
      </c>
      <c r="F11" s="260">
        <f>+'Employee Input 20-21'!F11</f>
        <v>1</v>
      </c>
      <c r="G11" s="260"/>
      <c r="H11" s="260"/>
      <c r="I11" s="293">
        <v>45457</v>
      </c>
      <c r="J11" s="10">
        <f t="shared" si="0"/>
        <v>45457</v>
      </c>
      <c r="K11" s="11"/>
      <c r="L11" s="11">
        <f>+'Employee Input 20-21'!L11</f>
        <v>0</v>
      </c>
      <c r="M11" s="10">
        <f t="shared" si="1"/>
        <v>45457</v>
      </c>
      <c r="N11" s="16" t="str">
        <f>+'Employee Input 20-21'!N11</f>
        <v>STRS</v>
      </c>
      <c r="O11" s="10">
        <f t="shared" si="2"/>
        <v>7691.3243999999995</v>
      </c>
      <c r="P11" s="10" t="str">
        <f t="shared" si="3"/>
        <v/>
      </c>
      <c r="Q11" s="10" t="str">
        <f t="shared" si="4"/>
        <v/>
      </c>
      <c r="R11" s="10">
        <f t="shared" si="5"/>
        <v>659.12650000000008</v>
      </c>
      <c r="S11" s="279"/>
      <c r="T11" s="261">
        <v>0</v>
      </c>
      <c r="U11" s="12">
        <f>$U$2*F11</f>
        <v>400</v>
      </c>
      <c r="V11" s="12">
        <f t="shared" si="6"/>
        <v>590.94099999999992</v>
      </c>
      <c r="W11" s="12"/>
      <c r="X11" s="12"/>
      <c r="Y11" s="12">
        <f t="shared" si="7"/>
        <v>9341.3919000000005</v>
      </c>
      <c r="Z11" s="12">
        <f t="shared" si="8"/>
        <v>54798.391900000002</v>
      </c>
    </row>
    <row r="12" spans="1:26" x14ac:dyDescent="0.3">
      <c r="B12" s="14">
        <f>+'Employee Input 20-21'!B12</f>
        <v>1100</v>
      </c>
      <c r="C12" s="15">
        <f>+'Employee Input 20-21'!C12</f>
        <v>0</v>
      </c>
      <c r="D12" s="15" t="s">
        <v>1343</v>
      </c>
      <c r="E12" s="15" t="str">
        <f>+'Employee Input 20-21'!E12</f>
        <v>Teacher</v>
      </c>
      <c r="F12" s="260">
        <f>+'Employee Input 20-21'!F12</f>
        <v>1</v>
      </c>
      <c r="G12" s="260"/>
      <c r="H12" s="260"/>
      <c r="I12" s="293">
        <v>46244</v>
      </c>
      <c r="J12" s="10">
        <f t="shared" si="0"/>
        <v>46244</v>
      </c>
      <c r="K12" s="11"/>
      <c r="L12" s="11">
        <f>+'Employee Input 20-21'!L12</f>
        <v>750</v>
      </c>
      <c r="M12" s="10">
        <f t="shared" si="1"/>
        <v>46994</v>
      </c>
      <c r="N12" s="16" t="str">
        <f>+'Employee Input 20-21'!N12</f>
        <v>STRS</v>
      </c>
      <c r="O12" s="10">
        <f t="shared" si="2"/>
        <v>7951.3847999999998</v>
      </c>
      <c r="P12" s="10" t="str">
        <f t="shared" si="3"/>
        <v/>
      </c>
      <c r="Q12" s="10" t="str">
        <f t="shared" si="4"/>
        <v/>
      </c>
      <c r="R12" s="10">
        <f t="shared" si="5"/>
        <v>681.41300000000001</v>
      </c>
      <c r="S12" s="279"/>
      <c r="T12" s="261">
        <v>11464</v>
      </c>
      <c r="U12" s="12">
        <f>$U$2*F12</f>
        <v>400</v>
      </c>
      <c r="V12" s="12">
        <f t="shared" si="6"/>
        <v>610.92200000000003</v>
      </c>
      <c r="W12" s="12"/>
      <c r="X12" s="12"/>
      <c r="Y12" s="12">
        <f t="shared" si="7"/>
        <v>21107.719799999999</v>
      </c>
      <c r="Z12" s="12">
        <f t="shared" si="8"/>
        <v>68101.719799999992</v>
      </c>
    </row>
    <row r="13" spans="1:26" x14ac:dyDescent="0.3">
      <c r="A13" s="6" t="s">
        <v>1346</v>
      </c>
      <c r="B13" s="14">
        <f>+'Employee Input 20-21'!B13</f>
        <v>1100</v>
      </c>
      <c r="C13" s="15" t="s">
        <v>1346</v>
      </c>
      <c r="D13" s="15" t="str">
        <f>+'Employee Input 20-21'!D13</f>
        <v>Virginia Varnum</v>
      </c>
      <c r="E13" s="15" t="str">
        <f>+'Employee Input 20-21'!E13</f>
        <v>Reading Specialist</v>
      </c>
      <c r="F13" s="260">
        <v>37</v>
      </c>
      <c r="G13" s="260">
        <f>+'Employee Input 20-21'!G13</f>
        <v>15</v>
      </c>
      <c r="H13" s="260">
        <f>+'Employee Input 20-21'!H13</f>
        <v>36</v>
      </c>
      <c r="I13" s="293">
        <f>F13*G13*H13</f>
        <v>19980</v>
      </c>
      <c r="J13" s="10">
        <f t="shared" si="0"/>
        <v>19980</v>
      </c>
      <c r="K13" s="11">
        <f>+'Employee Input 20-21'!K13</f>
        <v>0</v>
      </c>
      <c r="L13" s="11">
        <f>+'Employee Input 20-21'!L13</f>
        <v>0</v>
      </c>
      <c r="M13" s="10">
        <f t="shared" si="1"/>
        <v>19980</v>
      </c>
      <c r="N13" s="16">
        <f>+'Employee Input 20-21'!N13</f>
        <v>0</v>
      </c>
      <c r="O13" s="10" t="str">
        <f t="shared" si="2"/>
        <v/>
      </c>
      <c r="P13" s="10" t="str">
        <f t="shared" si="3"/>
        <v/>
      </c>
      <c r="Q13" s="10">
        <f t="shared" si="4"/>
        <v>1248.75</v>
      </c>
      <c r="R13" s="10">
        <f t="shared" si="5"/>
        <v>289.71000000000004</v>
      </c>
      <c r="S13" s="279"/>
      <c r="T13" s="261">
        <v>0</v>
      </c>
      <c r="U13" s="12">
        <v>400</v>
      </c>
      <c r="V13" s="12">
        <f t="shared" si="6"/>
        <v>259.74</v>
      </c>
      <c r="W13" s="12"/>
      <c r="X13" s="12"/>
      <c r="Y13" s="12">
        <f t="shared" si="7"/>
        <v>2198.1999999999998</v>
      </c>
      <c r="Z13" s="12">
        <f t="shared" si="8"/>
        <v>22178.2</v>
      </c>
    </row>
    <row r="14" spans="1:26" hidden="1" x14ac:dyDescent="0.3">
      <c r="B14" s="14">
        <f>+'Employee Input 20-21'!B14</f>
        <v>0</v>
      </c>
      <c r="C14" s="15">
        <f>+'Employee Input 20-21'!C14</f>
        <v>0</v>
      </c>
      <c r="D14" s="15">
        <f>+'Employee Input 20-21'!D14</f>
        <v>0</v>
      </c>
      <c r="E14" s="15">
        <f>+'Employee Input 20-21'!E14</f>
        <v>0</v>
      </c>
      <c r="F14" s="260">
        <f>+'Employee Input 20-21'!F14</f>
        <v>0</v>
      </c>
      <c r="G14" s="260">
        <f>+'Employee Input 20-21'!G14</f>
        <v>0</v>
      </c>
      <c r="H14" s="260">
        <f>+'Employee Input 20-21'!H14</f>
        <v>0</v>
      </c>
      <c r="I14" s="293">
        <f>+'Employee Input 20-21'!I14*(1+$I$2)</f>
        <v>0</v>
      </c>
      <c r="J14" s="10">
        <f t="shared" si="0"/>
        <v>0</v>
      </c>
      <c r="K14" s="11">
        <f>+'Employee Input 20-21'!K14</f>
        <v>0</v>
      </c>
      <c r="L14" s="11">
        <f>+'Employee Input 20-21'!L14</f>
        <v>0</v>
      </c>
      <c r="M14" s="10">
        <f t="shared" si="1"/>
        <v>0</v>
      </c>
      <c r="N14" s="16">
        <f>+'Employee Input 20-21'!N14</f>
        <v>0</v>
      </c>
      <c r="O14" s="10" t="str">
        <f t="shared" si="2"/>
        <v/>
      </c>
      <c r="P14" s="10" t="str">
        <f t="shared" si="3"/>
        <v/>
      </c>
      <c r="Q14" s="10">
        <f t="shared" si="4"/>
        <v>0</v>
      </c>
      <c r="R14" s="10">
        <f t="shared" si="5"/>
        <v>0</v>
      </c>
      <c r="S14" s="279"/>
      <c r="T14" s="261"/>
      <c r="U14" s="12">
        <f>$U$2*F14</f>
        <v>0</v>
      </c>
      <c r="V14" s="12">
        <f t="shared" si="6"/>
        <v>0</v>
      </c>
      <c r="W14" s="12"/>
      <c r="X14" s="12"/>
      <c r="Y14" s="12">
        <f t="shared" si="7"/>
        <v>0</v>
      </c>
      <c r="Z14" s="12">
        <f t="shared" si="8"/>
        <v>0</v>
      </c>
    </row>
    <row r="15" spans="1:26" hidden="1" x14ac:dyDescent="0.3">
      <c r="B15" s="14">
        <f>+'Employee Input 20-21'!B15</f>
        <v>0</v>
      </c>
      <c r="C15" s="15">
        <f>+'Employee Input 20-21'!C15</f>
        <v>0</v>
      </c>
      <c r="D15" s="15">
        <f>+'Employee Input 20-21'!D15</f>
        <v>0</v>
      </c>
      <c r="E15" s="15">
        <f>+'Employee Input 20-21'!E15</f>
        <v>0</v>
      </c>
      <c r="F15" s="260">
        <f>+'Employee Input 20-21'!F15</f>
        <v>0</v>
      </c>
      <c r="G15" s="260">
        <f>+'Employee Input 20-21'!G15</f>
        <v>0</v>
      </c>
      <c r="H15" s="260">
        <f>+'Employee Input 20-21'!H15</f>
        <v>0</v>
      </c>
      <c r="I15" s="293">
        <f>+'Employee Input 20-21'!I15*(1+$I$2)</f>
        <v>0</v>
      </c>
      <c r="J15" s="10">
        <f t="shared" si="0"/>
        <v>0</v>
      </c>
      <c r="K15" s="11">
        <f>+'Employee Input 20-21'!K15</f>
        <v>0</v>
      </c>
      <c r="L15" s="11">
        <f>+'Employee Input 20-21'!L15</f>
        <v>0</v>
      </c>
      <c r="M15" s="10">
        <f t="shared" si="1"/>
        <v>0</v>
      </c>
      <c r="N15" s="16">
        <f>+'Employee Input 20-21'!N15</f>
        <v>0</v>
      </c>
      <c r="O15" s="10" t="str">
        <f t="shared" si="2"/>
        <v/>
      </c>
      <c r="P15" s="10" t="str">
        <f t="shared" si="3"/>
        <v/>
      </c>
      <c r="Q15" s="10">
        <f t="shared" si="4"/>
        <v>0</v>
      </c>
      <c r="R15" s="10">
        <f t="shared" si="5"/>
        <v>0</v>
      </c>
      <c r="S15" s="279"/>
      <c r="T15" s="261"/>
      <c r="U15" s="12">
        <f>$U$2*F15</f>
        <v>0</v>
      </c>
      <c r="V15" s="12">
        <f t="shared" si="6"/>
        <v>0</v>
      </c>
      <c r="W15" s="12"/>
      <c r="X15" s="12"/>
      <c r="Y15" s="12">
        <f t="shared" si="7"/>
        <v>0</v>
      </c>
      <c r="Z15" s="12">
        <f t="shared" si="8"/>
        <v>0</v>
      </c>
    </row>
    <row r="16" spans="1:26" hidden="1" x14ac:dyDescent="0.3">
      <c r="B16" s="14"/>
      <c r="C16" s="15"/>
      <c r="D16" s="15"/>
      <c r="E16" s="15"/>
      <c r="F16" s="260"/>
      <c r="G16" s="260">
        <f>+'Employee Input 20-21'!G16</f>
        <v>0</v>
      </c>
      <c r="H16" s="260">
        <f>+'Employee Input 20-21'!H16</f>
        <v>0</v>
      </c>
      <c r="I16" s="293"/>
      <c r="J16" s="10"/>
      <c r="K16" s="11"/>
      <c r="L16" s="11"/>
      <c r="M16" s="10"/>
      <c r="N16" s="16"/>
      <c r="O16" s="10"/>
      <c r="P16" s="10"/>
      <c r="Q16" s="10"/>
      <c r="R16" s="10"/>
      <c r="S16" s="279"/>
      <c r="T16" s="261"/>
      <c r="U16" s="12"/>
      <c r="V16" s="12"/>
      <c r="W16" s="12"/>
      <c r="X16" s="12"/>
      <c r="Y16" s="12"/>
      <c r="Z16" s="12"/>
    </row>
    <row r="17" spans="2:26" hidden="1" x14ac:dyDescent="0.3">
      <c r="B17" s="14">
        <f>+'Employee Input 20-21'!B17</f>
        <v>0</v>
      </c>
      <c r="C17" s="15">
        <f>+'Employee Input 20-21'!C17</f>
        <v>0</v>
      </c>
      <c r="D17" s="15">
        <f>+'Employee Input 20-21'!D17</f>
        <v>0</v>
      </c>
      <c r="E17" s="15">
        <f>+'Employee Input 20-21'!E17</f>
        <v>0</v>
      </c>
      <c r="F17" s="260">
        <f>+'Employee Input 20-21'!F17</f>
        <v>0</v>
      </c>
      <c r="G17" s="260">
        <f>+'Employee Input 20-21'!G17</f>
        <v>0</v>
      </c>
      <c r="H17" s="260">
        <f>+'Employee Input 20-21'!H17</f>
        <v>0</v>
      </c>
      <c r="I17" s="293">
        <f>+'Employee Input 20-21'!I17*(1+$I$2)</f>
        <v>0</v>
      </c>
      <c r="J17" s="10">
        <f t="shared" si="0"/>
        <v>0</v>
      </c>
      <c r="K17" s="11">
        <f>+'Employee Input 20-21'!K17</f>
        <v>0</v>
      </c>
      <c r="L17" s="11">
        <f>+'Employee Input 20-21'!L17</f>
        <v>0</v>
      </c>
      <c r="M17" s="10">
        <f t="shared" si="1"/>
        <v>0</v>
      </c>
      <c r="N17" s="16">
        <f>+'Employee Input 20-21'!N17</f>
        <v>0</v>
      </c>
      <c r="O17" s="10" t="str">
        <f>IF($N17="STRS",$O$2*$M17,"")</f>
        <v/>
      </c>
      <c r="P17" s="10" t="str">
        <f>IF($N17="PERS",$P$2*$M17,"")</f>
        <v/>
      </c>
      <c r="Q17" s="10">
        <f>IF($N17="STRS","",$Q$2*$M17)</f>
        <v>0</v>
      </c>
      <c r="R17" s="10">
        <f>$R$2*M17</f>
        <v>0</v>
      </c>
      <c r="S17" s="279"/>
      <c r="T17" s="261"/>
      <c r="U17" s="12">
        <f>$U$2*F17</f>
        <v>0</v>
      </c>
      <c r="V17" s="12">
        <f>$V$2*$M17</f>
        <v>0</v>
      </c>
      <c r="W17" s="12"/>
      <c r="X17" s="12"/>
      <c r="Y17" s="12">
        <f t="shared" si="7"/>
        <v>0</v>
      </c>
      <c r="Z17" s="12">
        <f t="shared" si="8"/>
        <v>0</v>
      </c>
    </row>
    <row r="18" spans="2:26" hidden="1" x14ac:dyDescent="0.3">
      <c r="B18" s="14">
        <f>+'Employee Input 20-21'!B18</f>
        <v>0</v>
      </c>
      <c r="C18" s="15">
        <f>+'Employee Input 20-21'!C18</f>
        <v>0</v>
      </c>
      <c r="D18" s="15">
        <f>+'Employee Input 20-21'!D18</f>
        <v>0</v>
      </c>
      <c r="E18" s="15">
        <f>+'Employee Input 20-21'!E18</f>
        <v>0</v>
      </c>
      <c r="F18" s="260">
        <v>0</v>
      </c>
      <c r="G18" s="260">
        <f>+'Employee Input 20-21'!G18</f>
        <v>0</v>
      </c>
      <c r="H18" s="260">
        <f>+'Employee Input 20-21'!H18</f>
        <v>0</v>
      </c>
      <c r="I18" s="293">
        <f>+'Employee Input 20-21'!I18*(1+$I$2)</f>
        <v>0</v>
      </c>
      <c r="J18" s="10">
        <f t="shared" si="0"/>
        <v>0</v>
      </c>
      <c r="K18" s="11">
        <f>+'Employee Input 20-21'!K18</f>
        <v>0</v>
      </c>
      <c r="L18" s="11">
        <f>+'Employee Input 20-21'!L18</f>
        <v>0</v>
      </c>
      <c r="M18" s="10">
        <f t="shared" si="1"/>
        <v>0</v>
      </c>
      <c r="N18" s="16">
        <f>+'Employee Input 20-21'!N18</f>
        <v>0</v>
      </c>
      <c r="O18" s="10" t="str">
        <f>IF($N18="STRS",$O$2*$M18,"")</f>
        <v/>
      </c>
      <c r="P18" s="10" t="str">
        <f>IF($N18="PERS",$P$2*$M18,"")</f>
        <v/>
      </c>
      <c r="Q18" s="10">
        <f>IF($N18="STRS","",$Q$2*$M18)</f>
        <v>0</v>
      </c>
      <c r="R18" s="10">
        <f>$R$2*M18</f>
        <v>0</v>
      </c>
      <c r="S18" s="279"/>
      <c r="T18" s="261"/>
      <c r="U18" s="12"/>
      <c r="V18" s="12">
        <f>$V$2*$M18</f>
        <v>0</v>
      </c>
      <c r="W18" s="12"/>
      <c r="X18" s="12"/>
      <c r="Y18" s="12">
        <f t="shared" si="7"/>
        <v>0</v>
      </c>
      <c r="Z18" s="12">
        <f t="shared" si="8"/>
        <v>0</v>
      </c>
    </row>
    <row r="19" spans="2:26" hidden="1" x14ac:dyDescent="0.3">
      <c r="B19" s="14">
        <f>+'Employee Input 20-21'!B19</f>
        <v>0</v>
      </c>
      <c r="C19" s="15">
        <f>+'Employee Input 20-21'!C19</f>
        <v>0</v>
      </c>
      <c r="D19" s="15">
        <f>+'Employee Input 20-21'!D19</f>
        <v>0</v>
      </c>
      <c r="E19" s="15">
        <f>+'Employee Input 20-21'!E19</f>
        <v>0</v>
      </c>
      <c r="F19" s="260">
        <v>0</v>
      </c>
      <c r="G19" s="260">
        <f>+'Employee Input 20-21'!G19</f>
        <v>0</v>
      </c>
      <c r="H19" s="260">
        <f>+'Employee Input 20-21'!H19</f>
        <v>0</v>
      </c>
      <c r="I19" s="293">
        <f>+'Employee Input 20-21'!I19*(1+$I$2)</f>
        <v>0</v>
      </c>
      <c r="J19" s="10">
        <f t="shared" si="0"/>
        <v>0</v>
      </c>
      <c r="K19" s="11">
        <f>+'Employee Input 20-21'!K19</f>
        <v>0</v>
      </c>
      <c r="L19" s="11">
        <f>+'Employee Input 20-21'!L19</f>
        <v>0</v>
      </c>
      <c r="M19" s="10">
        <f t="shared" si="1"/>
        <v>0</v>
      </c>
      <c r="N19" s="16">
        <f>+'Employee Input 20-21'!N19</f>
        <v>0</v>
      </c>
      <c r="O19" s="10" t="str">
        <f>IF($N19="STRS",$O$2*$M19,"")</f>
        <v/>
      </c>
      <c r="P19" s="10" t="str">
        <f>IF($N19="PERS",$P$2*$M19,"")</f>
        <v/>
      </c>
      <c r="Q19" s="10">
        <f>IF($N19="STRS","",$Q$2*$M19)</f>
        <v>0</v>
      </c>
      <c r="R19" s="10">
        <f>$R$2*M19</f>
        <v>0</v>
      </c>
      <c r="S19" s="279"/>
      <c r="T19" s="261"/>
      <c r="U19" s="12"/>
      <c r="V19" s="12">
        <f>$V$2*$M19</f>
        <v>0</v>
      </c>
      <c r="W19" s="12"/>
      <c r="X19" s="12"/>
      <c r="Y19" s="12">
        <f t="shared" si="7"/>
        <v>0</v>
      </c>
      <c r="Z19" s="12">
        <f t="shared" si="8"/>
        <v>0</v>
      </c>
    </row>
    <row r="20" spans="2:26" x14ac:dyDescent="0.3">
      <c r="B20" s="14"/>
      <c r="C20" s="15"/>
      <c r="D20" s="15"/>
      <c r="E20" s="15"/>
      <c r="F20" s="260"/>
      <c r="G20" s="260"/>
      <c r="H20" s="260"/>
      <c r="I20" s="293"/>
      <c r="J20" s="10"/>
      <c r="K20" s="11"/>
      <c r="L20" s="11"/>
      <c r="M20" s="10"/>
      <c r="N20" s="16"/>
      <c r="O20" s="10"/>
      <c r="P20" s="10"/>
      <c r="Q20" s="10"/>
      <c r="R20" s="10"/>
      <c r="S20" s="279"/>
      <c r="T20" s="261"/>
      <c r="U20" s="12"/>
      <c r="V20" s="12"/>
      <c r="W20" s="12"/>
      <c r="X20" s="12"/>
      <c r="Y20" s="12"/>
      <c r="Z20" s="12"/>
    </row>
    <row r="21" spans="2:26" x14ac:dyDescent="0.3">
      <c r="B21" s="14">
        <f>+'Employee Input 20-21'!B21</f>
        <v>1300</v>
      </c>
      <c r="C21" s="15">
        <f>+'Employee Input 20-21'!C21</f>
        <v>0</v>
      </c>
      <c r="D21" s="15" t="s">
        <v>1298</v>
      </c>
      <c r="E21" s="15" t="str">
        <f>+'Employee Input 20-21'!E21</f>
        <v>Principal</v>
      </c>
      <c r="F21" s="260">
        <f>+'Employee Input 20-21'!F21</f>
        <v>1</v>
      </c>
      <c r="G21" s="260"/>
      <c r="H21" s="260"/>
      <c r="I21" s="293">
        <v>67500</v>
      </c>
      <c r="J21" s="10">
        <f t="shared" si="0"/>
        <v>67500</v>
      </c>
      <c r="K21" s="11"/>
      <c r="L21" s="11">
        <f>+'Employee Input 20-21'!L21</f>
        <v>0</v>
      </c>
      <c r="M21" s="10">
        <f t="shared" si="1"/>
        <v>67500</v>
      </c>
      <c r="N21" s="16" t="str">
        <f>+'Employee Input 20-21'!N21</f>
        <v>STRS</v>
      </c>
      <c r="O21" s="10">
        <f>IF($N21="STRS",$O$2*$M21,"")</f>
        <v>11421</v>
      </c>
      <c r="P21" s="10" t="str">
        <f>IF($N21="PERS",$P$2*$M21,"")</f>
        <v/>
      </c>
      <c r="Q21" s="10" t="str">
        <f>IF($N21="STRS","",$Q$2*$M21)</f>
        <v/>
      </c>
      <c r="R21" s="10">
        <f>$R$2*M21</f>
        <v>978.75</v>
      </c>
      <c r="S21" s="279"/>
      <c r="T21" s="261">
        <v>11464</v>
      </c>
      <c r="U21" s="12">
        <f>$U$2*F21</f>
        <v>400</v>
      </c>
      <c r="V21" s="12">
        <f>$V$2*$M21</f>
        <v>877.5</v>
      </c>
      <c r="W21" s="12"/>
      <c r="X21" s="12"/>
      <c r="Y21" s="12">
        <f t="shared" si="7"/>
        <v>25141.25</v>
      </c>
      <c r="Z21" s="12">
        <f t="shared" si="8"/>
        <v>92641.25</v>
      </c>
    </row>
    <row r="22" spans="2:26" x14ac:dyDescent="0.3">
      <c r="B22" s="14"/>
      <c r="C22" s="15"/>
      <c r="D22" s="15"/>
      <c r="E22" s="15"/>
      <c r="F22" s="260"/>
      <c r="G22" s="260"/>
      <c r="H22" s="260"/>
      <c r="I22" s="293"/>
      <c r="J22" s="10"/>
      <c r="K22" s="11"/>
      <c r="L22" s="11"/>
      <c r="M22" s="10"/>
      <c r="N22" s="16"/>
      <c r="O22" s="10"/>
      <c r="P22" s="10"/>
      <c r="Q22" s="10"/>
      <c r="R22" s="10"/>
      <c r="S22" s="279"/>
      <c r="T22" s="261"/>
      <c r="U22" s="12"/>
      <c r="V22" s="12"/>
      <c r="W22" s="12"/>
      <c r="X22" s="12"/>
      <c r="Y22" s="12"/>
      <c r="Z22" s="12"/>
    </row>
    <row r="23" spans="2:26" x14ac:dyDescent="0.3">
      <c r="B23" s="14">
        <f>+'Employee Input 20-21'!B23</f>
        <v>2100</v>
      </c>
      <c r="C23" s="15">
        <f>+'Employee Input 20-21'!C23</f>
        <v>0</v>
      </c>
      <c r="D23" s="15" t="str">
        <f>+'Employee Input 20-21'!D23</f>
        <v>Yesenia Huerta</v>
      </c>
      <c r="E23" s="15" t="str">
        <f>+'Employee Input 20-21'!E23</f>
        <v>Instructional Aide</v>
      </c>
      <c r="F23" s="260">
        <v>18</v>
      </c>
      <c r="G23" s="260">
        <f>+'Employee Input 20-21'!G23</f>
        <v>32</v>
      </c>
      <c r="H23" s="260">
        <v>36</v>
      </c>
      <c r="I23" s="293">
        <f t="shared" ref="I23:I30" si="9">F23*G23*H23</f>
        <v>20736</v>
      </c>
      <c r="J23" s="10">
        <f t="shared" ref="J23:J32" si="10">+I23</f>
        <v>20736</v>
      </c>
      <c r="K23" s="11">
        <f>+'Employee Input 20-21'!K23</f>
        <v>0</v>
      </c>
      <c r="L23" s="11">
        <f>+'Employee Input 20-21'!L23</f>
        <v>0</v>
      </c>
      <c r="M23" s="10">
        <f t="shared" ref="M23:M32" si="11">SUM(J23:L23)</f>
        <v>20736</v>
      </c>
      <c r="N23" s="16">
        <f>+'Employee Input 20-21'!N23</f>
        <v>0</v>
      </c>
      <c r="O23" s="10" t="str">
        <f t="shared" ref="O23:O32" si="12">IF($N23="STRS",$O$2*$M23,"")</f>
        <v/>
      </c>
      <c r="P23" s="10" t="str">
        <f t="shared" ref="P23:P32" si="13">IF($N23="PERS",$P$2*$M23,"")</f>
        <v/>
      </c>
      <c r="Q23" s="10">
        <f t="shared" ref="Q23:Q32" si="14">IF($N23="STRS","",$Q$2*$M23)</f>
        <v>1296</v>
      </c>
      <c r="R23" s="10">
        <f t="shared" ref="R23:R32" si="15">$R$2*M23</f>
        <v>300.67200000000003</v>
      </c>
      <c r="S23" s="279"/>
      <c r="T23" s="261">
        <v>0</v>
      </c>
      <c r="U23" s="12">
        <v>400</v>
      </c>
      <c r="V23" s="12">
        <f t="shared" ref="V23:V32" si="16">$V$2*$M23</f>
        <v>269.56799999999998</v>
      </c>
      <c r="W23" s="12"/>
      <c r="X23" s="12"/>
      <c r="Y23" s="12">
        <f t="shared" ref="Y23:Y32" si="17">SUM(T23:X23,O23:R23)</f>
        <v>2266.2399999999998</v>
      </c>
      <c r="Z23" s="12">
        <f t="shared" ref="Z23:Z32" si="18">Y23+M23</f>
        <v>23002.239999999998</v>
      </c>
    </row>
    <row r="24" spans="2:26" x14ac:dyDescent="0.3">
      <c r="B24" s="14">
        <f>+'Employee Input 20-21'!B24</f>
        <v>2100</v>
      </c>
      <c r="C24" s="15">
        <f>+'Employee Input 20-21'!C24</f>
        <v>0</v>
      </c>
      <c r="D24" s="15" t="str">
        <f>+'Employee Input 20-21'!D24</f>
        <v>Rebecca Deerwater</v>
      </c>
      <c r="E24" s="15" t="str">
        <f>+'Employee Input 20-21'!E24</f>
        <v>Instructional Aide</v>
      </c>
      <c r="F24" s="326">
        <v>14.9</v>
      </c>
      <c r="G24" s="260">
        <f>+'Employee Input 20-21'!G24</f>
        <v>30</v>
      </c>
      <c r="H24" s="260">
        <f>+'Employee Input 20-21'!H24</f>
        <v>36</v>
      </c>
      <c r="I24" s="293">
        <f t="shared" si="9"/>
        <v>16092</v>
      </c>
      <c r="J24" s="10">
        <f t="shared" si="10"/>
        <v>16092</v>
      </c>
      <c r="K24" s="11"/>
      <c r="L24" s="11">
        <f>+'Employee Input 20-21'!L24</f>
        <v>0</v>
      </c>
      <c r="M24" s="10">
        <f t="shared" si="11"/>
        <v>16092</v>
      </c>
      <c r="N24" s="16">
        <f>+'Employee Input 20-21'!N24</f>
        <v>0</v>
      </c>
      <c r="O24" s="10" t="str">
        <f t="shared" si="12"/>
        <v/>
      </c>
      <c r="P24" s="10" t="str">
        <f t="shared" si="13"/>
        <v/>
      </c>
      <c r="Q24" s="10">
        <f t="shared" si="14"/>
        <v>1005.75</v>
      </c>
      <c r="R24" s="10">
        <f t="shared" si="15"/>
        <v>233.334</v>
      </c>
      <c r="S24" s="279"/>
      <c r="T24" s="261"/>
      <c r="U24" s="12">
        <v>400</v>
      </c>
      <c r="V24" s="12">
        <f t="shared" si="16"/>
        <v>209.196</v>
      </c>
      <c r="W24" s="12"/>
      <c r="X24" s="12"/>
      <c r="Y24" s="12">
        <f t="shared" si="17"/>
        <v>1848.28</v>
      </c>
      <c r="Z24" s="12">
        <f t="shared" si="18"/>
        <v>17940.28</v>
      </c>
    </row>
    <row r="25" spans="2:26" x14ac:dyDescent="0.3">
      <c r="B25" s="14">
        <f>+'Employee Input 20-21'!B25</f>
        <v>2100</v>
      </c>
      <c r="C25" s="15">
        <f>+'Employee Input 20-21'!C25</f>
        <v>0</v>
      </c>
      <c r="D25" s="15" t="str">
        <f>+'Employee Input 20-21'!D25</f>
        <v>Sofia Duran</v>
      </c>
      <c r="E25" s="15" t="str">
        <f>+'Employee Input 20-21'!E25</f>
        <v>Instructional Aide</v>
      </c>
      <c r="F25" s="260">
        <v>14.9</v>
      </c>
      <c r="G25" s="260">
        <f>+'Employee Input 20-21'!G25</f>
        <v>30</v>
      </c>
      <c r="H25" s="260">
        <f>+'Employee Input 20-21'!H25</f>
        <v>36</v>
      </c>
      <c r="I25" s="293">
        <f t="shared" si="9"/>
        <v>16092</v>
      </c>
      <c r="J25" s="10">
        <f t="shared" si="10"/>
        <v>16092</v>
      </c>
      <c r="K25" s="11">
        <f>+'Employee Input 20-21'!K25</f>
        <v>0</v>
      </c>
      <c r="L25" s="11">
        <f>+'Employee Input 20-21'!L25</f>
        <v>0</v>
      </c>
      <c r="M25" s="10">
        <f t="shared" si="11"/>
        <v>16092</v>
      </c>
      <c r="N25" s="16">
        <f>+'Employee Input 20-21'!N25</f>
        <v>0</v>
      </c>
      <c r="O25" s="10" t="str">
        <f t="shared" si="12"/>
        <v/>
      </c>
      <c r="P25" s="10" t="str">
        <f t="shared" si="13"/>
        <v/>
      </c>
      <c r="Q25" s="10">
        <f t="shared" si="14"/>
        <v>1005.75</v>
      </c>
      <c r="R25" s="10">
        <f t="shared" si="15"/>
        <v>233.334</v>
      </c>
      <c r="S25" s="279"/>
      <c r="T25" s="261"/>
      <c r="U25" s="12">
        <v>400</v>
      </c>
      <c r="V25" s="12">
        <f t="shared" si="16"/>
        <v>209.196</v>
      </c>
      <c r="W25" s="12"/>
      <c r="X25" s="12"/>
      <c r="Y25" s="12">
        <f t="shared" si="17"/>
        <v>1848.28</v>
      </c>
      <c r="Z25" s="12">
        <f t="shared" si="18"/>
        <v>17940.28</v>
      </c>
    </row>
    <row r="26" spans="2:26" x14ac:dyDescent="0.3">
      <c r="B26" s="14">
        <f>+'Employee Input 20-21'!B26</f>
        <v>2100</v>
      </c>
      <c r="C26" s="15" t="s">
        <v>1346</v>
      </c>
      <c r="D26" s="15" t="str">
        <f>+'Employee Input 20-21'!D26</f>
        <v>Madeline Brink</v>
      </c>
      <c r="E26" s="15" t="str">
        <f>+'Employee Input 20-21'!E26</f>
        <v>Instructional Aide</v>
      </c>
      <c r="F26" s="260">
        <v>15.15</v>
      </c>
      <c r="G26" s="260">
        <f>+'Employee Input 20-21'!G26</f>
        <v>15</v>
      </c>
      <c r="H26" s="260">
        <f>+'Employee Input 20-21'!H26</f>
        <v>36</v>
      </c>
      <c r="I26" s="293">
        <f t="shared" si="9"/>
        <v>8181</v>
      </c>
      <c r="J26" s="10">
        <f t="shared" si="10"/>
        <v>8181</v>
      </c>
      <c r="K26" s="11">
        <f>+'Employee Input 20-21'!K26</f>
        <v>0</v>
      </c>
      <c r="L26" s="11">
        <f>+'Employee Input 20-21'!L26</f>
        <v>0</v>
      </c>
      <c r="M26" s="10">
        <f t="shared" si="11"/>
        <v>8181</v>
      </c>
      <c r="N26" s="16">
        <f>+'Employee Input 20-21'!N26</f>
        <v>0</v>
      </c>
      <c r="O26" s="10" t="str">
        <f t="shared" si="12"/>
        <v/>
      </c>
      <c r="P26" s="10" t="str">
        <f t="shared" si="13"/>
        <v/>
      </c>
      <c r="Q26" s="10">
        <f t="shared" si="14"/>
        <v>511.3125</v>
      </c>
      <c r="R26" s="10">
        <f t="shared" si="15"/>
        <v>118.62450000000001</v>
      </c>
      <c r="S26" s="279"/>
      <c r="T26" s="261"/>
      <c r="U26" s="12">
        <v>400</v>
      </c>
      <c r="V26" s="12">
        <f t="shared" si="16"/>
        <v>106.35299999999999</v>
      </c>
      <c r="W26" s="12"/>
      <c r="X26" s="12"/>
      <c r="Y26" s="12">
        <f t="shared" si="17"/>
        <v>1136.29</v>
      </c>
      <c r="Z26" s="12">
        <f t="shared" si="18"/>
        <v>9317.2900000000009</v>
      </c>
    </row>
    <row r="27" spans="2:26" x14ac:dyDescent="0.3">
      <c r="B27" s="14">
        <f>+'Employee Input 20-21'!B27</f>
        <v>2100</v>
      </c>
      <c r="C27" s="15" t="s">
        <v>1348</v>
      </c>
      <c r="D27" s="15" t="str">
        <f>+'Employee Input 20-21'!D27</f>
        <v>Rana Adams</v>
      </c>
      <c r="E27" s="15" t="s">
        <v>1344</v>
      </c>
      <c r="F27" s="260">
        <v>22</v>
      </c>
      <c r="G27" s="260">
        <v>40</v>
      </c>
      <c r="H27" s="260">
        <v>36</v>
      </c>
      <c r="I27" s="293">
        <f t="shared" si="9"/>
        <v>31680</v>
      </c>
      <c r="J27" s="10">
        <f t="shared" si="10"/>
        <v>31680</v>
      </c>
      <c r="K27" s="11">
        <f>+'Employee Input 20-21'!K27</f>
        <v>0</v>
      </c>
      <c r="L27" s="11">
        <f>+'Employee Input 20-21'!L27</f>
        <v>693</v>
      </c>
      <c r="M27" s="10">
        <f t="shared" si="11"/>
        <v>32373</v>
      </c>
      <c r="N27" s="16">
        <f>+'Employee Input 20-21'!N27</f>
        <v>0</v>
      </c>
      <c r="O27" s="10" t="str">
        <f t="shared" si="12"/>
        <v/>
      </c>
      <c r="P27" s="10" t="str">
        <f t="shared" si="13"/>
        <v/>
      </c>
      <c r="Q27" s="10">
        <f t="shared" si="14"/>
        <v>2023.3125</v>
      </c>
      <c r="R27" s="10">
        <f t="shared" si="15"/>
        <v>469.4085</v>
      </c>
      <c r="S27" s="279"/>
      <c r="T27" s="261">
        <v>9514</v>
      </c>
      <c r="U27" s="12">
        <v>400</v>
      </c>
      <c r="V27" s="12">
        <f t="shared" si="16"/>
        <v>420.84899999999999</v>
      </c>
      <c r="W27" s="12"/>
      <c r="X27" s="12"/>
      <c r="Y27" s="12">
        <f t="shared" si="17"/>
        <v>12827.57</v>
      </c>
      <c r="Z27" s="12">
        <f t="shared" si="18"/>
        <v>45200.57</v>
      </c>
    </row>
    <row r="28" spans="2:26" x14ac:dyDescent="0.3">
      <c r="B28" s="14">
        <f>+'Employee Input 20-21'!B28</f>
        <v>2100</v>
      </c>
      <c r="C28" s="15">
        <f>+'Employee Input 20-21'!C28</f>
        <v>0</v>
      </c>
      <c r="D28" s="15" t="str">
        <f>+'Employee Input 20-21'!D28</f>
        <v>W. Kimmelman</v>
      </c>
      <c r="E28" s="15" t="str">
        <f>+'Employee Input 20-21'!E28</f>
        <v>Instructional Aide</v>
      </c>
      <c r="F28" s="260">
        <v>28</v>
      </c>
      <c r="G28" s="260">
        <f>+'Employee Input 20-21'!G28</f>
        <v>14</v>
      </c>
      <c r="H28" s="260">
        <f>+'Employee Input 20-21'!H28</f>
        <v>36</v>
      </c>
      <c r="I28" s="293">
        <f t="shared" si="9"/>
        <v>14112</v>
      </c>
      <c r="J28" s="10">
        <f t="shared" si="10"/>
        <v>14112</v>
      </c>
      <c r="K28" s="11">
        <f>+'Employee Input 20-21'!K28</f>
        <v>0</v>
      </c>
      <c r="L28" s="11">
        <f>+'Employee Input 20-21'!L28</f>
        <v>0</v>
      </c>
      <c r="M28" s="10">
        <f t="shared" si="11"/>
        <v>14112</v>
      </c>
      <c r="N28" s="16">
        <f>+'Employee Input 20-21'!N28</f>
        <v>0</v>
      </c>
      <c r="O28" s="10" t="str">
        <f t="shared" si="12"/>
        <v/>
      </c>
      <c r="P28" s="10" t="str">
        <f t="shared" si="13"/>
        <v/>
      </c>
      <c r="Q28" s="10">
        <f t="shared" si="14"/>
        <v>882</v>
      </c>
      <c r="R28" s="10">
        <f t="shared" si="15"/>
        <v>204.62400000000002</v>
      </c>
      <c r="S28" s="279"/>
      <c r="T28" s="261">
        <v>0</v>
      </c>
      <c r="U28" s="12">
        <v>400</v>
      </c>
      <c r="V28" s="12">
        <f t="shared" si="16"/>
        <v>183.45599999999999</v>
      </c>
      <c r="W28" s="12"/>
      <c r="X28" s="12"/>
      <c r="Y28" s="12">
        <f t="shared" si="17"/>
        <v>1670.0800000000002</v>
      </c>
      <c r="Z28" s="12">
        <f t="shared" si="18"/>
        <v>15782.08</v>
      </c>
    </row>
    <row r="29" spans="2:26" x14ac:dyDescent="0.3">
      <c r="B29" s="14">
        <f>+'Employee Input 20-21'!B29</f>
        <v>2100</v>
      </c>
      <c r="C29" s="15">
        <f>+'Employee Input 20-21'!C29</f>
        <v>0</v>
      </c>
      <c r="D29" s="15" t="s">
        <v>1347</v>
      </c>
      <c r="E29" s="15" t="str">
        <f>+'Employee Input 20-21'!E29</f>
        <v>Instructional Aide</v>
      </c>
      <c r="F29" s="260">
        <v>14</v>
      </c>
      <c r="G29" s="260">
        <f>+'Employee Input 20-21'!G29</f>
        <v>32</v>
      </c>
      <c r="H29" s="260">
        <v>36</v>
      </c>
      <c r="I29" s="293">
        <f t="shared" si="9"/>
        <v>16128</v>
      </c>
      <c r="J29" s="10">
        <f t="shared" si="10"/>
        <v>16128</v>
      </c>
      <c r="K29" s="11"/>
      <c r="L29" s="11">
        <f>+'Employee Input 20-21'!L29</f>
        <v>0</v>
      </c>
      <c r="M29" s="10">
        <f t="shared" si="11"/>
        <v>16128</v>
      </c>
      <c r="N29" s="16">
        <f>+'Employee Input 20-21'!N29</f>
        <v>0</v>
      </c>
      <c r="O29" s="10" t="str">
        <f t="shared" si="12"/>
        <v/>
      </c>
      <c r="P29" s="10" t="str">
        <f t="shared" si="13"/>
        <v/>
      </c>
      <c r="Q29" s="10">
        <f t="shared" si="14"/>
        <v>1008</v>
      </c>
      <c r="R29" s="10">
        <f t="shared" si="15"/>
        <v>233.85600000000002</v>
      </c>
      <c r="S29" s="279"/>
      <c r="T29" s="10"/>
      <c r="U29" s="12">
        <v>400</v>
      </c>
      <c r="V29" s="12">
        <f t="shared" si="16"/>
        <v>209.66399999999999</v>
      </c>
      <c r="W29" s="12"/>
      <c r="X29" s="12"/>
      <c r="Y29" s="12">
        <f t="shared" si="17"/>
        <v>1851.52</v>
      </c>
      <c r="Z29" s="12">
        <f t="shared" si="18"/>
        <v>17979.52</v>
      </c>
    </row>
    <row r="30" spans="2:26" x14ac:dyDescent="0.3">
      <c r="B30" s="14">
        <f>+'Employee Input 20-21'!B30</f>
        <v>2200</v>
      </c>
      <c r="C30" s="15" t="str">
        <f>+'Employee Input 20-21'!C30</f>
        <v>Title 1</v>
      </c>
      <c r="D30" s="15" t="str">
        <f>+'Employee Input 20-21'!D30</f>
        <v>Marsha Bartholomay</v>
      </c>
      <c r="E30" s="15" t="str">
        <f>+'Employee Input 20-21'!E30</f>
        <v>Counselor</v>
      </c>
      <c r="F30" s="260">
        <v>28.3</v>
      </c>
      <c r="G30" s="260">
        <f>+'Employee Input 20-21'!G30</f>
        <v>25</v>
      </c>
      <c r="H30" s="260">
        <f>+'Employee Input 20-21'!H30</f>
        <v>38</v>
      </c>
      <c r="I30" s="293">
        <f t="shared" si="9"/>
        <v>26885</v>
      </c>
      <c r="J30" s="10">
        <f t="shared" si="10"/>
        <v>26885</v>
      </c>
      <c r="K30" s="11">
        <f>+'Employee Input 20-21'!K30</f>
        <v>0</v>
      </c>
      <c r="L30" s="11">
        <f>+'Employee Input 20-21'!L30</f>
        <v>0</v>
      </c>
      <c r="M30" s="10">
        <f t="shared" si="11"/>
        <v>26885</v>
      </c>
      <c r="N30" s="16">
        <f>+'Employee Input 20-21'!N30</f>
        <v>0</v>
      </c>
      <c r="O30" s="10" t="str">
        <f t="shared" si="12"/>
        <v/>
      </c>
      <c r="P30" s="10" t="str">
        <f t="shared" si="13"/>
        <v/>
      </c>
      <c r="Q30" s="10">
        <f t="shared" si="14"/>
        <v>1680.3125</v>
      </c>
      <c r="R30" s="10">
        <f t="shared" si="15"/>
        <v>389.83250000000004</v>
      </c>
      <c r="S30" s="279"/>
      <c r="T30" s="10"/>
      <c r="U30" s="12">
        <v>400</v>
      </c>
      <c r="V30" s="12">
        <f t="shared" si="16"/>
        <v>349.505</v>
      </c>
      <c r="W30" s="12"/>
      <c r="X30" s="12"/>
      <c r="Y30" s="12">
        <f t="shared" si="17"/>
        <v>2819.65</v>
      </c>
      <c r="Z30" s="12">
        <f t="shared" si="18"/>
        <v>29704.65</v>
      </c>
    </row>
    <row r="31" spans="2:26" x14ac:dyDescent="0.3">
      <c r="B31" s="14">
        <f>+'Employee Input 20-21'!B31</f>
        <v>2400</v>
      </c>
      <c r="C31" s="15">
        <f>+'Employee Input 20-21'!C31</f>
        <v>0</v>
      </c>
      <c r="D31" s="15" t="str">
        <f>+'Employee Input 20-21'!D31</f>
        <v>Marcia Mollett</v>
      </c>
      <c r="E31" s="15" t="str">
        <f>+'Employee Input 20-21'!E31</f>
        <v>Support</v>
      </c>
      <c r="F31" s="260">
        <v>18.55</v>
      </c>
      <c r="G31" s="260">
        <f>+'Employee Input 20-21'!G31</f>
        <v>38</v>
      </c>
      <c r="H31" s="260">
        <f>+'Employee Input 20-21'!H31</f>
        <v>38</v>
      </c>
      <c r="I31" s="293">
        <f>F31*G31*H31</f>
        <v>26786.2</v>
      </c>
      <c r="J31" s="10">
        <f t="shared" si="10"/>
        <v>26786.2</v>
      </c>
      <c r="K31" s="11">
        <f>+'Employee Input 20-21'!K31</f>
        <v>0</v>
      </c>
      <c r="L31" s="11">
        <f>+'Employee Input 20-21'!L31</f>
        <v>0</v>
      </c>
      <c r="M31" s="10">
        <f t="shared" si="11"/>
        <v>26786.2</v>
      </c>
      <c r="N31" s="16">
        <f>+'Employee Input 20-21'!N31</f>
        <v>0</v>
      </c>
      <c r="O31" s="10" t="str">
        <f t="shared" si="12"/>
        <v/>
      </c>
      <c r="P31" s="10" t="str">
        <f t="shared" si="13"/>
        <v/>
      </c>
      <c r="Q31" s="10">
        <f t="shared" si="14"/>
        <v>1674.1375</v>
      </c>
      <c r="R31" s="10">
        <f t="shared" si="15"/>
        <v>388.3999</v>
      </c>
      <c r="S31" s="279"/>
      <c r="T31" s="10"/>
      <c r="U31" s="12">
        <v>400</v>
      </c>
      <c r="V31" s="12">
        <f t="shared" si="16"/>
        <v>348.22059999999999</v>
      </c>
      <c r="W31" s="12"/>
      <c r="X31" s="12"/>
      <c r="Y31" s="12">
        <f t="shared" si="17"/>
        <v>2810.7579999999998</v>
      </c>
      <c r="Z31" s="12">
        <f t="shared" si="18"/>
        <v>29596.957999999999</v>
      </c>
    </row>
    <row r="32" spans="2:26" x14ac:dyDescent="0.3">
      <c r="B32" s="14">
        <f>+'Employee Input 20-21'!B32</f>
        <v>2900</v>
      </c>
      <c r="C32" s="15">
        <f>+'Employee Input 20-21'!C32</f>
        <v>0</v>
      </c>
      <c r="D32" s="15" t="str">
        <f>+'Employee Input 20-21'!D32</f>
        <v>Vacant</v>
      </c>
      <c r="E32" s="15" t="str">
        <f>+'Employee Input 20-21'!E32</f>
        <v>Lunch Aide</v>
      </c>
      <c r="F32" s="260">
        <f>+'Employee Input 20-21'!F32</f>
        <v>0</v>
      </c>
      <c r="G32" s="260">
        <f>+'Employee Input 20-21'!G32</f>
        <v>20</v>
      </c>
      <c r="H32" s="260">
        <f>+'Employee Input 20-21'!H32</f>
        <v>36</v>
      </c>
      <c r="I32" s="293">
        <f>+'Employee Input 20-21'!I32*(1+$I$2)</f>
        <v>0</v>
      </c>
      <c r="J32" s="10">
        <f t="shared" si="10"/>
        <v>0</v>
      </c>
      <c r="K32" s="11">
        <f>+'Employee Input 20-21'!K32</f>
        <v>0</v>
      </c>
      <c r="L32" s="11">
        <f>+'Employee Input 20-21'!L32</f>
        <v>0</v>
      </c>
      <c r="M32" s="10">
        <f t="shared" si="11"/>
        <v>0</v>
      </c>
      <c r="N32" s="16">
        <f>+'Employee Input 20-21'!N32</f>
        <v>0</v>
      </c>
      <c r="O32" s="10" t="str">
        <f t="shared" si="12"/>
        <v/>
      </c>
      <c r="P32" s="10" t="str">
        <f t="shared" si="13"/>
        <v/>
      </c>
      <c r="Q32" s="10">
        <f t="shared" si="14"/>
        <v>0</v>
      </c>
      <c r="R32" s="10">
        <f t="shared" si="15"/>
        <v>0</v>
      </c>
      <c r="S32" s="279"/>
      <c r="T32" s="10"/>
      <c r="U32" s="12">
        <v>400</v>
      </c>
      <c r="V32" s="12">
        <f t="shared" si="16"/>
        <v>0</v>
      </c>
      <c r="W32" s="12"/>
      <c r="X32" s="12"/>
      <c r="Y32" s="12">
        <f t="shared" si="17"/>
        <v>400</v>
      </c>
      <c r="Z32" s="12">
        <f t="shared" si="18"/>
        <v>400</v>
      </c>
    </row>
    <row r="33" spans="2:26" x14ac:dyDescent="0.3">
      <c r="B33" s="14"/>
      <c r="C33" s="15"/>
      <c r="D33" s="15"/>
      <c r="E33" s="15"/>
      <c r="F33" s="260"/>
      <c r="G33" s="260"/>
      <c r="H33" s="260"/>
      <c r="I33" s="293"/>
      <c r="J33" s="10"/>
      <c r="K33" s="11"/>
      <c r="L33" s="11"/>
      <c r="M33" s="10"/>
      <c r="N33" s="16"/>
      <c r="O33" s="10"/>
      <c r="P33" s="10"/>
      <c r="Q33" s="10"/>
      <c r="R33" s="10"/>
      <c r="S33" s="279"/>
      <c r="U33" s="12"/>
      <c r="V33" s="12"/>
      <c r="W33" s="12"/>
      <c r="X33" s="12"/>
      <c r="Y33" s="12"/>
      <c r="Z33" s="12"/>
    </row>
    <row r="34" spans="2:26" ht="12" hidden="1" customHeight="1" x14ac:dyDescent="0.3">
      <c r="B34" s="14"/>
      <c r="C34" s="15"/>
      <c r="D34" s="15"/>
      <c r="E34" s="15"/>
      <c r="F34" s="260"/>
      <c r="G34" s="260"/>
      <c r="H34" s="260"/>
      <c r="I34" s="293"/>
      <c r="J34" s="10"/>
      <c r="K34" s="11"/>
      <c r="L34" s="11"/>
      <c r="M34" s="10"/>
      <c r="N34" s="16"/>
      <c r="O34" s="10"/>
      <c r="P34" s="10"/>
      <c r="Q34" s="10"/>
      <c r="R34" s="10"/>
      <c r="S34" s="279"/>
      <c r="T34" s="12"/>
      <c r="U34" s="12"/>
      <c r="V34" s="12"/>
      <c r="W34" s="12"/>
      <c r="X34" s="12"/>
      <c r="Y34" s="12"/>
      <c r="Z34" s="12"/>
    </row>
    <row r="35" spans="2:26" hidden="1" x14ac:dyDescent="0.3">
      <c r="B35" s="14"/>
      <c r="C35" s="15"/>
      <c r="D35" s="15"/>
      <c r="E35" s="15"/>
      <c r="F35" s="260"/>
      <c r="G35" s="260"/>
      <c r="H35" s="260"/>
      <c r="I35" s="293"/>
      <c r="J35" s="10"/>
      <c r="K35" s="11"/>
      <c r="L35" s="11"/>
      <c r="M35" s="10"/>
      <c r="N35" s="16"/>
      <c r="O35" s="10"/>
      <c r="P35" s="10"/>
      <c r="Q35" s="10"/>
      <c r="R35" s="10"/>
      <c r="S35" s="279"/>
      <c r="T35" s="12"/>
      <c r="U35" s="12"/>
      <c r="V35" s="12"/>
      <c r="W35" s="12"/>
      <c r="X35" s="12"/>
      <c r="Y35" s="12"/>
      <c r="Z35" s="12"/>
    </row>
    <row r="36" spans="2:26" hidden="1" x14ac:dyDescent="0.3">
      <c r="B36" s="14"/>
      <c r="C36" s="15"/>
      <c r="D36" s="15"/>
      <c r="E36" s="15"/>
      <c r="F36" s="260"/>
      <c r="G36" s="260"/>
      <c r="H36" s="260"/>
      <c r="I36" s="293"/>
      <c r="J36" s="10"/>
      <c r="K36" s="11"/>
      <c r="L36" s="11"/>
      <c r="M36" s="10"/>
      <c r="N36" s="16"/>
      <c r="O36" s="10"/>
      <c r="P36" s="10"/>
      <c r="Q36" s="10"/>
      <c r="R36" s="10"/>
      <c r="S36" s="279"/>
      <c r="T36" s="12"/>
      <c r="U36" s="12"/>
      <c r="V36" s="12"/>
      <c r="W36" s="12"/>
      <c r="X36" s="12"/>
      <c r="Y36" s="12"/>
      <c r="Z36" s="12"/>
    </row>
    <row r="37" spans="2:26" hidden="1" x14ac:dyDescent="0.3">
      <c r="B37" s="14"/>
      <c r="C37" s="15"/>
      <c r="D37" s="15"/>
      <c r="E37" s="15"/>
      <c r="F37" s="260"/>
      <c r="G37" s="260"/>
      <c r="H37" s="260"/>
      <c r="I37" s="293"/>
      <c r="J37" s="10"/>
      <c r="K37" s="11"/>
      <c r="L37" s="11"/>
      <c r="M37" s="10"/>
      <c r="N37" s="16"/>
      <c r="O37" s="10"/>
      <c r="P37" s="10"/>
      <c r="Q37" s="10"/>
      <c r="R37" s="10"/>
      <c r="S37" s="279"/>
      <c r="T37" s="12"/>
      <c r="U37" s="12"/>
      <c r="V37" s="12"/>
      <c r="W37" s="12"/>
      <c r="X37" s="12"/>
      <c r="Y37" s="12"/>
      <c r="Z37" s="12"/>
    </row>
    <row r="38" spans="2:26" hidden="1" x14ac:dyDescent="0.3">
      <c r="B38" s="14"/>
      <c r="C38" s="15"/>
      <c r="D38" s="15"/>
      <c r="E38" s="15"/>
      <c r="F38" s="260"/>
      <c r="G38" s="260"/>
      <c r="H38" s="260"/>
      <c r="I38" s="293"/>
      <c r="J38" s="10"/>
      <c r="K38" s="11"/>
      <c r="L38" s="11"/>
      <c r="M38" s="10"/>
      <c r="N38" s="16"/>
      <c r="O38" s="10"/>
      <c r="P38" s="10"/>
      <c r="Q38" s="10"/>
      <c r="R38" s="10"/>
      <c r="S38" s="279"/>
      <c r="T38" s="12"/>
      <c r="U38" s="12"/>
      <c r="V38" s="12"/>
      <c r="W38" s="12"/>
      <c r="X38" s="12"/>
      <c r="Y38" s="12"/>
      <c r="Z38" s="12"/>
    </row>
    <row r="39" spans="2:26" hidden="1" x14ac:dyDescent="0.3">
      <c r="B39" s="14"/>
      <c r="C39" s="15"/>
      <c r="D39" s="15"/>
      <c r="E39" s="15"/>
      <c r="F39" s="260"/>
      <c r="G39" s="260"/>
      <c r="H39" s="260"/>
      <c r="I39" s="293"/>
      <c r="J39" s="10"/>
      <c r="K39" s="11"/>
      <c r="L39" s="11"/>
      <c r="M39" s="10"/>
      <c r="N39" s="16"/>
      <c r="O39" s="10"/>
      <c r="P39" s="10"/>
      <c r="Q39" s="10"/>
      <c r="R39" s="10"/>
      <c r="S39" s="279"/>
      <c r="T39" s="12"/>
      <c r="U39" s="12"/>
      <c r="V39" s="12"/>
      <c r="W39" s="12"/>
      <c r="X39" s="12"/>
      <c r="Y39" s="12"/>
      <c r="Z39" s="12"/>
    </row>
    <row r="40" spans="2:26" hidden="1" x14ac:dyDescent="0.3">
      <c r="B40" s="14"/>
      <c r="C40" s="15"/>
      <c r="D40" s="15"/>
      <c r="E40" s="15"/>
      <c r="F40" s="260"/>
      <c r="G40" s="260"/>
      <c r="H40" s="260"/>
      <c r="I40" s="293"/>
      <c r="J40" s="10"/>
      <c r="K40" s="11"/>
      <c r="L40" s="11"/>
      <c r="M40" s="10"/>
      <c r="N40" s="16"/>
      <c r="O40" s="10"/>
      <c r="P40" s="10"/>
      <c r="Q40" s="10"/>
      <c r="R40" s="10"/>
      <c r="S40" s="279"/>
      <c r="T40" s="12"/>
      <c r="U40" s="12"/>
      <c r="V40" s="12"/>
      <c r="W40" s="12"/>
      <c r="X40" s="12"/>
      <c r="Y40" s="12"/>
      <c r="Z40" s="12"/>
    </row>
    <row r="41" spans="2:26" hidden="1" x14ac:dyDescent="0.3">
      <c r="B41" s="14"/>
      <c r="C41" s="15"/>
      <c r="D41" s="15"/>
      <c r="E41" s="15"/>
      <c r="F41" s="260"/>
      <c r="G41" s="260"/>
      <c r="H41" s="260"/>
      <c r="I41" s="293"/>
      <c r="J41" s="10"/>
      <c r="K41" s="11"/>
      <c r="L41" s="11"/>
      <c r="M41" s="10"/>
      <c r="N41" s="16"/>
      <c r="O41" s="10"/>
      <c r="P41" s="10"/>
      <c r="Q41" s="10"/>
      <c r="R41" s="10"/>
      <c r="S41" s="279"/>
      <c r="T41" s="12"/>
      <c r="U41" s="12"/>
      <c r="V41" s="12"/>
      <c r="W41" s="12"/>
      <c r="X41" s="12"/>
      <c r="Y41" s="12"/>
      <c r="Z41" s="12"/>
    </row>
    <row r="42" spans="2:26" hidden="1" x14ac:dyDescent="0.3">
      <c r="B42" s="14"/>
      <c r="C42" s="15"/>
      <c r="D42" s="15"/>
      <c r="E42" s="15"/>
      <c r="F42" s="260"/>
      <c r="G42" s="260"/>
      <c r="H42" s="260"/>
      <c r="I42" s="293"/>
      <c r="J42" s="10"/>
      <c r="K42" s="11"/>
      <c r="L42" s="11"/>
      <c r="M42" s="10"/>
      <c r="N42" s="16"/>
      <c r="O42" s="10"/>
      <c r="P42" s="10"/>
      <c r="Q42" s="10"/>
      <c r="R42" s="10"/>
      <c r="S42" s="279"/>
      <c r="T42" s="12"/>
      <c r="U42" s="12"/>
      <c r="V42" s="12"/>
      <c r="W42" s="12"/>
      <c r="X42" s="12"/>
      <c r="Y42" s="12"/>
      <c r="Z42" s="12"/>
    </row>
    <row r="43" spans="2:26" hidden="1" x14ac:dyDescent="0.3">
      <c r="B43" s="14"/>
      <c r="C43" s="15"/>
      <c r="D43" s="15"/>
      <c r="E43" s="15"/>
      <c r="F43" s="260"/>
      <c r="G43" s="260"/>
      <c r="H43" s="260"/>
      <c r="I43" s="293"/>
      <c r="J43" s="10"/>
      <c r="K43" s="11"/>
      <c r="L43" s="11"/>
      <c r="M43" s="10"/>
      <c r="N43" s="16"/>
      <c r="O43" s="10"/>
      <c r="P43" s="10"/>
      <c r="Q43" s="10"/>
      <c r="R43" s="10"/>
      <c r="S43" s="279"/>
      <c r="T43" s="12"/>
      <c r="U43" s="12"/>
      <c r="V43" s="12"/>
      <c r="W43" s="12"/>
      <c r="X43" s="12"/>
      <c r="Y43" s="12"/>
      <c r="Z43" s="12"/>
    </row>
    <row r="44" spans="2:26" hidden="1" x14ac:dyDescent="0.3">
      <c r="B44" s="14"/>
      <c r="C44" s="15"/>
      <c r="D44" s="15"/>
      <c r="E44" s="15"/>
      <c r="F44" s="260"/>
      <c r="G44" s="260"/>
      <c r="H44" s="260"/>
      <c r="I44" s="293"/>
      <c r="J44" s="10"/>
      <c r="K44" s="11"/>
      <c r="L44" s="11"/>
      <c r="M44" s="10"/>
      <c r="N44" s="16"/>
      <c r="O44" s="10"/>
      <c r="P44" s="10"/>
      <c r="Q44" s="10"/>
      <c r="R44" s="10"/>
      <c r="S44" s="279"/>
      <c r="T44" s="12"/>
      <c r="U44" s="12"/>
      <c r="V44" s="12"/>
      <c r="W44" s="12"/>
      <c r="X44" s="12"/>
      <c r="Y44" s="12"/>
      <c r="Z44" s="12"/>
    </row>
    <row r="45" spans="2:26" hidden="1" x14ac:dyDescent="0.3">
      <c r="B45" s="14"/>
      <c r="C45" s="15"/>
      <c r="D45" s="15"/>
      <c r="E45" s="15"/>
      <c r="F45" s="260"/>
      <c r="G45" s="260"/>
      <c r="H45" s="260"/>
      <c r="I45" s="293"/>
      <c r="J45" s="10"/>
      <c r="K45" s="11"/>
      <c r="L45" s="11"/>
      <c r="M45" s="10"/>
      <c r="N45" s="16"/>
      <c r="O45" s="10"/>
      <c r="P45" s="10"/>
      <c r="Q45" s="10"/>
      <c r="R45" s="10"/>
      <c r="S45" s="279"/>
      <c r="T45" s="12"/>
      <c r="U45" s="12"/>
      <c r="V45" s="12"/>
      <c r="W45" s="12"/>
      <c r="X45" s="12"/>
      <c r="Y45" s="12"/>
      <c r="Z45" s="12"/>
    </row>
    <row r="46" spans="2:26" hidden="1" x14ac:dyDescent="0.3">
      <c r="B46" s="14"/>
      <c r="C46" s="15"/>
      <c r="D46" s="15"/>
      <c r="E46" s="15"/>
      <c r="F46" s="260"/>
      <c r="G46" s="260"/>
      <c r="H46" s="260"/>
      <c r="I46" s="293"/>
      <c r="J46" s="10"/>
      <c r="K46" s="11"/>
      <c r="L46" s="11"/>
      <c r="M46" s="10"/>
      <c r="N46" s="16"/>
      <c r="O46" s="10"/>
      <c r="P46" s="10"/>
      <c r="Q46" s="10"/>
      <c r="R46" s="10"/>
      <c r="S46" s="279"/>
      <c r="T46" s="12"/>
      <c r="U46" s="12"/>
      <c r="V46" s="12"/>
      <c r="W46" s="12"/>
      <c r="X46" s="12"/>
      <c r="Y46" s="12"/>
      <c r="Z46" s="12"/>
    </row>
    <row r="47" spans="2:26" hidden="1" x14ac:dyDescent="0.3">
      <c r="B47" s="14"/>
      <c r="C47" s="15"/>
      <c r="D47" s="15"/>
      <c r="E47" s="15"/>
      <c r="F47" s="260"/>
      <c r="G47" s="260"/>
      <c r="H47" s="260"/>
      <c r="I47" s="293"/>
      <c r="J47" s="10"/>
      <c r="K47" s="11"/>
      <c r="L47" s="11"/>
      <c r="M47" s="10"/>
      <c r="N47" s="16"/>
      <c r="O47" s="10"/>
      <c r="P47" s="10"/>
      <c r="Q47" s="10"/>
      <c r="R47" s="10"/>
      <c r="S47" s="279"/>
      <c r="T47" s="12"/>
      <c r="U47" s="12"/>
      <c r="V47" s="12"/>
      <c r="W47" s="12"/>
      <c r="X47" s="12"/>
      <c r="Y47" s="12"/>
      <c r="Z47" s="12"/>
    </row>
    <row r="48" spans="2:26" hidden="1" x14ac:dyDescent="0.3">
      <c r="B48" s="14"/>
      <c r="C48" s="15"/>
      <c r="D48" s="15"/>
      <c r="E48" s="15"/>
      <c r="F48" s="260"/>
      <c r="G48" s="260"/>
      <c r="H48" s="260"/>
      <c r="I48" s="293"/>
      <c r="J48" s="10"/>
      <c r="K48" s="11"/>
      <c r="L48" s="11"/>
      <c r="M48" s="10"/>
      <c r="N48" s="16"/>
      <c r="O48" s="10"/>
      <c r="P48" s="10"/>
      <c r="Q48" s="10"/>
      <c r="R48" s="10"/>
      <c r="S48" s="279"/>
      <c r="T48" s="12"/>
      <c r="U48" s="12"/>
      <c r="V48" s="12"/>
      <c r="W48" s="12"/>
      <c r="X48" s="12"/>
      <c r="Y48" s="12"/>
      <c r="Z48" s="12"/>
    </row>
    <row r="49" spans="2:26" hidden="1" x14ac:dyDescent="0.3">
      <c r="B49" s="14"/>
      <c r="C49" s="15"/>
      <c r="D49" s="15"/>
      <c r="E49" s="15"/>
      <c r="F49" s="260"/>
      <c r="G49" s="260"/>
      <c r="H49" s="260"/>
      <c r="I49" s="293"/>
      <c r="J49" s="10"/>
      <c r="K49" s="11"/>
      <c r="L49" s="11"/>
      <c r="M49" s="10"/>
      <c r="N49" s="16"/>
      <c r="O49" s="10"/>
      <c r="P49" s="10"/>
      <c r="Q49" s="10"/>
      <c r="R49" s="10"/>
      <c r="S49" s="279"/>
      <c r="T49" s="12"/>
      <c r="U49" s="12"/>
      <c r="V49" s="12"/>
      <c r="W49" s="12"/>
      <c r="X49" s="12"/>
      <c r="Y49" s="12"/>
      <c r="Z49" s="12"/>
    </row>
    <row r="50" spans="2:26" hidden="1" x14ac:dyDescent="0.3">
      <c r="B50" s="14"/>
      <c r="C50" s="15"/>
      <c r="D50" s="15"/>
      <c r="E50" s="15"/>
      <c r="F50" s="260"/>
      <c r="G50" s="260"/>
      <c r="H50" s="260"/>
      <c r="I50" s="293"/>
      <c r="J50" s="10"/>
      <c r="K50" s="11"/>
      <c r="L50" s="11"/>
      <c r="M50" s="10"/>
      <c r="N50" s="16"/>
      <c r="O50" s="10"/>
      <c r="P50" s="10"/>
      <c r="Q50" s="10"/>
      <c r="R50" s="10"/>
      <c r="S50" s="279"/>
      <c r="T50" s="12"/>
      <c r="U50" s="12"/>
      <c r="V50" s="12"/>
      <c r="W50" s="12"/>
      <c r="X50" s="12"/>
      <c r="Y50" s="12"/>
      <c r="Z50" s="12"/>
    </row>
    <row r="51" spans="2:26" hidden="1" x14ac:dyDescent="0.3">
      <c r="B51" s="14"/>
      <c r="C51" s="15"/>
      <c r="D51" s="15"/>
      <c r="E51" s="15"/>
      <c r="F51" s="260"/>
      <c r="G51" s="260"/>
      <c r="H51" s="260"/>
      <c r="I51" s="293"/>
      <c r="J51" s="10"/>
      <c r="K51" s="11"/>
      <c r="L51" s="11"/>
      <c r="M51" s="10"/>
      <c r="N51" s="16"/>
      <c r="O51" s="10"/>
      <c r="P51" s="10"/>
      <c r="Q51" s="10"/>
      <c r="R51" s="10"/>
      <c r="S51" s="279"/>
      <c r="T51" s="12"/>
      <c r="U51" s="12"/>
      <c r="V51" s="12"/>
      <c r="W51" s="12"/>
      <c r="X51" s="12"/>
      <c r="Y51" s="12"/>
      <c r="Z51" s="12"/>
    </row>
    <row r="52" spans="2:26" hidden="1" x14ac:dyDescent="0.3">
      <c r="B52" s="14"/>
      <c r="C52" s="15"/>
      <c r="D52" s="15"/>
      <c r="E52" s="15"/>
      <c r="F52" s="260"/>
      <c r="G52" s="260"/>
      <c r="H52" s="260"/>
      <c r="I52" s="293"/>
      <c r="J52" s="10"/>
      <c r="K52" s="11"/>
      <c r="L52" s="11"/>
      <c r="M52" s="10"/>
      <c r="N52" s="16"/>
      <c r="O52" s="10"/>
      <c r="P52" s="10"/>
      <c r="Q52" s="10"/>
      <c r="R52" s="10"/>
      <c r="S52" s="279"/>
      <c r="T52" s="12"/>
      <c r="U52" s="12"/>
      <c r="V52" s="12"/>
      <c r="W52" s="12"/>
      <c r="X52" s="12"/>
      <c r="Y52" s="12"/>
      <c r="Z52" s="12"/>
    </row>
    <row r="53" spans="2:26" hidden="1" x14ac:dyDescent="0.3">
      <c r="B53" s="14"/>
      <c r="C53" s="15"/>
      <c r="D53" s="15"/>
      <c r="E53" s="15"/>
      <c r="F53" s="260"/>
      <c r="G53" s="260"/>
      <c r="H53" s="260"/>
      <c r="I53" s="293"/>
      <c r="J53" s="10"/>
      <c r="K53" s="11"/>
      <c r="L53" s="11"/>
      <c r="M53" s="10"/>
      <c r="N53" s="16"/>
      <c r="O53" s="10"/>
      <c r="P53" s="10"/>
      <c r="Q53" s="10"/>
      <c r="R53" s="10"/>
      <c r="S53" s="279"/>
      <c r="T53" s="12"/>
      <c r="U53" s="12"/>
      <c r="V53" s="12"/>
      <c r="W53" s="12"/>
      <c r="X53" s="12"/>
      <c r="Y53" s="12"/>
      <c r="Z53" s="12"/>
    </row>
    <row r="54" spans="2:26" hidden="1" x14ac:dyDescent="0.3">
      <c r="B54" s="14"/>
      <c r="C54" s="15"/>
      <c r="D54" s="15"/>
      <c r="E54" s="15"/>
      <c r="F54" s="260"/>
      <c r="G54" s="260"/>
      <c r="H54" s="260"/>
      <c r="I54" s="293"/>
      <c r="J54" s="10"/>
      <c r="K54" s="11"/>
      <c r="L54" s="11"/>
      <c r="M54" s="10"/>
      <c r="N54" s="16"/>
      <c r="O54" s="10"/>
      <c r="P54" s="10"/>
      <c r="Q54" s="10"/>
      <c r="R54" s="10"/>
      <c r="S54" s="279"/>
      <c r="T54" s="12"/>
      <c r="U54" s="12"/>
      <c r="V54" s="12"/>
      <c r="W54" s="12"/>
      <c r="X54" s="12"/>
      <c r="Y54" s="12"/>
      <c r="Z54" s="12"/>
    </row>
    <row r="55" spans="2:26" hidden="1" x14ac:dyDescent="0.3">
      <c r="B55" s="14"/>
      <c r="C55" s="15"/>
      <c r="D55" s="15"/>
      <c r="E55" s="15"/>
      <c r="F55" s="260"/>
      <c r="G55" s="260"/>
      <c r="H55" s="260"/>
      <c r="I55" s="293"/>
      <c r="J55" s="10"/>
      <c r="K55" s="11"/>
      <c r="L55" s="11"/>
      <c r="M55" s="10"/>
      <c r="N55" s="16"/>
      <c r="O55" s="10"/>
      <c r="P55" s="10"/>
      <c r="Q55" s="10"/>
      <c r="R55" s="10"/>
      <c r="S55" s="279"/>
      <c r="T55" s="12"/>
      <c r="U55" s="12"/>
      <c r="V55" s="12"/>
      <c r="W55" s="12"/>
      <c r="X55" s="12"/>
      <c r="Y55" s="12"/>
      <c r="Z55" s="12"/>
    </row>
    <row r="56" spans="2:26" hidden="1" x14ac:dyDescent="0.3">
      <c r="B56" s="14"/>
      <c r="C56" s="15"/>
      <c r="D56" s="15"/>
      <c r="E56" s="15"/>
      <c r="F56" s="260"/>
      <c r="G56" s="260"/>
      <c r="H56" s="260"/>
      <c r="I56" s="293"/>
      <c r="J56" s="10"/>
      <c r="K56" s="11"/>
      <c r="L56" s="11"/>
      <c r="M56" s="10"/>
      <c r="N56" s="16"/>
      <c r="O56" s="10"/>
      <c r="P56" s="10"/>
      <c r="Q56" s="10"/>
      <c r="R56" s="10"/>
      <c r="S56" s="279"/>
      <c r="T56" s="12"/>
      <c r="U56" s="12"/>
      <c r="V56" s="12"/>
      <c r="W56" s="12"/>
      <c r="X56" s="12"/>
      <c r="Y56" s="12"/>
      <c r="Z56" s="12"/>
    </row>
    <row r="57" spans="2:26" hidden="1" x14ac:dyDescent="0.3">
      <c r="B57" s="14"/>
      <c r="C57" s="15"/>
      <c r="D57" s="15"/>
      <c r="E57" s="15"/>
      <c r="F57" s="260"/>
      <c r="G57" s="260"/>
      <c r="H57" s="260"/>
      <c r="I57" s="293"/>
      <c r="J57" s="10"/>
      <c r="K57" s="11"/>
      <c r="L57" s="11"/>
      <c r="M57" s="10"/>
      <c r="N57" s="16"/>
      <c r="O57" s="10"/>
      <c r="P57" s="10"/>
      <c r="Q57" s="10"/>
      <c r="R57" s="10"/>
      <c r="S57" s="279"/>
      <c r="T57" s="12"/>
      <c r="U57" s="12"/>
      <c r="V57" s="12"/>
      <c r="W57" s="12"/>
      <c r="X57" s="12"/>
      <c r="Y57" s="12"/>
      <c r="Z57" s="12"/>
    </row>
    <row r="58" spans="2:26" hidden="1" x14ac:dyDescent="0.3">
      <c r="B58" s="14"/>
      <c r="C58" s="15"/>
      <c r="D58" s="15"/>
      <c r="E58" s="15"/>
      <c r="F58" s="260"/>
      <c r="G58" s="260"/>
      <c r="H58" s="260"/>
      <c r="I58" s="293"/>
      <c r="J58" s="10"/>
      <c r="K58" s="11"/>
      <c r="L58" s="11"/>
      <c r="M58" s="10"/>
      <c r="N58" s="16"/>
      <c r="O58" s="10"/>
      <c r="P58" s="10"/>
      <c r="Q58" s="10"/>
      <c r="R58" s="10"/>
      <c r="S58" s="279"/>
      <c r="T58" s="12"/>
      <c r="U58" s="12"/>
      <c r="V58" s="12"/>
      <c r="W58" s="12"/>
      <c r="X58" s="12"/>
      <c r="Y58" s="12"/>
      <c r="Z58" s="12"/>
    </row>
    <row r="59" spans="2:26" hidden="1" x14ac:dyDescent="0.3">
      <c r="B59" s="14"/>
      <c r="C59" s="15"/>
      <c r="D59" s="15"/>
      <c r="E59" s="15"/>
      <c r="F59" s="260"/>
      <c r="G59" s="260"/>
      <c r="H59" s="260"/>
      <c r="I59" s="293"/>
      <c r="J59" s="10"/>
      <c r="K59" s="11"/>
      <c r="L59" s="11"/>
      <c r="M59" s="10"/>
      <c r="N59" s="16"/>
      <c r="O59" s="10"/>
      <c r="P59" s="10"/>
      <c r="Q59" s="10"/>
      <c r="R59" s="10"/>
      <c r="S59" s="279"/>
      <c r="T59" s="12"/>
      <c r="U59" s="12"/>
      <c r="V59" s="12"/>
      <c r="W59" s="12"/>
      <c r="X59" s="12"/>
      <c r="Y59" s="12"/>
      <c r="Z59" s="12"/>
    </row>
    <row r="60" spans="2:26" hidden="1" x14ac:dyDescent="0.3">
      <c r="B60" s="14"/>
      <c r="C60" s="15"/>
      <c r="D60" s="15"/>
      <c r="E60" s="15"/>
      <c r="F60" s="260"/>
      <c r="G60" s="260"/>
      <c r="H60" s="260"/>
      <c r="I60" s="293"/>
      <c r="J60" s="10"/>
      <c r="K60" s="11"/>
      <c r="L60" s="11"/>
      <c r="M60" s="10"/>
      <c r="N60" s="16"/>
      <c r="O60" s="10"/>
      <c r="P60" s="10"/>
      <c r="Q60" s="10"/>
      <c r="R60" s="10"/>
      <c r="S60" s="279"/>
      <c r="T60" s="12"/>
      <c r="U60" s="12"/>
      <c r="V60" s="12"/>
      <c r="W60" s="12"/>
      <c r="X60" s="12"/>
      <c r="Y60" s="12"/>
      <c r="Z60" s="12"/>
    </row>
    <row r="61" spans="2:26" hidden="1" x14ac:dyDescent="0.3">
      <c r="B61" s="14"/>
      <c r="C61" s="15"/>
      <c r="D61" s="15"/>
      <c r="E61" s="15"/>
      <c r="F61" s="260"/>
      <c r="G61" s="260"/>
      <c r="H61" s="260"/>
      <c r="I61" s="293"/>
      <c r="J61" s="10"/>
      <c r="K61" s="11"/>
      <c r="L61" s="11"/>
      <c r="M61" s="10"/>
      <c r="N61" s="16"/>
      <c r="O61" s="10"/>
      <c r="P61" s="10"/>
      <c r="Q61" s="10"/>
      <c r="R61" s="10"/>
      <c r="S61" s="279"/>
      <c r="T61" s="12"/>
      <c r="U61" s="12"/>
      <c r="V61" s="12"/>
      <c r="W61" s="12"/>
      <c r="X61" s="12"/>
      <c r="Y61" s="12"/>
      <c r="Z61" s="12"/>
    </row>
    <row r="62" spans="2:26" hidden="1" x14ac:dyDescent="0.3">
      <c r="B62" s="14"/>
      <c r="C62" s="15"/>
      <c r="D62" s="15"/>
      <c r="E62" s="15"/>
      <c r="F62" s="260"/>
      <c r="G62" s="260"/>
      <c r="H62" s="260"/>
      <c r="I62" s="293"/>
      <c r="J62" s="10"/>
      <c r="K62" s="11"/>
      <c r="L62" s="11"/>
      <c r="M62" s="10"/>
      <c r="N62" s="16"/>
      <c r="O62" s="10"/>
      <c r="P62" s="10"/>
      <c r="Q62" s="10"/>
      <c r="R62" s="10"/>
      <c r="S62" s="279"/>
      <c r="T62" s="12"/>
      <c r="U62" s="12"/>
      <c r="V62" s="12"/>
      <c r="W62" s="12"/>
      <c r="X62" s="12"/>
      <c r="Y62" s="12"/>
      <c r="Z62" s="12"/>
    </row>
    <row r="63" spans="2:26" hidden="1" x14ac:dyDescent="0.3">
      <c r="B63" s="14"/>
      <c r="C63" s="15"/>
      <c r="D63" s="15"/>
      <c r="E63" s="15"/>
      <c r="F63" s="260"/>
      <c r="G63" s="260"/>
      <c r="H63" s="260"/>
      <c r="I63" s="293"/>
      <c r="J63" s="10"/>
      <c r="K63" s="11"/>
      <c r="L63" s="11"/>
      <c r="M63" s="10"/>
      <c r="N63" s="16"/>
      <c r="O63" s="10"/>
      <c r="P63" s="10"/>
      <c r="Q63" s="10"/>
      <c r="R63" s="10"/>
      <c r="S63" s="279"/>
      <c r="T63" s="12"/>
      <c r="U63" s="12"/>
      <c r="V63" s="12"/>
      <c r="W63" s="12"/>
      <c r="X63" s="12"/>
      <c r="Y63" s="12"/>
      <c r="Z63" s="12"/>
    </row>
    <row r="64" spans="2:26" hidden="1" x14ac:dyDescent="0.3">
      <c r="B64" s="14"/>
      <c r="C64" s="15"/>
      <c r="D64" s="15"/>
      <c r="E64" s="15"/>
      <c r="F64" s="260"/>
      <c r="G64" s="260"/>
      <c r="H64" s="260"/>
      <c r="I64" s="293"/>
      <c r="J64" s="10"/>
      <c r="K64" s="11"/>
      <c r="L64" s="11"/>
      <c r="M64" s="10"/>
      <c r="N64" s="16"/>
      <c r="O64" s="10"/>
      <c r="P64" s="10"/>
      <c r="Q64" s="10"/>
      <c r="R64" s="10"/>
      <c r="S64" s="279"/>
      <c r="T64" s="12"/>
      <c r="U64" s="12"/>
      <c r="V64" s="12"/>
      <c r="W64" s="12"/>
      <c r="X64" s="12"/>
      <c r="Y64" s="12"/>
      <c r="Z64" s="12"/>
    </row>
    <row r="65" spans="2:26" hidden="1" x14ac:dyDescent="0.3">
      <c r="B65" s="14"/>
      <c r="C65" s="15"/>
      <c r="D65" s="15"/>
      <c r="E65" s="15"/>
      <c r="F65" s="260"/>
      <c r="G65" s="260"/>
      <c r="H65" s="260"/>
      <c r="I65" s="293"/>
      <c r="J65" s="10"/>
      <c r="K65" s="11"/>
      <c r="L65" s="11"/>
      <c r="M65" s="10"/>
      <c r="N65" s="16"/>
      <c r="O65" s="10"/>
      <c r="P65" s="10"/>
      <c r="Q65" s="10"/>
      <c r="R65" s="10"/>
      <c r="S65" s="279"/>
      <c r="T65" s="12"/>
      <c r="U65" s="12"/>
      <c r="V65" s="12"/>
      <c r="W65" s="12"/>
      <c r="X65" s="12"/>
      <c r="Y65" s="12"/>
      <c r="Z65" s="12"/>
    </row>
    <row r="66" spans="2:26" hidden="1" x14ac:dyDescent="0.3">
      <c r="B66" s="14"/>
      <c r="C66" s="15"/>
      <c r="D66" s="15"/>
      <c r="E66" s="15"/>
      <c r="F66" s="260"/>
      <c r="G66" s="260"/>
      <c r="H66" s="260"/>
      <c r="I66" s="293"/>
      <c r="J66" s="10"/>
      <c r="K66" s="11"/>
      <c r="L66" s="11"/>
      <c r="M66" s="10"/>
      <c r="N66" s="16"/>
      <c r="O66" s="10"/>
      <c r="P66" s="10"/>
      <c r="Q66" s="10"/>
      <c r="R66" s="10"/>
      <c r="S66" s="279"/>
      <c r="T66" s="12"/>
      <c r="U66" s="12"/>
      <c r="V66" s="12"/>
      <c r="W66" s="12"/>
      <c r="X66" s="12"/>
      <c r="Y66" s="12"/>
      <c r="Z66" s="12"/>
    </row>
    <row r="67" spans="2:26" hidden="1" x14ac:dyDescent="0.3">
      <c r="B67" s="14"/>
      <c r="C67" s="15"/>
      <c r="D67" s="15"/>
      <c r="E67" s="15"/>
      <c r="F67" s="260"/>
      <c r="G67" s="260"/>
      <c r="H67" s="260"/>
      <c r="I67" s="293"/>
      <c r="J67" s="10"/>
      <c r="K67" s="11"/>
      <c r="L67" s="11"/>
      <c r="M67" s="10"/>
      <c r="N67" s="16"/>
      <c r="O67" s="10"/>
      <c r="P67" s="10"/>
      <c r="Q67" s="10"/>
      <c r="R67" s="10"/>
      <c r="S67" s="279"/>
      <c r="T67" s="12"/>
      <c r="U67" s="12"/>
      <c r="V67" s="12"/>
      <c r="W67" s="12"/>
      <c r="X67" s="12"/>
      <c r="Y67" s="12"/>
      <c r="Z67" s="12"/>
    </row>
    <row r="68" spans="2:26" hidden="1" x14ac:dyDescent="0.3">
      <c r="B68" s="14"/>
      <c r="C68" s="15"/>
      <c r="D68" s="15"/>
      <c r="E68" s="15"/>
      <c r="F68" s="260"/>
      <c r="G68" s="260"/>
      <c r="H68" s="260"/>
      <c r="I68" s="293"/>
      <c r="J68" s="10"/>
      <c r="K68" s="11"/>
      <c r="L68" s="11"/>
      <c r="M68" s="10"/>
      <c r="N68" s="16"/>
      <c r="O68" s="10"/>
      <c r="P68" s="10"/>
      <c r="Q68" s="10"/>
      <c r="R68" s="10"/>
      <c r="S68" s="279"/>
      <c r="T68" s="12"/>
      <c r="U68" s="12"/>
      <c r="V68" s="12"/>
      <c r="W68" s="12"/>
      <c r="X68" s="12"/>
      <c r="Y68" s="12"/>
      <c r="Z68" s="12"/>
    </row>
    <row r="69" spans="2:26" hidden="1" x14ac:dyDescent="0.3">
      <c r="B69" s="14"/>
      <c r="C69" s="15"/>
      <c r="D69" s="15"/>
      <c r="E69" s="15"/>
      <c r="F69" s="260"/>
      <c r="G69" s="260"/>
      <c r="H69" s="260"/>
      <c r="I69" s="293"/>
      <c r="J69" s="10"/>
      <c r="K69" s="11"/>
      <c r="L69" s="11"/>
      <c r="M69" s="10"/>
      <c r="N69" s="16"/>
      <c r="O69" s="10"/>
      <c r="P69" s="10"/>
      <c r="Q69" s="10"/>
      <c r="R69" s="10"/>
      <c r="S69" s="279"/>
      <c r="T69" s="12"/>
      <c r="U69" s="12"/>
      <c r="V69" s="12"/>
      <c r="W69" s="12"/>
      <c r="X69" s="12"/>
      <c r="Y69" s="12"/>
      <c r="Z69" s="12"/>
    </row>
    <row r="70" spans="2:26" hidden="1" x14ac:dyDescent="0.3">
      <c r="B70" s="14"/>
      <c r="C70" s="15"/>
      <c r="D70" s="15"/>
      <c r="E70" s="15"/>
      <c r="F70" s="260"/>
      <c r="G70" s="260"/>
      <c r="H70" s="260"/>
      <c r="I70" s="293"/>
      <c r="J70" s="10"/>
      <c r="K70" s="11"/>
      <c r="L70" s="11"/>
      <c r="M70" s="10"/>
      <c r="N70" s="16"/>
      <c r="O70" s="10"/>
      <c r="P70" s="10"/>
      <c r="Q70" s="10"/>
      <c r="R70" s="10"/>
      <c r="S70" s="279"/>
      <c r="T70" s="12"/>
      <c r="U70" s="12"/>
      <c r="V70" s="12"/>
      <c r="W70" s="12"/>
      <c r="X70" s="12"/>
      <c r="Y70" s="12"/>
      <c r="Z70" s="12"/>
    </row>
    <row r="71" spans="2:26" hidden="1" x14ac:dyDescent="0.3">
      <c r="B71" s="14"/>
      <c r="C71" s="15"/>
      <c r="D71" s="15"/>
      <c r="E71" s="15"/>
      <c r="F71" s="260"/>
      <c r="G71" s="260"/>
      <c r="H71" s="260"/>
      <c r="I71" s="293"/>
      <c r="J71" s="10"/>
      <c r="K71" s="11"/>
      <c r="L71" s="11"/>
      <c r="M71" s="10"/>
      <c r="N71" s="16"/>
      <c r="O71" s="10"/>
      <c r="P71" s="10"/>
      <c r="Q71" s="10"/>
      <c r="R71" s="10"/>
      <c r="S71" s="279"/>
      <c r="T71" s="12"/>
      <c r="U71" s="12"/>
      <c r="V71" s="12"/>
      <c r="W71" s="12"/>
      <c r="X71" s="12"/>
      <c r="Y71" s="12"/>
      <c r="Z71" s="12"/>
    </row>
    <row r="72" spans="2:26" hidden="1" x14ac:dyDescent="0.3">
      <c r="B72" s="14"/>
      <c r="C72" s="15"/>
      <c r="D72" s="15"/>
      <c r="E72" s="15"/>
      <c r="F72" s="260"/>
      <c r="G72" s="260"/>
      <c r="H72" s="260"/>
      <c r="I72" s="293"/>
      <c r="J72" s="10"/>
      <c r="K72" s="11"/>
      <c r="L72" s="11"/>
      <c r="M72" s="10"/>
      <c r="N72" s="16"/>
      <c r="O72" s="10"/>
      <c r="P72" s="10"/>
      <c r="Q72" s="10"/>
      <c r="R72" s="10"/>
      <c r="S72" s="279"/>
      <c r="T72" s="12"/>
      <c r="U72" s="12"/>
      <c r="V72" s="12"/>
      <c r="W72" s="12"/>
      <c r="X72" s="12"/>
      <c r="Y72" s="12"/>
      <c r="Z72" s="12"/>
    </row>
    <row r="73" spans="2:26" hidden="1" x14ac:dyDescent="0.3">
      <c r="B73" s="14"/>
      <c r="C73" s="15"/>
      <c r="D73" s="15"/>
      <c r="E73" s="15"/>
      <c r="F73" s="260"/>
      <c r="G73" s="260"/>
      <c r="H73" s="260"/>
      <c r="I73" s="293"/>
      <c r="J73" s="10"/>
      <c r="K73" s="11"/>
      <c r="L73" s="11"/>
      <c r="M73" s="10"/>
      <c r="N73" s="16"/>
      <c r="O73" s="10"/>
      <c r="P73" s="10"/>
      <c r="Q73" s="10"/>
      <c r="R73" s="10"/>
      <c r="S73" s="279"/>
      <c r="T73" s="12"/>
      <c r="U73" s="12"/>
      <c r="V73" s="12"/>
      <c r="W73" s="12"/>
      <c r="X73" s="12"/>
      <c r="Y73" s="12"/>
      <c r="Z73" s="12"/>
    </row>
    <row r="74" spans="2:26" hidden="1" x14ac:dyDescent="0.3">
      <c r="B74" s="14"/>
      <c r="C74" s="15"/>
      <c r="D74" s="15"/>
      <c r="E74" s="15"/>
      <c r="F74" s="260"/>
      <c r="G74" s="260"/>
      <c r="H74" s="260"/>
      <c r="I74" s="293"/>
      <c r="J74" s="10"/>
      <c r="K74" s="11"/>
      <c r="L74" s="11"/>
      <c r="M74" s="10"/>
      <c r="N74" s="16"/>
      <c r="O74" s="10"/>
      <c r="P74" s="10"/>
      <c r="Q74" s="10"/>
      <c r="R74" s="10"/>
      <c r="S74" s="279"/>
      <c r="T74" s="12"/>
      <c r="U74" s="12"/>
      <c r="V74" s="12"/>
      <c r="W74" s="12"/>
      <c r="X74" s="12"/>
      <c r="Y74" s="12"/>
      <c r="Z74" s="12"/>
    </row>
    <row r="75" spans="2:26" hidden="1" x14ac:dyDescent="0.3">
      <c r="B75" s="14"/>
      <c r="C75" s="15"/>
      <c r="D75" s="15"/>
      <c r="E75" s="15"/>
      <c r="F75" s="260"/>
      <c r="G75" s="260"/>
      <c r="H75" s="260"/>
      <c r="I75" s="293"/>
      <c r="J75" s="10"/>
      <c r="K75" s="11"/>
      <c r="L75" s="11"/>
      <c r="M75" s="10"/>
      <c r="N75" s="16"/>
      <c r="O75" s="10"/>
      <c r="P75" s="10"/>
      <c r="Q75" s="10"/>
      <c r="R75" s="10"/>
      <c r="S75" s="279"/>
      <c r="T75" s="12"/>
      <c r="U75" s="12"/>
      <c r="V75" s="12"/>
      <c r="W75" s="12"/>
      <c r="X75" s="12"/>
      <c r="Y75" s="12"/>
      <c r="Z75" s="12"/>
    </row>
    <row r="76" spans="2:26" hidden="1" x14ac:dyDescent="0.3">
      <c r="B76" s="14"/>
      <c r="C76" s="15"/>
      <c r="D76" s="15"/>
      <c r="E76" s="15"/>
      <c r="F76" s="260"/>
      <c r="G76" s="260"/>
      <c r="H76" s="260"/>
      <c r="I76" s="293"/>
      <c r="J76" s="10"/>
      <c r="K76" s="11"/>
      <c r="L76" s="11"/>
      <c r="M76" s="10"/>
      <c r="N76" s="16"/>
      <c r="O76" s="10"/>
      <c r="P76" s="10"/>
      <c r="Q76" s="10"/>
      <c r="R76" s="10"/>
      <c r="S76" s="279"/>
      <c r="T76" s="12"/>
      <c r="U76" s="12"/>
      <c r="V76" s="12"/>
      <c r="W76" s="12"/>
      <c r="X76" s="12"/>
      <c r="Y76" s="12"/>
      <c r="Z76" s="12"/>
    </row>
    <row r="77" spans="2:26" hidden="1" x14ac:dyDescent="0.3">
      <c r="B77" s="14"/>
      <c r="C77" s="15"/>
      <c r="D77" s="15"/>
      <c r="E77" s="15"/>
      <c r="F77" s="260"/>
      <c r="G77" s="260"/>
      <c r="H77" s="260"/>
      <c r="I77" s="293"/>
      <c r="J77" s="10"/>
      <c r="K77" s="11"/>
      <c r="L77" s="11"/>
      <c r="M77" s="10"/>
      <c r="N77" s="16"/>
      <c r="O77" s="10"/>
      <c r="P77" s="10"/>
      <c r="Q77" s="10"/>
      <c r="R77" s="10"/>
      <c r="S77" s="279"/>
      <c r="T77" s="12"/>
      <c r="U77" s="12"/>
      <c r="V77" s="12"/>
      <c r="W77" s="12"/>
      <c r="X77" s="12"/>
      <c r="Y77" s="12"/>
      <c r="Z77" s="12"/>
    </row>
    <row r="78" spans="2:26" hidden="1" x14ac:dyDescent="0.3">
      <c r="B78" s="14"/>
      <c r="C78" s="15"/>
      <c r="D78" s="15"/>
      <c r="E78" s="15"/>
      <c r="F78" s="260"/>
      <c r="G78" s="260"/>
      <c r="H78" s="260"/>
      <c r="I78" s="293"/>
      <c r="J78" s="10"/>
      <c r="K78" s="11"/>
      <c r="L78" s="11"/>
      <c r="M78" s="10"/>
      <c r="N78" s="16"/>
      <c r="O78" s="10"/>
      <c r="P78" s="10"/>
      <c r="Q78" s="10"/>
      <c r="R78" s="10"/>
      <c r="S78" s="279"/>
      <c r="T78" s="12"/>
      <c r="U78" s="12"/>
      <c r="V78" s="12"/>
      <c r="W78" s="12"/>
      <c r="X78" s="12"/>
      <c r="Y78" s="12"/>
      <c r="Z78" s="12"/>
    </row>
    <row r="79" spans="2:26" hidden="1" x14ac:dyDescent="0.3">
      <c r="B79" s="14"/>
      <c r="C79" s="15"/>
      <c r="D79" s="15"/>
      <c r="E79" s="15"/>
      <c r="F79" s="260"/>
      <c r="G79" s="260"/>
      <c r="H79" s="260"/>
      <c r="I79" s="293"/>
      <c r="J79" s="10"/>
      <c r="K79" s="11"/>
      <c r="L79" s="11"/>
      <c r="M79" s="10"/>
      <c r="N79" s="16"/>
      <c r="O79" s="10"/>
      <c r="P79" s="10"/>
      <c r="Q79" s="10"/>
      <c r="R79" s="10"/>
      <c r="S79" s="279"/>
      <c r="T79" s="12"/>
      <c r="U79" s="12"/>
      <c r="V79" s="12"/>
      <c r="W79" s="12"/>
      <c r="X79" s="12"/>
      <c r="Y79" s="12"/>
      <c r="Z79" s="12"/>
    </row>
    <row r="80" spans="2:26" hidden="1" x14ac:dyDescent="0.3">
      <c r="B80" s="14"/>
      <c r="C80" s="15"/>
      <c r="D80" s="15"/>
      <c r="E80" s="15"/>
      <c r="F80" s="260"/>
      <c r="G80" s="260"/>
      <c r="H80" s="260"/>
      <c r="I80" s="293"/>
      <c r="J80" s="10"/>
      <c r="K80" s="11"/>
      <c r="L80" s="11"/>
      <c r="M80" s="10"/>
      <c r="N80" s="16"/>
      <c r="O80" s="10"/>
      <c r="P80" s="10"/>
      <c r="Q80" s="10"/>
      <c r="R80" s="10"/>
      <c r="S80" s="279"/>
      <c r="T80" s="12"/>
      <c r="U80" s="12"/>
      <c r="V80" s="12"/>
      <c r="W80" s="12"/>
      <c r="X80" s="12"/>
      <c r="Y80" s="12"/>
      <c r="Z80" s="12"/>
    </row>
    <row r="81" spans="1:26" hidden="1" x14ac:dyDescent="0.3">
      <c r="B81" s="14"/>
      <c r="C81" s="15"/>
      <c r="D81" s="15"/>
      <c r="E81" s="15"/>
      <c r="F81" s="260"/>
      <c r="G81" s="260"/>
      <c r="H81" s="260"/>
      <c r="I81" s="293"/>
      <c r="J81" s="10"/>
      <c r="K81" s="11"/>
      <c r="L81" s="11"/>
      <c r="M81" s="10"/>
      <c r="N81" s="16"/>
      <c r="O81" s="10"/>
      <c r="P81" s="10"/>
      <c r="Q81" s="10"/>
      <c r="R81" s="10"/>
      <c r="S81" s="279"/>
      <c r="T81" s="12"/>
      <c r="U81" s="12"/>
      <c r="V81" s="12"/>
      <c r="W81" s="12"/>
      <c r="X81" s="12"/>
      <c r="Y81" s="12"/>
      <c r="Z81" s="12"/>
    </row>
    <row r="82" spans="1:26" hidden="1" x14ac:dyDescent="0.3">
      <c r="B82" s="14"/>
      <c r="C82" s="15"/>
      <c r="D82" s="15"/>
      <c r="E82" s="15"/>
      <c r="F82" s="260"/>
      <c r="G82" s="260"/>
      <c r="H82" s="260"/>
      <c r="I82" s="293"/>
      <c r="J82" s="10"/>
      <c r="K82" s="11"/>
      <c r="L82" s="11"/>
      <c r="M82" s="10"/>
      <c r="N82" s="16"/>
      <c r="O82" s="10"/>
      <c r="P82" s="10"/>
      <c r="Q82" s="10"/>
      <c r="R82" s="10"/>
      <c r="S82" s="279"/>
      <c r="T82" s="12"/>
      <c r="U82" s="12"/>
      <c r="V82" s="12"/>
      <c r="W82" s="12"/>
      <c r="X82" s="12"/>
      <c r="Y82" s="12"/>
      <c r="Z82" s="12"/>
    </row>
    <row r="83" spans="1:26" hidden="1" x14ac:dyDescent="0.3">
      <c r="B83" s="14"/>
      <c r="C83" s="15"/>
      <c r="D83" s="15"/>
      <c r="E83" s="15"/>
      <c r="F83" s="260"/>
      <c r="G83" s="260"/>
      <c r="H83" s="260"/>
      <c r="I83" s="293"/>
      <c r="J83" s="10"/>
      <c r="K83" s="11"/>
      <c r="L83" s="11"/>
      <c r="M83" s="10"/>
      <c r="N83" s="16"/>
      <c r="O83" s="10"/>
      <c r="P83" s="10"/>
      <c r="Q83" s="10"/>
      <c r="R83" s="10"/>
      <c r="S83" s="279"/>
      <c r="T83" s="12"/>
      <c r="U83" s="12"/>
      <c r="V83" s="12"/>
      <c r="W83" s="12"/>
      <c r="X83" s="12"/>
      <c r="Y83" s="12"/>
      <c r="Z83" s="12"/>
    </row>
    <row r="84" spans="1:26" hidden="1" outlineLevel="1" x14ac:dyDescent="0.3">
      <c r="B84" s="14"/>
      <c r="C84" s="15"/>
      <c r="D84" s="15"/>
      <c r="E84" s="15"/>
      <c r="F84" s="260"/>
      <c r="G84" s="260"/>
      <c r="H84" s="260"/>
      <c r="I84" s="230"/>
      <c r="J84" s="10"/>
      <c r="K84" s="11"/>
      <c r="L84" s="11"/>
      <c r="M84" s="10"/>
      <c r="N84" s="16"/>
      <c r="O84" s="10"/>
      <c r="P84" s="10"/>
      <c r="Q84" s="10"/>
      <c r="R84" s="10"/>
      <c r="S84" s="233"/>
      <c r="T84" s="12"/>
      <c r="U84" s="12"/>
      <c r="V84" s="12"/>
      <c r="W84" s="12"/>
      <c r="X84" s="12"/>
      <c r="Y84" s="12"/>
      <c r="Z84" s="12"/>
    </row>
    <row r="85" spans="1:26" hidden="1" outlineLevel="1" x14ac:dyDescent="0.3">
      <c r="B85" s="14"/>
      <c r="C85" s="15"/>
      <c r="D85" s="15"/>
      <c r="E85" s="15"/>
      <c r="F85" s="14"/>
      <c r="G85" s="14"/>
      <c r="H85" s="14"/>
      <c r="I85" s="230"/>
      <c r="J85" s="10"/>
      <c r="K85" s="11"/>
      <c r="L85" s="11"/>
      <c r="M85" s="10"/>
      <c r="N85" s="16"/>
      <c r="O85" s="10"/>
      <c r="P85" s="10"/>
      <c r="Q85" s="10"/>
      <c r="R85" s="10"/>
      <c r="S85" s="233"/>
      <c r="T85" s="12"/>
      <c r="U85" s="12"/>
      <c r="V85" s="12"/>
      <c r="W85" s="12"/>
      <c r="X85" s="12"/>
      <c r="Y85" s="12"/>
      <c r="Z85" s="12"/>
    </row>
    <row r="86" spans="1:26" hidden="1" outlineLevel="1" x14ac:dyDescent="0.3">
      <c r="B86" s="14"/>
      <c r="C86" s="15"/>
      <c r="D86" s="15"/>
      <c r="E86" s="15"/>
      <c r="F86" s="14"/>
      <c r="G86" s="14"/>
      <c r="H86" s="14"/>
      <c r="I86" s="230"/>
      <c r="J86" s="10"/>
      <c r="K86" s="11"/>
      <c r="L86" s="11"/>
      <c r="M86" s="10"/>
      <c r="N86" s="16"/>
      <c r="O86" s="10"/>
      <c r="P86" s="10"/>
      <c r="Q86" s="10"/>
      <c r="R86" s="10"/>
      <c r="S86" s="233"/>
      <c r="T86" s="12"/>
      <c r="U86" s="12"/>
      <c r="V86" s="12"/>
      <c r="W86" s="12"/>
      <c r="X86" s="12"/>
      <c r="Y86" s="12"/>
      <c r="Z86" s="12"/>
    </row>
    <row r="87" spans="1:26" ht="16.2" hidden="1" collapsed="1" thickBot="1" x14ac:dyDescent="0.35">
      <c r="A87" s="22"/>
      <c r="B87" s="38"/>
      <c r="C87" s="24"/>
      <c r="D87" s="24"/>
      <c r="E87" s="24"/>
      <c r="F87" s="38"/>
      <c r="G87" s="38"/>
      <c r="H87" s="38"/>
      <c r="I87" s="38"/>
      <c r="J87" s="38"/>
      <c r="K87" s="38"/>
      <c r="L87" s="38"/>
      <c r="M87" s="38"/>
      <c r="N87" s="22"/>
      <c r="O87" s="22"/>
      <c r="P87" s="22"/>
      <c r="Q87" s="22"/>
      <c r="R87" s="22"/>
      <c r="S87" s="38"/>
      <c r="T87" s="22"/>
      <c r="U87" s="22"/>
      <c r="V87" s="22"/>
      <c r="W87" s="22"/>
      <c r="X87" s="22"/>
      <c r="Y87" s="22"/>
      <c r="Z87" s="22"/>
    </row>
    <row r="88" spans="1:26" x14ac:dyDescent="0.3">
      <c r="B88" s="33" t="s">
        <v>740</v>
      </c>
      <c r="C88" s="218"/>
      <c r="D88" s="219"/>
      <c r="E88" s="218" t="str">
        <f>IF(SUM(E39,E52,E86)&gt;0,SUM(E39,E52,E86),"")</f>
        <v/>
      </c>
      <c r="F88" s="37">
        <f>SUM(F7:F87)</f>
        <v>215.80000000000004</v>
      </c>
      <c r="G88" s="37"/>
      <c r="H88" s="37"/>
      <c r="I88" s="37"/>
      <c r="J88" s="37">
        <f>SUM(J7:J87)</f>
        <v>451948.2</v>
      </c>
      <c r="K88" s="37">
        <f>SUM(K7:K87)</f>
        <v>1250</v>
      </c>
      <c r="L88" s="37">
        <f>SUM(L7:L87)</f>
        <v>1443</v>
      </c>
      <c r="M88" s="37">
        <f>SUM(M7:M87)</f>
        <v>454641.2</v>
      </c>
      <c r="O88" s="37">
        <f>SUM(O7:O87)</f>
        <v>43531.099199999997</v>
      </c>
      <c r="P88" s="37">
        <f>SUM(P7:P87)</f>
        <v>0</v>
      </c>
      <c r="Q88" s="37">
        <f>SUM(Q7:Q87)</f>
        <v>12335.325000000001</v>
      </c>
      <c r="R88" s="37">
        <f>SUM(R7:R87)</f>
        <v>6592.2973999999995</v>
      </c>
      <c r="S88" s="37"/>
      <c r="T88" s="37">
        <f t="shared" ref="T88:Z88" si="19">SUM(T7:T87)</f>
        <v>53420</v>
      </c>
      <c r="U88" s="37">
        <f t="shared" si="19"/>
        <v>6400</v>
      </c>
      <c r="V88" s="37">
        <f t="shared" si="19"/>
        <v>5910.3355999999994</v>
      </c>
      <c r="W88" s="37">
        <f t="shared" si="19"/>
        <v>0</v>
      </c>
      <c r="X88" s="37">
        <f t="shared" si="19"/>
        <v>0</v>
      </c>
      <c r="Y88" s="37">
        <f t="shared" si="19"/>
        <v>128189.05719999998</v>
      </c>
      <c r="Z88" s="37">
        <f t="shared" si="19"/>
        <v>582830.25719999999</v>
      </c>
    </row>
    <row r="89" spans="1:26" x14ac:dyDescent="0.3">
      <c r="V89" s="6" t="s">
        <v>1209</v>
      </c>
    </row>
    <row r="90" spans="1:26" x14ac:dyDescent="0.3">
      <c r="B90" s="33" t="s">
        <v>744</v>
      </c>
      <c r="F90" s="37">
        <f>SUMIF($B:$B,1100,F:F)</f>
        <v>41</v>
      </c>
      <c r="G90" s="37"/>
      <c r="H90" s="37"/>
      <c r="I90" s="37"/>
      <c r="J90" s="37">
        <f>SUMIF($B:$B,1100,J:J)</f>
        <v>207756</v>
      </c>
      <c r="K90" s="37">
        <f>SUMIF($B:$B,1100,K:K)</f>
        <v>1250</v>
      </c>
      <c r="L90" s="37">
        <f>SUMIF($B:$B,1100,L:L)</f>
        <v>750</v>
      </c>
      <c r="M90" s="37">
        <f>SUMIF($B:$B,1100,M:M)</f>
        <v>209756</v>
      </c>
      <c r="O90" s="37">
        <f>SUMIF($B:$B,1100,O:O)</f>
        <v>32110.099199999997</v>
      </c>
      <c r="P90" s="37">
        <f>SUMIF($B:$B,1100,P:P)</f>
        <v>0</v>
      </c>
      <c r="Q90" s="37">
        <f>SUMIF($B:$B,1100,Q:Q)</f>
        <v>1248.75</v>
      </c>
      <c r="R90" s="37">
        <f>SUMIF($B:$B,1100,R:R)</f>
        <v>3041.462</v>
      </c>
      <c r="S90" s="37"/>
      <c r="T90" s="37">
        <f t="shared" ref="T90:Z90" si="20">SUMIF($B:$B,1100,T:T)</f>
        <v>32442</v>
      </c>
      <c r="U90" s="37">
        <f t="shared" si="20"/>
        <v>2000</v>
      </c>
      <c r="V90" s="37">
        <f t="shared" si="20"/>
        <v>2726.8279999999995</v>
      </c>
      <c r="W90" s="37">
        <f t="shared" si="20"/>
        <v>0</v>
      </c>
      <c r="X90" s="37">
        <f t="shared" si="20"/>
        <v>0</v>
      </c>
      <c r="Y90" s="37">
        <f t="shared" si="20"/>
        <v>73569.139199999991</v>
      </c>
      <c r="Z90" s="37">
        <f t="shared" si="20"/>
        <v>283325.13919999998</v>
      </c>
    </row>
  </sheetData>
  <printOptions horizontalCentered="1" verticalCentered="1" gridLines="1"/>
  <pageMargins left="0.25" right="0.25" top="0.25" bottom="0.25" header="0.3" footer="0.3"/>
  <pageSetup paperSize="5" scale="75" fitToWidth="2"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pageSetUpPr fitToPage="1"/>
  </sheetPr>
  <dimension ref="A1:X173"/>
  <sheetViews>
    <sheetView workbookViewId="0">
      <pane xSplit="3" ySplit="6" topLeftCell="D7" activePane="bottomRight" state="frozen"/>
      <selection activeCell="L14" sqref="L14"/>
      <selection pane="topRight" activeCell="L14" sqref="L14"/>
      <selection pane="bottomLeft" activeCell="L14" sqref="L14"/>
      <selection pane="bottomRight" activeCell="L14" sqref="L14"/>
    </sheetView>
  </sheetViews>
  <sheetFormatPr defaultRowHeight="15.6" outlineLevelRow="1" x14ac:dyDescent="0.3"/>
  <cols>
    <col min="1" max="1" width="5.6640625" style="34" customWidth="1"/>
    <col min="2" max="2" width="5.109375" style="39" customWidth="1"/>
    <col min="3" max="3" width="42.5546875" style="1" customWidth="1"/>
    <col min="4" max="18" width="7.88671875" style="89" customWidth="1"/>
    <col min="19" max="19" width="10.33203125" style="1" bestFit="1" customWidth="1"/>
    <col min="20" max="24" width="11.5546875" style="1" customWidth="1"/>
    <col min="25" max="255" width="9.109375" style="1"/>
    <col min="256" max="256" width="22.88671875" style="1" customWidth="1"/>
    <col min="257" max="511" width="9.109375" style="1"/>
    <col min="512" max="512" width="22.88671875" style="1" customWidth="1"/>
    <col min="513" max="767" width="9.109375" style="1"/>
    <col min="768" max="768" width="22.88671875" style="1" customWidth="1"/>
    <col min="769" max="1023" width="9.109375" style="1"/>
    <col min="1024" max="1024" width="22.88671875" style="1" customWidth="1"/>
    <col min="1025" max="1279" width="9.109375" style="1"/>
    <col min="1280" max="1280" width="22.88671875" style="1" customWidth="1"/>
    <col min="1281" max="1535" width="9.109375" style="1"/>
    <col min="1536" max="1536" width="22.88671875" style="1" customWidth="1"/>
    <col min="1537" max="1791" width="9.109375" style="1"/>
    <col min="1792" max="1792" width="22.88671875" style="1" customWidth="1"/>
    <col min="1793" max="2047" width="9.109375" style="1"/>
    <col min="2048" max="2048" width="22.88671875" style="1" customWidth="1"/>
    <col min="2049" max="2303" width="9.109375" style="1"/>
    <col min="2304" max="2304" width="22.88671875" style="1" customWidth="1"/>
    <col min="2305" max="2559" width="9.109375" style="1"/>
    <col min="2560" max="2560" width="22.88671875" style="1" customWidth="1"/>
    <col min="2561" max="2815" width="9.109375" style="1"/>
    <col min="2816" max="2816" width="22.88671875" style="1" customWidth="1"/>
    <col min="2817" max="3071" width="9.109375" style="1"/>
    <col min="3072" max="3072" width="22.88671875" style="1" customWidth="1"/>
    <col min="3073" max="3327" width="9.109375" style="1"/>
    <col min="3328" max="3328" width="22.88671875" style="1" customWidth="1"/>
    <col min="3329" max="3583" width="9.109375" style="1"/>
    <col min="3584" max="3584" width="22.88671875" style="1" customWidth="1"/>
    <col min="3585" max="3839" width="9.109375" style="1"/>
    <col min="3840" max="3840" width="22.88671875" style="1" customWidth="1"/>
    <col min="3841" max="4095" width="9.109375" style="1"/>
    <col min="4096" max="4096" width="22.88671875" style="1" customWidth="1"/>
    <col min="4097" max="4351" width="9.109375" style="1"/>
    <col min="4352" max="4352" width="22.88671875" style="1" customWidth="1"/>
    <col min="4353" max="4607" width="9.109375" style="1"/>
    <col min="4608" max="4608" width="22.88671875" style="1" customWidth="1"/>
    <col min="4609" max="4863" width="9.109375" style="1"/>
    <col min="4864" max="4864" width="22.88671875" style="1" customWidth="1"/>
    <col min="4865" max="5119" width="9.109375" style="1"/>
    <col min="5120" max="5120" width="22.88671875" style="1" customWidth="1"/>
    <col min="5121" max="5375" width="9.109375" style="1"/>
    <col min="5376" max="5376" width="22.88671875" style="1" customWidth="1"/>
    <col min="5377" max="5631" width="9.109375" style="1"/>
    <col min="5632" max="5632" width="22.88671875" style="1" customWidth="1"/>
    <col min="5633" max="5887" width="9.109375" style="1"/>
    <col min="5888" max="5888" width="22.88671875" style="1" customWidth="1"/>
    <col min="5889" max="6143" width="9.109375" style="1"/>
    <col min="6144" max="6144" width="22.88671875" style="1" customWidth="1"/>
    <col min="6145" max="6399" width="9.109375" style="1"/>
    <col min="6400" max="6400" width="22.88671875" style="1" customWidth="1"/>
    <col min="6401" max="6655" width="9.109375" style="1"/>
    <col min="6656" max="6656" width="22.88671875" style="1" customWidth="1"/>
    <col min="6657" max="6911" width="9.109375" style="1"/>
    <col min="6912" max="6912" width="22.88671875" style="1" customWidth="1"/>
    <col min="6913" max="7167" width="9.109375" style="1"/>
    <col min="7168" max="7168" width="22.88671875" style="1" customWidth="1"/>
    <col min="7169" max="7423" width="9.109375" style="1"/>
    <col min="7424" max="7424" width="22.88671875" style="1" customWidth="1"/>
    <col min="7425" max="7679" width="9.109375" style="1"/>
    <col min="7680" max="7680" width="22.88671875" style="1" customWidth="1"/>
    <col min="7681" max="7935" width="9.109375" style="1"/>
    <col min="7936" max="7936" width="22.88671875" style="1" customWidth="1"/>
    <col min="7937" max="8191" width="9.109375" style="1"/>
    <col min="8192" max="8192" width="22.88671875" style="1" customWidth="1"/>
    <col min="8193" max="8447" width="9.109375" style="1"/>
    <col min="8448" max="8448" width="22.88671875" style="1" customWidth="1"/>
    <col min="8449" max="8703" width="9.109375" style="1"/>
    <col min="8704" max="8704" width="22.88671875" style="1" customWidth="1"/>
    <col min="8705" max="8959" width="9.109375" style="1"/>
    <col min="8960" max="8960" width="22.88671875" style="1" customWidth="1"/>
    <col min="8961" max="9215" width="9.109375" style="1"/>
    <col min="9216" max="9216" width="22.88671875" style="1" customWidth="1"/>
    <col min="9217" max="9471" width="9.109375" style="1"/>
    <col min="9472" max="9472" width="22.88671875" style="1" customWidth="1"/>
    <col min="9473" max="9727" width="9.109375" style="1"/>
    <col min="9728" max="9728" width="22.88671875" style="1" customWidth="1"/>
    <col min="9729" max="9983" width="9.109375" style="1"/>
    <col min="9984" max="9984" width="22.88671875" style="1" customWidth="1"/>
    <col min="9985" max="10239" width="9.109375" style="1"/>
    <col min="10240" max="10240" width="22.88671875" style="1" customWidth="1"/>
    <col min="10241" max="10495" width="9.109375" style="1"/>
    <col min="10496" max="10496" width="22.88671875" style="1" customWidth="1"/>
    <col min="10497" max="10751" width="9.109375" style="1"/>
    <col min="10752" max="10752" width="22.88671875" style="1" customWidth="1"/>
    <col min="10753" max="11007" width="9.109375" style="1"/>
    <col min="11008" max="11008" width="22.88671875" style="1" customWidth="1"/>
    <col min="11009" max="11263" width="9.109375" style="1"/>
    <col min="11264" max="11264" width="22.88671875" style="1" customWidth="1"/>
    <col min="11265" max="11519" width="9.109375" style="1"/>
    <col min="11520" max="11520" width="22.88671875" style="1" customWidth="1"/>
    <col min="11521" max="11775" width="9.109375" style="1"/>
    <col min="11776" max="11776" width="22.88671875" style="1" customWidth="1"/>
    <col min="11777" max="12031" width="9.109375" style="1"/>
    <col min="12032" max="12032" width="22.88671875" style="1" customWidth="1"/>
    <col min="12033" max="12287" width="9.109375" style="1"/>
    <col min="12288" max="12288" width="22.88671875" style="1" customWidth="1"/>
    <col min="12289" max="12543" width="9.109375" style="1"/>
    <col min="12544" max="12544" width="22.88671875" style="1" customWidth="1"/>
    <col min="12545" max="12799" width="9.109375" style="1"/>
    <col min="12800" max="12800" width="22.88671875" style="1" customWidth="1"/>
    <col min="12801" max="13055" width="9.109375" style="1"/>
    <col min="13056" max="13056" width="22.88671875" style="1" customWidth="1"/>
    <col min="13057" max="13311" width="9.109375" style="1"/>
    <col min="13312" max="13312" width="22.88671875" style="1" customWidth="1"/>
    <col min="13313" max="13567" width="9.109375" style="1"/>
    <col min="13568" max="13568" width="22.88671875" style="1" customWidth="1"/>
    <col min="13569" max="13823" width="9.109375" style="1"/>
    <col min="13824" max="13824" width="22.88671875" style="1" customWidth="1"/>
    <col min="13825" max="14079" width="9.109375" style="1"/>
    <col min="14080" max="14080" width="22.88671875" style="1" customWidth="1"/>
    <col min="14081" max="14335" width="9.109375" style="1"/>
    <col min="14336" max="14336" width="22.88671875" style="1" customWidth="1"/>
    <col min="14337" max="14591" width="9.109375" style="1"/>
    <col min="14592" max="14592" width="22.88671875" style="1" customWidth="1"/>
    <col min="14593" max="14847" width="9.109375" style="1"/>
    <col min="14848" max="14848" width="22.88671875" style="1" customWidth="1"/>
    <col min="14849" max="15103" width="9.109375" style="1"/>
    <col min="15104" max="15104" width="22.88671875" style="1" customWidth="1"/>
    <col min="15105" max="15359" width="9.109375" style="1"/>
    <col min="15360" max="15360" width="22.88671875" style="1" customWidth="1"/>
    <col min="15361" max="15615" width="9.109375" style="1"/>
    <col min="15616" max="15616" width="22.88671875" style="1" customWidth="1"/>
    <col min="15617" max="15871" width="9.109375" style="1"/>
    <col min="15872" max="15872" width="22.88671875" style="1" customWidth="1"/>
    <col min="15873" max="16127" width="9.109375" style="1"/>
    <col min="16128" max="16128" width="22.88671875" style="1" customWidth="1"/>
    <col min="16129" max="16384" width="9.109375" style="1"/>
  </cols>
  <sheetData>
    <row r="1" spans="1:20" ht="20.399999999999999" x14ac:dyDescent="0.35">
      <c r="A1" s="21" t="str">
        <f>'Student Info'!$A$1</f>
        <v>Three Rivers - 23-65565-0123737</v>
      </c>
      <c r="D1" s="172" t="s">
        <v>1011</v>
      </c>
    </row>
    <row r="2" spans="1:20" ht="17.399999999999999" x14ac:dyDescent="0.3">
      <c r="A2" s="20" t="s">
        <v>798</v>
      </c>
      <c r="D2" s="172" t="s">
        <v>1010</v>
      </c>
    </row>
    <row r="3" spans="1:20" ht="17.399999999999999" x14ac:dyDescent="0.3">
      <c r="A3" s="20" t="e">
        <f>#REF!</f>
        <v>#REF!</v>
      </c>
    </row>
    <row r="5" spans="1:20" ht="17.399999999999999" x14ac:dyDescent="0.3">
      <c r="A5" s="28"/>
      <c r="B5" s="40"/>
      <c r="C5" s="28"/>
      <c r="D5" s="90"/>
      <c r="E5" s="90"/>
      <c r="F5" s="90"/>
      <c r="G5" s="90"/>
      <c r="H5" s="90"/>
      <c r="I5" s="90"/>
      <c r="J5" s="90"/>
      <c r="K5" s="90"/>
      <c r="L5" s="90"/>
      <c r="M5" s="90"/>
      <c r="N5" s="90"/>
      <c r="O5" s="90"/>
      <c r="P5" s="90"/>
      <c r="Q5" s="90"/>
      <c r="R5" s="90"/>
    </row>
    <row r="6" spans="1:20" ht="18" thickBot="1" x14ac:dyDescent="0.35">
      <c r="A6" s="29"/>
      <c r="B6" s="41" t="s">
        <v>727</v>
      </c>
      <c r="C6" s="29" t="s">
        <v>728</v>
      </c>
      <c r="D6" s="100" t="s">
        <v>799</v>
      </c>
      <c r="E6" s="100" t="s">
        <v>800</v>
      </c>
      <c r="F6" s="100" t="s">
        <v>801</v>
      </c>
      <c r="G6" s="100" t="s">
        <v>802</v>
      </c>
      <c r="H6" s="100" t="s">
        <v>803</v>
      </c>
      <c r="I6" s="100" t="s">
        <v>804</v>
      </c>
      <c r="J6" s="100" t="s">
        <v>805</v>
      </c>
      <c r="K6" s="100" t="s">
        <v>806</v>
      </c>
      <c r="L6" s="100" t="s">
        <v>807</v>
      </c>
      <c r="M6" s="100" t="s">
        <v>808</v>
      </c>
      <c r="N6" s="100" t="s">
        <v>809</v>
      </c>
      <c r="O6" s="100" t="s">
        <v>810</v>
      </c>
      <c r="P6" s="100" t="s">
        <v>799</v>
      </c>
      <c r="Q6" s="100" t="s">
        <v>800</v>
      </c>
      <c r="R6" s="100" t="s">
        <v>801</v>
      </c>
      <c r="S6" s="100" t="s">
        <v>676</v>
      </c>
    </row>
    <row r="7" spans="1:20" ht="17.399999999999999" x14ac:dyDescent="0.3">
      <c r="A7" s="45" t="s">
        <v>789</v>
      </c>
      <c r="B7" s="81"/>
      <c r="D7" s="30"/>
      <c r="F7" s="91"/>
      <c r="G7" s="91"/>
      <c r="H7" s="91"/>
      <c r="I7" s="30"/>
      <c r="J7" s="30"/>
      <c r="K7" s="91"/>
      <c r="L7" s="91"/>
      <c r="M7" s="91"/>
      <c r="N7" s="91"/>
      <c r="O7" s="91"/>
      <c r="P7" s="91"/>
      <c r="Q7" s="91"/>
      <c r="R7" s="91"/>
    </row>
    <row r="8" spans="1:20" ht="17.399999999999999" hidden="1" x14ac:dyDescent="0.3">
      <c r="A8" s="45"/>
      <c r="B8" s="81"/>
      <c r="C8" s="103" t="s">
        <v>811</v>
      </c>
      <c r="D8" s="104" t="s">
        <v>780</v>
      </c>
      <c r="F8" s="91"/>
      <c r="G8" s="91"/>
      <c r="H8" s="91"/>
      <c r="I8" s="30"/>
      <c r="J8" s="30"/>
      <c r="K8" s="91"/>
      <c r="L8" s="91"/>
      <c r="M8" s="91"/>
      <c r="N8" s="91"/>
      <c r="O8" s="91"/>
      <c r="P8" s="91"/>
      <c r="Q8" s="91"/>
      <c r="R8" s="91"/>
    </row>
    <row r="9" spans="1:20" ht="17.399999999999999" x14ac:dyDescent="0.3">
      <c r="A9" s="45"/>
      <c r="B9" s="81"/>
      <c r="C9" s="83" t="s">
        <v>812</v>
      </c>
      <c r="D9" s="109">
        <f>'Cash Flow %s Yr1'!D9</f>
        <v>0.05</v>
      </c>
      <c r="E9" s="109">
        <f>'Cash Flow %s Yr1'!E9</f>
        <v>0.05</v>
      </c>
      <c r="F9" s="109">
        <f>'Cash Flow %s Yr1'!F9</f>
        <v>0.09</v>
      </c>
      <c r="G9" s="109">
        <f>'Cash Flow %s Yr1'!G9</f>
        <v>0.09</v>
      </c>
      <c r="H9" s="109">
        <f>'Cash Flow %s Yr1'!H9</f>
        <v>0.09</v>
      </c>
      <c r="I9" s="109">
        <f>'Cash Flow %s Yr1'!I9</f>
        <v>0.09</v>
      </c>
      <c r="J9" s="109">
        <f>'Cash Flow %s Yr1'!J9</f>
        <v>0.09</v>
      </c>
      <c r="K9" s="109">
        <f>'Cash Flow %s Yr1'!K9</f>
        <v>0.09</v>
      </c>
      <c r="L9" s="109">
        <f>'Cash Flow %s Yr1'!L9</f>
        <v>0.09</v>
      </c>
      <c r="M9" s="109">
        <f>'Cash Flow %s Yr1'!M9</f>
        <v>0.09</v>
      </c>
      <c r="N9" s="109">
        <f>'Cash Flow %s Yr1'!N9</f>
        <v>0.09</v>
      </c>
      <c r="O9" s="211">
        <v>0.09</v>
      </c>
      <c r="P9" s="211">
        <v>0</v>
      </c>
      <c r="Q9" s="211">
        <v>0</v>
      </c>
      <c r="R9" s="109">
        <v>0</v>
      </c>
      <c r="S9" s="105">
        <f>SUM(D9:R9)</f>
        <v>0.99999999999999978</v>
      </c>
      <c r="T9" s="1" t="s">
        <v>1182</v>
      </c>
    </row>
    <row r="10" spans="1:20" ht="17.399999999999999" hidden="1" x14ac:dyDescent="0.3">
      <c r="A10" s="45"/>
      <c r="B10" s="81"/>
      <c r="C10" s="83" t="s">
        <v>813</v>
      </c>
      <c r="D10" s="109">
        <f>'Cash Flow %s Yr1'!D10</f>
        <v>0</v>
      </c>
      <c r="E10" s="109">
        <f>'Cash Flow %s Yr1'!E10</f>
        <v>0</v>
      </c>
      <c r="F10" s="109">
        <f>'Cash Flow %s Yr1'!F10</f>
        <v>0</v>
      </c>
      <c r="G10" s="109">
        <f>'Cash Flow %s Yr1'!G10</f>
        <v>0.37</v>
      </c>
      <c r="H10" s="109">
        <f>'Cash Flow %s Yr1'!H10</f>
        <v>0</v>
      </c>
      <c r="I10" s="109">
        <f>'Cash Flow %s Yr1'!I10</f>
        <v>0</v>
      </c>
      <c r="J10" s="109">
        <f>'Cash Flow %s Yr1'!J10</f>
        <v>0.18</v>
      </c>
      <c r="K10" s="109">
        <f>'Cash Flow %s Yr1'!K10</f>
        <v>0</v>
      </c>
      <c r="L10" s="109">
        <f>'Cash Flow %s Yr1'!L10</f>
        <v>0.09</v>
      </c>
      <c r="M10" s="109">
        <f>'Cash Flow %s Yr1'!M10</f>
        <v>0.09</v>
      </c>
      <c r="N10" s="109">
        <f>'Cash Flow %s Yr1'!N10</f>
        <v>0.09</v>
      </c>
      <c r="O10" s="109">
        <f>'Cash Flow %s Yr1'!O10</f>
        <v>0.09</v>
      </c>
      <c r="P10" s="109">
        <f>'Cash Flow %s Yr1'!P10</f>
        <v>0</v>
      </c>
      <c r="Q10" s="109">
        <f>'Cash Flow %s Yr1'!Q10</f>
        <v>0</v>
      </c>
      <c r="R10" s="109">
        <f>'Cash Flow %s Yr1'!R10</f>
        <v>0</v>
      </c>
      <c r="S10" s="105">
        <f>SUM(D10:R10)</f>
        <v>0.90999999999999992</v>
      </c>
      <c r="T10" s="1">
        <f>'Cash Flow %s Yr1'!T10</f>
        <v>0</v>
      </c>
    </row>
    <row r="11" spans="1:20" s="30" customFormat="1" ht="17.399999999999999" x14ac:dyDescent="0.3">
      <c r="B11" s="66" t="s">
        <v>777</v>
      </c>
      <c r="C11" s="47"/>
      <c r="D11" s="212"/>
      <c r="E11" s="212"/>
      <c r="F11" s="212"/>
      <c r="G11" s="212"/>
      <c r="H11" s="212"/>
      <c r="I11" s="212"/>
      <c r="J11" s="212"/>
      <c r="K11" s="212"/>
      <c r="L11" s="212"/>
      <c r="M11" s="212"/>
      <c r="N11" s="212"/>
      <c r="O11" s="212"/>
      <c r="P11" s="212"/>
      <c r="Q11" s="212"/>
      <c r="R11" s="212"/>
      <c r="S11" s="105"/>
    </row>
    <row r="12" spans="1:20" s="30" customFormat="1" x14ac:dyDescent="0.3">
      <c r="A12" s="48"/>
      <c r="B12" s="61">
        <f>'Revenue Input'!B8</f>
        <v>8011</v>
      </c>
      <c r="C12" s="61" t="str">
        <f>'Revenue Input'!C8</f>
        <v>LCFF for all grades; state aid portion</v>
      </c>
      <c r="D12" s="109">
        <f>D$9</f>
        <v>0.05</v>
      </c>
      <c r="E12" s="109">
        <f t="shared" ref="E12:R12" si="0">E$9</f>
        <v>0.05</v>
      </c>
      <c r="F12" s="109">
        <f t="shared" si="0"/>
        <v>0.09</v>
      </c>
      <c r="G12" s="109">
        <f t="shared" si="0"/>
        <v>0.09</v>
      </c>
      <c r="H12" s="109">
        <f t="shared" si="0"/>
        <v>0.09</v>
      </c>
      <c r="I12" s="109">
        <f t="shared" si="0"/>
        <v>0.09</v>
      </c>
      <c r="J12" s="109">
        <f t="shared" si="0"/>
        <v>0.09</v>
      </c>
      <c r="K12" s="109">
        <f t="shared" si="0"/>
        <v>0.09</v>
      </c>
      <c r="L12" s="109">
        <f t="shared" si="0"/>
        <v>0.09</v>
      </c>
      <c r="M12" s="109">
        <f t="shared" si="0"/>
        <v>0.09</v>
      </c>
      <c r="N12" s="109">
        <f t="shared" si="0"/>
        <v>0.09</v>
      </c>
      <c r="O12" s="109">
        <f t="shared" si="0"/>
        <v>0.09</v>
      </c>
      <c r="P12" s="109">
        <f t="shared" si="0"/>
        <v>0</v>
      </c>
      <c r="Q12" s="109">
        <f t="shared" si="0"/>
        <v>0</v>
      </c>
      <c r="R12" s="109">
        <f t="shared" si="0"/>
        <v>0</v>
      </c>
      <c r="S12" s="105">
        <f t="shared" ref="S12:S22" si="1">SUM(D12:R12)</f>
        <v>0.99999999999999978</v>
      </c>
    </row>
    <row r="13" spans="1:20" s="30" customFormat="1" x14ac:dyDescent="0.3">
      <c r="A13" s="48"/>
      <c r="B13" s="61">
        <f>'Revenue Input'!B9</f>
        <v>8012</v>
      </c>
      <c r="C13" s="61" t="str">
        <f>'Revenue Input'!C9</f>
        <v>LCFF for all grades; EPA portion</v>
      </c>
      <c r="D13" s="210">
        <v>0</v>
      </c>
      <c r="E13" s="210">
        <v>0</v>
      </c>
      <c r="F13" s="210">
        <v>0.25</v>
      </c>
      <c r="G13" s="210">
        <v>0</v>
      </c>
      <c r="H13" s="210">
        <v>0</v>
      </c>
      <c r="I13" s="210">
        <v>0.25</v>
      </c>
      <c r="J13" s="210">
        <v>0</v>
      </c>
      <c r="K13" s="210">
        <v>0</v>
      </c>
      <c r="L13" s="210">
        <v>0.25</v>
      </c>
      <c r="M13" s="210">
        <v>0</v>
      </c>
      <c r="N13" s="210">
        <v>0</v>
      </c>
      <c r="O13" s="210">
        <v>0.25</v>
      </c>
      <c r="P13" s="210">
        <v>0</v>
      </c>
      <c r="Q13" s="210">
        <v>0</v>
      </c>
      <c r="R13" s="210">
        <v>0</v>
      </c>
      <c r="S13" s="105">
        <f t="shared" si="1"/>
        <v>1</v>
      </c>
    </row>
    <row r="14" spans="1:20" s="30" customFormat="1" x14ac:dyDescent="0.3">
      <c r="A14" s="48"/>
      <c r="B14" s="61">
        <f>'Revenue Input'!B10</f>
        <v>8096</v>
      </c>
      <c r="C14" s="61" t="str">
        <f>'Revenue Input'!C10</f>
        <v>In-Lieu of Property Taxes, all grades</v>
      </c>
      <c r="D14" s="210">
        <v>0</v>
      </c>
      <c r="E14" s="210">
        <f>'Cash Flow %s Yr1'!E14</f>
        <v>0.06</v>
      </c>
      <c r="F14" s="210">
        <f>'Cash Flow %s Yr1'!F14</f>
        <v>0.12</v>
      </c>
      <c r="G14" s="210">
        <f>'Cash Flow %s Yr1'!G14</f>
        <v>0.08</v>
      </c>
      <c r="H14" s="210">
        <f>'Cash Flow %s Yr1'!H14</f>
        <v>0.08</v>
      </c>
      <c r="I14" s="210">
        <f>'Cash Flow %s Yr1'!I14</f>
        <v>0.08</v>
      </c>
      <c r="J14" s="210">
        <f>'Cash Flow %s Yr1'!J14</f>
        <v>0.08</v>
      </c>
      <c r="K14" s="210">
        <f>'Cash Flow %s Yr1'!K14</f>
        <v>0.08</v>
      </c>
      <c r="L14" s="210">
        <f>'Cash Flow %s Yr1'!L14</f>
        <v>0.14000000000000001</v>
      </c>
      <c r="M14" s="210">
        <f>'Cash Flow %s Yr1'!M14</f>
        <v>7.0000000000000007E-2</v>
      </c>
      <c r="N14" s="210">
        <f>'Cash Flow %s Yr1'!N14</f>
        <v>7.0000000000000007E-2</v>
      </c>
      <c r="O14" s="210">
        <f>'Cash Flow %s Yr1'!O14</f>
        <v>0.14000000000000001</v>
      </c>
      <c r="P14" s="210">
        <f>'Cash Flow %s Yr1'!P14</f>
        <v>0</v>
      </c>
      <c r="Q14" s="210">
        <v>0</v>
      </c>
      <c r="R14" s="210">
        <v>0</v>
      </c>
      <c r="S14" s="105">
        <f t="shared" si="1"/>
        <v>1</v>
      </c>
    </row>
    <row r="15" spans="1:20" s="30" customFormat="1" x14ac:dyDescent="0.3">
      <c r="A15" s="48"/>
      <c r="B15" s="61">
        <f>'Revenue Input'!B11</f>
        <v>8019</v>
      </c>
      <c r="C15" s="61" t="str">
        <f>'Revenue Input'!C11</f>
        <v>Prior Year Income / Adjustments</v>
      </c>
      <c r="D15" s="109">
        <f>'Cash Flow %s Yr1'!D15</f>
        <v>0.05</v>
      </c>
      <c r="E15" s="109">
        <f>'Cash Flow %s Yr1'!E15</f>
        <v>0.05</v>
      </c>
      <c r="F15" s="109">
        <f>'Cash Flow %s Yr1'!F15</f>
        <v>0.09</v>
      </c>
      <c r="G15" s="109">
        <f>'Cash Flow %s Yr1'!G15</f>
        <v>0.09</v>
      </c>
      <c r="H15" s="109">
        <f>'Cash Flow %s Yr1'!H15</f>
        <v>0.09</v>
      </c>
      <c r="I15" s="109">
        <f>'Cash Flow %s Yr1'!I15</f>
        <v>0.09</v>
      </c>
      <c r="J15" s="109">
        <f>'Cash Flow %s Yr1'!J15</f>
        <v>0.09</v>
      </c>
      <c r="K15" s="109">
        <f>'Cash Flow %s Yr1'!K15</f>
        <v>0.09</v>
      </c>
      <c r="L15" s="109">
        <f>'Cash Flow %s Yr1'!L15</f>
        <v>0.09</v>
      </c>
      <c r="M15" s="109">
        <f>'Cash Flow %s Yr1'!M15</f>
        <v>0.09</v>
      </c>
      <c r="N15" s="109">
        <f>'Cash Flow %s Yr1'!N15</f>
        <v>0.09</v>
      </c>
      <c r="O15" s="109">
        <f>'Cash Flow %s Yr1'!O15</f>
        <v>0.09</v>
      </c>
      <c r="P15" s="109">
        <f>'Cash Flow %s Yr1'!P15</f>
        <v>0</v>
      </c>
      <c r="Q15" s="109">
        <f>'Cash Flow %s Yr1'!Q15</f>
        <v>0</v>
      </c>
      <c r="R15" s="109">
        <f>'Cash Flow %s Yr1'!R15</f>
        <v>0</v>
      </c>
      <c r="S15" s="105">
        <f t="shared" si="1"/>
        <v>0.99999999999999978</v>
      </c>
    </row>
    <row r="16" spans="1:20" s="30" customFormat="1" x14ac:dyDescent="0.3">
      <c r="A16" s="48"/>
      <c r="B16" s="61">
        <f>'Revenue Input'!B30</f>
        <v>8520</v>
      </c>
      <c r="C16" s="61" t="str">
        <f>'Revenue Input'!C30</f>
        <v>State Child Nutrition Program</v>
      </c>
      <c r="D16" s="109">
        <f>'Cash Flow %s Yr1'!D16</f>
        <v>0.05</v>
      </c>
      <c r="E16" s="109">
        <f>'Cash Flow %s Yr1'!E16</f>
        <v>0.05</v>
      </c>
      <c r="F16" s="109">
        <f>'Cash Flow %s Yr1'!F16</f>
        <v>0.09</v>
      </c>
      <c r="G16" s="109">
        <f>'Cash Flow %s Yr1'!G16</f>
        <v>0.09</v>
      </c>
      <c r="H16" s="109">
        <f>'Cash Flow %s Yr1'!H16</f>
        <v>0.09</v>
      </c>
      <c r="I16" s="109">
        <f>'Cash Flow %s Yr1'!I16</f>
        <v>0.09</v>
      </c>
      <c r="J16" s="109">
        <f>'Cash Flow %s Yr1'!J16</f>
        <v>0.09</v>
      </c>
      <c r="K16" s="109">
        <f>'Cash Flow %s Yr1'!K16</f>
        <v>0.09</v>
      </c>
      <c r="L16" s="109">
        <f>'Cash Flow %s Yr1'!L16</f>
        <v>0.09</v>
      </c>
      <c r="M16" s="109">
        <f>'Cash Flow %s Yr1'!M16</f>
        <v>0.09</v>
      </c>
      <c r="N16" s="109">
        <f>'Cash Flow %s Yr1'!N16</f>
        <v>0.09</v>
      </c>
      <c r="O16" s="109">
        <f>'Cash Flow %s Yr1'!O16</f>
        <v>0.09</v>
      </c>
      <c r="P16" s="109">
        <f>'Cash Flow %s Yr1'!P16</f>
        <v>0</v>
      </c>
      <c r="Q16" s="109">
        <f>'Cash Flow %s Yr1'!Q16</f>
        <v>0</v>
      </c>
      <c r="R16" s="109">
        <f>'Cash Flow %s Yr1'!R16</f>
        <v>0</v>
      </c>
      <c r="S16" s="105">
        <f t="shared" si="1"/>
        <v>0.99999999999999978</v>
      </c>
    </row>
    <row r="17" spans="1:20" s="30" customFormat="1" x14ac:dyDescent="0.3">
      <c r="A17" s="48"/>
      <c r="B17" s="61">
        <f>'Revenue Input'!B31</f>
        <v>8550</v>
      </c>
      <c r="C17" s="61" t="str">
        <f>'Revenue Input'!C31</f>
        <v>Mandate Block Grant</v>
      </c>
      <c r="D17" s="109">
        <f>'Cash Flow %s Yr1'!D17</f>
        <v>0</v>
      </c>
      <c r="E17" s="109">
        <f>'Cash Flow %s Yr1'!E17</f>
        <v>0</v>
      </c>
      <c r="F17" s="109">
        <f>'Cash Flow %s Yr1'!F17</f>
        <v>0</v>
      </c>
      <c r="G17" s="109">
        <f>'Cash Flow %s Yr1'!G17</f>
        <v>0</v>
      </c>
      <c r="H17" s="109">
        <f>'Cash Flow %s Yr1'!H17</f>
        <v>0</v>
      </c>
      <c r="I17" s="109">
        <f>'Cash Flow %s Yr1'!I17</f>
        <v>0.25</v>
      </c>
      <c r="J17" s="109">
        <f>'Cash Flow %s Yr1'!J17</f>
        <v>0</v>
      </c>
      <c r="K17" s="109">
        <f>'Cash Flow %s Yr1'!K17</f>
        <v>0.25</v>
      </c>
      <c r="L17" s="109">
        <f>'Cash Flow %s Yr1'!L17</f>
        <v>0</v>
      </c>
      <c r="M17" s="109">
        <f>'Cash Flow %s Yr1'!M17</f>
        <v>0.25</v>
      </c>
      <c r="N17" s="109">
        <f>'Cash Flow %s Yr1'!N17</f>
        <v>0</v>
      </c>
      <c r="O17" s="109">
        <f>'Cash Flow %s Yr1'!O17</f>
        <v>0.25</v>
      </c>
      <c r="P17" s="109">
        <f>'Cash Flow %s Yr1'!P17</f>
        <v>0</v>
      </c>
      <c r="Q17" s="109">
        <f>'Cash Flow %s Yr1'!Q17</f>
        <v>0</v>
      </c>
      <c r="R17" s="109">
        <f>'Cash Flow %s Yr1'!R17</f>
        <v>0</v>
      </c>
      <c r="S17" s="105">
        <f t="shared" si="1"/>
        <v>1</v>
      </c>
      <c r="T17" s="1">
        <f>'Cash Flow %s Yr1'!T17</f>
        <v>0</v>
      </c>
    </row>
    <row r="18" spans="1:20" s="30" customFormat="1" x14ac:dyDescent="0.3">
      <c r="A18" s="47"/>
      <c r="B18" s="61">
        <f>'Revenue Input'!B32</f>
        <v>8560</v>
      </c>
      <c r="C18" s="61" t="str">
        <f>'Revenue Input'!C32</f>
        <v>Lottery</v>
      </c>
      <c r="D18" s="109">
        <f>'Cash Flow %s Yr1'!D18</f>
        <v>0</v>
      </c>
      <c r="E18" s="109">
        <f>'Cash Flow %s Yr1'!E18</f>
        <v>0</v>
      </c>
      <c r="F18" s="109">
        <f>'Cash Flow %s Yr1'!F18</f>
        <v>0</v>
      </c>
      <c r="G18" s="109">
        <f>'Cash Flow %s Yr1'!G18</f>
        <v>0</v>
      </c>
      <c r="H18" s="109">
        <f>'Cash Flow %s Yr1'!H18</f>
        <v>0.1</v>
      </c>
      <c r="I18" s="109">
        <f>'Cash Flow %s Yr1'!I18</f>
        <v>0.1</v>
      </c>
      <c r="J18" s="109">
        <f>'Cash Flow %s Yr1'!J18</f>
        <v>0.1</v>
      </c>
      <c r="K18" s="109">
        <f>'Cash Flow %s Yr1'!K18</f>
        <v>0.1</v>
      </c>
      <c r="L18" s="109">
        <f>'Cash Flow %s Yr1'!L18</f>
        <v>0.1</v>
      </c>
      <c r="M18" s="109">
        <f>'Cash Flow %s Yr1'!M18</f>
        <v>0.1</v>
      </c>
      <c r="N18" s="109">
        <f>'Cash Flow %s Yr1'!N18</f>
        <v>0.1</v>
      </c>
      <c r="O18" s="109">
        <f>'Cash Flow %s Yr1'!O18</f>
        <v>0.3</v>
      </c>
      <c r="P18" s="109">
        <f>'Cash Flow %s Yr1'!P18</f>
        <v>0</v>
      </c>
      <c r="Q18" s="109">
        <f>'Cash Flow %s Yr1'!Q18</f>
        <v>0</v>
      </c>
      <c r="R18" s="109">
        <f>'Cash Flow %s Yr1'!R18</f>
        <v>0</v>
      </c>
      <c r="S18" s="105">
        <f t="shared" si="1"/>
        <v>1</v>
      </c>
    </row>
    <row r="19" spans="1:20" s="30" customFormat="1" x14ac:dyDescent="0.3">
      <c r="A19" s="48"/>
      <c r="B19" s="61">
        <f>'Revenue Input'!B34</f>
        <v>8590</v>
      </c>
      <c r="C19" s="61" t="str">
        <f>'Revenue Input'!C34</f>
        <v xml:space="preserve">Other State Revenues </v>
      </c>
      <c r="D19" s="109">
        <f>'Cash Flow %s Yr1'!D19</f>
        <v>0</v>
      </c>
      <c r="E19" s="109">
        <f>'Cash Flow %s Yr1'!E19</f>
        <v>0</v>
      </c>
      <c r="F19" s="109">
        <f>'Cash Flow %s Yr1'!F19</f>
        <v>0</v>
      </c>
      <c r="G19" s="109">
        <f>'Cash Flow %s Yr1'!G19</f>
        <v>0</v>
      </c>
      <c r="H19" s="109">
        <f>'Cash Flow %s Yr1'!H19</f>
        <v>0.25</v>
      </c>
      <c r="I19" s="109">
        <f>'Cash Flow %s Yr1'!I19</f>
        <v>0</v>
      </c>
      <c r="J19" s="109">
        <f>'Cash Flow %s Yr1'!J19</f>
        <v>0</v>
      </c>
      <c r="K19" s="109">
        <f>'Cash Flow %s Yr1'!K19</f>
        <v>0.25</v>
      </c>
      <c r="L19" s="109">
        <f>'Cash Flow %s Yr1'!L19</f>
        <v>0</v>
      </c>
      <c r="M19" s="109">
        <f>'Cash Flow %s Yr1'!M19</f>
        <v>0</v>
      </c>
      <c r="N19" s="109">
        <f>'Cash Flow %s Yr1'!N19</f>
        <v>0.25</v>
      </c>
      <c r="O19" s="109">
        <f>'Cash Flow %s Yr1'!O19</f>
        <v>0.25</v>
      </c>
      <c r="P19" s="109">
        <f>'Cash Flow %s Yr1'!P19</f>
        <v>0</v>
      </c>
      <c r="Q19" s="109">
        <f>'Cash Flow %s Yr1'!Q19</f>
        <v>0</v>
      </c>
      <c r="R19" s="109">
        <f>'Cash Flow %s Yr1'!R19</f>
        <v>0</v>
      </c>
      <c r="S19" s="105">
        <f t="shared" si="1"/>
        <v>1</v>
      </c>
    </row>
    <row r="20" spans="1:20" s="30" customFormat="1" ht="17.399999999999999" x14ac:dyDescent="0.3">
      <c r="A20" s="45"/>
      <c r="B20" s="61">
        <f>'Revenue Input'!B37</f>
        <v>8591</v>
      </c>
      <c r="C20" s="61" t="str">
        <f>'Revenue Input'!C37</f>
        <v>SB740</v>
      </c>
      <c r="D20" s="109">
        <f>'Cash Flow %s Yr1'!D20</f>
        <v>0</v>
      </c>
      <c r="E20" s="109">
        <f>'Cash Flow %s Yr1'!E20</f>
        <v>0</v>
      </c>
      <c r="F20" s="109">
        <f>'Cash Flow %s Yr1'!F20</f>
        <v>0</v>
      </c>
      <c r="G20" s="109">
        <f>'Cash Flow %s Yr1'!G20</f>
        <v>0</v>
      </c>
      <c r="H20" s="109">
        <f>'Cash Flow %s Yr1'!H20</f>
        <v>0.65</v>
      </c>
      <c r="I20" s="109">
        <f>'Cash Flow %s Yr1'!I20</f>
        <v>0</v>
      </c>
      <c r="J20" s="109">
        <f>'Cash Flow %s Yr1'!J20</f>
        <v>0</v>
      </c>
      <c r="K20" s="109">
        <f>'Cash Flow %s Yr1'!K20</f>
        <v>0</v>
      </c>
      <c r="L20" s="109">
        <f>'Cash Flow %s Yr1'!L20</f>
        <v>0</v>
      </c>
      <c r="M20" s="109">
        <f>'Cash Flow %s Yr1'!M20</f>
        <v>0</v>
      </c>
      <c r="N20" s="109">
        <f>'Cash Flow %s Yr1'!N20</f>
        <v>0</v>
      </c>
      <c r="O20" s="109">
        <f>'Cash Flow %s Yr1'!O20</f>
        <v>0.35</v>
      </c>
      <c r="P20" s="109">
        <f>'Cash Flow %s Yr1'!P20</f>
        <v>0</v>
      </c>
      <c r="Q20" s="109">
        <f>'Cash Flow %s Yr1'!Q20</f>
        <v>0</v>
      </c>
      <c r="R20" s="109">
        <f>'Cash Flow %s Yr1'!R20</f>
        <v>0</v>
      </c>
      <c r="S20" s="105">
        <f t="shared" si="1"/>
        <v>1</v>
      </c>
    </row>
    <row r="21" spans="1:20" s="30" customFormat="1" ht="17.399999999999999" x14ac:dyDescent="0.3">
      <c r="A21" s="45"/>
      <c r="B21" s="61">
        <f>'Revenue Input'!B38</f>
        <v>8599</v>
      </c>
      <c r="C21" s="61" t="str">
        <f>'Revenue Input'!C38</f>
        <v>Prior Year State Income</v>
      </c>
      <c r="D21" s="109">
        <f>'Cash Flow %s Yr1'!D21</f>
        <v>0</v>
      </c>
      <c r="E21" s="109">
        <f>'Cash Flow %s Yr1'!E21</f>
        <v>0</v>
      </c>
      <c r="F21" s="109">
        <f>'Cash Flow %s Yr1'!F21</f>
        <v>0.5</v>
      </c>
      <c r="G21" s="109">
        <f>'Cash Flow %s Yr1'!G21</f>
        <v>0</v>
      </c>
      <c r="H21" s="109">
        <f>'Cash Flow %s Yr1'!H21</f>
        <v>0</v>
      </c>
      <c r="I21" s="109">
        <f>'Cash Flow %s Yr1'!I21</f>
        <v>0</v>
      </c>
      <c r="J21" s="109">
        <f>'Cash Flow %s Yr1'!J21</f>
        <v>0.5</v>
      </c>
      <c r="K21" s="109">
        <f>'Cash Flow %s Yr1'!K21</f>
        <v>0</v>
      </c>
      <c r="L21" s="109">
        <f>'Cash Flow %s Yr1'!L21</f>
        <v>0</v>
      </c>
      <c r="M21" s="109">
        <f>'Cash Flow %s Yr1'!M21</f>
        <v>0</v>
      </c>
      <c r="N21" s="109">
        <f>'Cash Flow %s Yr1'!N21</f>
        <v>0</v>
      </c>
      <c r="O21" s="109">
        <f>'Cash Flow %s Yr1'!O21</f>
        <v>0</v>
      </c>
      <c r="P21" s="109">
        <f>'Cash Flow %s Yr1'!P21</f>
        <v>0</v>
      </c>
      <c r="Q21" s="109">
        <f>'Cash Flow %s Yr1'!Q21</f>
        <v>0</v>
      </c>
      <c r="R21" s="109">
        <f>'Cash Flow %s Yr1'!R21</f>
        <v>0</v>
      </c>
      <c r="S21" s="105">
        <f>SUM(D21:R21)</f>
        <v>1</v>
      </c>
    </row>
    <row r="22" spans="1:20" s="30" customFormat="1" ht="17.399999999999999" x14ac:dyDescent="0.3">
      <c r="A22" s="45"/>
      <c r="B22" s="61">
        <f>'Revenue Input'!B39</f>
        <v>8792</v>
      </c>
      <c r="C22" s="61" t="str">
        <f>'Revenue Input'!C39</f>
        <v>Special Education - AB 602</v>
      </c>
      <c r="D22" s="109">
        <f>'Cash Flow %s Yr1'!D22</f>
        <v>0</v>
      </c>
      <c r="E22" s="109">
        <f>'Cash Flow %s Yr1'!E22</f>
        <v>0</v>
      </c>
      <c r="F22" s="109">
        <f>'Cash Flow %s Yr1'!F22</f>
        <v>0</v>
      </c>
      <c r="G22" s="109">
        <f>'Cash Flow %s Yr1'!G22</f>
        <v>0</v>
      </c>
      <c r="H22" s="109">
        <f>'Cash Flow %s Yr1'!H22</f>
        <v>0</v>
      </c>
      <c r="I22" s="109">
        <f>'Cash Flow %s Yr1'!I22</f>
        <v>0</v>
      </c>
      <c r="J22" s="109">
        <f>'Cash Flow %s Yr1'!J22</f>
        <v>0.4</v>
      </c>
      <c r="K22" s="109">
        <f>'Cash Flow %s Yr1'!K22</f>
        <v>0</v>
      </c>
      <c r="L22" s="109">
        <f>'Cash Flow %s Yr1'!L22</f>
        <v>0</v>
      </c>
      <c r="M22" s="109">
        <f>'Cash Flow %s Yr1'!M22</f>
        <v>0.4</v>
      </c>
      <c r="N22" s="109">
        <f>'Cash Flow %s Yr1'!N22</f>
        <v>0</v>
      </c>
      <c r="O22" s="109">
        <f>'Cash Flow %s Yr1'!O22</f>
        <v>0.2</v>
      </c>
      <c r="P22" s="109">
        <f>'Cash Flow %s Yr1'!P22</f>
        <v>0</v>
      </c>
      <c r="Q22" s="109">
        <f>'Cash Flow %s Yr1'!Q22</f>
        <v>0</v>
      </c>
      <c r="R22" s="109">
        <f>'Cash Flow %s Yr1'!R22</f>
        <v>0</v>
      </c>
      <c r="S22" s="105">
        <f t="shared" si="1"/>
        <v>1</v>
      </c>
    </row>
    <row r="23" spans="1:20" s="30" customFormat="1" ht="17.399999999999999" x14ac:dyDescent="0.3">
      <c r="A23" s="45"/>
      <c r="B23" s="68"/>
      <c r="C23" s="48"/>
      <c r="D23" s="114"/>
      <c r="E23" s="114"/>
      <c r="F23" s="114"/>
      <c r="G23" s="114"/>
      <c r="H23" s="114"/>
      <c r="I23" s="114"/>
      <c r="J23" s="114"/>
      <c r="K23" s="114"/>
      <c r="L23" s="114"/>
      <c r="M23" s="114"/>
      <c r="N23" s="114"/>
      <c r="O23" s="114"/>
      <c r="P23" s="114"/>
      <c r="Q23" s="114"/>
      <c r="R23" s="115"/>
      <c r="S23" s="105"/>
    </row>
    <row r="24" spans="1:20" s="30" customFormat="1" ht="17.399999999999999" x14ac:dyDescent="0.3">
      <c r="A24" s="45"/>
      <c r="B24" s="68"/>
      <c r="C24" s="48"/>
      <c r="D24" s="113"/>
      <c r="E24" s="113"/>
      <c r="F24" s="113"/>
      <c r="G24" s="113"/>
      <c r="H24" s="113"/>
      <c r="I24" s="113"/>
      <c r="J24" s="113"/>
      <c r="K24" s="113"/>
      <c r="L24" s="113"/>
      <c r="M24" s="113"/>
      <c r="N24" s="113"/>
      <c r="O24" s="113"/>
      <c r="P24" s="113"/>
      <c r="Q24" s="113"/>
      <c r="R24" s="113"/>
      <c r="S24" s="105"/>
    </row>
    <row r="25" spans="1:20" s="30" customFormat="1" ht="17.399999999999999" x14ac:dyDescent="0.3">
      <c r="B25" s="45" t="s">
        <v>781</v>
      </c>
      <c r="C25" s="48"/>
      <c r="D25" s="113"/>
      <c r="E25" s="113"/>
      <c r="F25" s="113"/>
      <c r="G25" s="113"/>
      <c r="H25" s="113"/>
      <c r="I25" s="113"/>
      <c r="J25" s="113"/>
      <c r="K25" s="113"/>
      <c r="L25" s="113"/>
      <c r="M25" s="113"/>
      <c r="N25" s="113"/>
      <c r="O25" s="113"/>
      <c r="P25" s="113"/>
      <c r="Q25" s="113"/>
      <c r="R25" s="113"/>
      <c r="S25" s="105"/>
    </row>
    <row r="26" spans="1:20" s="30" customFormat="1" ht="17.399999999999999" x14ac:dyDescent="0.3">
      <c r="A26" s="45"/>
      <c r="B26" s="61">
        <f>'Revenue Input'!B15</f>
        <v>8181</v>
      </c>
      <c r="C26" s="61" t="str">
        <f>'Revenue Input'!C15</f>
        <v>Special Education - Federal IDEA</v>
      </c>
      <c r="D26" s="109">
        <f>'Cash Flow %s Yr1'!D26</f>
        <v>0</v>
      </c>
      <c r="E26" s="109">
        <f>'Cash Flow %s Yr1'!E26</f>
        <v>0</v>
      </c>
      <c r="F26" s="109">
        <f>'Cash Flow %s Yr1'!F26</f>
        <v>0</v>
      </c>
      <c r="G26" s="109">
        <f>'Cash Flow %s Yr1'!G26</f>
        <v>0</v>
      </c>
      <c r="H26" s="109">
        <f>'Cash Flow %s Yr1'!H26</f>
        <v>0.1</v>
      </c>
      <c r="I26" s="109">
        <f>'Cash Flow %s Yr1'!I26</f>
        <v>0.1</v>
      </c>
      <c r="J26" s="109">
        <f>'Cash Flow %s Yr1'!J26</f>
        <v>0.1</v>
      </c>
      <c r="K26" s="109">
        <f>'Cash Flow %s Yr1'!K26</f>
        <v>0.1</v>
      </c>
      <c r="L26" s="109">
        <f>'Cash Flow %s Yr1'!L26</f>
        <v>0.1</v>
      </c>
      <c r="M26" s="109">
        <f>'Cash Flow %s Yr1'!M26</f>
        <v>0.1</v>
      </c>
      <c r="N26" s="109">
        <f>'Cash Flow %s Yr1'!N26</f>
        <v>0.1</v>
      </c>
      <c r="O26" s="109">
        <f>'Cash Flow %s Yr1'!O26</f>
        <v>0.3</v>
      </c>
      <c r="P26" s="109">
        <f>'Cash Flow %s Yr1'!P26</f>
        <v>0</v>
      </c>
      <c r="Q26" s="109">
        <f>'Cash Flow %s Yr1'!Q26</f>
        <v>0</v>
      </c>
      <c r="R26" s="109">
        <f>'Cash Flow %s Yr1'!R26</f>
        <v>0</v>
      </c>
      <c r="S26" s="105">
        <f t="shared" ref="S26:S33" si="2">SUM(D26:R26)</f>
        <v>1</v>
      </c>
    </row>
    <row r="27" spans="1:20" s="30" customFormat="1" ht="17.399999999999999" x14ac:dyDescent="0.3">
      <c r="A27" s="45"/>
      <c r="B27" s="61">
        <f>'Revenue Input'!B17</f>
        <v>8290</v>
      </c>
      <c r="C27" s="61" t="str">
        <f>'Revenue Input'!C17</f>
        <v>All Other Federal Revenue, GEER/CRF</v>
      </c>
      <c r="D27" s="109">
        <f>'Cash Flow %s Yr1'!D27</f>
        <v>0</v>
      </c>
      <c r="E27" s="109">
        <f>'Cash Flow %s Yr1'!E27</f>
        <v>0</v>
      </c>
      <c r="F27" s="109">
        <f>'Cash Flow %s Yr1'!F27</f>
        <v>0</v>
      </c>
      <c r="G27" s="109">
        <f>'Cash Flow %s Yr1'!G27</f>
        <v>0</v>
      </c>
      <c r="H27" s="109">
        <f>'Cash Flow %s Yr1'!H27</f>
        <v>0</v>
      </c>
      <c r="I27" s="109">
        <f>'Cash Flow %s Yr1'!I27</f>
        <v>0</v>
      </c>
      <c r="J27" s="109">
        <f>'Cash Flow %s Yr1'!J27</f>
        <v>0.25</v>
      </c>
      <c r="K27" s="109">
        <f>'Cash Flow %s Yr1'!K27</f>
        <v>0</v>
      </c>
      <c r="L27" s="109">
        <f>'Cash Flow %s Yr1'!L27</f>
        <v>0</v>
      </c>
      <c r="M27" s="109">
        <f>'Cash Flow %s Yr1'!M27</f>
        <v>0.5</v>
      </c>
      <c r="N27" s="109">
        <f>'Cash Flow %s Yr1'!N27</f>
        <v>0</v>
      </c>
      <c r="O27" s="109">
        <f>'Cash Flow %s Yr1'!O27</f>
        <v>0.25</v>
      </c>
      <c r="P27" s="109">
        <f>'Cash Flow %s Yr1'!P27</f>
        <v>0</v>
      </c>
      <c r="Q27" s="109">
        <f>'Cash Flow %s Yr1'!Q27</f>
        <v>0</v>
      </c>
      <c r="R27" s="109">
        <f>'Cash Flow %s Yr1'!R27</f>
        <v>0</v>
      </c>
      <c r="S27" s="105">
        <f t="shared" si="2"/>
        <v>1</v>
      </c>
    </row>
    <row r="28" spans="1:20" s="30" customFormat="1" ht="17.399999999999999" x14ac:dyDescent="0.3">
      <c r="A28" s="45"/>
      <c r="B28" s="61">
        <f>'Revenue Input'!B21</f>
        <v>8291</v>
      </c>
      <c r="C28" s="61" t="str">
        <f>'Revenue Input'!C21</f>
        <v>Title I</v>
      </c>
      <c r="D28" s="109">
        <f>'Cash Flow %s Yr1'!D28</f>
        <v>0</v>
      </c>
      <c r="E28" s="109">
        <f>'Cash Flow %s Yr1'!E28</f>
        <v>0</v>
      </c>
      <c r="F28" s="109">
        <f>'Cash Flow %s Yr1'!F28</f>
        <v>0</v>
      </c>
      <c r="G28" s="109">
        <f>'Cash Flow %s Yr1'!G28</f>
        <v>0</v>
      </c>
      <c r="H28" s="109">
        <f>'Cash Flow %s Yr1'!H28</f>
        <v>0</v>
      </c>
      <c r="I28" s="109">
        <f>'Cash Flow %s Yr1'!I28</f>
        <v>0</v>
      </c>
      <c r="J28" s="109">
        <f>'Cash Flow %s Yr1'!J28</f>
        <v>0.25</v>
      </c>
      <c r="K28" s="109">
        <f>'Cash Flow %s Yr1'!K28</f>
        <v>0</v>
      </c>
      <c r="L28" s="109">
        <f>'Cash Flow %s Yr1'!L28</f>
        <v>0</v>
      </c>
      <c r="M28" s="109">
        <f>'Cash Flow %s Yr1'!M28</f>
        <v>0.5</v>
      </c>
      <c r="N28" s="109">
        <f>'Cash Flow %s Yr1'!N28</f>
        <v>0</v>
      </c>
      <c r="O28" s="109">
        <f>'Cash Flow %s Yr1'!O28</f>
        <v>0.25</v>
      </c>
      <c r="P28" s="109">
        <f>'Cash Flow %s Yr1'!P28</f>
        <v>0</v>
      </c>
      <c r="Q28" s="109">
        <f>'Cash Flow %s Yr1'!Q28</f>
        <v>0</v>
      </c>
      <c r="R28" s="109">
        <f>'Cash Flow %s Yr1'!R28</f>
        <v>0</v>
      </c>
      <c r="S28" s="105">
        <f t="shared" si="2"/>
        <v>1</v>
      </c>
    </row>
    <row r="29" spans="1:20" s="30" customFormat="1" ht="17.399999999999999" x14ac:dyDescent="0.3">
      <c r="A29" s="45"/>
      <c r="B29" s="61">
        <f>'Revenue Input'!B22</f>
        <v>8292</v>
      </c>
      <c r="C29" s="61" t="str">
        <f>'Revenue Input'!C22</f>
        <v>Title II</v>
      </c>
      <c r="D29" s="109">
        <f>'Cash Flow %s Yr1'!D29</f>
        <v>0</v>
      </c>
      <c r="E29" s="109">
        <f>'Cash Flow %s Yr1'!E29</f>
        <v>0</v>
      </c>
      <c r="F29" s="109">
        <f>'Cash Flow %s Yr1'!F29</f>
        <v>0</v>
      </c>
      <c r="G29" s="109">
        <f>'Cash Flow %s Yr1'!G29</f>
        <v>0</v>
      </c>
      <c r="H29" s="109">
        <f>'Cash Flow %s Yr1'!H29</f>
        <v>0</v>
      </c>
      <c r="I29" s="109">
        <f>'Cash Flow %s Yr1'!I29</f>
        <v>0</v>
      </c>
      <c r="J29" s="109">
        <f>'Cash Flow %s Yr1'!J29</f>
        <v>0.25</v>
      </c>
      <c r="K29" s="109">
        <f>'Cash Flow %s Yr1'!K29</f>
        <v>0</v>
      </c>
      <c r="L29" s="109">
        <f>'Cash Flow %s Yr1'!L29</f>
        <v>0</v>
      </c>
      <c r="M29" s="109">
        <f>'Cash Flow %s Yr1'!M29</f>
        <v>0.5</v>
      </c>
      <c r="N29" s="109">
        <f>'Cash Flow %s Yr1'!N29</f>
        <v>0</v>
      </c>
      <c r="O29" s="109">
        <f>'Cash Flow %s Yr1'!O29</f>
        <v>0.25</v>
      </c>
      <c r="P29" s="109">
        <f>'Cash Flow %s Yr1'!P29</f>
        <v>0</v>
      </c>
      <c r="Q29" s="109">
        <f>'Cash Flow %s Yr1'!Q29</f>
        <v>0</v>
      </c>
      <c r="R29" s="109">
        <f>'Cash Flow %s Yr1'!R29</f>
        <v>0</v>
      </c>
      <c r="S29" s="105">
        <f t="shared" si="2"/>
        <v>1</v>
      </c>
    </row>
    <row r="30" spans="1:20" s="30" customFormat="1" ht="17.399999999999999" x14ac:dyDescent="0.3">
      <c r="A30" s="45"/>
      <c r="B30" s="61">
        <f>'Revenue Input'!B23</f>
        <v>8293</v>
      </c>
      <c r="C30" s="61" t="str">
        <f>'Revenue Input'!C23</f>
        <v>Title III</v>
      </c>
      <c r="D30" s="109">
        <f>'Cash Flow %s Yr1'!D30</f>
        <v>0</v>
      </c>
      <c r="E30" s="109">
        <f>'Cash Flow %s Yr1'!E30</f>
        <v>0</v>
      </c>
      <c r="F30" s="109">
        <f>'Cash Flow %s Yr1'!F30</f>
        <v>0</v>
      </c>
      <c r="G30" s="109">
        <f>'Cash Flow %s Yr1'!G30</f>
        <v>0</v>
      </c>
      <c r="H30" s="109">
        <f>'Cash Flow %s Yr1'!H30</f>
        <v>0</v>
      </c>
      <c r="I30" s="109">
        <f>'Cash Flow %s Yr1'!I30</f>
        <v>0</v>
      </c>
      <c r="J30" s="109">
        <f>'Cash Flow %s Yr1'!J30</f>
        <v>0.25</v>
      </c>
      <c r="K30" s="109">
        <f>'Cash Flow %s Yr1'!K30</f>
        <v>0</v>
      </c>
      <c r="L30" s="109">
        <f>'Cash Flow %s Yr1'!L30</f>
        <v>0</v>
      </c>
      <c r="M30" s="109">
        <f>'Cash Flow %s Yr1'!M30</f>
        <v>0.5</v>
      </c>
      <c r="N30" s="109">
        <f>'Cash Flow %s Yr1'!N30</f>
        <v>0</v>
      </c>
      <c r="O30" s="109">
        <f>'Cash Flow %s Yr1'!O30</f>
        <v>0.25</v>
      </c>
      <c r="P30" s="109">
        <f>'Cash Flow %s Yr1'!P30</f>
        <v>0</v>
      </c>
      <c r="Q30" s="109">
        <f>'Cash Flow %s Yr1'!Q30</f>
        <v>0</v>
      </c>
      <c r="R30" s="109">
        <f>'Cash Flow %s Yr1'!R30</f>
        <v>0</v>
      </c>
      <c r="S30" s="105">
        <f t="shared" si="2"/>
        <v>1</v>
      </c>
    </row>
    <row r="31" spans="1:20" s="30" customFormat="1" ht="17.399999999999999" x14ac:dyDescent="0.3">
      <c r="A31" s="45"/>
      <c r="B31" s="61">
        <f>'Revenue Input'!B24</f>
        <v>8294</v>
      </c>
      <c r="C31" s="61" t="str">
        <f>'Revenue Input'!C24</f>
        <v>Title IV</v>
      </c>
      <c r="D31" s="109">
        <f>'Cash Flow %s Yr1'!D31</f>
        <v>0</v>
      </c>
      <c r="E31" s="109">
        <f>'Cash Flow %s Yr1'!E31</f>
        <v>0</v>
      </c>
      <c r="F31" s="109">
        <f>'Cash Flow %s Yr1'!F31</f>
        <v>0</v>
      </c>
      <c r="G31" s="109">
        <f>'Cash Flow %s Yr1'!G31</f>
        <v>0</v>
      </c>
      <c r="H31" s="109">
        <f>'Cash Flow %s Yr1'!H31</f>
        <v>0</v>
      </c>
      <c r="I31" s="109">
        <f>'Cash Flow %s Yr1'!I31</f>
        <v>0</v>
      </c>
      <c r="J31" s="109">
        <f>'Cash Flow %s Yr1'!J31</f>
        <v>0.25</v>
      </c>
      <c r="K31" s="109">
        <f>'Cash Flow %s Yr1'!K31</f>
        <v>0</v>
      </c>
      <c r="L31" s="109">
        <f>'Cash Flow %s Yr1'!L31</f>
        <v>0</v>
      </c>
      <c r="M31" s="109">
        <f>'Cash Flow %s Yr1'!M31</f>
        <v>0.5</v>
      </c>
      <c r="N31" s="109">
        <f>'Cash Flow %s Yr1'!N31</f>
        <v>0</v>
      </c>
      <c r="O31" s="109">
        <f>'Cash Flow %s Yr1'!O31</f>
        <v>0.25</v>
      </c>
      <c r="P31" s="109">
        <f>'Cash Flow %s Yr1'!P31</f>
        <v>0</v>
      </c>
      <c r="Q31" s="109">
        <f>'Cash Flow %s Yr1'!Q31</f>
        <v>0</v>
      </c>
      <c r="R31" s="109">
        <f>'Cash Flow %s Yr1'!R31</f>
        <v>0</v>
      </c>
      <c r="S31" s="105">
        <f t="shared" si="2"/>
        <v>1</v>
      </c>
    </row>
    <row r="32" spans="1:20" s="30" customFormat="1" ht="17.399999999999999" x14ac:dyDescent="0.3">
      <c r="A32" s="45"/>
      <c r="B32" s="61">
        <f>'Revenue Input'!B25</f>
        <v>8295</v>
      </c>
      <c r="C32" s="61" t="str">
        <f>'Revenue Input'!C25</f>
        <v>Title V</v>
      </c>
      <c r="D32" s="109">
        <f>'Cash Flow %s Yr1'!D32</f>
        <v>0</v>
      </c>
      <c r="E32" s="109">
        <f>'Cash Flow %s Yr1'!E32</f>
        <v>0</v>
      </c>
      <c r="F32" s="109">
        <f>'Cash Flow %s Yr1'!F32</f>
        <v>1</v>
      </c>
      <c r="G32" s="109">
        <f>'Cash Flow %s Yr1'!G32</f>
        <v>0</v>
      </c>
      <c r="H32" s="109">
        <f>'Cash Flow %s Yr1'!H32</f>
        <v>0</v>
      </c>
      <c r="I32" s="109">
        <f>'Cash Flow %s Yr1'!I32</f>
        <v>0</v>
      </c>
      <c r="J32" s="109">
        <f>'Cash Flow %s Yr1'!J32</f>
        <v>0</v>
      </c>
      <c r="K32" s="109">
        <f>'Cash Flow %s Yr1'!K32</f>
        <v>0</v>
      </c>
      <c r="L32" s="109">
        <f>'Cash Flow %s Yr1'!L32</f>
        <v>0</v>
      </c>
      <c r="M32" s="109">
        <f>'Cash Flow %s Yr1'!M32</f>
        <v>0</v>
      </c>
      <c r="N32" s="109">
        <f>'Cash Flow %s Yr1'!N32</f>
        <v>0</v>
      </c>
      <c r="O32" s="109">
        <f>'Cash Flow %s Yr1'!O32</f>
        <v>0</v>
      </c>
      <c r="P32" s="109">
        <f>'Cash Flow %s Yr1'!P32</f>
        <v>0</v>
      </c>
      <c r="Q32" s="109">
        <f>'Cash Flow %s Yr1'!Q32</f>
        <v>0</v>
      </c>
      <c r="R32" s="109">
        <f>'Cash Flow %s Yr1'!R32</f>
        <v>0</v>
      </c>
      <c r="S32" s="105">
        <f t="shared" si="2"/>
        <v>1</v>
      </c>
    </row>
    <row r="33" spans="1:19" s="30" customFormat="1" ht="17.399999999999999" x14ac:dyDescent="0.3">
      <c r="A33" s="45"/>
      <c r="B33" s="61">
        <f>'Revenue Input'!B26</f>
        <v>8299</v>
      </c>
      <c r="C33" s="61" t="str">
        <f>'Revenue Input'!C26</f>
        <v>Prior Year Federal Revenue</v>
      </c>
      <c r="D33" s="109">
        <f>'Cash Flow %s Yr1'!D33</f>
        <v>0</v>
      </c>
      <c r="E33" s="109">
        <f>'Cash Flow %s Yr1'!E33</f>
        <v>0</v>
      </c>
      <c r="F33" s="109">
        <f>'Cash Flow %s Yr1'!I33</f>
        <v>0.5</v>
      </c>
      <c r="G33" s="109">
        <f>'Cash Flow %s Yr1'!G33</f>
        <v>0</v>
      </c>
      <c r="H33" s="109">
        <f>'Cash Flow %s Yr1'!H33</f>
        <v>0</v>
      </c>
      <c r="I33" s="109" t="e">
        <f>'Cash Flow %s Yr1'!#REF!</f>
        <v>#REF!</v>
      </c>
      <c r="J33" s="109">
        <f>'Cash Flow %s Yr1'!J33</f>
        <v>0</v>
      </c>
      <c r="K33" s="109">
        <f>'Cash Flow %s Yr1'!K33</f>
        <v>0.4</v>
      </c>
      <c r="L33" s="109">
        <f>'Cash Flow %s Yr1'!L33</f>
        <v>0</v>
      </c>
      <c r="M33" s="109">
        <f>'Cash Flow %s Yr1'!M33</f>
        <v>0</v>
      </c>
      <c r="N33" s="109">
        <f>'Cash Flow %s Yr1'!N33</f>
        <v>0.1</v>
      </c>
      <c r="O33" s="109">
        <f>'Cash Flow %s Yr1'!O33</f>
        <v>0</v>
      </c>
      <c r="P33" s="109">
        <f>'Cash Flow %s Yr1'!P33</f>
        <v>0</v>
      </c>
      <c r="Q33" s="109">
        <f>'Cash Flow %s Yr1'!Q33</f>
        <v>0</v>
      </c>
      <c r="R33" s="109">
        <f>'Cash Flow %s Yr1'!R33</f>
        <v>0</v>
      </c>
      <c r="S33" s="105" t="e">
        <f t="shared" si="2"/>
        <v>#REF!</v>
      </c>
    </row>
    <row r="34" spans="1:19" s="30" customFormat="1" ht="17.399999999999999" x14ac:dyDescent="0.3">
      <c r="A34" s="45"/>
      <c r="B34" s="68"/>
      <c r="C34" s="48"/>
      <c r="D34" s="114"/>
      <c r="E34" s="114"/>
      <c r="F34" s="114"/>
      <c r="G34" s="114"/>
      <c r="H34" s="114"/>
      <c r="I34" s="114"/>
      <c r="J34" s="114"/>
      <c r="K34" s="114"/>
      <c r="L34" s="114"/>
      <c r="M34" s="114"/>
      <c r="N34" s="114"/>
      <c r="O34" s="114"/>
      <c r="P34" s="114"/>
      <c r="Q34" s="114"/>
      <c r="R34" s="114"/>
      <c r="S34" s="105"/>
    </row>
    <row r="35" spans="1:19" s="30" customFormat="1" ht="17.399999999999999" x14ac:dyDescent="0.3">
      <c r="A35" s="45"/>
      <c r="B35" s="68"/>
      <c r="C35" s="48"/>
      <c r="D35" s="117"/>
      <c r="E35" s="117"/>
      <c r="F35" s="117"/>
      <c r="G35" s="117"/>
      <c r="H35" s="117"/>
      <c r="I35" s="117"/>
      <c r="J35" s="117"/>
      <c r="K35" s="117"/>
      <c r="L35" s="117"/>
      <c r="M35" s="117"/>
      <c r="N35" s="117"/>
      <c r="O35" s="117"/>
      <c r="P35" s="117"/>
      <c r="Q35" s="117"/>
      <c r="R35" s="117"/>
      <c r="S35" s="105"/>
    </row>
    <row r="36" spans="1:19" s="30" customFormat="1" ht="17.399999999999999" x14ac:dyDescent="0.3">
      <c r="B36" s="45" t="s">
        <v>790</v>
      </c>
      <c r="C36" s="48"/>
      <c r="D36" s="117"/>
      <c r="E36" s="117"/>
      <c r="F36" s="117"/>
      <c r="G36" s="117"/>
      <c r="H36" s="117"/>
      <c r="I36" s="117"/>
      <c r="J36" s="117"/>
      <c r="K36" s="117"/>
      <c r="L36" s="117"/>
      <c r="M36" s="117"/>
      <c r="N36" s="117"/>
      <c r="O36" s="117"/>
      <c r="P36" s="117"/>
      <c r="Q36" s="117"/>
      <c r="R36" s="117"/>
      <c r="S36" s="105"/>
    </row>
    <row r="37" spans="1:19" s="30" customFormat="1" ht="17.399999999999999" x14ac:dyDescent="0.3">
      <c r="A37" s="45"/>
      <c r="B37" s="61">
        <f>'Revenue Input'!B44</f>
        <v>8660</v>
      </c>
      <c r="C37" s="61" t="str">
        <f>'Revenue Input'!C44</f>
        <v>Interest</v>
      </c>
      <c r="D37" s="109">
        <f>'Cash Flow %s Yr1'!D37</f>
        <v>8.3000000000000004E-2</v>
      </c>
      <c r="E37" s="109">
        <f>'Cash Flow %s Yr1'!E37</f>
        <v>8.3000000000000004E-2</v>
      </c>
      <c r="F37" s="109">
        <f>'Cash Flow %s Yr1'!F37</f>
        <v>8.3000000000000004E-2</v>
      </c>
      <c r="G37" s="109">
        <f>'Cash Flow %s Yr1'!G37</f>
        <v>8.3000000000000004E-2</v>
      </c>
      <c r="H37" s="109">
        <f>'Cash Flow %s Yr1'!H37</f>
        <v>8.3000000000000004E-2</v>
      </c>
      <c r="I37" s="109">
        <f>'Cash Flow %s Yr1'!I37</f>
        <v>8.3000000000000004E-2</v>
      </c>
      <c r="J37" s="109">
        <f>'Cash Flow %s Yr1'!J37</f>
        <v>8.3000000000000004E-2</v>
      </c>
      <c r="K37" s="109">
        <f>'Cash Flow %s Yr1'!K37</f>
        <v>8.3000000000000004E-2</v>
      </c>
      <c r="L37" s="109">
        <f>'Cash Flow %s Yr1'!L37</f>
        <v>8.4000000000000005E-2</v>
      </c>
      <c r="M37" s="109">
        <f>'Cash Flow %s Yr1'!M37</f>
        <v>8.4000000000000005E-2</v>
      </c>
      <c r="N37" s="109">
        <f>'Cash Flow %s Yr1'!N37</f>
        <v>8.4000000000000005E-2</v>
      </c>
      <c r="O37" s="109">
        <f>'Cash Flow %s Yr1'!O37</f>
        <v>8.4000000000000005E-2</v>
      </c>
      <c r="P37" s="109">
        <f>'Cash Flow %s Yr1'!P37</f>
        <v>0</v>
      </c>
      <c r="Q37" s="109">
        <f>'Cash Flow %s Yr1'!Q37</f>
        <v>0</v>
      </c>
      <c r="R37" s="109">
        <f>'Cash Flow %s Yr1'!R37</f>
        <v>0</v>
      </c>
      <c r="S37" s="105">
        <f t="shared" ref="S37:S49" si="3">SUM(D37:R37)</f>
        <v>0.99999999999999989</v>
      </c>
    </row>
    <row r="38" spans="1:19" s="30" customFormat="1" ht="17.399999999999999" x14ac:dyDescent="0.3">
      <c r="A38" s="45"/>
      <c r="B38" s="61">
        <f>'Revenue Input'!B45</f>
        <v>8682</v>
      </c>
      <c r="C38" s="61" t="str">
        <f>'Revenue Input'!C45</f>
        <v>Foundation Grants / Donations</v>
      </c>
      <c r="D38" s="109">
        <f>'Cash Flow %s Yr1'!D38</f>
        <v>0</v>
      </c>
      <c r="E38" s="109">
        <f>'Cash Flow %s Yr1'!E38</f>
        <v>0</v>
      </c>
      <c r="F38" s="109">
        <f>'Cash Flow %s Yr1'!F38</f>
        <v>0.1</v>
      </c>
      <c r="G38" s="109">
        <f>'Cash Flow %s Yr1'!G38</f>
        <v>0.1</v>
      </c>
      <c r="H38" s="109">
        <f>'Cash Flow %s Yr1'!H38</f>
        <v>0.1</v>
      </c>
      <c r="I38" s="109">
        <f>'Cash Flow %s Yr1'!I38</f>
        <v>0.1</v>
      </c>
      <c r="J38" s="109">
        <f>'Cash Flow %s Yr1'!J38</f>
        <v>0.1</v>
      </c>
      <c r="K38" s="109">
        <f>'Cash Flow %s Yr1'!K38</f>
        <v>0.1</v>
      </c>
      <c r="L38" s="109">
        <f>'Cash Flow %s Yr1'!L38</f>
        <v>0.1</v>
      </c>
      <c r="M38" s="109">
        <f>'Cash Flow %s Yr1'!M38</f>
        <v>0.1</v>
      </c>
      <c r="N38" s="109">
        <f>'Cash Flow %s Yr1'!N38</f>
        <v>0.1</v>
      </c>
      <c r="O38" s="109">
        <f>'Cash Flow %s Yr1'!O38</f>
        <v>0.1</v>
      </c>
      <c r="P38" s="109">
        <f>'Cash Flow %s Yr1'!P38</f>
        <v>0</v>
      </c>
      <c r="Q38" s="109">
        <f>'Cash Flow %s Yr1'!Q38</f>
        <v>0</v>
      </c>
      <c r="R38" s="109">
        <f>'Cash Flow %s Yr1'!R38</f>
        <v>0</v>
      </c>
      <c r="S38" s="105">
        <f t="shared" si="3"/>
        <v>0.99999999999999989</v>
      </c>
    </row>
    <row r="39" spans="1:19" s="30" customFormat="1" ht="17.399999999999999" x14ac:dyDescent="0.3">
      <c r="A39" s="45"/>
      <c r="B39" s="61">
        <f>'Revenue Input'!B46</f>
        <v>8684</v>
      </c>
      <c r="C39" s="61" t="str">
        <f>'Revenue Input'!C46</f>
        <v>Student  Body (ASB) Fundraising Revenue</v>
      </c>
      <c r="D39" s="109">
        <f>'Cash Flow %s Yr1'!D39</f>
        <v>0</v>
      </c>
      <c r="E39" s="109">
        <f>'Cash Flow %s Yr1'!E39</f>
        <v>0</v>
      </c>
      <c r="F39" s="109">
        <f>'Cash Flow %s Yr1'!F39</f>
        <v>0.1</v>
      </c>
      <c r="G39" s="109">
        <f>'Cash Flow %s Yr1'!G39</f>
        <v>0.1</v>
      </c>
      <c r="H39" s="109">
        <f>'Cash Flow %s Yr1'!H39</f>
        <v>0.1</v>
      </c>
      <c r="I39" s="109">
        <f>'Cash Flow %s Yr1'!I39</f>
        <v>0.1</v>
      </c>
      <c r="J39" s="109">
        <f>'Cash Flow %s Yr1'!J39</f>
        <v>0.1</v>
      </c>
      <c r="K39" s="109">
        <f>'Cash Flow %s Yr1'!K39</f>
        <v>0.1</v>
      </c>
      <c r="L39" s="109">
        <f>'Cash Flow %s Yr1'!L39</f>
        <v>0.1</v>
      </c>
      <c r="M39" s="109">
        <f>'Cash Flow %s Yr1'!M39</f>
        <v>0.1</v>
      </c>
      <c r="N39" s="109">
        <f>'Cash Flow %s Yr1'!N39</f>
        <v>0.1</v>
      </c>
      <c r="O39" s="109">
        <f>'Cash Flow %s Yr1'!O39</f>
        <v>0.1</v>
      </c>
      <c r="P39" s="109">
        <f>'Cash Flow %s Yr1'!P39</f>
        <v>0</v>
      </c>
      <c r="Q39" s="109">
        <f>'Cash Flow %s Yr1'!Q39</f>
        <v>0</v>
      </c>
      <c r="R39" s="109">
        <f>'Cash Flow %s Yr1'!R39</f>
        <v>0</v>
      </c>
      <c r="S39" s="105">
        <f t="shared" si="3"/>
        <v>0.99999999999999989</v>
      </c>
    </row>
    <row r="40" spans="1:19" s="30" customFormat="1" x14ac:dyDescent="0.3">
      <c r="A40" s="47"/>
      <c r="B40" s="61">
        <f>'Revenue Input'!B47</f>
        <v>8685</v>
      </c>
      <c r="C40" s="61" t="str">
        <f>'Revenue Input'!C47</f>
        <v>School Site Fundraising</v>
      </c>
      <c r="D40" s="109">
        <f>'Cash Flow %s Yr1'!D40</f>
        <v>0</v>
      </c>
      <c r="E40" s="109">
        <f>'Cash Flow %s Yr1'!E40</f>
        <v>0</v>
      </c>
      <c r="F40" s="109">
        <f>'Cash Flow %s Yr1'!F40</f>
        <v>0.1</v>
      </c>
      <c r="G40" s="109">
        <f>'Cash Flow %s Yr1'!G40</f>
        <v>0.1</v>
      </c>
      <c r="H40" s="109">
        <f>'Cash Flow %s Yr1'!H40</f>
        <v>0.1</v>
      </c>
      <c r="I40" s="109">
        <f>'Cash Flow %s Yr1'!I40</f>
        <v>0.1</v>
      </c>
      <c r="J40" s="109">
        <f>'Cash Flow %s Yr1'!J40</f>
        <v>0.1</v>
      </c>
      <c r="K40" s="109">
        <f>'Cash Flow %s Yr1'!K40</f>
        <v>0.1</v>
      </c>
      <c r="L40" s="109">
        <f>'Cash Flow %s Yr1'!L40</f>
        <v>0.1</v>
      </c>
      <c r="M40" s="109">
        <f>'Cash Flow %s Yr1'!M40</f>
        <v>0.1</v>
      </c>
      <c r="N40" s="109">
        <f>'Cash Flow %s Yr1'!N40</f>
        <v>0.1</v>
      </c>
      <c r="O40" s="109">
        <f>'Cash Flow %s Yr1'!O40</f>
        <v>0.1</v>
      </c>
      <c r="P40" s="109">
        <f>'Cash Flow %s Yr1'!P40</f>
        <v>0</v>
      </c>
      <c r="Q40" s="109">
        <f>'Cash Flow %s Yr1'!Q40</f>
        <v>0</v>
      </c>
      <c r="R40" s="109">
        <f>'Cash Flow %s Yr1'!R40</f>
        <v>0</v>
      </c>
      <c r="S40" s="105">
        <f t="shared" si="3"/>
        <v>0.99999999999999989</v>
      </c>
    </row>
    <row r="41" spans="1:19" s="30" customFormat="1" x14ac:dyDescent="0.3">
      <c r="A41" s="48"/>
      <c r="B41" s="61">
        <f>'Revenue Input'!B48</f>
        <v>8686</v>
      </c>
      <c r="C41" s="61" t="str">
        <f>'Revenue Input'!C48</f>
        <v>Donations</v>
      </c>
      <c r="D41" s="109">
        <f>'Cash Flow %s Yr1'!D41</f>
        <v>0</v>
      </c>
      <c r="E41" s="109">
        <f>'Cash Flow %s Yr1'!E41</f>
        <v>0</v>
      </c>
      <c r="F41" s="109">
        <f>'Cash Flow %s Yr1'!F41</f>
        <v>0.1</v>
      </c>
      <c r="G41" s="109">
        <f>'Cash Flow %s Yr1'!G41</f>
        <v>0.1</v>
      </c>
      <c r="H41" s="109">
        <f>'Cash Flow %s Yr1'!H41</f>
        <v>0.1</v>
      </c>
      <c r="I41" s="109">
        <f>'Cash Flow %s Yr1'!I41</f>
        <v>0.1</v>
      </c>
      <c r="J41" s="109">
        <f>'Cash Flow %s Yr1'!J41</f>
        <v>0.1</v>
      </c>
      <c r="K41" s="109">
        <f>'Cash Flow %s Yr1'!K41</f>
        <v>0.1</v>
      </c>
      <c r="L41" s="109">
        <f>'Cash Flow %s Yr1'!L41</f>
        <v>0.1</v>
      </c>
      <c r="M41" s="109">
        <f>'Cash Flow %s Yr1'!M41</f>
        <v>0.1</v>
      </c>
      <c r="N41" s="109">
        <f>'Cash Flow %s Yr1'!N41</f>
        <v>0.1</v>
      </c>
      <c r="O41" s="109">
        <f>'Cash Flow %s Yr1'!O41</f>
        <v>0.1</v>
      </c>
      <c r="P41" s="109">
        <f>'Cash Flow %s Yr1'!P41</f>
        <v>0</v>
      </c>
      <c r="Q41" s="109">
        <f>'Cash Flow %s Yr1'!Q41</f>
        <v>0</v>
      </c>
      <c r="R41" s="109">
        <f>'Cash Flow %s Yr1'!R41</f>
        <v>0</v>
      </c>
      <c r="S41" s="105">
        <f t="shared" si="3"/>
        <v>0.99999999999999989</v>
      </c>
    </row>
    <row r="42" spans="1:19" s="30" customFormat="1" ht="17.399999999999999" x14ac:dyDescent="0.3">
      <c r="A42" s="45"/>
      <c r="B42" s="61">
        <f>'Revenue Input'!B49</f>
        <v>8687</v>
      </c>
      <c r="C42" s="61" t="str">
        <f>'Revenue Input'!C49</f>
        <v>Fund Development</v>
      </c>
      <c r="D42" s="109">
        <f>'Cash Flow %s Yr1'!D42</f>
        <v>0</v>
      </c>
      <c r="E42" s="109">
        <f>'Cash Flow %s Yr1'!E42</f>
        <v>0</v>
      </c>
      <c r="F42" s="109">
        <f>'Cash Flow %s Yr1'!F42</f>
        <v>0.1</v>
      </c>
      <c r="G42" s="109">
        <f>'Cash Flow %s Yr1'!G42</f>
        <v>0.1</v>
      </c>
      <c r="H42" s="109">
        <f>'Cash Flow %s Yr1'!H42</f>
        <v>0.1</v>
      </c>
      <c r="I42" s="109">
        <f>'Cash Flow %s Yr1'!I42</f>
        <v>0.1</v>
      </c>
      <c r="J42" s="109">
        <f>'Cash Flow %s Yr1'!J42</f>
        <v>0.1</v>
      </c>
      <c r="K42" s="109">
        <f>'Cash Flow %s Yr1'!K42</f>
        <v>0.1</v>
      </c>
      <c r="L42" s="109">
        <f>'Cash Flow %s Yr1'!L42</f>
        <v>0.1</v>
      </c>
      <c r="M42" s="109">
        <f>'Cash Flow %s Yr1'!M42</f>
        <v>0.1</v>
      </c>
      <c r="N42" s="109">
        <f>'Cash Flow %s Yr1'!N42</f>
        <v>0.1</v>
      </c>
      <c r="O42" s="109">
        <f>'Cash Flow %s Yr1'!O42</f>
        <v>0.1</v>
      </c>
      <c r="P42" s="109">
        <f>'Cash Flow %s Yr1'!P42</f>
        <v>0</v>
      </c>
      <c r="Q42" s="109">
        <f>'Cash Flow %s Yr1'!Q42</f>
        <v>0</v>
      </c>
      <c r="R42" s="109">
        <f>'Cash Flow %s Yr1'!R42</f>
        <v>0</v>
      </c>
      <c r="S42" s="105">
        <f t="shared" si="3"/>
        <v>0.99999999999999989</v>
      </c>
    </row>
    <row r="43" spans="1:19" s="30" customFormat="1" ht="17.399999999999999" x14ac:dyDescent="0.3">
      <c r="A43" s="45"/>
      <c r="B43" s="61">
        <f>'Revenue Input'!B50</f>
        <v>8688</v>
      </c>
      <c r="C43" s="61" t="str">
        <f>'Revenue Input'!C50</f>
        <v>In Kind Contributions</v>
      </c>
      <c r="D43" s="109">
        <f>'Cash Flow %s Yr1'!D43</f>
        <v>0</v>
      </c>
      <c r="E43" s="109">
        <f>'Cash Flow %s Yr1'!E43</f>
        <v>0</v>
      </c>
      <c r="F43" s="109">
        <f>'Cash Flow %s Yr1'!F43</f>
        <v>0.1</v>
      </c>
      <c r="G43" s="109">
        <f>'Cash Flow %s Yr1'!G43</f>
        <v>0.1</v>
      </c>
      <c r="H43" s="109">
        <f>'Cash Flow %s Yr1'!H43</f>
        <v>0.1</v>
      </c>
      <c r="I43" s="109">
        <f>'Cash Flow %s Yr1'!I43</f>
        <v>0.1</v>
      </c>
      <c r="J43" s="109">
        <f>'Cash Flow %s Yr1'!J43</f>
        <v>0.1</v>
      </c>
      <c r="K43" s="109">
        <f>'Cash Flow %s Yr1'!K43</f>
        <v>0.1</v>
      </c>
      <c r="L43" s="109">
        <f>'Cash Flow %s Yr1'!L43</f>
        <v>0.1</v>
      </c>
      <c r="M43" s="109">
        <f>'Cash Flow %s Yr1'!M43</f>
        <v>0.1</v>
      </c>
      <c r="N43" s="109">
        <f>'Cash Flow %s Yr1'!N43</f>
        <v>0.1</v>
      </c>
      <c r="O43" s="109">
        <f>'Cash Flow %s Yr1'!O43</f>
        <v>0.1</v>
      </c>
      <c r="P43" s="109">
        <f>'Cash Flow %s Yr1'!P43</f>
        <v>0</v>
      </c>
      <c r="Q43" s="109">
        <f>'Cash Flow %s Yr1'!Q43</f>
        <v>0</v>
      </c>
      <c r="R43" s="109">
        <f>'Cash Flow %s Yr1'!R43</f>
        <v>0</v>
      </c>
      <c r="S43" s="105">
        <f t="shared" si="3"/>
        <v>0.99999999999999989</v>
      </c>
    </row>
    <row r="44" spans="1:19" s="30" customFormat="1" ht="17.399999999999999" x14ac:dyDescent="0.3">
      <c r="A44" s="45"/>
      <c r="B44" s="61" t="e">
        <f>'Revenue Input'!#REF!</f>
        <v>#REF!</v>
      </c>
      <c r="C44" s="61" t="e">
        <f>'Revenue Input'!#REF!</f>
        <v>#REF!</v>
      </c>
      <c r="D44" s="109">
        <f>'Cash Flow %s Yr1'!D44</f>
        <v>0</v>
      </c>
      <c r="E44" s="109">
        <f>'Cash Flow %s Yr1'!E44</f>
        <v>0</v>
      </c>
      <c r="F44" s="109">
        <f>'Cash Flow %s Yr1'!F44</f>
        <v>0.1</v>
      </c>
      <c r="G44" s="109">
        <f>'Cash Flow %s Yr1'!G44</f>
        <v>0.1</v>
      </c>
      <c r="H44" s="109">
        <f>'Cash Flow %s Yr1'!H44</f>
        <v>0.1</v>
      </c>
      <c r="I44" s="109">
        <f>'Cash Flow %s Yr1'!I44</f>
        <v>0.1</v>
      </c>
      <c r="J44" s="109">
        <f>'Cash Flow %s Yr1'!J44</f>
        <v>0.1</v>
      </c>
      <c r="K44" s="109">
        <f>'Cash Flow %s Yr1'!K44</f>
        <v>0.1</v>
      </c>
      <c r="L44" s="109">
        <f>'Cash Flow %s Yr1'!L44</f>
        <v>0.1</v>
      </c>
      <c r="M44" s="109">
        <f>'Cash Flow %s Yr1'!M44</f>
        <v>0.1</v>
      </c>
      <c r="N44" s="109">
        <f>'Cash Flow %s Yr1'!N44</f>
        <v>0.1</v>
      </c>
      <c r="O44" s="109">
        <f>'Cash Flow %s Yr1'!O44</f>
        <v>0.1</v>
      </c>
      <c r="P44" s="109">
        <f>'Cash Flow %s Yr1'!P44</f>
        <v>0</v>
      </c>
      <c r="Q44" s="109">
        <f>'Cash Flow %s Yr1'!Q44</f>
        <v>0</v>
      </c>
      <c r="R44" s="109">
        <f>'Cash Flow %s Yr1'!R44</f>
        <v>0</v>
      </c>
      <c r="S44" s="105">
        <f t="shared" si="3"/>
        <v>0.99999999999999989</v>
      </c>
    </row>
    <row r="45" spans="1:19" s="30" customFormat="1" ht="17.399999999999999" x14ac:dyDescent="0.3">
      <c r="A45" s="45"/>
      <c r="B45" s="61" t="e">
        <f>'Revenue Input'!#REF!</f>
        <v>#REF!</v>
      </c>
      <c r="C45" s="61" t="e">
        <f>'Revenue Input'!#REF!</f>
        <v>#REF!</v>
      </c>
      <c r="D45" s="109">
        <f>'Cash Flow %s Yr1'!D45</f>
        <v>0</v>
      </c>
      <c r="E45" s="109">
        <f>'Cash Flow %s Yr1'!E45</f>
        <v>0</v>
      </c>
      <c r="F45" s="109">
        <f>'Cash Flow %s Yr1'!F45</f>
        <v>0.1</v>
      </c>
      <c r="G45" s="109">
        <f>'Cash Flow %s Yr1'!G45</f>
        <v>0.1</v>
      </c>
      <c r="H45" s="109">
        <f>'Cash Flow %s Yr1'!H45</f>
        <v>0.1</v>
      </c>
      <c r="I45" s="109">
        <f>'Cash Flow %s Yr1'!I45</f>
        <v>0.1</v>
      </c>
      <c r="J45" s="109">
        <f>'Cash Flow %s Yr1'!J45</f>
        <v>0.1</v>
      </c>
      <c r="K45" s="109">
        <f>'Cash Flow %s Yr1'!K45</f>
        <v>0.1</v>
      </c>
      <c r="L45" s="109">
        <f>'Cash Flow %s Yr1'!L45</f>
        <v>0.1</v>
      </c>
      <c r="M45" s="109">
        <f>'Cash Flow %s Yr1'!M45</f>
        <v>0.1</v>
      </c>
      <c r="N45" s="109">
        <f>'Cash Flow %s Yr1'!N45</f>
        <v>0.1</v>
      </c>
      <c r="O45" s="109">
        <f>'Cash Flow %s Yr1'!O45</f>
        <v>0.1</v>
      </c>
      <c r="P45" s="109">
        <f>'Cash Flow %s Yr1'!P45</f>
        <v>0</v>
      </c>
      <c r="Q45" s="109">
        <f>'Cash Flow %s Yr1'!Q45</f>
        <v>0</v>
      </c>
      <c r="R45" s="109">
        <f>'Cash Flow %s Yr1'!R45</f>
        <v>0</v>
      </c>
      <c r="S45" s="105">
        <f t="shared" si="3"/>
        <v>0.99999999999999989</v>
      </c>
    </row>
    <row r="46" spans="1:19" s="30" customFormat="1" ht="17.399999999999999" x14ac:dyDescent="0.3">
      <c r="A46" s="45"/>
      <c r="B46" s="61">
        <f>'Revenue Input'!B51</f>
        <v>8689</v>
      </c>
      <c r="C46" s="61" t="str">
        <f>'Revenue Input'!C51</f>
        <v xml:space="preserve">All Other Local Revenue </v>
      </c>
      <c r="D46" s="109">
        <f>'Cash Flow %s Yr1'!D46</f>
        <v>0</v>
      </c>
      <c r="E46" s="109">
        <f>'Cash Flow %s Yr1'!E46</f>
        <v>0</v>
      </c>
      <c r="F46" s="109">
        <f>'Cash Flow %s Yr1'!F46</f>
        <v>0.1</v>
      </c>
      <c r="G46" s="109">
        <f>'Cash Flow %s Yr1'!G46</f>
        <v>0.1</v>
      </c>
      <c r="H46" s="109">
        <f>'Cash Flow %s Yr1'!H46</f>
        <v>0.1</v>
      </c>
      <c r="I46" s="109">
        <f>'Cash Flow %s Yr1'!I46</f>
        <v>0.1</v>
      </c>
      <c r="J46" s="109">
        <f>'Cash Flow %s Yr1'!J46</f>
        <v>0.1</v>
      </c>
      <c r="K46" s="109">
        <f>'Cash Flow %s Yr1'!K46</f>
        <v>0.1</v>
      </c>
      <c r="L46" s="109">
        <f>'Cash Flow %s Yr1'!L46</f>
        <v>0.1</v>
      </c>
      <c r="M46" s="109">
        <f>'Cash Flow %s Yr1'!M46</f>
        <v>0.1</v>
      </c>
      <c r="N46" s="109">
        <f>'Cash Flow %s Yr1'!N46</f>
        <v>0.1</v>
      </c>
      <c r="O46" s="109">
        <f>'Cash Flow %s Yr1'!O46</f>
        <v>0.1</v>
      </c>
      <c r="P46" s="109">
        <f>'Cash Flow %s Yr1'!P46</f>
        <v>0</v>
      </c>
      <c r="Q46" s="109">
        <f>'Cash Flow %s Yr1'!Q46</f>
        <v>0</v>
      </c>
      <c r="R46" s="109">
        <f>'Cash Flow %s Yr1'!R46</f>
        <v>0</v>
      </c>
      <c r="S46" s="105">
        <f>SUM(D46:R46)</f>
        <v>0.99999999999999989</v>
      </c>
    </row>
    <row r="47" spans="1:19" s="30" customFormat="1" ht="17.399999999999999" x14ac:dyDescent="0.3">
      <c r="A47" s="45"/>
      <c r="B47" s="61">
        <f>'Revenue Input'!B52</f>
        <v>8699</v>
      </c>
      <c r="C47" s="61" t="str">
        <f>'Revenue Input'!C52</f>
        <v xml:space="preserve">All Other Local Revenue </v>
      </c>
      <c r="D47" s="109">
        <f>'Cash Flow %s Yr1'!D47</f>
        <v>0</v>
      </c>
      <c r="E47" s="109">
        <f>'Cash Flow %s Yr1'!E47</f>
        <v>0</v>
      </c>
      <c r="F47" s="109">
        <f>'Cash Flow %s Yr1'!F47</f>
        <v>0.1</v>
      </c>
      <c r="G47" s="109">
        <f>'Cash Flow %s Yr1'!G47</f>
        <v>0.1</v>
      </c>
      <c r="H47" s="109">
        <f>'Cash Flow %s Yr1'!H47</f>
        <v>0.1</v>
      </c>
      <c r="I47" s="109">
        <f>'Cash Flow %s Yr1'!I47</f>
        <v>0.1</v>
      </c>
      <c r="J47" s="109">
        <f>'Cash Flow %s Yr1'!J47</f>
        <v>0.1</v>
      </c>
      <c r="K47" s="109">
        <f>'Cash Flow %s Yr1'!K47</f>
        <v>0.1</v>
      </c>
      <c r="L47" s="109">
        <f>'Cash Flow %s Yr1'!L47</f>
        <v>0.1</v>
      </c>
      <c r="M47" s="109">
        <f>'Cash Flow %s Yr1'!M47</f>
        <v>0.1</v>
      </c>
      <c r="N47" s="109">
        <f>'Cash Flow %s Yr1'!N47</f>
        <v>0.1</v>
      </c>
      <c r="O47" s="109">
        <f>'Cash Flow %s Yr1'!O47</f>
        <v>0.1</v>
      </c>
      <c r="P47" s="109">
        <f>'Cash Flow %s Yr1'!P47</f>
        <v>0</v>
      </c>
      <c r="Q47" s="109">
        <f>'Cash Flow %s Yr1'!Q47</f>
        <v>0</v>
      </c>
      <c r="R47" s="109">
        <f>'Cash Flow %s Yr1'!R47</f>
        <v>0</v>
      </c>
      <c r="S47" s="105">
        <f>SUM(D47:R47)</f>
        <v>0.99999999999999989</v>
      </c>
    </row>
    <row r="48" spans="1:19" s="30" customFormat="1" ht="17.399999999999999" x14ac:dyDescent="0.3">
      <c r="A48" s="45"/>
      <c r="B48" s="61">
        <f>'Revenue Input'!B53</f>
        <v>8792</v>
      </c>
      <c r="C48" s="61" t="str">
        <f>'Revenue Input'!C53</f>
        <v>SPED State/Other Transfers of Apportionments from County</v>
      </c>
      <c r="D48" s="109">
        <f>'Cash Flow %s Yr1'!D48</f>
        <v>0</v>
      </c>
      <c r="E48" s="109">
        <f>'Cash Flow %s Yr1'!E48</f>
        <v>0</v>
      </c>
      <c r="F48" s="109">
        <f>'Cash Flow %s Yr1'!F48</f>
        <v>0.1</v>
      </c>
      <c r="G48" s="109">
        <f>'Cash Flow %s Yr1'!G48</f>
        <v>0.1</v>
      </c>
      <c r="H48" s="109">
        <f>'Cash Flow %s Yr1'!H48</f>
        <v>0.1</v>
      </c>
      <c r="I48" s="109">
        <f>'Cash Flow %s Yr1'!I48</f>
        <v>0.1</v>
      </c>
      <c r="J48" s="109">
        <f>'Cash Flow %s Yr1'!J48</f>
        <v>0.1</v>
      </c>
      <c r="K48" s="109">
        <f>'Cash Flow %s Yr1'!K48</f>
        <v>0.1</v>
      </c>
      <c r="L48" s="109">
        <f>'Cash Flow %s Yr1'!L48</f>
        <v>0.1</v>
      </c>
      <c r="M48" s="109">
        <f>'Cash Flow %s Yr1'!M48</f>
        <v>0.1</v>
      </c>
      <c r="N48" s="109">
        <f>'Cash Flow %s Yr1'!N48</f>
        <v>0.1</v>
      </c>
      <c r="O48" s="109">
        <f>'Cash Flow %s Yr1'!O48</f>
        <v>0.1</v>
      </c>
      <c r="P48" s="109">
        <f>'Cash Flow %s Yr1'!P48</f>
        <v>0</v>
      </c>
      <c r="Q48" s="109">
        <f>'Cash Flow %s Yr1'!Q48</f>
        <v>0</v>
      </c>
      <c r="R48" s="109">
        <f>'Cash Flow %s Yr1'!R48</f>
        <v>0</v>
      </c>
      <c r="S48" s="105">
        <f>SUM(D48:R48)</f>
        <v>0.99999999999999989</v>
      </c>
    </row>
    <row r="49" spans="1:19" s="30" customFormat="1" ht="17.399999999999999" x14ac:dyDescent="0.3">
      <c r="A49" s="45"/>
      <c r="B49" s="61">
        <f>'Revenue Input'!B55</f>
        <v>8984</v>
      </c>
      <c r="C49" s="61" t="str">
        <f>'Revenue Input'!C55</f>
        <v>Student Body (ASB Fundraising)</v>
      </c>
      <c r="D49" s="109">
        <f>'Cash Flow %s Yr1'!D49</f>
        <v>0</v>
      </c>
      <c r="E49" s="109">
        <f>'Cash Flow %s Yr1'!E49</f>
        <v>0</v>
      </c>
      <c r="F49" s="109">
        <f>'Cash Flow %s Yr1'!F49</f>
        <v>0.1</v>
      </c>
      <c r="G49" s="109">
        <f>'Cash Flow %s Yr1'!G49</f>
        <v>0.1</v>
      </c>
      <c r="H49" s="109">
        <f>'Cash Flow %s Yr1'!H49</f>
        <v>0.1</v>
      </c>
      <c r="I49" s="109">
        <f>'Cash Flow %s Yr1'!I49</f>
        <v>0.1</v>
      </c>
      <c r="J49" s="109">
        <f>'Cash Flow %s Yr1'!J49</f>
        <v>0.1</v>
      </c>
      <c r="K49" s="109">
        <f>'Cash Flow %s Yr1'!K49</f>
        <v>0.1</v>
      </c>
      <c r="L49" s="109">
        <f>'Cash Flow %s Yr1'!L49</f>
        <v>0.1</v>
      </c>
      <c r="M49" s="109">
        <f>'Cash Flow %s Yr1'!M49</f>
        <v>0.1</v>
      </c>
      <c r="N49" s="109">
        <f>'Cash Flow %s Yr1'!N49</f>
        <v>0.1</v>
      </c>
      <c r="O49" s="109">
        <f>'Cash Flow %s Yr1'!O49</f>
        <v>0.1</v>
      </c>
      <c r="P49" s="109">
        <f>'Cash Flow %s Yr1'!P49</f>
        <v>0</v>
      </c>
      <c r="Q49" s="109">
        <f>'Cash Flow %s Yr1'!Q49</f>
        <v>0</v>
      </c>
      <c r="R49" s="109">
        <f>'Cash Flow %s Yr1'!R49</f>
        <v>0</v>
      </c>
      <c r="S49" s="105">
        <f t="shared" si="3"/>
        <v>0.99999999999999989</v>
      </c>
    </row>
    <row r="50" spans="1:19" s="30" customFormat="1" ht="17.399999999999999" x14ac:dyDescent="0.3">
      <c r="A50" s="45"/>
      <c r="B50" s="68"/>
      <c r="C50" s="48"/>
      <c r="D50" s="113"/>
      <c r="E50" s="113"/>
      <c r="F50" s="113"/>
      <c r="G50" s="113"/>
      <c r="H50" s="113"/>
      <c r="I50" s="113"/>
      <c r="J50" s="113"/>
      <c r="K50" s="113"/>
      <c r="L50" s="113"/>
      <c r="M50" s="113"/>
      <c r="N50" s="113"/>
      <c r="O50" s="113"/>
      <c r="P50" s="94"/>
      <c r="Q50" s="94"/>
      <c r="R50" s="94"/>
      <c r="S50" s="105"/>
    </row>
    <row r="51" spans="1:19" s="30" customFormat="1" ht="17.399999999999999" x14ac:dyDescent="0.3">
      <c r="A51" s="45"/>
      <c r="B51" s="68"/>
      <c r="C51" s="48"/>
      <c r="D51" s="113"/>
      <c r="E51" s="113"/>
      <c r="F51" s="113"/>
      <c r="G51" s="113"/>
      <c r="H51" s="113"/>
      <c r="I51" s="113"/>
      <c r="J51" s="113"/>
      <c r="K51" s="113"/>
      <c r="L51" s="113"/>
      <c r="M51" s="113"/>
      <c r="N51" s="113"/>
      <c r="O51" s="113"/>
      <c r="P51" s="94"/>
      <c r="Q51" s="94"/>
      <c r="R51" s="94"/>
      <c r="S51" s="105"/>
    </row>
    <row r="52" spans="1:19" s="30" customFormat="1" ht="17.399999999999999" x14ac:dyDescent="0.3">
      <c r="A52" s="45"/>
      <c r="B52" s="68"/>
      <c r="C52" s="48"/>
      <c r="D52" s="94"/>
      <c r="E52" s="94"/>
      <c r="F52" s="94"/>
      <c r="G52" s="94"/>
      <c r="H52" s="94"/>
      <c r="I52" s="94"/>
      <c r="J52" s="94"/>
      <c r="K52" s="94"/>
      <c r="L52" s="94"/>
      <c r="M52" s="94"/>
      <c r="N52" s="94"/>
      <c r="O52" s="94"/>
      <c r="P52" s="94"/>
      <c r="Q52" s="94"/>
      <c r="R52" s="94"/>
      <c r="S52" s="105"/>
    </row>
    <row r="53" spans="1:19" s="30" customFormat="1" ht="17.399999999999999" x14ac:dyDescent="0.3">
      <c r="A53" s="45" t="s">
        <v>796</v>
      </c>
      <c r="B53" s="69"/>
      <c r="C53" s="33"/>
      <c r="D53" s="95"/>
      <c r="E53" s="95"/>
      <c r="F53" s="95"/>
      <c r="G53" s="95"/>
      <c r="H53" s="95"/>
      <c r="I53" s="95"/>
      <c r="J53" s="95"/>
      <c r="K53" s="95"/>
      <c r="L53" s="95"/>
      <c r="M53" s="95"/>
      <c r="N53" s="95"/>
      <c r="O53" s="95"/>
      <c r="P53" s="95"/>
      <c r="Q53" s="95"/>
      <c r="R53" s="95"/>
      <c r="S53" s="105"/>
    </row>
    <row r="54" spans="1:19" x14ac:dyDescent="0.3">
      <c r="A54" s="1"/>
      <c r="B54" s="33" t="s">
        <v>732</v>
      </c>
      <c r="C54" s="3"/>
      <c r="S54" s="173"/>
    </row>
    <row r="55" spans="1:19" x14ac:dyDescent="0.3">
      <c r="A55" s="35"/>
      <c r="B55" s="63" t="str">
        <f>'Expenses Summary'!B8</f>
        <v>1100</v>
      </c>
      <c r="C55" s="63" t="str">
        <f>'Expenses Summary'!C8</f>
        <v>Teachers'  Salaries</v>
      </c>
      <c r="D55" s="106">
        <f>'Cash Flow %s Yr1'!D55</f>
        <v>0.02</v>
      </c>
      <c r="E55" s="106">
        <f>'Cash Flow %s Yr1'!E55</f>
        <v>0.05</v>
      </c>
      <c r="F55" s="106">
        <f>'Cash Flow %s Yr1'!F55</f>
        <v>0.1</v>
      </c>
      <c r="G55" s="106">
        <f>'Cash Flow %s Yr1'!G55</f>
        <v>0.1</v>
      </c>
      <c r="H55" s="106">
        <f>'Cash Flow %s Yr1'!H55</f>
        <v>0.1</v>
      </c>
      <c r="I55" s="106">
        <f>'Cash Flow %s Yr1'!I55</f>
        <v>0.1</v>
      </c>
      <c r="J55" s="106">
        <f>'Cash Flow %s Yr1'!J55</f>
        <v>0.1</v>
      </c>
      <c r="K55" s="106">
        <f>'Cash Flow %s Yr1'!K55</f>
        <v>0.1</v>
      </c>
      <c r="L55" s="106">
        <f>'Cash Flow %s Yr1'!L55</f>
        <v>0.1</v>
      </c>
      <c r="M55" s="106">
        <f>'Cash Flow %s Yr1'!M55</f>
        <v>0.1</v>
      </c>
      <c r="N55" s="106">
        <f>'Cash Flow %s Yr1'!N55</f>
        <v>0.1</v>
      </c>
      <c r="O55" s="106">
        <f>'Cash Flow %s Yr1'!O55</f>
        <v>0.03</v>
      </c>
      <c r="P55" s="106">
        <f>'Cash Flow %s Yr1'!P55</f>
        <v>0</v>
      </c>
      <c r="Q55" s="106">
        <f>'Cash Flow %s Yr1'!Q55</f>
        <v>0</v>
      </c>
      <c r="R55" s="106">
        <f>'Cash Flow %s Yr1'!R55</f>
        <v>0</v>
      </c>
      <c r="S55" s="105">
        <f t="shared" ref="S55:S62" si="4">SUM(D55:R55)</f>
        <v>0.99999999999999989</v>
      </c>
    </row>
    <row r="56" spans="1:19" x14ac:dyDescent="0.3">
      <c r="A56" s="35"/>
      <c r="B56" s="63" t="str">
        <f>'Expenses Summary'!B9</f>
        <v>1105</v>
      </c>
      <c r="C56" s="63" t="str">
        <f>'Expenses Summary'!C9</f>
        <v>Teachers'  Stipend</v>
      </c>
      <c r="D56" s="106">
        <f>'Cash Flow %s Yr1'!D56</f>
        <v>0</v>
      </c>
      <c r="E56" s="106">
        <f>'Cash Flow %s Yr1'!E56</f>
        <v>0</v>
      </c>
      <c r="F56" s="106">
        <f>'Cash Flow %s Yr1'!F56</f>
        <v>0</v>
      </c>
      <c r="G56" s="106">
        <f>'Cash Flow %s Yr1'!G56</f>
        <v>0</v>
      </c>
      <c r="H56" s="106">
        <f>'Cash Flow %s Yr1'!H56</f>
        <v>0</v>
      </c>
      <c r="I56" s="106">
        <f>'Cash Flow %s Yr1'!I56</f>
        <v>0.5</v>
      </c>
      <c r="J56" s="106">
        <f>'Cash Flow %s Yr1'!J56</f>
        <v>0</v>
      </c>
      <c r="K56" s="106">
        <f>'Cash Flow %s Yr1'!K56</f>
        <v>0</v>
      </c>
      <c r="L56" s="106">
        <f>'Cash Flow %s Yr1'!L56</f>
        <v>0</v>
      </c>
      <c r="M56" s="106">
        <f>'Cash Flow %s Yr1'!M56</f>
        <v>0</v>
      </c>
      <c r="N56" s="106">
        <f>'Cash Flow %s Yr1'!N56</f>
        <v>0</v>
      </c>
      <c r="O56" s="106">
        <f>'Cash Flow %s Yr1'!O56</f>
        <v>0.5</v>
      </c>
      <c r="P56" s="106">
        <f>'Cash Flow %s Yr1'!P56</f>
        <v>0</v>
      </c>
      <c r="Q56" s="106">
        <f>'Cash Flow %s Yr1'!Q56</f>
        <v>0</v>
      </c>
      <c r="R56" s="106">
        <f>'Cash Flow %s Yr1'!R56</f>
        <v>0</v>
      </c>
      <c r="S56" s="105">
        <f t="shared" si="4"/>
        <v>1</v>
      </c>
    </row>
    <row r="57" spans="1:19" x14ac:dyDescent="0.3">
      <c r="A57" s="35"/>
      <c r="B57" s="63" t="str">
        <f>'Expenses Summary'!B10</f>
        <v>1120</v>
      </c>
      <c r="C57" s="63" t="str">
        <f>'Expenses Summary'!C10</f>
        <v>Substitute Expense</v>
      </c>
      <c r="D57" s="106">
        <f>'Cash Flow %s Yr1'!D57</f>
        <v>0</v>
      </c>
      <c r="E57" s="106">
        <f>'Cash Flow %s Yr1'!E57</f>
        <v>0</v>
      </c>
      <c r="F57" s="106">
        <f>'Cash Flow %s Yr1'!F57</f>
        <v>0.1</v>
      </c>
      <c r="G57" s="106">
        <f>'Cash Flow %s Yr1'!G57</f>
        <v>0.1</v>
      </c>
      <c r="H57" s="106">
        <f>'Cash Flow %s Yr1'!H57</f>
        <v>0.1</v>
      </c>
      <c r="I57" s="106">
        <f>'Cash Flow %s Yr1'!I57</f>
        <v>0.1</v>
      </c>
      <c r="J57" s="106">
        <f>'Cash Flow %s Yr1'!J57</f>
        <v>0.1</v>
      </c>
      <c r="K57" s="106">
        <f>'Cash Flow %s Yr1'!K57</f>
        <v>0.1</v>
      </c>
      <c r="L57" s="106">
        <f>'Cash Flow %s Yr1'!L57</f>
        <v>0.1</v>
      </c>
      <c r="M57" s="106">
        <f>'Cash Flow %s Yr1'!M57</f>
        <v>0.1</v>
      </c>
      <c r="N57" s="106">
        <f>'Cash Flow %s Yr1'!N57</f>
        <v>0.1</v>
      </c>
      <c r="O57" s="106">
        <f>'Cash Flow %s Yr1'!O57</f>
        <v>0.1</v>
      </c>
      <c r="P57" s="106">
        <f>'Cash Flow %s Yr1'!P57</f>
        <v>0</v>
      </c>
      <c r="Q57" s="106">
        <f>'Cash Flow %s Yr1'!Q57</f>
        <v>0</v>
      </c>
      <c r="R57" s="106">
        <f>'Cash Flow %s Yr1'!R57</f>
        <v>0</v>
      </c>
      <c r="S57" s="105">
        <f t="shared" si="4"/>
        <v>0.99999999999999989</v>
      </c>
    </row>
    <row r="58" spans="1:19" x14ac:dyDescent="0.3">
      <c r="A58" s="35"/>
      <c r="B58" s="63" t="str">
        <f>'Expenses Summary'!B11</f>
        <v>1200</v>
      </c>
      <c r="C58" s="63" t="str">
        <f>'Expenses Summary'!C11</f>
        <v>Certificated Pupil Support Salaries</v>
      </c>
      <c r="D58" s="106">
        <f>'Cash Flow %s Yr1'!D58</f>
        <v>0</v>
      </c>
      <c r="E58" s="106">
        <f>'Cash Flow %s Yr1'!E58</f>
        <v>0</v>
      </c>
      <c r="F58" s="106">
        <f>'Cash Flow %s Yr1'!F58</f>
        <v>0.1</v>
      </c>
      <c r="G58" s="106">
        <f>'Cash Flow %s Yr1'!G58</f>
        <v>0.1</v>
      </c>
      <c r="H58" s="106">
        <f>'Cash Flow %s Yr1'!H58</f>
        <v>0.1</v>
      </c>
      <c r="I58" s="106">
        <f>'Cash Flow %s Yr1'!I58</f>
        <v>0.1</v>
      </c>
      <c r="J58" s="106">
        <f>'Cash Flow %s Yr1'!J58</f>
        <v>0.1</v>
      </c>
      <c r="K58" s="106">
        <f>'Cash Flow %s Yr1'!K58</f>
        <v>0.1</v>
      </c>
      <c r="L58" s="106">
        <f>'Cash Flow %s Yr1'!L58</f>
        <v>0.1</v>
      </c>
      <c r="M58" s="106">
        <f>'Cash Flow %s Yr1'!M58</f>
        <v>0.1</v>
      </c>
      <c r="N58" s="106">
        <f>'Cash Flow %s Yr1'!N58</f>
        <v>0.1</v>
      </c>
      <c r="O58" s="106">
        <f>'Cash Flow %s Yr1'!O58</f>
        <v>0.1</v>
      </c>
      <c r="P58" s="106">
        <f>'Cash Flow %s Yr1'!P58</f>
        <v>0</v>
      </c>
      <c r="Q58" s="106">
        <f>'Cash Flow %s Yr1'!Q58</f>
        <v>0</v>
      </c>
      <c r="R58" s="106">
        <f>'Cash Flow %s Yr1'!R58</f>
        <v>0</v>
      </c>
      <c r="S58" s="105">
        <f t="shared" si="4"/>
        <v>0.99999999999999989</v>
      </c>
    </row>
    <row r="59" spans="1:19" x14ac:dyDescent="0.3">
      <c r="A59" s="35"/>
      <c r="B59" s="63" t="str">
        <f>'Expenses Summary'!B13</f>
        <v>1300</v>
      </c>
      <c r="C59" s="63" t="str">
        <f>'Expenses Summary'!C13</f>
        <v>Certificated Supervisor and Administrator Salaries</v>
      </c>
      <c r="D59" s="106">
        <f>'Cash Flow %s Yr1'!D59</f>
        <v>8.3000000000000004E-2</v>
      </c>
      <c r="E59" s="106">
        <f>'Cash Flow %s Yr1'!E59</f>
        <v>8.3000000000000004E-2</v>
      </c>
      <c r="F59" s="106">
        <f>'Cash Flow %s Yr1'!F59</f>
        <v>8.3000000000000004E-2</v>
      </c>
      <c r="G59" s="106">
        <f>'Cash Flow %s Yr1'!G59</f>
        <v>8.3000000000000004E-2</v>
      </c>
      <c r="H59" s="106">
        <f>'Cash Flow %s Yr1'!H59</f>
        <v>8.3000000000000004E-2</v>
      </c>
      <c r="I59" s="106">
        <f>'Cash Flow %s Yr1'!I59</f>
        <v>8.3000000000000004E-2</v>
      </c>
      <c r="J59" s="106">
        <f>'Cash Flow %s Yr1'!J59</f>
        <v>8.3000000000000004E-2</v>
      </c>
      <c r="K59" s="106">
        <f>'Cash Flow %s Yr1'!K59</f>
        <v>8.3000000000000004E-2</v>
      </c>
      <c r="L59" s="106">
        <f>'Cash Flow %s Yr1'!L59</f>
        <v>8.4000000000000005E-2</v>
      </c>
      <c r="M59" s="106">
        <f>'Cash Flow %s Yr1'!M59</f>
        <v>8.4000000000000005E-2</v>
      </c>
      <c r="N59" s="106">
        <f>'Cash Flow %s Yr1'!N59</f>
        <v>8.4000000000000005E-2</v>
      </c>
      <c r="O59" s="106">
        <f>'Cash Flow %s Yr1'!O59</f>
        <v>8.4000000000000005E-2</v>
      </c>
      <c r="P59" s="106">
        <f>'Cash Flow %s Yr1'!P59</f>
        <v>0</v>
      </c>
      <c r="Q59" s="106">
        <f>'Cash Flow %s Yr1'!Q59</f>
        <v>0</v>
      </c>
      <c r="R59" s="106">
        <f>'Cash Flow %s Yr1'!R59</f>
        <v>0</v>
      </c>
      <c r="S59" s="105">
        <f t="shared" si="4"/>
        <v>0.99999999999999989</v>
      </c>
    </row>
    <row r="60" spans="1:19" x14ac:dyDescent="0.3">
      <c r="A60" s="35"/>
      <c r="B60" s="63" t="str">
        <f>'Expenses Summary'!B14</f>
        <v>1305</v>
      </c>
      <c r="C60" s="63" t="str">
        <f>'Expenses Summary'!C14</f>
        <v>Certificated Supervisor and Administrator Bonuses</v>
      </c>
      <c r="D60" s="106">
        <f>'Cash Flow %s Yr1'!D60</f>
        <v>0</v>
      </c>
      <c r="E60" s="106">
        <f>'Cash Flow %s Yr1'!E60</f>
        <v>0</v>
      </c>
      <c r="F60" s="106">
        <f>'Cash Flow %s Yr1'!F60</f>
        <v>0</v>
      </c>
      <c r="G60" s="106">
        <f>'Cash Flow %s Yr1'!G60</f>
        <v>0</v>
      </c>
      <c r="H60" s="106">
        <f>'Cash Flow %s Yr1'!H60</f>
        <v>0</v>
      </c>
      <c r="I60" s="106">
        <f>'Cash Flow %s Yr1'!I60</f>
        <v>0.5</v>
      </c>
      <c r="J60" s="106">
        <f>'Cash Flow %s Yr1'!J60</f>
        <v>0</v>
      </c>
      <c r="K60" s="106">
        <f>'Cash Flow %s Yr1'!K60</f>
        <v>0</v>
      </c>
      <c r="L60" s="106">
        <f>'Cash Flow %s Yr1'!L60</f>
        <v>0</v>
      </c>
      <c r="M60" s="106">
        <f>'Cash Flow %s Yr1'!M60</f>
        <v>0</v>
      </c>
      <c r="N60" s="106">
        <f>'Cash Flow %s Yr1'!N60</f>
        <v>0</v>
      </c>
      <c r="O60" s="106">
        <f>'Cash Flow %s Yr1'!O60</f>
        <v>0.5</v>
      </c>
      <c r="P60" s="106">
        <f>'Cash Flow %s Yr1'!P60</f>
        <v>0</v>
      </c>
      <c r="Q60" s="106">
        <f>'Cash Flow %s Yr1'!Q60</f>
        <v>0</v>
      </c>
      <c r="R60" s="106">
        <f>'Cash Flow %s Yr1'!R60</f>
        <v>0</v>
      </c>
      <c r="S60" s="105">
        <f t="shared" si="4"/>
        <v>1</v>
      </c>
    </row>
    <row r="61" spans="1:19" x14ac:dyDescent="0.3">
      <c r="A61" s="35"/>
      <c r="B61" s="63" t="str">
        <f>'Expenses Summary'!B15</f>
        <v>1900</v>
      </c>
      <c r="C61" s="63" t="str">
        <f>'Expenses Summary'!C15</f>
        <v>Other Certificated Salaries</v>
      </c>
      <c r="D61" s="106">
        <f>'Cash Flow %s Yr1'!D61</f>
        <v>0</v>
      </c>
      <c r="E61" s="106">
        <f>'Cash Flow %s Yr1'!E61</f>
        <v>9.1666666666666702E-2</v>
      </c>
      <c r="F61" s="106">
        <f>'Cash Flow %s Yr1'!F61</f>
        <v>9.1666666666666702E-2</v>
      </c>
      <c r="G61" s="106">
        <f>'Cash Flow %s Yr1'!G61</f>
        <v>9.1666666666666702E-2</v>
      </c>
      <c r="H61" s="106">
        <f>'Cash Flow %s Yr1'!H61</f>
        <v>9.1666666666666702E-2</v>
      </c>
      <c r="I61" s="106">
        <f>'Cash Flow %s Yr1'!I61</f>
        <v>9.1666666666666702E-2</v>
      </c>
      <c r="J61" s="106">
        <f>'Cash Flow %s Yr1'!J61</f>
        <v>9.1666666666666702E-2</v>
      </c>
      <c r="K61" s="106">
        <f>'Cash Flow %s Yr1'!K61</f>
        <v>9.1666666666666702E-2</v>
      </c>
      <c r="L61" s="106">
        <f>'Cash Flow %s Yr1'!L61</f>
        <v>9.1666666666666702E-2</v>
      </c>
      <c r="M61" s="106">
        <f>'Cash Flow %s Yr1'!M61</f>
        <v>9.1666666666666702E-2</v>
      </c>
      <c r="N61" s="106">
        <f>'Cash Flow %s Yr1'!N61</f>
        <v>9.1666666666666702E-2</v>
      </c>
      <c r="O61" s="106">
        <f>'Cash Flow %s Yr1'!O61</f>
        <v>8.3333333332999998E-2</v>
      </c>
      <c r="P61" s="106">
        <f>'Cash Flow %s Yr1'!P61</f>
        <v>0</v>
      </c>
      <c r="Q61" s="106">
        <f>'Cash Flow %s Yr1'!Q61</f>
        <v>0</v>
      </c>
      <c r="R61" s="106">
        <f>'Cash Flow %s Yr1'!R61</f>
        <v>0</v>
      </c>
      <c r="S61" s="105">
        <f t="shared" si="4"/>
        <v>0.99999999999966682</v>
      </c>
    </row>
    <row r="62" spans="1:19" x14ac:dyDescent="0.3">
      <c r="A62" s="35"/>
      <c r="B62" s="63" t="str">
        <f>'Expenses Summary'!B16</f>
        <v>1910</v>
      </c>
      <c r="C62" s="63" t="str">
        <f>'Expenses Summary'!C16</f>
        <v>Other Certificated Overtime</v>
      </c>
      <c r="D62" s="106">
        <f>'Cash Flow %s Yr1'!D62</f>
        <v>0</v>
      </c>
      <c r="E62" s="106">
        <f>'Cash Flow %s Yr1'!E62</f>
        <v>9.1666666666666702E-2</v>
      </c>
      <c r="F62" s="106">
        <f>'Cash Flow %s Yr1'!F62</f>
        <v>9.1666666666666702E-2</v>
      </c>
      <c r="G62" s="106">
        <f>'Cash Flow %s Yr1'!G62</f>
        <v>9.1666666666666702E-2</v>
      </c>
      <c r="H62" s="106">
        <f>'Cash Flow %s Yr1'!H62</f>
        <v>9.1666666666666702E-2</v>
      </c>
      <c r="I62" s="106">
        <f>'Cash Flow %s Yr1'!I62</f>
        <v>9.1666666666666702E-2</v>
      </c>
      <c r="J62" s="106">
        <f>'Cash Flow %s Yr1'!J62</f>
        <v>9.1666666666666702E-2</v>
      </c>
      <c r="K62" s="106">
        <f>'Cash Flow %s Yr1'!K62</f>
        <v>9.1666666666666702E-2</v>
      </c>
      <c r="L62" s="106">
        <f>'Cash Flow %s Yr1'!L62</f>
        <v>9.1666666666666702E-2</v>
      </c>
      <c r="M62" s="106">
        <f>'Cash Flow %s Yr1'!M62</f>
        <v>9.1666666666666702E-2</v>
      </c>
      <c r="N62" s="106">
        <f>'Cash Flow %s Yr1'!N62</f>
        <v>9.1666666666666702E-2</v>
      </c>
      <c r="O62" s="106">
        <f>'Cash Flow %s Yr1'!O62</f>
        <v>8.3333333332999998E-2</v>
      </c>
      <c r="P62" s="106">
        <f>'Cash Flow %s Yr1'!P62</f>
        <v>0</v>
      </c>
      <c r="Q62" s="106">
        <f>'Cash Flow %s Yr1'!Q62</f>
        <v>0</v>
      </c>
      <c r="R62" s="106">
        <f>'Cash Flow %s Yr1'!R62</f>
        <v>0</v>
      </c>
      <c r="S62" s="105">
        <f t="shared" si="4"/>
        <v>0.99999999999966682</v>
      </c>
    </row>
    <row r="63" spans="1:19" x14ac:dyDescent="0.3">
      <c r="A63" s="35"/>
      <c r="B63" s="82"/>
      <c r="C63" s="87"/>
      <c r="D63" s="94"/>
      <c r="E63" s="94"/>
      <c r="F63" s="113"/>
      <c r="G63" s="113"/>
      <c r="H63" s="113"/>
      <c r="I63" s="113"/>
      <c r="J63" s="113"/>
      <c r="K63" s="113"/>
      <c r="L63" s="113"/>
      <c r="M63" s="113"/>
      <c r="N63" s="113"/>
      <c r="O63" s="113"/>
      <c r="P63" s="94"/>
      <c r="Q63" s="94"/>
      <c r="R63" s="94"/>
      <c r="S63" s="105"/>
    </row>
    <row r="64" spans="1:19" s="30" customFormat="1" x14ac:dyDescent="0.3">
      <c r="A64" s="35"/>
      <c r="B64" s="39"/>
      <c r="C64" s="3"/>
      <c r="D64" s="96"/>
      <c r="E64" s="96"/>
      <c r="F64" s="96"/>
      <c r="G64" s="96"/>
      <c r="H64" s="96"/>
      <c r="I64" s="96"/>
      <c r="J64" s="96"/>
      <c r="K64" s="96"/>
      <c r="L64" s="96"/>
      <c r="M64" s="96"/>
      <c r="N64" s="96"/>
      <c r="O64" s="96"/>
      <c r="P64" s="96"/>
      <c r="Q64" s="96"/>
      <c r="R64" s="96"/>
      <c r="S64" s="105"/>
    </row>
    <row r="65" spans="1:19" s="30" customFormat="1" x14ac:dyDescent="0.3">
      <c r="B65" s="5" t="s">
        <v>733</v>
      </c>
      <c r="C65" s="3"/>
      <c r="D65" s="96"/>
      <c r="E65" s="96"/>
      <c r="F65" s="96"/>
      <c r="G65" s="96"/>
      <c r="H65" s="96"/>
      <c r="I65" s="96"/>
      <c r="J65" s="96"/>
      <c r="K65" s="96"/>
      <c r="L65" s="96"/>
      <c r="M65" s="96"/>
      <c r="N65" s="96"/>
      <c r="O65" s="96"/>
      <c r="P65" s="96"/>
      <c r="Q65" s="96"/>
      <c r="R65" s="96"/>
      <c r="S65" s="105"/>
    </row>
    <row r="66" spans="1:19" s="30" customFormat="1" x14ac:dyDescent="0.3">
      <c r="A66" s="35"/>
      <c r="B66" s="63" t="str">
        <f>'Expenses Summary'!B20</f>
        <v>2100</v>
      </c>
      <c r="C66" s="63" t="str">
        <f>'Expenses Summary'!C20</f>
        <v>Instructional Aide Salaries</v>
      </c>
      <c r="D66" s="106">
        <f>'Cash Flow %s Yr1'!D66</f>
        <v>0</v>
      </c>
      <c r="E66" s="106">
        <f>'Cash Flow %s Yr1'!E66</f>
        <v>0.05</v>
      </c>
      <c r="F66" s="106">
        <f>'Cash Flow %s Yr1'!F66</f>
        <v>0.1</v>
      </c>
      <c r="G66" s="106">
        <f>'Cash Flow %s Yr1'!G66</f>
        <v>0.1</v>
      </c>
      <c r="H66" s="106">
        <f>'Cash Flow %s Yr1'!H66</f>
        <v>0.1</v>
      </c>
      <c r="I66" s="106">
        <f>'Cash Flow %s Yr1'!I66</f>
        <v>0.1</v>
      </c>
      <c r="J66" s="106">
        <f>'Cash Flow %s Yr1'!J66</f>
        <v>0.1</v>
      </c>
      <c r="K66" s="106">
        <f>'Cash Flow %s Yr1'!K66</f>
        <v>0.1</v>
      </c>
      <c r="L66" s="106">
        <f>'Cash Flow %s Yr1'!L66</f>
        <v>0.1</v>
      </c>
      <c r="M66" s="106">
        <f>'Cash Flow %s Yr1'!M66</f>
        <v>0.1</v>
      </c>
      <c r="N66" s="106">
        <f>'Cash Flow %s Yr1'!N66</f>
        <v>0.1</v>
      </c>
      <c r="O66" s="106">
        <f>'Cash Flow %s Yr1'!O66</f>
        <v>0.05</v>
      </c>
      <c r="P66" s="106">
        <f>'Cash Flow %s Yr1'!P66</f>
        <v>0</v>
      </c>
      <c r="Q66" s="106">
        <f>'Cash Flow %s Yr1'!Q66</f>
        <v>0</v>
      </c>
      <c r="R66" s="106">
        <f>'Cash Flow %s Yr1'!R66</f>
        <v>0</v>
      </c>
      <c r="S66" s="105">
        <f t="shared" ref="S66:S75" si="5">SUM(D66:R66)</f>
        <v>0.99999999999999989</v>
      </c>
    </row>
    <row r="67" spans="1:19" s="30" customFormat="1" x14ac:dyDescent="0.3">
      <c r="A67" s="35"/>
      <c r="B67" s="63" t="str">
        <f>'Expenses Summary'!B21</f>
        <v>2110</v>
      </c>
      <c r="C67" s="63" t="str">
        <f>'Expenses Summary'!C21</f>
        <v>Instructional Aide Overtime</v>
      </c>
      <c r="D67" s="106">
        <f>'Cash Flow %s Yr1'!D67</f>
        <v>0</v>
      </c>
      <c r="E67" s="106">
        <f>'Cash Flow %s Yr1'!E67</f>
        <v>0</v>
      </c>
      <c r="F67" s="106">
        <f>'Cash Flow %s Yr1'!F67</f>
        <v>0.1</v>
      </c>
      <c r="G67" s="106">
        <f>'Cash Flow %s Yr1'!G67</f>
        <v>0.1</v>
      </c>
      <c r="H67" s="106">
        <f>'Cash Flow %s Yr1'!H67</f>
        <v>0.1</v>
      </c>
      <c r="I67" s="106">
        <f>'Cash Flow %s Yr1'!I67</f>
        <v>0.1</v>
      </c>
      <c r="J67" s="106">
        <f>'Cash Flow %s Yr1'!J67</f>
        <v>0.1</v>
      </c>
      <c r="K67" s="106">
        <f>'Cash Flow %s Yr1'!K67</f>
        <v>0.1</v>
      </c>
      <c r="L67" s="106">
        <f>'Cash Flow %s Yr1'!L67</f>
        <v>0.1</v>
      </c>
      <c r="M67" s="106">
        <f>'Cash Flow %s Yr1'!M67</f>
        <v>0.1</v>
      </c>
      <c r="N67" s="106">
        <f>'Cash Flow %s Yr1'!N67</f>
        <v>0.1</v>
      </c>
      <c r="O67" s="106">
        <f>'Cash Flow %s Yr1'!O67</f>
        <v>0.1</v>
      </c>
      <c r="P67" s="106">
        <f>'Cash Flow %s Yr1'!P67</f>
        <v>0</v>
      </c>
      <c r="Q67" s="106">
        <f>'Cash Flow %s Yr1'!Q67</f>
        <v>0</v>
      </c>
      <c r="R67" s="106">
        <f>'Cash Flow %s Yr1'!R67</f>
        <v>0</v>
      </c>
      <c r="S67" s="105">
        <f t="shared" si="5"/>
        <v>0.99999999999999989</v>
      </c>
    </row>
    <row r="68" spans="1:19" s="30" customFormat="1" x14ac:dyDescent="0.3">
      <c r="A68" s="35"/>
      <c r="B68" s="63" t="str">
        <f>'Expenses Summary'!B22</f>
        <v>2200</v>
      </c>
      <c r="C68" s="63" t="str">
        <f>'Expenses Summary'!C22</f>
        <v>Classified Support Salaries</v>
      </c>
      <c r="D68" s="106">
        <f>'Cash Flow %s Yr1'!D68</f>
        <v>0</v>
      </c>
      <c r="E68" s="106">
        <f>'Cash Flow %s Yr1'!E68</f>
        <v>0.05</v>
      </c>
      <c r="F68" s="106">
        <f>'Cash Flow %s Yr1'!F68</f>
        <v>0.1</v>
      </c>
      <c r="G68" s="106">
        <f>'Cash Flow %s Yr1'!G68</f>
        <v>0.1</v>
      </c>
      <c r="H68" s="106">
        <f>'Cash Flow %s Yr1'!H68</f>
        <v>0.1</v>
      </c>
      <c r="I68" s="106">
        <f>'Cash Flow %s Yr1'!I68</f>
        <v>0.1</v>
      </c>
      <c r="J68" s="106">
        <f>'Cash Flow %s Yr1'!J68</f>
        <v>0.1</v>
      </c>
      <c r="K68" s="106">
        <f>'Cash Flow %s Yr1'!K68</f>
        <v>0.1</v>
      </c>
      <c r="L68" s="106">
        <f>'Cash Flow %s Yr1'!L68</f>
        <v>0.1</v>
      </c>
      <c r="M68" s="106">
        <f>'Cash Flow %s Yr1'!M68</f>
        <v>0.1</v>
      </c>
      <c r="N68" s="106">
        <f>'Cash Flow %s Yr1'!N68</f>
        <v>0.1</v>
      </c>
      <c r="O68" s="106">
        <f>'Cash Flow %s Yr1'!O68</f>
        <v>0.05</v>
      </c>
      <c r="P68" s="106">
        <f>'Cash Flow %s Yr1'!P68</f>
        <v>0</v>
      </c>
      <c r="Q68" s="106">
        <f>'Cash Flow %s Yr1'!Q68</f>
        <v>0</v>
      </c>
      <c r="R68" s="106">
        <f>'Cash Flow %s Yr1'!R68</f>
        <v>0</v>
      </c>
      <c r="S68" s="105">
        <f t="shared" si="5"/>
        <v>0.99999999999999989</v>
      </c>
    </row>
    <row r="69" spans="1:19" s="30" customFormat="1" x14ac:dyDescent="0.3">
      <c r="A69" s="35"/>
      <c r="B69" s="63" t="str">
        <f>'Expenses Summary'!B23</f>
        <v>2210</v>
      </c>
      <c r="C69" s="63" t="str">
        <f>'Expenses Summary'!C23</f>
        <v>Classified Support Overtime</v>
      </c>
      <c r="D69" s="106">
        <f>'Cash Flow %s Yr1'!D69</f>
        <v>0</v>
      </c>
      <c r="E69" s="106">
        <f>'Cash Flow %s Yr1'!E69</f>
        <v>0</v>
      </c>
      <c r="F69" s="106">
        <f>'Cash Flow %s Yr1'!F69</f>
        <v>0.1</v>
      </c>
      <c r="G69" s="106">
        <f>'Cash Flow %s Yr1'!G69</f>
        <v>0.1</v>
      </c>
      <c r="H69" s="106">
        <f>'Cash Flow %s Yr1'!H69</f>
        <v>0.1</v>
      </c>
      <c r="I69" s="106">
        <f>'Cash Flow %s Yr1'!I69</f>
        <v>0.1</v>
      </c>
      <c r="J69" s="106">
        <f>'Cash Flow %s Yr1'!J69</f>
        <v>0.1</v>
      </c>
      <c r="K69" s="106">
        <f>'Cash Flow %s Yr1'!K69</f>
        <v>0.1</v>
      </c>
      <c r="L69" s="106">
        <f>'Cash Flow %s Yr1'!L69</f>
        <v>0.1</v>
      </c>
      <c r="M69" s="106">
        <f>'Cash Flow %s Yr1'!M69</f>
        <v>0.1</v>
      </c>
      <c r="N69" s="106">
        <f>'Cash Flow %s Yr1'!N69</f>
        <v>0.1</v>
      </c>
      <c r="O69" s="106">
        <f>'Cash Flow %s Yr1'!O69</f>
        <v>0.1</v>
      </c>
      <c r="P69" s="106">
        <f>'Cash Flow %s Yr1'!P69</f>
        <v>0</v>
      </c>
      <c r="Q69" s="106">
        <f>'Cash Flow %s Yr1'!Q69</f>
        <v>0</v>
      </c>
      <c r="R69" s="106">
        <f>'Cash Flow %s Yr1'!R69</f>
        <v>0</v>
      </c>
      <c r="S69" s="105">
        <f t="shared" si="5"/>
        <v>0.99999999999999989</v>
      </c>
    </row>
    <row r="70" spans="1:19" s="30" customFormat="1" x14ac:dyDescent="0.3">
      <c r="A70" s="35"/>
      <c r="B70" s="63" t="str">
        <f>'Expenses Summary'!B24</f>
        <v>2300</v>
      </c>
      <c r="C70" s="63" t="str">
        <f>'Expenses Summary'!C24</f>
        <v>Classified Supervisor and Administrator Salaries</v>
      </c>
      <c r="D70" s="106">
        <f>'Cash Flow %s Yr1'!D70</f>
        <v>8.3000000000000004E-2</v>
      </c>
      <c r="E70" s="106">
        <f>'Cash Flow %s Yr1'!E70</f>
        <v>8.3000000000000004E-2</v>
      </c>
      <c r="F70" s="106">
        <f>'Cash Flow %s Yr1'!F70</f>
        <v>8.3000000000000004E-2</v>
      </c>
      <c r="G70" s="106">
        <f>'Cash Flow %s Yr1'!G70</f>
        <v>8.3000000000000004E-2</v>
      </c>
      <c r="H70" s="106">
        <f>'Cash Flow %s Yr1'!H70</f>
        <v>8.3000000000000004E-2</v>
      </c>
      <c r="I70" s="106">
        <f>'Cash Flow %s Yr1'!I70</f>
        <v>8.3000000000000004E-2</v>
      </c>
      <c r="J70" s="106">
        <f>'Cash Flow %s Yr1'!J70</f>
        <v>8.3000000000000004E-2</v>
      </c>
      <c r="K70" s="106">
        <f>'Cash Flow %s Yr1'!K70</f>
        <v>8.3000000000000004E-2</v>
      </c>
      <c r="L70" s="106">
        <f>'Cash Flow %s Yr1'!L70</f>
        <v>8.4000000000000005E-2</v>
      </c>
      <c r="M70" s="106">
        <f>'Cash Flow %s Yr1'!M70</f>
        <v>8.4000000000000005E-2</v>
      </c>
      <c r="N70" s="106">
        <f>'Cash Flow %s Yr1'!N70</f>
        <v>8.4000000000000005E-2</v>
      </c>
      <c r="O70" s="106">
        <f>'Cash Flow %s Yr1'!O70</f>
        <v>8.4000000000000005E-2</v>
      </c>
      <c r="P70" s="106">
        <f>'Cash Flow %s Yr1'!P70</f>
        <v>0</v>
      </c>
      <c r="Q70" s="106">
        <f>'Cash Flow %s Yr1'!Q70</f>
        <v>0</v>
      </c>
      <c r="R70" s="106">
        <f>'Cash Flow %s Yr1'!R70</f>
        <v>0</v>
      </c>
      <c r="S70" s="105">
        <f t="shared" si="5"/>
        <v>0.99999999999999989</v>
      </c>
    </row>
    <row r="71" spans="1:19" s="30" customFormat="1" x14ac:dyDescent="0.3">
      <c r="A71" s="35"/>
      <c r="B71" s="63" t="str">
        <f>'Expenses Summary'!B25</f>
        <v>2400</v>
      </c>
      <c r="C71" s="63" t="str">
        <f>'Expenses Summary'!C25</f>
        <v>Clerical, Technical, and Office Staff Salaries</v>
      </c>
      <c r="D71" s="106">
        <f>'Cash Flow %s Yr1'!D71</f>
        <v>8.3000000000000004E-2</v>
      </c>
      <c r="E71" s="106">
        <f>'Cash Flow %s Yr1'!E71</f>
        <v>8.3000000000000004E-2</v>
      </c>
      <c r="F71" s="106">
        <f>'Cash Flow %s Yr1'!F71</f>
        <v>8.3000000000000004E-2</v>
      </c>
      <c r="G71" s="106">
        <f>'Cash Flow %s Yr1'!G71</f>
        <v>8.3000000000000004E-2</v>
      </c>
      <c r="H71" s="106">
        <f>'Cash Flow %s Yr1'!H71</f>
        <v>8.3000000000000004E-2</v>
      </c>
      <c r="I71" s="106">
        <f>'Cash Flow %s Yr1'!I71</f>
        <v>8.3000000000000004E-2</v>
      </c>
      <c r="J71" s="106">
        <f>'Cash Flow %s Yr1'!J71</f>
        <v>8.3000000000000004E-2</v>
      </c>
      <c r="K71" s="106">
        <f>'Cash Flow %s Yr1'!K71</f>
        <v>8.3000000000000004E-2</v>
      </c>
      <c r="L71" s="106">
        <f>'Cash Flow %s Yr1'!L71</f>
        <v>8.4000000000000005E-2</v>
      </c>
      <c r="M71" s="106">
        <f>'Cash Flow %s Yr1'!M71</f>
        <v>8.4000000000000005E-2</v>
      </c>
      <c r="N71" s="106">
        <f>'Cash Flow %s Yr1'!N71</f>
        <v>8.4000000000000005E-2</v>
      </c>
      <c r="O71" s="106">
        <f>'Cash Flow %s Yr1'!O71</f>
        <v>8.4000000000000005E-2</v>
      </c>
      <c r="P71" s="106">
        <f>'Cash Flow %s Yr1'!P71</f>
        <v>0</v>
      </c>
      <c r="Q71" s="106">
        <f>'Cash Flow %s Yr1'!Q71</f>
        <v>0</v>
      </c>
      <c r="R71" s="106">
        <f>'Cash Flow %s Yr1'!R71</f>
        <v>0</v>
      </c>
      <c r="S71" s="105">
        <f t="shared" si="5"/>
        <v>0.99999999999999989</v>
      </c>
    </row>
    <row r="72" spans="1:19" s="30" customFormat="1" x14ac:dyDescent="0.3">
      <c r="A72" s="35"/>
      <c r="B72" s="63" t="str">
        <f>'Expenses Summary'!B26</f>
        <v>2410</v>
      </c>
      <c r="C72" s="63" t="str">
        <f>'Expenses Summary'!C26</f>
        <v>Clerical, Technical, and Office Staff Overtime</v>
      </c>
      <c r="D72" s="106">
        <f>'Cash Flow %s Yr1'!D72</f>
        <v>8.3000000000000004E-2</v>
      </c>
      <c r="E72" s="106">
        <f>'Cash Flow %s Yr1'!E72</f>
        <v>8.3000000000000004E-2</v>
      </c>
      <c r="F72" s="106">
        <f>'Cash Flow %s Yr1'!F72</f>
        <v>8.3000000000000004E-2</v>
      </c>
      <c r="G72" s="106">
        <f>'Cash Flow %s Yr1'!G72</f>
        <v>8.3000000000000004E-2</v>
      </c>
      <c r="H72" s="106">
        <f>'Cash Flow %s Yr1'!H72</f>
        <v>8.3000000000000004E-2</v>
      </c>
      <c r="I72" s="106">
        <f>'Cash Flow %s Yr1'!I72</f>
        <v>8.3000000000000004E-2</v>
      </c>
      <c r="J72" s="106">
        <f>'Cash Flow %s Yr1'!J72</f>
        <v>8.3000000000000004E-2</v>
      </c>
      <c r="K72" s="106">
        <f>'Cash Flow %s Yr1'!K72</f>
        <v>8.3000000000000004E-2</v>
      </c>
      <c r="L72" s="106">
        <f>'Cash Flow %s Yr1'!L72</f>
        <v>8.4000000000000005E-2</v>
      </c>
      <c r="M72" s="106">
        <f>'Cash Flow %s Yr1'!M72</f>
        <v>8.4000000000000005E-2</v>
      </c>
      <c r="N72" s="106">
        <f>'Cash Flow %s Yr1'!N72</f>
        <v>8.4000000000000005E-2</v>
      </c>
      <c r="O72" s="106">
        <f>'Cash Flow %s Yr1'!O72</f>
        <v>8.4000000000000005E-2</v>
      </c>
      <c r="P72" s="106">
        <f>'Cash Flow %s Yr1'!P72</f>
        <v>0</v>
      </c>
      <c r="Q72" s="106">
        <f>'Cash Flow %s Yr1'!Q72</f>
        <v>0</v>
      </c>
      <c r="R72" s="106">
        <f>'Cash Flow %s Yr1'!R72</f>
        <v>0</v>
      </c>
      <c r="S72" s="105">
        <f t="shared" si="5"/>
        <v>0.99999999999999989</v>
      </c>
    </row>
    <row r="73" spans="1:19" s="30" customFormat="1" x14ac:dyDescent="0.3">
      <c r="A73" s="35"/>
      <c r="B73" s="63" t="str">
        <f>'Expenses Summary'!B27</f>
        <v>2900</v>
      </c>
      <c r="C73" s="63" t="str">
        <f>'Expenses Summary'!C27</f>
        <v>Other Classified Salaries</v>
      </c>
      <c r="D73" s="106">
        <f>'Cash Flow %s Yr1'!D73</f>
        <v>0</v>
      </c>
      <c r="E73" s="106">
        <f>'Cash Flow %s Yr1'!E73</f>
        <v>0.05</v>
      </c>
      <c r="F73" s="106">
        <f>'Cash Flow %s Yr1'!F73</f>
        <v>0.1</v>
      </c>
      <c r="G73" s="106">
        <f>'Cash Flow %s Yr1'!G73</f>
        <v>0.1</v>
      </c>
      <c r="H73" s="106">
        <f>'Cash Flow %s Yr1'!H73</f>
        <v>0.1</v>
      </c>
      <c r="I73" s="106">
        <f>'Cash Flow %s Yr1'!I73</f>
        <v>0.1</v>
      </c>
      <c r="J73" s="106">
        <f>'Cash Flow %s Yr1'!J73</f>
        <v>0.1</v>
      </c>
      <c r="K73" s="106">
        <f>'Cash Flow %s Yr1'!K73</f>
        <v>0.1</v>
      </c>
      <c r="L73" s="106">
        <f>'Cash Flow %s Yr1'!L73</f>
        <v>0.1</v>
      </c>
      <c r="M73" s="106">
        <f>'Cash Flow %s Yr1'!M73</f>
        <v>0.1</v>
      </c>
      <c r="N73" s="106">
        <f>'Cash Flow %s Yr1'!N73</f>
        <v>0.1</v>
      </c>
      <c r="O73" s="106">
        <f>'Cash Flow %s Yr1'!O73</f>
        <v>0.05</v>
      </c>
      <c r="P73" s="106">
        <f>'Cash Flow %s Yr1'!P73</f>
        <v>0</v>
      </c>
      <c r="Q73" s="106">
        <f>'Cash Flow %s Yr1'!Q73</f>
        <v>0</v>
      </c>
      <c r="R73" s="106">
        <f>'Cash Flow %s Yr1'!R73</f>
        <v>0</v>
      </c>
      <c r="S73" s="105">
        <f t="shared" si="5"/>
        <v>0.99999999999999989</v>
      </c>
    </row>
    <row r="74" spans="1:19" s="30" customFormat="1" x14ac:dyDescent="0.3">
      <c r="A74" s="35"/>
      <c r="B74" s="63" t="str">
        <f>'Expenses Summary'!B28</f>
        <v>2905</v>
      </c>
      <c r="C74" s="63" t="str">
        <f>'Expenses Summary'!C28</f>
        <v>Other Stipends</v>
      </c>
      <c r="D74" s="106">
        <f>'Cash Flow %s Yr1'!D74</f>
        <v>0</v>
      </c>
      <c r="E74" s="106">
        <f>'Cash Flow %s Yr1'!E74</f>
        <v>0</v>
      </c>
      <c r="F74" s="106">
        <f>'Cash Flow %s Yr1'!F74</f>
        <v>0.1</v>
      </c>
      <c r="G74" s="106">
        <f>'Cash Flow %s Yr1'!G74</f>
        <v>0.1</v>
      </c>
      <c r="H74" s="106">
        <f>'Cash Flow %s Yr1'!H74</f>
        <v>0.1</v>
      </c>
      <c r="I74" s="106">
        <f>'Cash Flow %s Yr1'!I74</f>
        <v>0.1</v>
      </c>
      <c r="J74" s="106">
        <f>'Cash Flow %s Yr1'!J74</f>
        <v>0.1</v>
      </c>
      <c r="K74" s="106">
        <f>'Cash Flow %s Yr1'!K74</f>
        <v>0.1</v>
      </c>
      <c r="L74" s="106">
        <f>'Cash Flow %s Yr1'!L74</f>
        <v>0.1</v>
      </c>
      <c r="M74" s="106">
        <f>'Cash Flow %s Yr1'!M74</f>
        <v>0.1</v>
      </c>
      <c r="N74" s="106">
        <f>'Cash Flow %s Yr1'!N74</f>
        <v>0.1</v>
      </c>
      <c r="O74" s="106">
        <f>'Cash Flow %s Yr1'!O74</f>
        <v>0.1</v>
      </c>
      <c r="P74" s="106">
        <f>'Cash Flow %s Yr1'!P74</f>
        <v>0</v>
      </c>
      <c r="Q74" s="106">
        <f>'Cash Flow %s Yr1'!Q74</f>
        <v>0</v>
      </c>
      <c r="R74" s="106">
        <f>'Cash Flow %s Yr1'!R74</f>
        <v>0</v>
      </c>
      <c r="S74" s="105">
        <f t="shared" si="5"/>
        <v>0.99999999999999989</v>
      </c>
    </row>
    <row r="75" spans="1:19" s="30" customFormat="1" x14ac:dyDescent="0.3">
      <c r="A75" s="35"/>
      <c r="B75" s="63" t="str">
        <f>'Expenses Summary'!B29</f>
        <v>2910</v>
      </c>
      <c r="C75" s="63" t="str">
        <f>'Expenses Summary'!C29</f>
        <v>Other Classified Overtime</v>
      </c>
      <c r="D75" s="106">
        <f>'Cash Flow %s Yr1'!D75</f>
        <v>0</v>
      </c>
      <c r="E75" s="106">
        <f>'Cash Flow %s Yr1'!E75</f>
        <v>0</v>
      </c>
      <c r="F75" s="106">
        <f>'Cash Flow %s Yr1'!F75</f>
        <v>0.1</v>
      </c>
      <c r="G75" s="106">
        <f>'Cash Flow %s Yr1'!G75</f>
        <v>0.1</v>
      </c>
      <c r="H75" s="106">
        <f>'Cash Flow %s Yr1'!H75</f>
        <v>0.1</v>
      </c>
      <c r="I75" s="106">
        <f>'Cash Flow %s Yr1'!I75</f>
        <v>0.1</v>
      </c>
      <c r="J75" s="106">
        <f>'Cash Flow %s Yr1'!J75</f>
        <v>0.1</v>
      </c>
      <c r="K75" s="106">
        <f>'Cash Flow %s Yr1'!K75</f>
        <v>0.1</v>
      </c>
      <c r="L75" s="106">
        <f>'Cash Flow %s Yr1'!L75</f>
        <v>0.1</v>
      </c>
      <c r="M75" s="106">
        <f>'Cash Flow %s Yr1'!M75</f>
        <v>0.1</v>
      </c>
      <c r="N75" s="106">
        <f>'Cash Flow %s Yr1'!N75</f>
        <v>0.1</v>
      </c>
      <c r="O75" s="106">
        <f>'Cash Flow %s Yr1'!O75</f>
        <v>0.1</v>
      </c>
      <c r="P75" s="106">
        <f>'Cash Flow %s Yr1'!P75</f>
        <v>0</v>
      </c>
      <c r="Q75" s="106">
        <f>'Cash Flow %s Yr1'!Q75</f>
        <v>0</v>
      </c>
      <c r="R75" s="106">
        <f>'Cash Flow %s Yr1'!R75</f>
        <v>0</v>
      </c>
      <c r="S75" s="105">
        <f t="shared" si="5"/>
        <v>0.99999999999999989</v>
      </c>
    </row>
    <row r="76" spans="1:19" s="30" customFormat="1" x14ac:dyDescent="0.3">
      <c r="A76" s="35"/>
      <c r="B76" s="82"/>
      <c r="C76" s="87"/>
      <c r="D76" s="94"/>
      <c r="E76" s="94"/>
      <c r="F76" s="113"/>
      <c r="G76" s="113"/>
      <c r="H76" s="113"/>
      <c r="I76" s="113"/>
      <c r="J76" s="113"/>
      <c r="K76" s="113"/>
      <c r="L76" s="113"/>
      <c r="M76" s="113"/>
      <c r="N76" s="113"/>
      <c r="O76" s="113"/>
      <c r="P76" s="94"/>
      <c r="Q76" s="94"/>
      <c r="R76" s="94"/>
      <c r="S76" s="105"/>
    </row>
    <row r="77" spans="1:19" s="30" customFormat="1" x14ac:dyDescent="0.3">
      <c r="A77" s="35"/>
      <c r="B77" s="39"/>
      <c r="C77" s="3"/>
      <c r="D77" s="96"/>
      <c r="E77" s="96"/>
      <c r="F77" s="96"/>
      <c r="G77" s="96"/>
      <c r="H77" s="96"/>
      <c r="I77" s="96"/>
      <c r="J77" s="96"/>
      <c r="K77" s="96"/>
      <c r="L77" s="96"/>
      <c r="M77" s="96"/>
      <c r="N77" s="96"/>
      <c r="O77" s="96"/>
      <c r="P77" s="96"/>
      <c r="Q77" s="96"/>
      <c r="R77" s="96"/>
      <c r="S77" s="105"/>
    </row>
    <row r="78" spans="1:19" s="30" customFormat="1" x14ac:dyDescent="0.3">
      <c r="B78" s="33" t="s">
        <v>734</v>
      </c>
      <c r="C78" s="3"/>
      <c r="D78" s="96"/>
      <c r="E78" s="96"/>
      <c r="F78" s="96"/>
      <c r="G78" s="96"/>
      <c r="H78" s="96"/>
      <c r="I78" s="96"/>
      <c r="J78" s="96"/>
      <c r="K78" s="96"/>
      <c r="L78" s="96"/>
      <c r="M78" s="96"/>
      <c r="N78" s="96"/>
      <c r="O78" s="96"/>
      <c r="P78" s="96"/>
      <c r="Q78" s="96"/>
      <c r="R78" s="96"/>
      <c r="S78" s="105"/>
    </row>
    <row r="79" spans="1:19" s="30" customFormat="1" x14ac:dyDescent="0.3">
      <c r="A79" s="35"/>
      <c r="B79" s="63" t="str">
        <f>'Expenses Summary'!B33</f>
        <v>3101</v>
      </c>
      <c r="C79" s="63" t="str">
        <f>'Expenses Summary'!C33</f>
        <v>State Teachers' Retirement System, certificated positions</v>
      </c>
      <c r="D79" s="106">
        <f>'Cash Flow %s Yr1'!D79</f>
        <v>0.02</v>
      </c>
      <c r="E79" s="106">
        <f>'Cash Flow %s Yr1'!E79</f>
        <v>0.05</v>
      </c>
      <c r="F79" s="106">
        <f>'Cash Flow %s Yr1'!F79</f>
        <v>0.1</v>
      </c>
      <c r="G79" s="106">
        <f>'Cash Flow %s Yr1'!G79</f>
        <v>0.1</v>
      </c>
      <c r="H79" s="106">
        <f>'Cash Flow %s Yr1'!H79</f>
        <v>0.1</v>
      </c>
      <c r="I79" s="106">
        <f>'Cash Flow %s Yr1'!I79</f>
        <v>0.1</v>
      </c>
      <c r="J79" s="106">
        <f>'Cash Flow %s Yr1'!J79</f>
        <v>0.1</v>
      </c>
      <c r="K79" s="106">
        <f>'Cash Flow %s Yr1'!K79</f>
        <v>0.1</v>
      </c>
      <c r="L79" s="106">
        <f>'Cash Flow %s Yr1'!L79</f>
        <v>0.1</v>
      </c>
      <c r="M79" s="106">
        <f>'Cash Flow %s Yr1'!M79</f>
        <v>0.1</v>
      </c>
      <c r="N79" s="106">
        <f>'Cash Flow %s Yr1'!N79</f>
        <v>0.1</v>
      </c>
      <c r="O79" s="106">
        <f>'Cash Flow %s Yr1'!O79</f>
        <v>0.03</v>
      </c>
      <c r="P79" s="106">
        <f>'Cash Flow %s Yr1'!P79</f>
        <v>0</v>
      </c>
      <c r="Q79" s="106">
        <f>'Cash Flow %s Yr1'!Q79</f>
        <v>0</v>
      </c>
      <c r="R79" s="106">
        <f>'Cash Flow %s Yr1'!R79</f>
        <v>0</v>
      </c>
      <c r="S79" s="105">
        <f t="shared" ref="S79:S87" si="6">SUM(D79:R79)</f>
        <v>0.99999999999999989</v>
      </c>
    </row>
    <row r="80" spans="1:19" s="30" customFormat="1" x14ac:dyDescent="0.3">
      <c r="A80" s="35"/>
      <c r="B80" s="63" t="str">
        <f>'Expenses Summary'!B34</f>
        <v>3202</v>
      </c>
      <c r="C80" s="63" t="str">
        <f>'Expenses Summary'!C34</f>
        <v>Public Employees' Retirement System, classified positions</v>
      </c>
      <c r="D80" s="106">
        <f>'Cash Flow %s Yr1'!D80</f>
        <v>0.02</v>
      </c>
      <c r="E80" s="106">
        <f>'Cash Flow %s Yr1'!E80</f>
        <v>0.05</v>
      </c>
      <c r="F80" s="106">
        <f>'Cash Flow %s Yr1'!F80</f>
        <v>0.1</v>
      </c>
      <c r="G80" s="106">
        <f>'Cash Flow %s Yr1'!G80</f>
        <v>0.1</v>
      </c>
      <c r="H80" s="106">
        <f>'Cash Flow %s Yr1'!H80</f>
        <v>0.1</v>
      </c>
      <c r="I80" s="106">
        <f>'Cash Flow %s Yr1'!I80</f>
        <v>0.1</v>
      </c>
      <c r="J80" s="106">
        <f>'Cash Flow %s Yr1'!J80</f>
        <v>0.1</v>
      </c>
      <c r="K80" s="106">
        <f>'Cash Flow %s Yr1'!K80</f>
        <v>0.1</v>
      </c>
      <c r="L80" s="106">
        <f>'Cash Flow %s Yr1'!L80</f>
        <v>0.1</v>
      </c>
      <c r="M80" s="106">
        <f>'Cash Flow %s Yr1'!M80</f>
        <v>0.1</v>
      </c>
      <c r="N80" s="106">
        <f>'Cash Flow %s Yr1'!N80</f>
        <v>0.1</v>
      </c>
      <c r="O80" s="106">
        <f>'Cash Flow %s Yr1'!O80</f>
        <v>0.03</v>
      </c>
      <c r="P80" s="106">
        <f>'Cash Flow %s Yr1'!P80</f>
        <v>0</v>
      </c>
      <c r="Q80" s="106">
        <f>'Cash Flow %s Yr1'!Q80</f>
        <v>0</v>
      </c>
      <c r="R80" s="106">
        <f>'Cash Flow %s Yr1'!R80</f>
        <v>0</v>
      </c>
      <c r="S80" s="105">
        <f t="shared" si="6"/>
        <v>0.99999999999999989</v>
      </c>
    </row>
    <row r="81" spans="1:19" s="30" customFormat="1" x14ac:dyDescent="0.3">
      <c r="A81" s="35"/>
      <c r="B81" s="63" t="str">
        <f>'Expenses Summary'!B35</f>
        <v>3313</v>
      </c>
      <c r="C81" s="63" t="str">
        <f>'Expenses Summary'!C35</f>
        <v>OASDI</v>
      </c>
      <c r="D81" s="106">
        <f>'Cash Flow %s Yr1'!D81</f>
        <v>8.3000000000000004E-2</v>
      </c>
      <c r="E81" s="106">
        <f>'Cash Flow %s Yr1'!E81</f>
        <v>8.3000000000000004E-2</v>
      </c>
      <c r="F81" s="106">
        <f>'Cash Flow %s Yr1'!F81</f>
        <v>8.3000000000000004E-2</v>
      </c>
      <c r="G81" s="106">
        <f>'Cash Flow %s Yr1'!G81</f>
        <v>8.3000000000000004E-2</v>
      </c>
      <c r="H81" s="106">
        <f>'Cash Flow %s Yr1'!H81</f>
        <v>8.3000000000000004E-2</v>
      </c>
      <c r="I81" s="106">
        <f>'Cash Flow %s Yr1'!I81</f>
        <v>8.3000000000000004E-2</v>
      </c>
      <c r="J81" s="106">
        <f>'Cash Flow %s Yr1'!J81</f>
        <v>8.3000000000000004E-2</v>
      </c>
      <c r="K81" s="106">
        <f>'Cash Flow %s Yr1'!K81</f>
        <v>8.3000000000000004E-2</v>
      </c>
      <c r="L81" s="106">
        <f>'Cash Flow %s Yr1'!L81</f>
        <v>8.4000000000000005E-2</v>
      </c>
      <c r="M81" s="106">
        <f>'Cash Flow %s Yr1'!M81</f>
        <v>8.4000000000000005E-2</v>
      </c>
      <c r="N81" s="106">
        <f>'Cash Flow %s Yr1'!N81</f>
        <v>8.4000000000000005E-2</v>
      </c>
      <c r="O81" s="106">
        <f>'Cash Flow %s Yr1'!O81</f>
        <v>8.4000000000000005E-2</v>
      </c>
      <c r="P81" s="106">
        <f>'Cash Flow %s Yr1'!P81</f>
        <v>0</v>
      </c>
      <c r="Q81" s="106">
        <f>'Cash Flow %s Yr1'!Q81</f>
        <v>0</v>
      </c>
      <c r="R81" s="106">
        <f>'Cash Flow %s Yr1'!R81</f>
        <v>0</v>
      </c>
      <c r="S81" s="105">
        <f t="shared" si="6"/>
        <v>0.99999999999999989</v>
      </c>
    </row>
    <row r="82" spans="1:19" s="30" customFormat="1" x14ac:dyDescent="0.3">
      <c r="A82" s="35"/>
      <c r="B82" s="63" t="str">
        <f>'Expenses Summary'!B36</f>
        <v>3323</v>
      </c>
      <c r="C82" s="63" t="str">
        <f>'Expenses Summary'!C36</f>
        <v>Medicare</v>
      </c>
      <c r="D82" s="106">
        <f>'Cash Flow %s Yr1'!D82</f>
        <v>8.3000000000000004E-2</v>
      </c>
      <c r="E82" s="106">
        <f>'Cash Flow %s Yr1'!E82</f>
        <v>8.3000000000000004E-2</v>
      </c>
      <c r="F82" s="106">
        <f>'Cash Flow %s Yr1'!F82</f>
        <v>8.3000000000000004E-2</v>
      </c>
      <c r="G82" s="106">
        <f>'Cash Flow %s Yr1'!G82</f>
        <v>8.3000000000000004E-2</v>
      </c>
      <c r="H82" s="106">
        <f>'Cash Flow %s Yr1'!H82</f>
        <v>8.3000000000000004E-2</v>
      </c>
      <c r="I82" s="106">
        <f>'Cash Flow %s Yr1'!I82</f>
        <v>8.3000000000000004E-2</v>
      </c>
      <c r="J82" s="106">
        <f>'Cash Flow %s Yr1'!J82</f>
        <v>8.3000000000000004E-2</v>
      </c>
      <c r="K82" s="106">
        <f>'Cash Flow %s Yr1'!K82</f>
        <v>8.3000000000000004E-2</v>
      </c>
      <c r="L82" s="106">
        <f>'Cash Flow %s Yr1'!L82</f>
        <v>8.4000000000000005E-2</v>
      </c>
      <c r="M82" s="106">
        <f>'Cash Flow %s Yr1'!M82</f>
        <v>8.4000000000000005E-2</v>
      </c>
      <c r="N82" s="106">
        <f>'Cash Flow %s Yr1'!N82</f>
        <v>8.4000000000000005E-2</v>
      </c>
      <c r="O82" s="106">
        <f>'Cash Flow %s Yr1'!O82</f>
        <v>8.4000000000000005E-2</v>
      </c>
      <c r="P82" s="106">
        <f>'Cash Flow %s Yr1'!P82</f>
        <v>0</v>
      </c>
      <c r="Q82" s="106">
        <f>'Cash Flow %s Yr1'!Q82</f>
        <v>0</v>
      </c>
      <c r="R82" s="106">
        <f>'Cash Flow %s Yr1'!R82</f>
        <v>0</v>
      </c>
      <c r="S82" s="105">
        <f t="shared" si="6"/>
        <v>0.99999999999999989</v>
      </c>
    </row>
    <row r="83" spans="1:19" s="30" customFormat="1" x14ac:dyDescent="0.3">
      <c r="A83" s="35"/>
      <c r="B83" s="63" t="str">
        <f>'Expenses Summary'!B37</f>
        <v>3403</v>
      </c>
      <c r="C83" s="63" t="str">
        <f>'Expenses Summary'!C37</f>
        <v>Health &amp; Welfare Benefits</v>
      </c>
      <c r="D83" s="106">
        <f>'Cash Flow %s Yr1'!D83</f>
        <v>8.3000000000000004E-2</v>
      </c>
      <c r="E83" s="106">
        <f>'Cash Flow %s Yr1'!E83</f>
        <v>8.3000000000000004E-2</v>
      </c>
      <c r="F83" s="106">
        <f>'Cash Flow %s Yr1'!F83</f>
        <v>8.3000000000000004E-2</v>
      </c>
      <c r="G83" s="106">
        <f>'Cash Flow %s Yr1'!G83</f>
        <v>8.3000000000000004E-2</v>
      </c>
      <c r="H83" s="106">
        <f>'Cash Flow %s Yr1'!H83</f>
        <v>8.3000000000000004E-2</v>
      </c>
      <c r="I83" s="106">
        <f>'Cash Flow %s Yr1'!I83</f>
        <v>8.3000000000000004E-2</v>
      </c>
      <c r="J83" s="106">
        <f>'Cash Flow %s Yr1'!J83</f>
        <v>8.3000000000000004E-2</v>
      </c>
      <c r="K83" s="106">
        <f>'Cash Flow %s Yr1'!K83</f>
        <v>8.3000000000000004E-2</v>
      </c>
      <c r="L83" s="106">
        <f>'Cash Flow %s Yr1'!L83</f>
        <v>8.4000000000000005E-2</v>
      </c>
      <c r="M83" s="106">
        <f>'Cash Flow %s Yr1'!M83</f>
        <v>8.4000000000000005E-2</v>
      </c>
      <c r="N83" s="106">
        <f>'Cash Flow %s Yr1'!N83</f>
        <v>8.4000000000000005E-2</v>
      </c>
      <c r="O83" s="106">
        <f>'Cash Flow %s Yr1'!O83</f>
        <v>8.4000000000000005E-2</v>
      </c>
      <c r="P83" s="106">
        <f>'Cash Flow %s Yr1'!P83</f>
        <v>0</v>
      </c>
      <c r="Q83" s="106">
        <f>'Cash Flow %s Yr1'!Q83</f>
        <v>0</v>
      </c>
      <c r="R83" s="106">
        <f>'Cash Flow %s Yr1'!R83</f>
        <v>0</v>
      </c>
      <c r="S83" s="105">
        <f t="shared" si="6"/>
        <v>0.99999999999999989</v>
      </c>
    </row>
    <row r="84" spans="1:19" s="30" customFormat="1" x14ac:dyDescent="0.3">
      <c r="A84" s="35"/>
      <c r="B84" s="63" t="str">
        <f>'Expenses Summary'!B38</f>
        <v>3503</v>
      </c>
      <c r="C84" s="63" t="str">
        <f>'Expenses Summary'!C38</f>
        <v>State Unemployment Insurance</v>
      </c>
      <c r="D84" s="106">
        <f>'Cash Flow %s Yr1'!D84</f>
        <v>8.3000000000000004E-2</v>
      </c>
      <c r="E84" s="106">
        <f>'Cash Flow %s Yr1'!E84</f>
        <v>8.3000000000000004E-2</v>
      </c>
      <c r="F84" s="106">
        <f>'Cash Flow %s Yr1'!F84</f>
        <v>8.3000000000000004E-2</v>
      </c>
      <c r="G84" s="106">
        <f>'Cash Flow %s Yr1'!G84</f>
        <v>8.3000000000000004E-2</v>
      </c>
      <c r="H84" s="106">
        <f>'Cash Flow %s Yr1'!H84</f>
        <v>8.3000000000000004E-2</v>
      </c>
      <c r="I84" s="106">
        <f>'Cash Flow %s Yr1'!I84</f>
        <v>8.3000000000000004E-2</v>
      </c>
      <c r="J84" s="106">
        <f>'Cash Flow %s Yr1'!J84</f>
        <v>8.3000000000000004E-2</v>
      </c>
      <c r="K84" s="106">
        <f>'Cash Flow %s Yr1'!K84</f>
        <v>8.3000000000000004E-2</v>
      </c>
      <c r="L84" s="106">
        <f>'Cash Flow %s Yr1'!L84</f>
        <v>8.4000000000000005E-2</v>
      </c>
      <c r="M84" s="106">
        <f>'Cash Flow %s Yr1'!M84</f>
        <v>8.4000000000000005E-2</v>
      </c>
      <c r="N84" s="106">
        <f>'Cash Flow %s Yr1'!N84</f>
        <v>8.4000000000000005E-2</v>
      </c>
      <c r="O84" s="106">
        <f>'Cash Flow %s Yr1'!O84</f>
        <v>8.4000000000000005E-2</v>
      </c>
      <c r="P84" s="106">
        <f>'Cash Flow %s Yr1'!P84</f>
        <v>0</v>
      </c>
      <c r="Q84" s="106">
        <f>'Cash Flow %s Yr1'!Q84</f>
        <v>0</v>
      </c>
      <c r="R84" s="106">
        <f>'Cash Flow %s Yr1'!R84</f>
        <v>0</v>
      </c>
      <c r="S84" s="105">
        <f t="shared" si="6"/>
        <v>0.99999999999999989</v>
      </c>
    </row>
    <row r="85" spans="1:19" s="30" customFormat="1" x14ac:dyDescent="0.3">
      <c r="A85" s="35"/>
      <c r="B85" s="63" t="str">
        <f>'Expenses Summary'!B39</f>
        <v>3603</v>
      </c>
      <c r="C85" s="63" t="str">
        <f>'Expenses Summary'!C39</f>
        <v>Worker Compensation Insurance</v>
      </c>
      <c r="D85" s="106">
        <f>'Cash Flow %s Yr1'!D85</f>
        <v>8.3000000000000004E-2</v>
      </c>
      <c r="E85" s="106">
        <f>'Cash Flow %s Yr1'!E85</f>
        <v>8.3000000000000004E-2</v>
      </c>
      <c r="F85" s="106">
        <f>'Cash Flow %s Yr1'!F85</f>
        <v>8.3000000000000004E-2</v>
      </c>
      <c r="G85" s="106">
        <f>'Cash Flow %s Yr1'!G85</f>
        <v>8.3000000000000004E-2</v>
      </c>
      <c r="H85" s="106">
        <f>'Cash Flow %s Yr1'!H85</f>
        <v>8.3000000000000004E-2</v>
      </c>
      <c r="I85" s="106">
        <f>'Cash Flow %s Yr1'!I85</f>
        <v>8.3000000000000004E-2</v>
      </c>
      <c r="J85" s="106">
        <f>'Cash Flow %s Yr1'!J85</f>
        <v>8.3000000000000004E-2</v>
      </c>
      <c r="K85" s="106">
        <f>'Cash Flow %s Yr1'!K85</f>
        <v>8.3000000000000004E-2</v>
      </c>
      <c r="L85" s="106">
        <f>'Cash Flow %s Yr1'!L85</f>
        <v>8.4000000000000005E-2</v>
      </c>
      <c r="M85" s="106">
        <f>'Cash Flow %s Yr1'!M85</f>
        <v>8.4000000000000005E-2</v>
      </c>
      <c r="N85" s="106">
        <f>'Cash Flow %s Yr1'!N85</f>
        <v>8.4000000000000005E-2</v>
      </c>
      <c r="O85" s="106">
        <f>'Cash Flow %s Yr1'!O85</f>
        <v>8.4000000000000005E-2</v>
      </c>
      <c r="P85" s="106">
        <f>'Cash Flow %s Yr1'!P85</f>
        <v>0</v>
      </c>
      <c r="Q85" s="106">
        <f>'Cash Flow %s Yr1'!Q85</f>
        <v>0</v>
      </c>
      <c r="R85" s="106">
        <f>'Cash Flow %s Yr1'!R85</f>
        <v>0</v>
      </c>
      <c r="S85" s="105">
        <f t="shared" si="6"/>
        <v>0.99999999999999989</v>
      </c>
    </row>
    <row r="86" spans="1:19" s="30" customFormat="1" x14ac:dyDescent="0.3">
      <c r="A86" s="35"/>
      <c r="B86" s="63" t="str">
        <f>'Expenses Summary'!B40</f>
        <v>3703</v>
      </c>
      <c r="C86" s="63" t="str">
        <f>'Expenses Summary'!C40</f>
        <v>Other Post Employement Benefits</v>
      </c>
      <c r="D86" s="106">
        <f>'Cash Flow %s Yr1'!D86</f>
        <v>8.3000000000000004E-2</v>
      </c>
      <c r="E86" s="106">
        <f>'Cash Flow %s Yr1'!E86</f>
        <v>8.3000000000000004E-2</v>
      </c>
      <c r="F86" s="106">
        <f>'Cash Flow %s Yr1'!F86</f>
        <v>8.3000000000000004E-2</v>
      </c>
      <c r="G86" s="106">
        <f>'Cash Flow %s Yr1'!G86</f>
        <v>8.3000000000000004E-2</v>
      </c>
      <c r="H86" s="106">
        <f>'Cash Flow %s Yr1'!H86</f>
        <v>8.3000000000000004E-2</v>
      </c>
      <c r="I86" s="106">
        <f>'Cash Flow %s Yr1'!I86</f>
        <v>8.3000000000000004E-2</v>
      </c>
      <c r="J86" s="106">
        <f>'Cash Flow %s Yr1'!J86</f>
        <v>8.3000000000000004E-2</v>
      </c>
      <c r="K86" s="106">
        <f>'Cash Flow %s Yr1'!K86</f>
        <v>8.3000000000000004E-2</v>
      </c>
      <c r="L86" s="106">
        <f>'Cash Flow %s Yr1'!L86</f>
        <v>8.4000000000000005E-2</v>
      </c>
      <c r="M86" s="106">
        <f>'Cash Flow %s Yr1'!M86</f>
        <v>8.4000000000000005E-2</v>
      </c>
      <c r="N86" s="106">
        <f>'Cash Flow %s Yr1'!N86</f>
        <v>8.4000000000000005E-2</v>
      </c>
      <c r="O86" s="106">
        <f>'Cash Flow %s Yr1'!O86</f>
        <v>8.4000000000000005E-2</v>
      </c>
      <c r="P86" s="106">
        <f>'Cash Flow %s Yr1'!P86</f>
        <v>0</v>
      </c>
      <c r="Q86" s="106">
        <f>'Cash Flow %s Yr1'!Q86</f>
        <v>0</v>
      </c>
      <c r="R86" s="106">
        <f>'Cash Flow %s Yr1'!R86</f>
        <v>0</v>
      </c>
      <c r="S86" s="105">
        <f t="shared" si="6"/>
        <v>0.99999999999999989</v>
      </c>
    </row>
    <row r="87" spans="1:19" s="30" customFormat="1" x14ac:dyDescent="0.3">
      <c r="A87" s="35"/>
      <c r="B87" s="63" t="str">
        <f>'Expenses Summary'!B41</f>
        <v>3903</v>
      </c>
      <c r="C87" s="63" t="str">
        <f>'Expenses Summary'!C41</f>
        <v>Other Benefits</v>
      </c>
      <c r="D87" s="106">
        <f>'Cash Flow %s Yr1'!D87</f>
        <v>8.3000000000000004E-2</v>
      </c>
      <c r="E87" s="106">
        <f>'Cash Flow %s Yr1'!E87</f>
        <v>8.3000000000000004E-2</v>
      </c>
      <c r="F87" s="106">
        <f>'Cash Flow %s Yr1'!F87</f>
        <v>8.3000000000000004E-2</v>
      </c>
      <c r="G87" s="106">
        <f>'Cash Flow %s Yr1'!G87</f>
        <v>8.3000000000000004E-2</v>
      </c>
      <c r="H87" s="106">
        <f>'Cash Flow %s Yr1'!H87</f>
        <v>8.3000000000000004E-2</v>
      </c>
      <c r="I87" s="106">
        <f>'Cash Flow %s Yr1'!I87</f>
        <v>8.3000000000000004E-2</v>
      </c>
      <c r="J87" s="106">
        <f>'Cash Flow %s Yr1'!J87</f>
        <v>8.3000000000000004E-2</v>
      </c>
      <c r="K87" s="106">
        <f>'Cash Flow %s Yr1'!K87</f>
        <v>8.3000000000000004E-2</v>
      </c>
      <c r="L87" s="106">
        <f>'Cash Flow %s Yr1'!L87</f>
        <v>8.4000000000000005E-2</v>
      </c>
      <c r="M87" s="106">
        <f>'Cash Flow %s Yr1'!M87</f>
        <v>8.4000000000000005E-2</v>
      </c>
      <c r="N87" s="106">
        <f>'Cash Flow %s Yr1'!N87</f>
        <v>8.4000000000000005E-2</v>
      </c>
      <c r="O87" s="106">
        <f>'Cash Flow %s Yr1'!O87</f>
        <v>8.4000000000000005E-2</v>
      </c>
      <c r="P87" s="106">
        <f>'Cash Flow %s Yr1'!P87</f>
        <v>0</v>
      </c>
      <c r="Q87" s="106">
        <f>'Cash Flow %s Yr1'!Q87</f>
        <v>0</v>
      </c>
      <c r="R87" s="106">
        <f>'Cash Flow %s Yr1'!R87</f>
        <v>0</v>
      </c>
      <c r="S87" s="105">
        <f t="shared" si="6"/>
        <v>0.99999999999999989</v>
      </c>
    </row>
    <row r="88" spans="1:19" s="30" customFormat="1" x14ac:dyDescent="0.3">
      <c r="A88" s="35"/>
      <c r="B88" s="116"/>
      <c r="C88" s="116"/>
      <c r="D88" s="117"/>
      <c r="E88" s="117"/>
      <c r="F88" s="117"/>
      <c r="G88" s="117"/>
      <c r="H88" s="117"/>
      <c r="I88" s="117"/>
      <c r="J88" s="117"/>
      <c r="K88" s="117"/>
      <c r="L88" s="117"/>
      <c r="M88" s="117"/>
      <c r="N88" s="117"/>
      <c r="O88" s="117"/>
      <c r="P88" s="94"/>
      <c r="Q88" s="94"/>
      <c r="R88" s="94"/>
      <c r="S88" s="105"/>
    </row>
    <row r="89" spans="1:19" s="30" customFormat="1" x14ac:dyDescent="0.3">
      <c r="A89" s="35"/>
      <c r="B89" s="39"/>
      <c r="C89" s="1"/>
      <c r="D89" s="89"/>
      <c r="E89" s="89"/>
      <c r="F89" s="89"/>
      <c r="G89" s="89"/>
      <c r="H89" s="89"/>
      <c r="I89" s="89"/>
      <c r="J89" s="89"/>
      <c r="K89" s="89"/>
      <c r="L89" s="89"/>
      <c r="M89" s="89"/>
      <c r="N89" s="89"/>
      <c r="O89" s="89"/>
      <c r="P89" s="89"/>
      <c r="Q89" s="89"/>
      <c r="R89" s="89"/>
      <c r="S89" s="105"/>
    </row>
    <row r="90" spans="1:19" s="30" customFormat="1" x14ac:dyDescent="0.3">
      <c r="B90" s="33" t="s">
        <v>677</v>
      </c>
      <c r="C90" s="3"/>
      <c r="D90" s="89"/>
      <c r="E90" s="89"/>
      <c r="F90" s="89"/>
      <c r="G90" s="89"/>
      <c r="H90" s="89"/>
      <c r="I90" s="89"/>
      <c r="J90" s="89"/>
      <c r="K90" s="89"/>
      <c r="L90" s="89"/>
      <c r="M90" s="89"/>
      <c r="N90" s="89"/>
      <c r="O90" s="89"/>
      <c r="P90" s="89"/>
      <c r="Q90" s="89"/>
      <c r="R90" s="89"/>
      <c r="S90" s="105"/>
    </row>
    <row r="91" spans="1:19" s="30" customFormat="1" x14ac:dyDescent="0.3">
      <c r="A91" s="35"/>
      <c r="B91" s="62" t="str">
        <f>'Expenses Summary'!B47</f>
        <v>4100</v>
      </c>
      <c r="C91" s="62" t="str">
        <f>'Expenses Summary'!C47</f>
        <v>Approved Textbooks and Core Curricula Materials</v>
      </c>
      <c r="D91" s="106">
        <f>'Cash Flow %s Yr1'!D91</f>
        <v>0.1</v>
      </c>
      <c r="E91" s="106">
        <f>'Cash Flow %s Yr1'!E91</f>
        <v>0.1</v>
      </c>
      <c r="F91" s="106">
        <f>'Cash Flow %s Yr1'!F91</f>
        <v>0.1</v>
      </c>
      <c r="G91" s="106">
        <f>'Cash Flow %s Yr1'!G91</f>
        <v>0.1</v>
      </c>
      <c r="H91" s="106">
        <f>'Cash Flow %s Yr1'!H91</f>
        <v>0.1</v>
      </c>
      <c r="I91" s="106">
        <f>'Cash Flow %s Yr1'!I91</f>
        <v>0.1</v>
      </c>
      <c r="J91" s="106">
        <f>'Cash Flow %s Yr1'!J91</f>
        <v>0.1</v>
      </c>
      <c r="K91" s="106">
        <f>'Cash Flow %s Yr1'!K91</f>
        <v>0.1</v>
      </c>
      <c r="L91" s="106">
        <f>'Cash Flow %s Yr1'!L91</f>
        <v>0.1</v>
      </c>
      <c r="M91" s="106">
        <f>'Cash Flow %s Yr1'!M91</f>
        <v>0.1</v>
      </c>
      <c r="N91" s="106">
        <f>'Cash Flow %s Yr1'!N91</f>
        <v>0</v>
      </c>
      <c r="O91" s="106">
        <f>'Cash Flow %s Yr1'!O91</f>
        <v>0</v>
      </c>
      <c r="P91" s="106">
        <f>'Cash Flow %s Yr1'!P91</f>
        <v>0</v>
      </c>
      <c r="Q91" s="106">
        <f>'Cash Flow %s Yr1'!Q91</f>
        <v>0</v>
      </c>
      <c r="R91" s="106">
        <f>'Cash Flow %s Yr1'!R91</f>
        <v>0</v>
      </c>
      <c r="S91" s="105">
        <f t="shared" ref="S91:S96" si="7">SUM(D91:R91)</f>
        <v>0.99999999999999989</v>
      </c>
    </row>
    <row r="92" spans="1:19" x14ac:dyDescent="0.3">
      <c r="A92" s="35"/>
      <c r="B92" s="62" t="str">
        <f>'Expenses Summary'!B48</f>
        <v>4200</v>
      </c>
      <c r="C92" s="62" t="str">
        <f>'Expenses Summary'!C48</f>
        <v>Books and Other Reference Materials</v>
      </c>
      <c r="D92" s="106">
        <f>'Cash Flow %s Yr1'!D92</f>
        <v>0.05</v>
      </c>
      <c r="E92" s="106">
        <f>'Cash Flow %s Yr1'!E92</f>
        <v>0.1</v>
      </c>
      <c r="F92" s="106">
        <f>'Cash Flow %s Yr1'!F92</f>
        <v>0.1</v>
      </c>
      <c r="G92" s="106">
        <f>'Cash Flow %s Yr1'!G92</f>
        <v>0.1</v>
      </c>
      <c r="H92" s="106">
        <f>'Cash Flow %s Yr1'!H92</f>
        <v>0.1</v>
      </c>
      <c r="I92" s="106">
        <f>'Cash Flow %s Yr1'!I92</f>
        <v>0.1</v>
      </c>
      <c r="J92" s="106">
        <f>'Cash Flow %s Yr1'!J92</f>
        <v>0.1</v>
      </c>
      <c r="K92" s="106">
        <f>'Cash Flow %s Yr1'!K92</f>
        <v>0.1</v>
      </c>
      <c r="L92" s="106">
        <f>'Cash Flow %s Yr1'!L92</f>
        <v>0.1</v>
      </c>
      <c r="M92" s="106">
        <f>'Cash Flow %s Yr1'!M92</f>
        <v>0.1</v>
      </c>
      <c r="N92" s="106">
        <f>'Cash Flow %s Yr1'!N92</f>
        <v>0.05</v>
      </c>
      <c r="O92" s="106">
        <f>'Cash Flow %s Yr1'!O92</f>
        <v>0</v>
      </c>
      <c r="P92" s="106">
        <f>'Cash Flow %s Yr1'!P92</f>
        <v>0</v>
      </c>
      <c r="Q92" s="106">
        <f>'Cash Flow %s Yr1'!Q92</f>
        <v>0</v>
      </c>
      <c r="R92" s="106">
        <f>'Cash Flow %s Yr1'!R92</f>
        <v>0</v>
      </c>
      <c r="S92" s="105">
        <f t="shared" si="7"/>
        <v>0.99999999999999989</v>
      </c>
    </row>
    <row r="93" spans="1:19" x14ac:dyDescent="0.3">
      <c r="A93" s="35"/>
      <c r="B93" s="62" t="str">
        <f>'Expenses Summary'!B49</f>
        <v>4300</v>
      </c>
      <c r="C93" s="62" t="str">
        <f>'Expenses Summary'!C49</f>
        <v>Materials and Supplies</v>
      </c>
      <c r="D93" s="106">
        <f>'Cash Flow %s Yr1'!D93</f>
        <v>8.3000000000000004E-2</v>
      </c>
      <c r="E93" s="106">
        <f>'Cash Flow %s Yr1'!E93</f>
        <v>8.3000000000000004E-2</v>
      </c>
      <c r="F93" s="106">
        <f>'Cash Flow %s Yr1'!F93</f>
        <v>8.3000000000000004E-2</v>
      </c>
      <c r="G93" s="106">
        <f>'Cash Flow %s Yr1'!G93</f>
        <v>8.3000000000000004E-2</v>
      </c>
      <c r="H93" s="106">
        <f>'Cash Flow %s Yr1'!H93</f>
        <v>8.3000000000000004E-2</v>
      </c>
      <c r="I93" s="106">
        <f>'Cash Flow %s Yr1'!I93</f>
        <v>8.3000000000000004E-2</v>
      </c>
      <c r="J93" s="106">
        <f>'Cash Flow %s Yr1'!J93</f>
        <v>8.3000000000000004E-2</v>
      </c>
      <c r="K93" s="106">
        <f>'Cash Flow %s Yr1'!K93</f>
        <v>8.3000000000000004E-2</v>
      </c>
      <c r="L93" s="106">
        <f>'Cash Flow %s Yr1'!L93</f>
        <v>8.4000000000000005E-2</v>
      </c>
      <c r="M93" s="106">
        <f>'Cash Flow %s Yr1'!M93</f>
        <v>8.4000000000000005E-2</v>
      </c>
      <c r="N93" s="106">
        <f>'Cash Flow %s Yr1'!N93</f>
        <v>8.4000000000000005E-2</v>
      </c>
      <c r="O93" s="106">
        <f>'Cash Flow %s Yr1'!O93</f>
        <v>8.4000000000000005E-2</v>
      </c>
      <c r="P93" s="106">
        <f>'Cash Flow %s Yr1'!P93</f>
        <v>0</v>
      </c>
      <c r="Q93" s="106">
        <f>'Cash Flow %s Yr1'!Q93</f>
        <v>0</v>
      </c>
      <c r="R93" s="106">
        <f>'Cash Flow %s Yr1'!R93</f>
        <v>0</v>
      </c>
      <c r="S93" s="105">
        <f t="shared" si="7"/>
        <v>0.99999999999999989</v>
      </c>
    </row>
    <row r="94" spans="1:19" x14ac:dyDescent="0.3">
      <c r="A94" s="35"/>
      <c r="B94" s="62" t="str">
        <f>'Expenses Summary'!B50</f>
        <v>4315</v>
      </c>
      <c r="C94" s="62" t="str">
        <f>'Expenses Summary'!C50</f>
        <v>Classroom Materials and Supplies</v>
      </c>
      <c r="D94" s="106">
        <f>'Cash Flow %s Yr1'!D94</f>
        <v>8.3000000000000004E-2</v>
      </c>
      <c r="E94" s="106">
        <f>'Cash Flow %s Yr1'!E94</f>
        <v>8.3000000000000004E-2</v>
      </c>
      <c r="F94" s="106">
        <f>'Cash Flow %s Yr1'!F94</f>
        <v>8.3000000000000004E-2</v>
      </c>
      <c r="G94" s="106">
        <f>'Cash Flow %s Yr1'!G94</f>
        <v>8.3000000000000004E-2</v>
      </c>
      <c r="H94" s="106">
        <f>'Cash Flow %s Yr1'!H94</f>
        <v>8.3000000000000004E-2</v>
      </c>
      <c r="I94" s="106">
        <f>'Cash Flow %s Yr1'!I94</f>
        <v>8.3000000000000004E-2</v>
      </c>
      <c r="J94" s="106">
        <f>'Cash Flow %s Yr1'!J94</f>
        <v>8.3000000000000004E-2</v>
      </c>
      <c r="K94" s="106">
        <f>'Cash Flow %s Yr1'!K94</f>
        <v>8.3000000000000004E-2</v>
      </c>
      <c r="L94" s="106">
        <f>'Cash Flow %s Yr1'!L94</f>
        <v>8.3000000000000004E-2</v>
      </c>
      <c r="M94" s="106">
        <f>'Cash Flow %s Yr1'!M94</f>
        <v>8.3000000000000004E-2</v>
      </c>
      <c r="N94" s="106">
        <f>'Cash Flow %s Yr1'!N94</f>
        <v>8.3000000000000004E-2</v>
      </c>
      <c r="O94" s="106">
        <f>'Cash Flow %s Yr1'!O94</f>
        <v>8.3000000000000004E-2</v>
      </c>
      <c r="P94" s="106">
        <f>'Cash Flow %s Yr1'!P94</f>
        <v>0</v>
      </c>
      <c r="Q94" s="106">
        <f>'Cash Flow %s Yr1'!Q94</f>
        <v>0</v>
      </c>
      <c r="R94" s="106">
        <f>'Cash Flow %s Yr1'!R94</f>
        <v>0</v>
      </c>
      <c r="S94" s="105">
        <f t="shared" si="7"/>
        <v>0.99599999999999989</v>
      </c>
    </row>
    <row r="95" spans="1:19" x14ac:dyDescent="0.3">
      <c r="A95" s="35"/>
      <c r="B95" s="62" t="str">
        <f>'Expenses Summary'!B51</f>
        <v>4342</v>
      </c>
      <c r="C95" s="62" t="str">
        <f>'Expenses Summary'!C51</f>
        <v>Materials for Athletics</v>
      </c>
      <c r="D95" s="106">
        <f>'Cash Flow %s Yr1'!D95</f>
        <v>8.3000000000000004E-2</v>
      </c>
      <c r="E95" s="106">
        <f>'Cash Flow %s Yr1'!E95</f>
        <v>8.3000000000000004E-2</v>
      </c>
      <c r="F95" s="106">
        <f>'Cash Flow %s Yr1'!F95</f>
        <v>8.3000000000000004E-2</v>
      </c>
      <c r="G95" s="106">
        <f>'Cash Flow %s Yr1'!G95</f>
        <v>8.3000000000000004E-2</v>
      </c>
      <c r="H95" s="106">
        <f>'Cash Flow %s Yr1'!H95</f>
        <v>8.3000000000000004E-2</v>
      </c>
      <c r="I95" s="106">
        <f>'Cash Flow %s Yr1'!I95</f>
        <v>8.3000000000000004E-2</v>
      </c>
      <c r="J95" s="106">
        <f>'Cash Flow %s Yr1'!J95</f>
        <v>8.3000000000000004E-2</v>
      </c>
      <c r="K95" s="106">
        <f>'Cash Flow %s Yr1'!K95</f>
        <v>8.3000000000000004E-2</v>
      </c>
      <c r="L95" s="106">
        <f>'Cash Flow %s Yr1'!L95</f>
        <v>8.4000000000000005E-2</v>
      </c>
      <c r="M95" s="106">
        <f>'Cash Flow %s Yr1'!M95</f>
        <v>8.4000000000000005E-2</v>
      </c>
      <c r="N95" s="106">
        <f>'Cash Flow %s Yr1'!N95</f>
        <v>8.4000000000000005E-2</v>
      </c>
      <c r="O95" s="106">
        <f>'Cash Flow %s Yr1'!O95</f>
        <v>8.4000000000000005E-2</v>
      </c>
      <c r="P95" s="106">
        <f>'Cash Flow %s Yr1'!P95</f>
        <v>0</v>
      </c>
      <c r="Q95" s="106">
        <f>'Cash Flow %s Yr1'!Q95</f>
        <v>0</v>
      </c>
      <c r="R95" s="106">
        <f>'Cash Flow %s Yr1'!R95</f>
        <v>0</v>
      </c>
      <c r="S95" s="105">
        <f t="shared" si="7"/>
        <v>0.99999999999999989</v>
      </c>
    </row>
    <row r="96" spans="1:19" x14ac:dyDescent="0.3">
      <c r="A96" s="35"/>
      <c r="B96" s="62" t="str">
        <f>'Expenses Summary'!B52</f>
        <v>4381</v>
      </c>
      <c r="C96" s="62" t="str">
        <f>'Expenses Summary'!C52</f>
        <v>Materials for Plant Maintenance</v>
      </c>
      <c r="D96" s="106">
        <f>'Cash Flow %s Yr1'!D96</f>
        <v>8.3000000000000004E-2</v>
      </c>
      <c r="E96" s="106">
        <f>'Cash Flow %s Yr1'!E96</f>
        <v>8.3000000000000004E-2</v>
      </c>
      <c r="F96" s="106">
        <f>'Cash Flow %s Yr1'!F96</f>
        <v>8.3000000000000004E-2</v>
      </c>
      <c r="G96" s="106">
        <f>'Cash Flow %s Yr1'!G96</f>
        <v>8.3000000000000004E-2</v>
      </c>
      <c r="H96" s="106">
        <f>'Cash Flow %s Yr1'!H96</f>
        <v>8.3000000000000004E-2</v>
      </c>
      <c r="I96" s="106">
        <f>'Cash Flow %s Yr1'!I96</f>
        <v>8.3000000000000004E-2</v>
      </c>
      <c r="J96" s="106">
        <f>'Cash Flow %s Yr1'!J96</f>
        <v>8.3000000000000004E-2</v>
      </c>
      <c r="K96" s="106">
        <f>'Cash Flow %s Yr1'!K96</f>
        <v>8.3000000000000004E-2</v>
      </c>
      <c r="L96" s="106">
        <f>'Cash Flow %s Yr1'!L96</f>
        <v>8.3000000000000004E-2</v>
      </c>
      <c r="M96" s="106">
        <f>'Cash Flow %s Yr1'!M96</f>
        <v>8.3000000000000004E-2</v>
      </c>
      <c r="N96" s="106">
        <f>'Cash Flow %s Yr1'!N96</f>
        <v>8.3000000000000004E-2</v>
      </c>
      <c r="O96" s="106">
        <f>'Cash Flow %s Yr1'!O96</f>
        <v>8.3000000000000004E-2</v>
      </c>
      <c r="P96" s="106">
        <f>'Cash Flow %s Yr1'!P96</f>
        <v>0</v>
      </c>
      <c r="Q96" s="106">
        <f>'Cash Flow %s Yr1'!Q96</f>
        <v>0</v>
      </c>
      <c r="R96" s="106">
        <f>'Cash Flow %s Yr1'!R96</f>
        <v>0</v>
      </c>
      <c r="S96" s="105">
        <f t="shared" si="7"/>
        <v>0.99599999999999989</v>
      </c>
    </row>
    <row r="97" spans="1:19" hidden="1" outlineLevel="1" x14ac:dyDescent="0.3">
      <c r="A97" s="35"/>
      <c r="B97" s="62" t="str">
        <f>'Expenses Summary'!B53</f>
        <v>4400</v>
      </c>
      <c r="C97" s="62" t="str">
        <f>'Expenses Summary'!C53</f>
        <v>Noncapitalized Equipment</v>
      </c>
      <c r="D97" s="106">
        <f>'Cash Flow %s Yr1'!D97</f>
        <v>0</v>
      </c>
      <c r="E97" s="106">
        <f>'Cash Flow %s Yr1'!E97</f>
        <v>0</v>
      </c>
      <c r="F97" s="106">
        <f>'Cash Flow %s Yr1'!F97</f>
        <v>0.1</v>
      </c>
      <c r="G97" s="106">
        <f>'Cash Flow %s Yr1'!G97</f>
        <v>0.1</v>
      </c>
      <c r="H97" s="106">
        <f>'Cash Flow %s Yr1'!H97</f>
        <v>0.1</v>
      </c>
      <c r="I97" s="106">
        <f>'Cash Flow %s Yr1'!I97</f>
        <v>0.1</v>
      </c>
      <c r="J97" s="106">
        <f>'Cash Flow %s Yr1'!J97</f>
        <v>0.1</v>
      </c>
      <c r="K97" s="106">
        <f>'Cash Flow %s Yr1'!K97</f>
        <v>0.1</v>
      </c>
      <c r="L97" s="106">
        <f>'Cash Flow %s Yr1'!L97</f>
        <v>0.1</v>
      </c>
      <c r="M97" s="106">
        <f>'Cash Flow %s Yr1'!M97</f>
        <v>0.1</v>
      </c>
      <c r="N97" s="106">
        <f>'Cash Flow %s Yr1'!N97</f>
        <v>0.1</v>
      </c>
      <c r="O97" s="106">
        <f>'Cash Flow %s Yr1'!O97</f>
        <v>0.1</v>
      </c>
      <c r="P97" s="106">
        <f>'Cash Flow %s Yr1'!P97</f>
        <v>0</v>
      </c>
      <c r="Q97" s="106">
        <f>'Cash Flow %s Yr1'!Q97</f>
        <v>0</v>
      </c>
      <c r="R97" s="106">
        <f>'Cash Flow %s Yr1'!R97</f>
        <v>0</v>
      </c>
      <c r="S97" s="105">
        <f t="shared" ref="S97:S106" si="8">SUM(D97:R97)</f>
        <v>0.99999999999999989</v>
      </c>
    </row>
    <row r="98" spans="1:19" hidden="1" outlineLevel="1" x14ac:dyDescent="0.3">
      <c r="A98" s="35"/>
      <c r="B98" s="62" t="str">
        <f>'Expenses Summary'!B55</f>
        <v>4430</v>
      </c>
      <c r="C98" s="62" t="str">
        <f>'Expenses Summary'!C55</f>
        <v>General Student Equipment</v>
      </c>
      <c r="D98" s="106">
        <f>'Cash Flow %s Yr1'!D99</f>
        <v>0</v>
      </c>
      <c r="E98" s="106">
        <f>'Cash Flow %s Yr1'!E99</f>
        <v>0</v>
      </c>
      <c r="F98" s="106">
        <f>'Cash Flow %s Yr1'!F99</f>
        <v>0.1</v>
      </c>
      <c r="G98" s="106">
        <f>'Cash Flow %s Yr1'!G99</f>
        <v>0.1</v>
      </c>
      <c r="H98" s="106">
        <f>'Cash Flow %s Yr1'!H99</f>
        <v>0.1</v>
      </c>
      <c r="I98" s="106">
        <f>'Cash Flow %s Yr1'!I99</f>
        <v>0.1</v>
      </c>
      <c r="J98" s="106">
        <f>'Cash Flow %s Yr1'!J99</f>
        <v>0.1</v>
      </c>
      <c r="K98" s="106">
        <f>'Cash Flow %s Yr1'!K99</f>
        <v>0.1</v>
      </c>
      <c r="L98" s="106">
        <f>'Cash Flow %s Yr1'!L99</f>
        <v>0.1</v>
      </c>
      <c r="M98" s="106">
        <f>'Cash Flow %s Yr1'!M99</f>
        <v>0.1</v>
      </c>
      <c r="N98" s="106">
        <f>'Cash Flow %s Yr1'!N99</f>
        <v>0.1</v>
      </c>
      <c r="O98" s="106">
        <f>'Cash Flow %s Yr1'!O99</f>
        <v>0.1</v>
      </c>
      <c r="P98" s="106">
        <f>'Cash Flow %s Yr1'!P99</f>
        <v>0</v>
      </c>
      <c r="Q98" s="106">
        <f>'Cash Flow %s Yr1'!Q99</f>
        <v>0</v>
      </c>
      <c r="R98" s="106">
        <f>'Cash Flow %s Yr1'!R99</f>
        <v>0</v>
      </c>
      <c r="S98" s="105">
        <f t="shared" si="8"/>
        <v>0.99999999999999989</v>
      </c>
    </row>
    <row r="99" spans="1:19" hidden="1" outlineLevel="1" x14ac:dyDescent="0.3">
      <c r="A99" s="35"/>
      <c r="B99" s="62">
        <f>'Expenses Summary'!B56</f>
        <v>0</v>
      </c>
      <c r="C99" s="62">
        <f>'Expenses Summary'!C56</f>
        <v>0</v>
      </c>
      <c r="D99" s="106">
        <f>'Cash Flow %s Yr1'!D100</f>
        <v>0</v>
      </c>
      <c r="E99" s="106">
        <f>'Cash Flow %s Yr1'!E100</f>
        <v>0</v>
      </c>
      <c r="F99" s="106">
        <f>'Cash Flow %s Yr1'!F100</f>
        <v>0.1</v>
      </c>
      <c r="G99" s="106">
        <f>'Cash Flow %s Yr1'!G100</f>
        <v>0.1</v>
      </c>
      <c r="H99" s="106">
        <f>'Cash Flow %s Yr1'!H100</f>
        <v>0.1</v>
      </c>
      <c r="I99" s="106">
        <f>'Cash Flow %s Yr1'!I100</f>
        <v>0.1</v>
      </c>
      <c r="J99" s="106">
        <f>'Cash Flow %s Yr1'!J100</f>
        <v>0.1</v>
      </c>
      <c r="K99" s="106">
        <f>'Cash Flow %s Yr1'!K100</f>
        <v>0.1</v>
      </c>
      <c r="L99" s="106">
        <f>'Cash Flow %s Yr1'!L100</f>
        <v>0.1</v>
      </c>
      <c r="M99" s="106">
        <f>'Cash Flow %s Yr1'!M100</f>
        <v>0.1</v>
      </c>
      <c r="N99" s="106">
        <f>'Cash Flow %s Yr1'!N100</f>
        <v>0.1</v>
      </c>
      <c r="O99" s="106">
        <f>'Cash Flow %s Yr1'!O100</f>
        <v>0.1</v>
      </c>
      <c r="P99" s="106">
        <f>'Cash Flow %s Yr1'!P100</f>
        <v>0</v>
      </c>
      <c r="Q99" s="106">
        <f>'Cash Flow %s Yr1'!Q100</f>
        <v>0</v>
      </c>
      <c r="R99" s="106">
        <f>'Cash Flow %s Yr1'!R100</f>
        <v>0</v>
      </c>
      <c r="S99" s="105">
        <f t="shared" si="8"/>
        <v>0.99999999999999989</v>
      </c>
    </row>
    <row r="100" spans="1:19" hidden="1" outlineLevel="1" x14ac:dyDescent="0.3">
      <c r="A100" s="35"/>
      <c r="B100" s="62">
        <f>'Expenses Summary'!B57</f>
        <v>0</v>
      </c>
      <c r="C100" s="62">
        <f>'Expenses Summary'!C57</f>
        <v>0</v>
      </c>
      <c r="D100" s="106">
        <f>'Cash Flow %s Yr1'!D101</f>
        <v>0</v>
      </c>
      <c r="E100" s="106">
        <f>'Cash Flow %s Yr1'!E101</f>
        <v>0</v>
      </c>
      <c r="F100" s="106">
        <f>'Cash Flow %s Yr1'!F101</f>
        <v>0.1</v>
      </c>
      <c r="G100" s="106">
        <f>'Cash Flow %s Yr1'!G101</f>
        <v>0.1</v>
      </c>
      <c r="H100" s="106">
        <f>'Cash Flow %s Yr1'!H101</f>
        <v>0.1</v>
      </c>
      <c r="I100" s="106">
        <f>'Cash Flow %s Yr1'!I101</f>
        <v>0.1</v>
      </c>
      <c r="J100" s="106">
        <f>'Cash Flow %s Yr1'!J101</f>
        <v>0.1</v>
      </c>
      <c r="K100" s="106">
        <f>'Cash Flow %s Yr1'!K101</f>
        <v>0.1</v>
      </c>
      <c r="L100" s="106">
        <f>'Cash Flow %s Yr1'!L101</f>
        <v>0.1</v>
      </c>
      <c r="M100" s="106">
        <f>'Cash Flow %s Yr1'!M101</f>
        <v>0.1</v>
      </c>
      <c r="N100" s="106">
        <f>'Cash Flow %s Yr1'!N101</f>
        <v>0.1</v>
      </c>
      <c r="O100" s="106">
        <f>'Cash Flow %s Yr1'!O101</f>
        <v>0.1</v>
      </c>
      <c r="P100" s="106">
        <f>'Cash Flow %s Yr1'!P101</f>
        <v>0</v>
      </c>
      <c r="Q100" s="106">
        <f>'Cash Flow %s Yr1'!Q101</f>
        <v>0</v>
      </c>
      <c r="R100" s="106">
        <f>'Cash Flow %s Yr1'!R101</f>
        <v>0</v>
      </c>
      <c r="S100" s="105">
        <f t="shared" si="8"/>
        <v>0.99999999999999989</v>
      </c>
    </row>
    <row r="101" spans="1:19" hidden="1" outlineLevel="1" x14ac:dyDescent="0.3">
      <c r="A101" s="35"/>
      <c r="B101" s="62">
        <f>'Expenses Summary'!B58</f>
        <v>0</v>
      </c>
      <c r="C101" s="62">
        <f>'Expenses Summary'!C58</f>
        <v>0</v>
      </c>
      <c r="D101" s="106">
        <f>'Cash Flow %s Yr1'!D102</f>
        <v>0</v>
      </c>
      <c r="E101" s="106">
        <f>'Cash Flow %s Yr1'!E102</f>
        <v>0</v>
      </c>
      <c r="F101" s="106">
        <f>'Cash Flow %s Yr1'!F102</f>
        <v>0.1</v>
      </c>
      <c r="G101" s="106">
        <f>'Cash Flow %s Yr1'!G102</f>
        <v>0.1</v>
      </c>
      <c r="H101" s="106">
        <f>'Cash Flow %s Yr1'!H102</f>
        <v>0.1</v>
      </c>
      <c r="I101" s="106">
        <f>'Cash Flow %s Yr1'!I102</f>
        <v>0.1</v>
      </c>
      <c r="J101" s="106">
        <f>'Cash Flow %s Yr1'!J102</f>
        <v>0.1</v>
      </c>
      <c r="K101" s="106">
        <f>'Cash Flow %s Yr1'!K102</f>
        <v>0.1</v>
      </c>
      <c r="L101" s="106">
        <f>'Cash Flow %s Yr1'!L102</f>
        <v>0.1</v>
      </c>
      <c r="M101" s="106">
        <f>'Cash Flow %s Yr1'!M102</f>
        <v>0.1</v>
      </c>
      <c r="N101" s="106">
        <f>'Cash Flow %s Yr1'!N102</f>
        <v>0.1</v>
      </c>
      <c r="O101" s="106">
        <f>'Cash Flow %s Yr1'!O102</f>
        <v>0.1</v>
      </c>
      <c r="P101" s="106">
        <f>'Cash Flow %s Yr1'!P102</f>
        <v>0</v>
      </c>
      <c r="Q101" s="106">
        <f>'Cash Flow %s Yr1'!Q102</f>
        <v>0</v>
      </c>
      <c r="R101" s="106">
        <f>'Cash Flow %s Yr1'!R102</f>
        <v>0</v>
      </c>
      <c r="S101" s="105">
        <f t="shared" si="8"/>
        <v>0.99999999999999989</v>
      </c>
    </row>
    <row r="102" spans="1:19" hidden="1" outlineLevel="1" x14ac:dyDescent="0.3">
      <c r="A102" s="35"/>
      <c r="B102" s="62">
        <f>'Expenses Summary'!B59</f>
        <v>0</v>
      </c>
      <c r="C102" s="62">
        <f>'Expenses Summary'!C59</f>
        <v>0</v>
      </c>
      <c r="D102" s="106">
        <f>'Cash Flow %s Yr1'!D103</f>
        <v>0</v>
      </c>
      <c r="E102" s="106">
        <f>'Cash Flow %s Yr1'!E103</f>
        <v>0</v>
      </c>
      <c r="F102" s="106">
        <f>'Cash Flow %s Yr1'!F103</f>
        <v>0.1</v>
      </c>
      <c r="G102" s="106">
        <f>'Cash Flow %s Yr1'!G103</f>
        <v>0.1</v>
      </c>
      <c r="H102" s="106">
        <f>'Cash Flow %s Yr1'!H103</f>
        <v>0.1</v>
      </c>
      <c r="I102" s="106">
        <f>'Cash Flow %s Yr1'!I103</f>
        <v>0.1</v>
      </c>
      <c r="J102" s="106">
        <f>'Cash Flow %s Yr1'!J103</f>
        <v>0.1</v>
      </c>
      <c r="K102" s="106">
        <f>'Cash Flow %s Yr1'!K103</f>
        <v>0.1</v>
      </c>
      <c r="L102" s="106">
        <f>'Cash Flow %s Yr1'!L103</f>
        <v>0.1</v>
      </c>
      <c r="M102" s="106">
        <f>'Cash Flow %s Yr1'!M103</f>
        <v>0.1</v>
      </c>
      <c r="N102" s="106">
        <f>'Cash Flow %s Yr1'!N103</f>
        <v>0.1</v>
      </c>
      <c r="O102" s="106">
        <f>'Cash Flow %s Yr1'!O103</f>
        <v>0.1</v>
      </c>
      <c r="P102" s="106">
        <f>'Cash Flow %s Yr1'!P103</f>
        <v>0</v>
      </c>
      <c r="Q102" s="106">
        <f>'Cash Flow %s Yr1'!Q103</f>
        <v>0</v>
      </c>
      <c r="R102" s="106">
        <f>'Cash Flow %s Yr1'!R103</f>
        <v>0</v>
      </c>
      <c r="S102" s="105">
        <f t="shared" si="8"/>
        <v>0.99999999999999989</v>
      </c>
    </row>
    <row r="103" spans="1:19" hidden="1" outlineLevel="1" x14ac:dyDescent="0.3">
      <c r="A103" s="35"/>
      <c r="B103" s="62">
        <f>'Expenses Summary'!B60</f>
        <v>0</v>
      </c>
      <c r="C103" s="62">
        <f>'Expenses Summary'!C60</f>
        <v>0</v>
      </c>
      <c r="D103" s="106">
        <f>'Cash Flow %s Yr1'!D104</f>
        <v>0</v>
      </c>
      <c r="E103" s="106">
        <f>'Cash Flow %s Yr1'!E104</f>
        <v>0</v>
      </c>
      <c r="F103" s="106">
        <f>'Cash Flow %s Yr1'!F104</f>
        <v>0.1</v>
      </c>
      <c r="G103" s="106">
        <f>'Cash Flow %s Yr1'!G104</f>
        <v>0.1</v>
      </c>
      <c r="H103" s="106">
        <f>'Cash Flow %s Yr1'!H104</f>
        <v>0.1</v>
      </c>
      <c r="I103" s="106">
        <f>'Cash Flow %s Yr1'!I104</f>
        <v>0.1</v>
      </c>
      <c r="J103" s="106">
        <f>'Cash Flow %s Yr1'!J104</f>
        <v>0.1</v>
      </c>
      <c r="K103" s="106">
        <f>'Cash Flow %s Yr1'!K104</f>
        <v>0.1</v>
      </c>
      <c r="L103" s="106">
        <f>'Cash Flow %s Yr1'!L104</f>
        <v>0.1</v>
      </c>
      <c r="M103" s="106">
        <f>'Cash Flow %s Yr1'!M104</f>
        <v>0.1</v>
      </c>
      <c r="N103" s="106">
        <f>'Cash Flow %s Yr1'!N104</f>
        <v>0.1</v>
      </c>
      <c r="O103" s="106">
        <f>'Cash Flow %s Yr1'!O104</f>
        <v>0.1</v>
      </c>
      <c r="P103" s="106">
        <f>'Cash Flow %s Yr1'!P104</f>
        <v>0</v>
      </c>
      <c r="Q103" s="106">
        <f>'Cash Flow %s Yr1'!Q104</f>
        <v>0</v>
      </c>
      <c r="R103" s="106">
        <f>'Cash Flow %s Yr1'!R104</f>
        <v>0</v>
      </c>
      <c r="S103" s="105">
        <f t="shared" si="8"/>
        <v>0.99999999999999989</v>
      </c>
    </row>
    <row r="104" spans="1:19" hidden="1" outlineLevel="1" x14ac:dyDescent="0.3">
      <c r="A104" s="35"/>
      <c r="B104" s="62">
        <f>'Expenses Summary'!B61</f>
        <v>0</v>
      </c>
      <c r="C104" s="62">
        <f>'Expenses Summary'!C61</f>
        <v>0</v>
      </c>
      <c r="D104" s="106">
        <f>'Cash Flow %s Yr1'!D105</f>
        <v>0</v>
      </c>
      <c r="E104" s="106">
        <f>'Cash Flow %s Yr1'!E105</f>
        <v>0</v>
      </c>
      <c r="F104" s="106">
        <f>'Cash Flow %s Yr1'!F105</f>
        <v>0.1</v>
      </c>
      <c r="G104" s="106">
        <f>'Cash Flow %s Yr1'!G105</f>
        <v>0.1</v>
      </c>
      <c r="H104" s="106">
        <f>'Cash Flow %s Yr1'!H105</f>
        <v>0.1</v>
      </c>
      <c r="I104" s="106">
        <f>'Cash Flow %s Yr1'!I105</f>
        <v>0.1</v>
      </c>
      <c r="J104" s="106">
        <f>'Cash Flow %s Yr1'!J105</f>
        <v>0.1</v>
      </c>
      <c r="K104" s="106">
        <f>'Cash Flow %s Yr1'!K105</f>
        <v>0.1</v>
      </c>
      <c r="L104" s="106">
        <f>'Cash Flow %s Yr1'!L105</f>
        <v>0.1</v>
      </c>
      <c r="M104" s="106">
        <f>'Cash Flow %s Yr1'!M105</f>
        <v>0.1</v>
      </c>
      <c r="N104" s="106">
        <f>'Cash Flow %s Yr1'!N105</f>
        <v>0.1</v>
      </c>
      <c r="O104" s="106">
        <f>'Cash Flow %s Yr1'!O105</f>
        <v>0.1</v>
      </c>
      <c r="P104" s="106">
        <f>'Cash Flow %s Yr1'!P105</f>
        <v>0</v>
      </c>
      <c r="Q104" s="106">
        <f>'Cash Flow %s Yr1'!Q105</f>
        <v>0</v>
      </c>
      <c r="R104" s="106">
        <f>'Cash Flow %s Yr1'!R105</f>
        <v>0</v>
      </c>
      <c r="S104" s="105">
        <f t="shared" si="8"/>
        <v>0.99999999999999989</v>
      </c>
    </row>
    <row r="105" spans="1:19" hidden="1" outlineLevel="1" x14ac:dyDescent="0.3">
      <c r="A105" s="35"/>
      <c r="B105" s="62">
        <f>'Expenses Summary'!B62</f>
        <v>0</v>
      </c>
      <c r="C105" s="62">
        <f>'Expenses Summary'!C62</f>
        <v>0</v>
      </c>
      <c r="D105" s="106">
        <f>'Cash Flow %s Yr1'!D106</f>
        <v>0</v>
      </c>
      <c r="E105" s="106">
        <f>'Cash Flow %s Yr1'!E106</f>
        <v>0</v>
      </c>
      <c r="F105" s="106">
        <f>'Cash Flow %s Yr1'!F106</f>
        <v>0.1</v>
      </c>
      <c r="G105" s="106">
        <f>'Cash Flow %s Yr1'!G106</f>
        <v>0.1</v>
      </c>
      <c r="H105" s="106">
        <f>'Cash Flow %s Yr1'!H106</f>
        <v>0.1</v>
      </c>
      <c r="I105" s="106">
        <f>'Cash Flow %s Yr1'!I106</f>
        <v>0.1</v>
      </c>
      <c r="J105" s="106">
        <f>'Cash Flow %s Yr1'!J106</f>
        <v>0.1</v>
      </c>
      <c r="K105" s="106">
        <f>'Cash Flow %s Yr1'!K106</f>
        <v>0.1</v>
      </c>
      <c r="L105" s="106">
        <f>'Cash Flow %s Yr1'!L106</f>
        <v>0.1</v>
      </c>
      <c r="M105" s="106">
        <f>'Cash Flow %s Yr1'!M106</f>
        <v>0.1</v>
      </c>
      <c r="N105" s="106">
        <f>'Cash Flow %s Yr1'!N106</f>
        <v>0.1</v>
      </c>
      <c r="O105" s="106">
        <f>'Cash Flow %s Yr1'!O106</f>
        <v>0.1</v>
      </c>
      <c r="P105" s="106">
        <f>'Cash Flow %s Yr1'!P106</f>
        <v>0</v>
      </c>
      <c r="Q105" s="106">
        <f>'Cash Flow %s Yr1'!Q106</f>
        <v>0</v>
      </c>
      <c r="R105" s="106">
        <f>'Cash Flow %s Yr1'!R106</f>
        <v>0</v>
      </c>
      <c r="S105" s="105">
        <f t="shared" si="8"/>
        <v>0.99999999999999989</v>
      </c>
    </row>
    <row r="106" spans="1:19" hidden="1" outlineLevel="1" x14ac:dyDescent="0.3">
      <c r="A106" s="35"/>
      <c r="B106" s="62">
        <f>'Expenses Summary'!B63</f>
        <v>0</v>
      </c>
      <c r="C106" s="62">
        <f>'Expenses Summary'!C63</f>
        <v>0</v>
      </c>
      <c r="D106" s="106">
        <f>'Cash Flow %s Yr1'!D107</f>
        <v>0</v>
      </c>
      <c r="E106" s="106">
        <f>'Cash Flow %s Yr1'!E107</f>
        <v>0</v>
      </c>
      <c r="F106" s="106">
        <f>'Cash Flow %s Yr1'!F107</f>
        <v>0.1</v>
      </c>
      <c r="G106" s="106">
        <f>'Cash Flow %s Yr1'!G107</f>
        <v>0.1</v>
      </c>
      <c r="H106" s="106">
        <f>'Cash Flow %s Yr1'!H107</f>
        <v>0.1</v>
      </c>
      <c r="I106" s="106">
        <f>'Cash Flow %s Yr1'!I107</f>
        <v>0.1</v>
      </c>
      <c r="J106" s="106">
        <f>'Cash Flow %s Yr1'!J107</f>
        <v>0.1</v>
      </c>
      <c r="K106" s="106">
        <f>'Cash Flow %s Yr1'!K107</f>
        <v>0.1</v>
      </c>
      <c r="L106" s="106">
        <f>'Cash Flow %s Yr1'!L107</f>
        <v>0.1</v>
      </c>
      <c r="M106" s="106">
        <f>'Cash Flow %s Yr1'!M107</f>
        <v>0.1</v>
      </c>
      <c r="N106" s="106">
        <f>'Cash Flow %s Yr1'!N107</f>
        <v>0.1</v>
      </c>
      <c r="O106" s="106">
        <f>'Cash Flow %s Yr1'!O107</f>
        <v>0.1</v>
      </c>
      <c r="P106" s="106">
        <f>'Cash Flow %s Yr1'!P107</f>
        <v>0</v>
      </c>
      <c r="Q106" s="106">
        <f>'Cash Flow %s Yr1'!Q107</f>
        <v>0</v>
      </c>
      <c r="R106" s="106">
        <f>'Cash Flow %s Yr1'!R107</f>
        <v>0</v>
      </c>
      <c r="S106" s="105">
        <f t="shared" si="8"/>
        <v>0.99999999999999989</v>
      </c>
    </row>
    <row r="107" spans="1:19" s="30" customFormat="1" collapsed="1" x14ac:dyDescent="0.3">
      <c r="A107" s="35"/>
      <c r="B107" s="62" t="str">
        <f>'Expenses Summary'!B64</f>
        <v>4700</v>
      </c>
      <c r="C107" s="62" t="str">
        <f>'Expenses Summary'!C64</f>
        <v>Food and Food Supplies</v>
      </c>
      <c r="D107" s="106">
        <f>'Cash Flow %s Yr1'!D108</f>
        <v>0</v>
      </c>
      <c r="E107" s="106">
        <f>'Cash Flow %s Yr1'!E108</f>
        <v>0</v>
      </c>
      <c r="F107" s="106">
        <f>'Cash Flow %s Yr1'!F108</f>
        <v>0.1</v>
      </c>
      <c r="G107" s="106">
        <f>'Cash Flow %s Yr1'!G108</f>
        <v>0.1</v>
      </c>
      <c r="H107" s="106">
        <f>'Cash Flow %s Yr1'!H108</f>
        <v>0.1</v>
      </c>
      <c r="I107" s="106">
        <f>'Cash Flow %s Yr1'!I108</f>
        <v>0.1</v>
      </c>
      <c r="J107" s="106">
        <f>'Cash Flow %s Yr1'!J108</f>
        <v>0.1</v>
      </c>
      <c r="K107" s="106">
        <f>'Cash Flow %s Yr1'!K108</f>
        <v>0.1</v>
      </c>
      <c r="L107" s="106">
        <f>'Cash Flow %s Yr1'!L108</f>
        <v>0.1</v>
      </c>
      <c r="M107" s="106">
        <f>'Cash Flow %s Yr1'!M108</f>
        <v>0.1</v>
      </c>
      <c r="N107" s="106">
        <f>'Cash Flow %s Yr1'!N108</f>
        <v>0.1</v>
      </c>
      <c r="O107" s="106">
        <f>'Cash Flow %s Yr1'!O108</f>
        <v>0.1</v>
      </c>
      <c r="P107" s="106">
        <f>'Cash Flow %s Yr1'!P108</f>
        <v>0</v>
      </c>
      <c r="Q107" s="106">
        <f>'Cash Flow %s Yr1'!Q108</f>
        <v>0</v>
      </c>
      <c r="R107" s="106">
        <f>'Cash Flow %s Yr1'!R108</f>
        <v>0</v>
      </c>
      <c r="S107" s="105">
        <f>SUM(D107:R107)</f>
        <v>0.99999999999999989</v>
      </c>
    </row>
    <row r="108" spans="1:19" s="30" customFormat="1" x14ac:dyDescent="0.3">
      <c r="A108" s="35"/>
      <c r="B108" s="118"/>
      <c r="C108" s="87"/>
      <c r="D108" s="94"/>
      <c r="E108" s="94"/>
      <c r="F108" s="113"/>
      <c r="G108" s="113"/>
      <c r="H108" s="113"/>
      <c r="I108" s="113"/>
      <c r="J108" s="113"/>
      <c r="K108" s="113"/>
      <c r="L108" s="113"/>
      <c r="M108" s="113"/>
      <c r="N108" s="113"/>
      <c r="O108" s="113"/>
      <c r="P108" s="102"/>
      <c r="Q108" s="102"/>
      <c r="R108" s="102"/>
      <c r="S108" s="105"/>
    </row>
    <row r="109" spans="1:19" s="30" customFormat="1" x14ac:dyDescent="0.3">
      <c r="A109" s="35"/>
      <c r="B109" s="4"/>
      <c r="C109" s="3"/>
      <c r="D109" s="89"/>
      <c r="E109" s="89"/>
      <c r="F109" s="89"/>
      <c r="G109" s="89"/>
      <c r="H109" s="89"/>
      <c r="I109" s="89"/>
      <c r="J109" s="89"/>
      <c r="K109" s="89"/>
      <c r="L109" s="89"/>
      <c r="M109" s="89"/>
      <c r="N109" s="89"/>
      <c r="O109" s="89"/>
      <c r="P109" s="89"/>
      <c r="Q109" s="89"/>
      <c r="R109" s="89"/>
      <c r="S109" s="105"/>
    </row>
    <row r="110" spans="1:19" s="30" customFormat="1" x14ac:dyDescent="0.3">
      <c r="B110" s="5" t="s">
        <v>721</v>
      </c>
      <c r="C110" s="3"/>
      <c r="D110" s="89"/>
      <c r="E110" s="89"/>
      <c r="F110" s="89"/>
      <c r="G110" s="89"/>
      <c r="H110" s="89"/>
      <c r="I110" s="89"/>
      <c r="J110" s="89"/>
      <c r="K110" s="89"/>
      <c r="L110" s="89"/>
      <c r="M110" s="89"/>
      <c r="N110" s="89"/>
      <c r="O110" s="89"/>
      <c r="P110" s="89"/>
      <c r="Q110" s="89"/>
      <c r="R110" s="89"/>
      <c r="S110" s="105"/>
    </row>
    <row r="111" spans="1:19" s="30" customFormat="1" x14ac:dyDescent="0.3">
      <c r="A111" s="35"/>
      <c r="B111" s="62" t="str">
        <f>'Expenses Summary'!B68</f>
        <v>5200</v>
      </c>
      <c r="C111" s="62" t="str">
        <f>'Expenses Summary'!C68</f>
        <v>Travel and Conferences</v>
      </c>
      <c r="D111" s="106">
        <f>'Cash Flow %s Yr1'!D112</f>
        <v>0</v>
      </c>
      <c r="E111" s="106">
        <f>'Cash Flow %s Yr1'!E112</f>
        <v>0</v>
      </c>
      <c r="F111" s="106">
        <f>'Cash Flow %s Yr1'!F112</f>
        <v>0.3</v>
      </c>
      <c r="G111" s="106">
        <f>'Cash Flow %s Yr1'!G112</f>
        <v>0.1</v>
      </c>
      <c r="H111" s="106">
        <f>'Cash Flow %s Yr1'!H112</f>
        <v>0.1</v>
      </c>
      <c r="I111" s="106">
        <f>'Cash Flow %s Yr1'!I112</f>
        <v>0.1</v>
      </c>
      <c r="J111" s="106">
        <f>'Cash Flow %s Yr1'!J112</f>
        <v>0.1</v>
      </c>
      <c r="K111" s="106">
        <f>'Cash Flow %s Yr1'!K112</f>
        <v>0.1</v>
      </c>
      <c r="L111" s="106">
        <f>'Cash Flow %s Yr1'!L112</f>
        <v>0.1</v>
      </c>
      <c r="M111" s="106">
        <f>'Cash Flow %s Yr1'!M112</f>
        <v>0.1</v>
      </c>
      <c r="N111" s="106">
        <f>'Cash Flow %s Yr1'!N112</f>
        <v>0</v>
      </c>
      <c r="O111" s="106">
        <f>'Cash Flow %s Yr1'!O112</f>
        <v>0</v>
      </c>
      <c r="P111" s="106">
        <f>'Cash Flow %s Yr1'!P112</f>
        <v>0</v>
      </c>
      <c r="Q111" s="106">
        <f>'Cash Flow %s Yr1'!Q112</f>
        <v>0</v>
      </c>
      <c r="R111" s="106">
        <f>'Cash Flow %s Yr1'!R112</f>
        <v>0</v>
      </c>
      <c r="S111" s="105">
        <f t="shared" ref="S111:S141" si="9">SUM(D111:R111)</f>
        <v>0.99999999999999989</v>
      </c>
    </row>
    <row r="112" spans="1:19" s="30" customFormat="1" x14ac:dyDescent="0.3">
      <c r="A112" s="35"/>
      <c r="B112" s="62" t="str">
        <f>'Expenses Summary'!B69</f>
        <v>5210</v>
      </c>
      <c r="C112" s="62" t="str">
        <f>'Expenses Summary'!C69</f>
        <v>Training and Development Expense</v>
      </c>
      <c r="D112" s="106">
        <f>'Cash Flow %s Yr1'!D113</f>
        <v>0</v>
      </c>
      <c r="E112" s="106">
        <f>'Cash Flow %s Yr1'!E113</f>
        <v>0</v>
      </c>
      <c r="F112" s="106">
        <f>'Cash Flow %s Yr1'!F113</f>
        <v>0.3</v>
      </c>
      <c r="G112" s="106">
        <f>'Cash Flow %s Yr1'!G113</f>
        <v>0.1</v>
      </c>
      <c r="H112" s="106">
        <f>'Cash Flow %s Yr1'!H113</f>
        <v>0.1</v>
      </c>
      <c r="I112" s="106">
        <f>'Cash Flow %s Yr1'!I113</f>
        <v>0.1</v>
      </c>
      <c r="J112" s="106">
        <f>'Cash Flow %s Yr1'!J113</f>
        <v>0.1</v>
      </c>
      <c r="K112" s="106">
        <f>'Cash Flow %s Yr1'!K113</f>
        <v>0.1</v>
      </c>
      <c r="L112" s="106">
        <f>'Cash Flow %s Yr1'!L113</f>
        <v>0.1</v>
      </c>
      <c r="M112" s="106">
        <f>'Cash Flow %s Yr1'!M113</f>
        <v>0.1</v>
      </c>
      <c r="N112" s="106">
        <f>'Cash Flow %s Yr1'!N113</f>
        <v>0</v>
      </c>
      <c r="O112" s="106">
        <f>'Cash Flow %s Yr1'!O113</f>
        <v>0</v>
      </c>
      <c r="P112" s="106">
        <f>'Cash Flow %s Yr1'!P113</f>
        <v>0</v>
      </c>
      <c r="Q112" s="106">
        <f>'Cash Flow %s Yr1'!Q113</f>
        <v>0</v>
      </c>
      <c r="R112" s="106">
        <f>'Cash Flow %s Yr1'!R113</f>
        <v>0</v>
      </c>
      <c r="S112" s="105">
        <f t="shared" si="9"/>
        <v>0.99999999999999989</v>
      </c>
    </row>
    <row r="113" spans="1:19" s="30" customFormat="1" x14ac:dyDescent="0.3">
      <c r="A113" s="35"/>
      <c r="B113" s="62" t="str">
        <f>'Expenses Summary'!B70</f>
        <v>5300</v>
      </c>
      <c r="C113" s="62" t="str">
        <f>'Expenses Summary'!C70</f>
        <v>Dues and Memberships</v>
      </c>
      <c r="D113" s="106">
        <f>'Cash Flow %s Yr1'!D114</f>
        <v>0</v>
      </c>
      <c r="E113" s="106">
        <f>'Cash Flow %s Yr1'!E114</f>
        <v>0</v>
      </c>
      <c r="F113" s="106">
        <f>'Cash Flow %s Yr1'!F114</f>
        <v>0.3</v>
      </c>
      <c r="G113" s="106">
        <f>'Cash Flow %s Yr1'!G114</f>
        <v>0.1</v>
      </c>
      <c r="H113" s="106">
        <f>'Cash Flow %s Yr1'!H114</f>
        <v>0.1</v>
      </c>
      <c r="I113" s="106">
        <f>'Cash Flow %s Yr1'!I114</f>
        <v>0.1</v>
      </c>
      <c r="J113" s="106">
        <f>'Cash Flow %s Yr1'!J114</f>
        <v>0.1</v>
      </c>
      <c r="K113" s="106">
        <f>'Cash Flow %s Yr1'!K114</f>
        <v>0.1</v>
      </c>
      <c r="L113" s="106">
        <f>'Cash Flow %s Yr1'!L114</f>
        <v>0.1</v>
      </c>
      <c r="M113" s="106">
        <f>'Cash Flow %s Yr1'!M114</f>
        <v>0.1</v>
      </c>
      <c r="N113" s="106">
        <f>'Cash Flow %s Yr1'!N114</f>
        <v>0</v>
      </c>
      <c r="O113" s="106">
        <f>'Cash Flow %s Yr1'!O114</f>
        <v>0</v>
      </c>
      <c r="P113" s="106">
        <f>'Cash Flow %s Yr1'!P114</f>
        <v>0</v>
      </c>
      <c r="Q113" s="106">
        <f>'Cash Flow %s Yr1'!Q114</f>
        <v>0</v>
      </c>
      <c r="R113" s="106">
        <f>'Cash Flow %s Yr1'!R114</f>
        <v>0</v>
      </c>
      <c r="S113" s="105">
        <f t="shared" si="9"/>
        <v>0.99999999999999989</v>
      </c>
    </row>
    <row r="114" spans="1:19" s="30" customFormat="1" x14ac:dyDescent="0.3">
      <c r="A114" s="35"/>
      <c r="B114" s="62" t="str">
        <f>'Expenses Summary'!B71</f>
        <v>5400</v>
      </c>
      <c r="C114" s="62" t="str">
        <f>'Expenses Summary'!C71</f>
        <v>Insurance</v>
      </c>
      <c r="D114" s="106">
        <f>'Cash Flow %s Yr1'!D115</f>
        <v>0</v>
      </c>
      <c r="E114" s="106">
        <f>'Cash Flow %s Yr1'!E115</f>
        <v>0</v>
      </c>
      <c r="F114" s="106">
        <f>'Cash Flow %s Yr1'!F115</f>
        <v>0.3</v>
      </c>
      <c r="G114" s="106">
        <f>'Cash Flow %s Yr1'!G115</f>
        <v>0.1</v>
      </c>
      <c r="H114" s="106">
        <f>'Cash Flow %s Yr1'!H115</f>
        <v>0.1</v>
      </c>
      <c r="I114" s="106">
        <f>'Cash Flow %s Yr1'!I115</f>
        <v>0.1</v>
      </c>
      <c r="J114" s="106">
        <f>'Cash Flow %s Yr1'!J115</f>
        <v>0.1</v>
      </c>
      <c r="K114" s="106">
        <f>'Cash Flow %s Yr1'!K115</f>
        <v>0.1</v>
      </c>
      <c r="L114" s="106">
        <f>'Cash Flow %s Yr1'!L115</f>
        <v>0.1</v>
      </c>
      <c r="M114" s="106">
        <f>'Cash Flow %s Yr1'!M115</f>
        <v>0.1</v>
      </c>
      <c r="N114" s="106">
        <f>'Cash Flow %s Yr1'!N115</f>
        <v>0</v>
      </c>
      <c r="O114" s="106">
        <f>'Cash Flow %s Yr1'!O115</f>
        <v>0</v>
      </c>
      <c r="P114" s="106">
        <f>'Cash Flow %s Yr1'!P115</f>
        <v>0</v>
      </c>
      <c r="Q114" s="106">
        <f>'Cash Flow %s Yr1'!Q115</f>
        <v>0</v>
      </c>
      <c r="R114" s="106">
        <f>'Cash Flow %s Yr1'!R115</f>
        <v>0</v>
      </c>
      <c r="S114" s="105">
        <f t="shared" si="9"/>
        <v>0.99999999999999989</v>
      </c>
    </row>
    <row r="115" spans="1:19" s="30" customFormat="1" x14ac:dyDescent="0.3">
      <c r="A115" s="35"/>
      <c r="B115" s="62" t="str">
        <f>'Expenses Summary'!B72</f>
        <v>5450</v>
      </c>
      <c r="C115" s="62" t="str">
        <f>'Expenses Summary'!C72</f>
        <v>Property Tax</v>
      </c>
      <c r="D115" s="106">
        <f>'Cash Flow %s Yr1'!D116</f>
        <v>0</v>
      </c>
      <c r="E115" s="106">
        <f>'Cash Flow %s Yr1'!E116</f>
        <v>0</v>
      </c>
      <c r="F115" s="106">
        <f>'Cash Flow %s Yr1'!F116</f>
        <v>0.6</v>
      </c>
      <c r="G115" s="106">
        <f>'Cash Flow %s Yr1'!G116</f>
        <v>0</v>
      </c>
      <c r="H115" s="106">
        <f>'Cash Flow %s Yr1'!H116</f>
        <v>0</v>
      </c>
      <c r="I115" s="106">
        <f>'Cash Flow %s Yr1'!I116</f>
        <v>0</v>
      </c>
      <c r="J115" s="106">
        <f>'Cash Flow %s Yr1'!J116</f>
        <v>0.4</v>
      </c>
      <c r="K115" s="106">
        <f>'Cash Flow %s Yr1'!K116</f>
        <v>0</v>
      </c>
      <c r="L115" s="106">
        <f>'Cash Flow %s Yr1'!L116</f>
        <v>0</v>
      </c>
      <c r="M115" s="106">
        <f>'Cash Flow %s Yr1'!M116</f>
        <v>0</v>
      </c>
      <c r="N115" s="106">
        <f>'Cash Flow %s Yr1'!N116</f>
        <v>0</v>
      </c>
      <c r="O115" s="106">
        <f>'Cash Flow %s Yr1'!O116</f>
        <v>0</v>
      </c>
      <c r="P115" s="106">
        <f>'Cash Flow %s Yr1'!P116</f>
        <v>0</v>
      </c>
      <c r="Q115" s="106">
        <f>'Cash Flow %s Yr1'!Q116</f>
        <v>0</v>
      </c>
      <c r="R115" s="106">
        <f>'Cash Flow %s Yr1'!R116</f>
        <v>0</v>
      </c>
      <c r="S115" s="105">
        <f t="shared" si="9"/>
        <v>1</v>
      </c>
    </row>
    <row r="116" spans="1:19" s="30" customFormat="1" x14ac:dyDescent="0.3">
      <c r="A116" s="35"/>
      <c r="B116" s="62" t="str">
        <f>'Expenses Summary'!B73</f>
        <v>5500</v>
      </c>
      <c r="C116" s="62" t="str">
        <f>'Expenses Summary'!C73</f>
        <v>Operation and Housekeeping Services/Supplies</v>
      </c>
      <c r="D116" s="106">
        <f>'Cash Flow %s Yr1'!D117</f>
        <v>8.3000000000000004E-2</v>
      </c>
      <c r="E116" s="106">
        <f>'Cash Flow %s Yr1'!E117</f>
        <v>8.3000000000000004E-2</v>
      </c>
      <c r="F116" s="106">
        <f>'Cash Flow %s Yr1'!F117</f>
        <v>8.3000000000000004E-2</v>
      </c>
      <c r="G116" s="106">
        <f>'Cash Flow %s Yr1'!G117</f>
        <v>8.3000000000000004E-2</v>
      </c>
      <c r="H116" s="106">
        <f>'Cash Flow %s Yr1'!H117</f>
        <v>8.3000000000000004E-2</v>
      </c>
      <c r="I116" s="106">
        <f>'Cash Flow %s Yr1'!I117</f>
        <v>8.3000000000000004E-2</v>
      </c>
      <c r="J116" s="106">
        <f>'Cash Flow %s Yr1'!J117</f>
        <v>8.3000000000000004E-2</v>
      </c>
      <c r="K116" s="106">
        <f>'Cash Flow %s Yr1'!K117</f>
        <v>8.3000000000000004E-2</v>
      </c>
      <c r="L116" s="106">
        <f>'Cash Flow %s Yr1'!L117</f>
        <v>8.4000000000000005E-2</v>
      </c>
      <c r="M116" s="106">
        <f>'Cash Flow %s Yr1'!M117</f>
        <v>8.4000000000000005E-2</v>
      </c>
      <c r="N116" s="106">
        <f>'Cash Flow %s Yr1'!N117</f>
        <v>8.4000000000000005E-2</v>
      </c>
      <c r="O116" s="106">
        <f>'Cash Flow %s Yr1'!O117</f>
        <v>8.4000000000000005E-2</v>
      </c>
      <c r="P116" s="106">
        <f>'Cash Flow %s Yr1'!P117</f>
        <v>0</v>
      </c>
      <c r="Q116" s="106">
        <f>'Cash Flow %s Yr1'!Q117</f>
        <v>0</v>
      </c>
      <c r="R116" s="106">
        <f>'Cash Flow %s Yr1'!R117</f>
        <v>0</v>
      </c>
      <c r="S116" s="105">
        <f t="shared" si="9"/>
        <v>0.99999999999999989</v>
      </c>
    </row>
    <row r="117" spans="1:19" s="30" customFormat="1" x14ac:dyDescent="0.3">
      <c r="A117" s="35"/>
      <c r="B117" s="62" t="str">
        <f>'Expenses Summary'!B74</f>
        <v>5501</v>
      </c>
      <c r="C117" s="62" t="str">
        <f>'Expenses Summary'!C74</f>
        <v>Utilities</v>
      </c>
      <c r="D117" s="106">
        <f>'Cash Flow %s Yr1'!D118</f>
        <v>8.3000000000000004E-2</v>
      </c>
      <c r="E117" s="106">
        <f>'Cash Flow %s Yr1'!E118</f>
        <v>8.3000000000000004E-2</v>
      </c>
      <c r="F117" s="106">
        <f>'Cash Flow %s Yr1'!F118</f>
        <v>8.3000000000000004E-2</v>
      </c>
      <c r="G117" s="106">
        <f>'Cash Flow %s Yr1'!G118</f>
        <v>8.3000000000000004E-2</v>
      </c>
      <c r="H117" s="106">
        <f>'Cash Flow %s Yr1'!H118</f>
        <v>8.3000000000000004E-2</v>
      </c>
      <c r="I117" s="106">
        <f>'Cash Flow %s Yr1'!I118</f>
        <v>8.3000000000000004E-2</v>
      </c>
      <c r="J117" s="106">
        <f>'Cash Flow %s Yr1'!J118</f>
        <v>8.3000000000000004E-2</v>
      </c>
      <c r="K117" s="106">
        <f>'Cash Flow %s Yr1'!K118</f>
        <v>8.3000000000000004E-2</v>
      </c>
      <c r="L117" s="106">
        <f>'Cash Flow %s Yr1'!L118</f>
        <v>8.4000000000000005E-2</v>
      </c>
      <c r="M117" s="106">
        <f>'Cash Flow %s Yr1'!M118</f>
        <v>8.4000000000000005E-2</v>
      </c>
      <c r="N117" s="106">
        <f>'Cash Flow %s Yr1'!N118</f>
        <v>8.4000000000000005E-2</v>
      </c>
      <c r="O117" s="106">
        <f>'Cash Flow %s Yr1'!O118</f>
        <v>8.4000000000000005E-2</v>
      </c>
      <c r="P117" s="106">
        <f>'Cash Flow %s Yr1'!P118</f>
        <v>0</v>
      </c>
      <c r="Q117" s="106">
        <f>'Cash Flow %s Yr1'!Q118</f>
        <v>0</v>
      </c>
      <c r="R117" s="106">
        <f>'Cash Flow %s Yr1'!R118</f>
        <v>0</v>
      </c>
      <c r="S117" s="105">
        <f t="shared" si="9"/>
        <v>0.99999999999999989</v>
      </c>
    </row>
    <row r="118" spans="1:19" s="30" customFormat="1" x14ac:dyDescent="0.3">
      <c r="A118" s="35"/>
      <c r="B118" s="62" t="str">
        <f>'Expenses Summary'!B75</f>
        <v>5505</v>
      </c>
      <c r="C118" s="62" t="str">
        <f>'Expenses Summary'!C75</f>
        <v>Student Transportation / Field Trips</v>
      </c>
      <c r="D118" s="106">
        <f>'Cash Flow %s Yr1'!D119</f>
        <v>0</v>
      </c>
      <c r="E118" s="106">
        <f>'Cash Flow %s Yr1'!E119</f>
        <v>0</v>
      </c>
      <c r="F118" s="106">
        <f>'Cash Flow %s Yr1'!F119</f>
        <v>0.1</v>
      </c>
      <c r="G118" s="106">
        <f>'Cash Flow %s Yr1'!G119</f>
        <v>0.1</v>
      </c>
      <c r="H118" s="106">
        <f>'Cash Flow %s Yr1'!H119</f>
        <v>0.1</v>
      </c>
      <c r="I118" s="106">
        <f>'Cash Flow %s Yr1'!I119</f>
        <v>0.1</v>
      </c>
      <c r="J118" s="106">
        <f>'Cash Flow %s Yr1'!J119</f>
        <v>0.1</v>
      </c>
      <c r="K118" s="106">
        <f>'Cash Flow %s Yr1'!K119</f>
        <v>0.1</v>
      </c>
      <c r="L118" s="106">
        <f>'Cash Flow %s Yr1'!L119</f>
        <v>0.1</v>
      </c>
      <c r="M118" s="106">
        <f>'Cash Flow %s Yr1'!M119</f>
        <v>0.1</v>
      </c>
      <c r="N118" s="106">
        <f>'Cash Flow %s Yr1'!N119</f>
        <v>0.1</v>
      </c>
      <c r="O118" s="106">
        <f>'Cash Flow %s Yr1'!O119</f>
        <v>0.1</v>
      </c>
      <c r="P118" s="106">
        <f>'Cash Flow %s Yr1'!P119</f>
        <v>0</v>
      </c>
      <c r="Q118" s="106">
        <f>'Cash Flow %s Yr1'!Q119</f>
        <v>0</v>
      </c>
      <c r="R118" s="106">
        <f>'Cash Flow %s Yr1'!R119</f>
        <v>0</v>
      </c>
      <c r="S118" s="105">
        <f t="shared" si="9"/>
        <v>0.99999999999999989</v>
      </c>
    </row>
    <row r="119" spans="1:19" s="30" customFormat="1" x14ac:dyDescent="0.3">
      <c r="A119" s="35"/>
      <c r="B119" s="62" t="str">
        <f>'Expenses Summary'!B76</f>
        <v>5600</v>
      </c>
      <c r="C119" s="62" t="str">
        <f>'Expenses Summary'!C76</f>
        <v>Space Rental/Leases Expense</v>
      </c>
      <c r="D119" s="106">
        <f>'Cash Flow %s Yr1'!D120</f>
        <v>8.3000000000000004E-2</v>
      </c>
      <c r="E119" s="106">
        <f>'Cash Flow %s Yr1'!E120</f>
        <v>8.3000000000000004E-2</v>
      </c>
      <c r="F119" s="106">
        <f>'Cash Flow %s Yr1'!F120</f>
        <v>8.3000000000000004E-2</v>
      </c>
      <c r="G119" s="106">
        <f>'Cash Flow %s Yr1'!G120</f>
        <v>8.3000000000000004E-2</v>
      </c>
      <c r="H119" s="106">
        <f>'Cash Flow %s Yr1'!H120</f>
        <v>8.3000000000000004E-2</v>
      </c>
      <c r="I119" s="106">
        <f>'Cash Flow %s Yr1'!I120</f>
        <v>8.3000000000000004E-2</v>
      </c>
      <c r="J119" s="106">
        <f>'Cash Flow %s Yr1'!J120</f>
        <v>8.3000000000000004E-2</v>
      </c>
      <c r="K119" s="106">
        <f>'Cash Flow %s Yr1'!K120</f>
        <v>8.3000000000000004E-2</v>
      </c>
      <c r="L119" s="106">
        <f>'Cash Flow %s Yr1'!L120</f>
        <v>8.4000000000000005E-2</v>
      </c>
      <c r="M119" s="106">
        <f>'Cash Flow %s Yr1'!M120</f>
        <v>8.4000000000000005E-2</v>
      </c>
      <c r="N119" s="106">
        <f>'Cash Flow %s Yr1'!N120</f>
        <v>8.4000000000000005E-2</v>
      </c>
      <c r="O119" s="106">
        <f>'Cash Flow %s Yr1'!O120</f>
        <v>8.4000000000000005E-2</v>
      </c>
      <c r="P119" s="106">
        <f>'Cash Flow %s Yr1'!P120</f>
        <v>0</v>
      </c>
      <c r="Q119" s="106">
        <f>'Cash Flow %s Yr1'!Q120</f>
        <v>0</v>
      </c>
      <c r="R119" s="106">
        <f>'Cash Flow %s Yr1'!R120</f>
        <v>0</v>
      </c>
      <c r="S119" s="105">
        <f t="shared" si="9"/>
        <v>0.99999999999999989</v>
      </c>
    </row>
    <row r="120" spans="1:19" s="30" customFormat="1" x14ac:dyDescent="0.3">
      <c r="A120" s="35"/>
      <c r="B120" s="62" t="str">
        <f>'Expenses Summary'!B77</f>
        <v>5601</v>
      </c>
      <c r="C120" s="62" t="str">
        <f>'Expenses Summary'!C77</f>
        <v>Building Maintenance</v>
      </c>
      <c r="D120" s="106">
        <f>'Cash Flow %s Yr1'!D121</f>
        <v>8.3000000000000004E-2</v>
      </c>
      <c r="E120" s="106">
        <f>'Cash Flow %s Yr1'!E121</f>
        <v>8.3000000000000004E-2</v>
      </c>
      <c r="F120" s="106">
        <f>'Cash Flow %s Yr1'!F121</f>
        <v>8.3000000000000004E-2</v>
      </c>
      <c r="G120" s="106">
        <f>'Cash Flow %s Yr1'!G121</f>
        <v>8.3000000000000004E-2</v>
      </c>
      <c r="H120" s="106">
        <f>'Cash Flow %s Yr1'!H121</f>
        <v>8.3000000000000004E-2</v>
      </c>
      <c r="I120" s="106">
        <f>'Cash Flow %s Yr1'!I121</f>
        <v>8.3000000000000004E-2</v>
      </c>
      <c r="J120" s="106">
        <f>'Cash Flow %s Yr1'!J121</f>
        <v>8.3000000000000004E-2</v>
      </c>
      <c r="K120" s="106">
        <f>'Cash Flow %s Yr1'!K121</f>
        <v>8.3000000000000004E-2</v>
      </c>
      <c r="L120" s="106">
        <f>'Cash Flow %s Yr1'!L121</f>
        <v>8.4000000000000005E-2</v>
      </c>
      <c r="M120" s="106">
        <f>'Cash Flow %s Yr1'!M121</f>
        <v>8.4000000000000005E-2</v>
      </c>
      <c r="N120" s="106">
        <f>'Cash Flow %s Yr1'!N121</f>
        <v>8.4000000000000005E-2</v>
      </c>
      <c r="O120" s="106">
        <f>'Cash Flow %s Yr1'!O121</f>
        <v>8.4000000000000005E-2</v>
      </c>
      <c r="P120" s="106">
        <f>'Cash Flow %s Yr1'!P121</f>
        <v>0</v>
      </c>
      <c r="Q120" s="106">
        <f>'Cash Flow %s Yr1'!Q121</f>
        <v>0</v>
      </c>
      <c r="R120" s="106">
        <f>'Cash Flow %s Yr1'!R121</f>
        <v>0</v>
      </c>
      <c r="S120" s="105">
        <f t="shared" si="9"/>
        <v>0.99999999999999989</v>
      </c>
    </row>
    <row r="121" spans="1:19" s="30" customFormat="1" x14ac:dyDescent="0.3">
      <c r="A121" s="35"/>
      <c r="B121" s="62" t="str">
        <f>'Expenses Summary'!B78</f>
        <v>5602</v>
      </c>
      <c r="C121" s="62" t="str">
        <f>'Expenses Summary'!C78</f>
        <v>Other Space Rental</v>
      </c>
      <c r="D121" s="106">
        <f>'Cash Flow %s Yr1'!D122</f>
        <v>8.3000000000000004E-2</v>
      </c>
      <c r="E121" s="106">
        <f>'Cash Flow %s Yr1'!E122</f>
        <v>8.3000000000000004E-2</v>
      </c>
      <c r="F121" s="106">
        <f>'Cash Flow %s Yr1'!F122</f>
        <v>8.3000000000000004E-2</v>
      </c>
      <c r="G121" s="106">
        <f>'Cash Flow %s Yr1'!G122</f>
        <v>8.3000000000000004E-2</v>
      </c>
      <c r="H121" s="106">
        <f>'Cash Flow %s Yr1'!H122</f>
        <v>8.3000000000000004E-2</v>
      </c>
      <c r="I121" s="106">
        <f>'Cash Flow %s Yr1'!I122</f>
        <v>8.3000000000000004E-2</v>
      </c>
      <c r="J121" s="106">
        <f>'Cash Flow %s Yr1'!J122</f>
        <v>8.3000000000000004E-2</v>
      </c>
      <c r="K121" s="106">
        <f>'Cash Flow %s Yr1'!K122</f>
        <v>8.3000000000000004E-2</v>
      </c>
      <c r="L121" s="106">
        <f>'Cash Flow %s Yr1'!L122</f>
        <v>8.4000000000000005E-2</v>
      </c>
      <c r="M121" s="106">
        <f>'Cash Flow %s Yr1'!M122</f>
        <v>8.4000000000000005E-2</v>
      </c>
      <c r="N121" s="106">
        <f>'Cash Flow %s Yr1'!N122</f>
        <v>8.4000000000000005E-2</v>
      </c>
      <c r="O121" s="106">
        <f>'Cash Flow %s Yr1'!O122</f>
        <v>8.4000000000000005E-2</v>
      </c>
      <c r="P121" s="106">
        <f>'Cash Flow %s Yr1'!P122</f>
        <v>0</v>
      </c>
      <c r="Q121" s="106">
        <f>'Cash Flow %s Yr1'!Q122</f>
        <v>0</v>
      </c>
      <c r="R121" s="106">
        <f>'Cash Flow %s Yr1'!R122</f>
        <v>0</v>
      </c>
      <c r="S121" s="105">
        <f t="shared" si="9"/>
        <v>0.99999999999999989</v>
      </c>
    </row>
    <row r="122" spans="1:19" s="30" customFormat="1" x14ac:dyDescent="0.3">
      <c r="A122" s="35"/>
      <c r="B122" s="62" t="str">
        <f>'Expenses Summary'!B79</f>
        <v>5605</v>
      </c>
      <c r="C122" s="62" t="str">
        <f>'Expenses Summary'!C79</f>
        <v>Equipment Rental/Lease Expense</v>
      </c>
      <c r="D122" s="106">
        <f>'Cash Flow %s Yr1'!D123</f>
        <v>8.3000000000000004E-2</v>
      </c>
      <c r="E122" s="106">
        <f>'Cash Flow %s Yr1'!E123</f>
        <v>8.3000000000000004E-2</v>
      </c>
      <c r="F122" s="106">
        <f>'Cash Flow %s Yr1'!F123</f>
        <v>8.3000000000000004E-2</v>
      </c>
      <c r="G122" s="106">
        <f>'Cash Flow %s Yr1'!G123</f>
        <v>8.3000000000000004E-2</v>
      </c>
      <c r="H122" s="106">
        <f>'Cash Flow %s Yr1'!H123</f>
        <v>8.3000000000000004E-2</v>
      </c>
      <c r="I122" s="106">
        <f>'Cash Flow %s Yr1'!I123</f>
        <v>8.3000000000000004E-2</v>
      </c>
      <c r="J122" s="106">
        <f>'Cash Flow %s Yr1'!J123</f>
        <v>8.3000000000000004E-2</v>
      </c>
      <c r="K122" s="106">
        <f>'Cash Flow %s Yr1'!K123</f>
        <v>8.3000000000000004E-2</v>
      </c>
      <c r="L122" s="106">
        <f>'Cash Flow %s Yr1'!L123</f>
        <v>8.4000000000000005E-2</v>
      </c>
      <c r="M122" s="106">
        <f>'Cash Flow %s Yr1'!M123</f>
        <v>8.4000000000000005E-2</v>
      </c>
      <c r="N122" s="106">
        <f>'Cash Flow %s Yr1'!N123</f>
        <v>8.4000000000000005E-2</v>
      </c>
      <c r="O122" s="106">
        <f>'Cash Flow %s Yr1'!O123</f>
        <v>8.4000000000000005E-2</v>
      </c>
      <c r="P122" s="106">
        <f>'Cash Flow %s Yr1'!P123</f>
        <v>0</v>
      </c>
      <c r="Q122" s="106">
        <f>'Cash Flow %s Yr1'!Q123</f>
        <v>0</v>
      </c>
      <c r="R122" s="106">
        <f>'Cash Flow %s Yr1'!R123</f>
        <v>0</v>
      </c>
      <c r="S122" s="105">
        <f t="shared" si="9"/>
        <v>0.99999999999999989</v>
      </c>
    </row>
    <row r="123" spans="1:19" s="30" customFormat="1" x14ac:dyDescent="0.3">
      <c r="A123" s="35"/>
      <c r="B123" s="62" t="str">
        <f>'Expenses Summary'!B80</f>
        <v>5610</v>
      </c>
      <c r="C123" s="62" t="str">
        <f>'Expenses Summary'!C80</f>
        <v>Equipment Repair</v>
      </c>
      <c r="D123" s="106">
        <f>'Cash Flow %s Yr1'!D124</f>
        <v>8.3000000000000004E-2</v>
      </c>
      <c r="E123" s="106">
        <f>'Cash Flow %s Yr1'!E124</f>
        <v>8.3000000000000004E-2</v>
      </c>
      <c r="F123" s="106">
        <f>'Cash Flow %s Yr1'!F124</f>
        <v>8.3000000000000004E-2</v>
      </c>
      <c r="G123" s="106">
        <f>'Cash Flow %s Yr1'!G124</f>
        <v>8.3000000000000004E-2</v>
      </c>
      <c r="H123" s="106">
        <f>'Cash Flow %s Yr1'!H124</f>
        <v>8.3000000000000004E-2</v>
      </c>
      <c r="I123" s="106">
        <f>'Cash Flow %s Yr1'!I124</f>
        <v>8.3000000000000004E-2</v>
      </c>
      <c r="J123" s="106">
        <f>'Cash Flow %s Yr1'!J124</f>
        <v>8.3000000000000004E-2</v>
      </c>
      <c r="K123" s="106">
        <f>'Cash Flow %s Yr1'!K124</f>
        <v>8.3000000000000004E-2</v>
      </c>
      <c r="L123" s="106">
        <f>'Cash Flow %s Yr1'!L124</f>
        <v>8.4000000000000005E-2</v>
      </c>
      <c r="M123" s="106">
        <f>'Cash Flow %s Yr1'!M124</f>
        <v>8.4000000000000005E-2</v>
      </c>
      <c r="N123" s="106">
        <f>'Cash Flow %s Yr1'!N124</f>
        <v>8.4000000000000005E-2</v>
      </c>
      <c r="O123" s="106">
        <f>'Cash Flow %s Yr1'!O124</f>
        <v>8.4000000000000005E-2</v>
      </c>
      <c r="P123" s="106">
        <f>'Cash Flow %s Yr1'!P124</f>
        <v>0</v>
      </c>
      <c r="Q123" s="106">
        <f>'Cash Flow %s Yr1'!Q124</f>
        <v>0</v>
      </c>
      <c r="R123" s="106">
        <f>'Cash Flow %s Yr1'!R124</f>
        <v>0</v>
      </c>
      <c r="S123" s="105">
        <f t="shared" si="9"/>
        <v>0.99999999999999989</v>
      </c>
    </row>
    <row r="124" spans="1:19" s="30" customFormat="1" x14ac:dyDescent="0.3">
      <c r="A124" s="35"/>
      <c r="B124" s="62" t="str">
        <f>'Expenses Summary'!B81</f>
        <v>5800</v>
      </c>
      <c r="C124" s="62" t="str">
        <f>'Expenses Summary'!C81</f>
        <v>Professional/Consulting Services and Operating Expenditures</v>
      </c>
      <c r="D124" s="106">
        <f>'Cash Flow %s Yr1'!D125</f>
        <v>8.3000000000000004E-2</v>
      </c>
      <c r="E124" s="106">
        <f>'Cash Flow %s Yr1'!E125</f>
        <v>8.3000000000000004E-2</v>
      </c>
      <c r="F124" s="106">
        <f>'Cash Flow %s Yr1'!F125</f>
        <v>8.3000000000000004E-2</v>
      </c>
      <c r="G124" s="106">
        <f>'Cash Flow %s Yr1'!G125</f>
        <v>8.3000000000000004E-2</v>
      </c>
      <c r="H124" s="106">
        <f>'Cash Flow %s Yr1'!H125</f>
        <v>8.3000000000000004E-2</v>
      </c>
      <c r="I124" s="106">
        <f>'Cash Flow %s Yr1'!I125</f>
        <v>8.3000000000000004E-2</v>
      </c>
      <c r="J124" s="106">
        <f>'Cash Flow %s Yr1'!J125</f>
        <v>8.3000000000000004E-2</v>
      </c>
      <c r="K124" s="106">
        <f>'Cash Flow %s Yr1'!K125</f>
        <v>8.3000000000000004E-2</v>
      </c>
      <c r="L124" s="106">
        <f>'Cash Flow %s Yr1'!L125</f>
        <v>8.4000000000000005E-2</v>
      </c>
      <c r="M124" s="106">
        <f>'Cash Flow %s Yr1'!M125</f>
        <v>8.4000000000000005E-2</v>
      </c>
      <c r="N124" s="106">
        <f>'Cash Flow %s Yr1'!N125</f>
        <v>8.4000000000000005E-2</v>
      </c>
      <c r="O124" s="106">
        <f>'Cash Flow %s Yr1'!O125</f>
        <v>8.4000000000000005E-2</v>
      </c>
      <c r="P124" s="106">
        <f>'Cash Flow %s Yr1'!P125</f>
        <v>0</v>
      </c>
      <c r="Q124" s="106">
        <f>'Cash Flow %s Yr1'!Q125</f>
        <v>0</v>
      </c>
      <c r="R124" s="106">
        <f>'Cash Flow %s Yr1'!R125</f>
        <v>0</v>
      </c>
      <c r="S124" s="105">
        <f t="shared" si="9"/>
        <v>0.99999999999999989</v>
      </c>
    </row>
    <row r="125" spans="1:19" s="30" customFormat="1" x14ac:dyDescent="0.3">
      <c r="A125" s="35"/>
      <c r="B125" s="62" t="str">
        <f>'Expenses Summary'!B82</f>
        <v>5803</v>
      </c>
      <c r="C125" s="62" t="str">
        <f>'Expenses Summary'!C82</f>
        <v>Banking and Payroll Service Fees</v>
      </c>
      <c r="D125" s="106">
        <f>'Cash Flow %s Yr1'!D126</f>
        <v>8.3000000000000004E-2</v>
      </c>
      <c r="E125" s="106">
        <f>'Cash Flow %s Yr1'!E126</f>
        <v>8.3000000000000004E-2</v>
      </c>
      <c r="F125" s="106">
        <f>'Cash Flow %s Yr1'!F126</f>
        <v>8.3000000000000004E-2</v>
      </c>
      <c r="G125" s="106">
        <f>'Cash Flow %s Yr1'!G126</f>
        <v>8.3000000000000004E-2</v>
      </c>
      <c r="H125" s="106">
        <f>'Cash Flow %s Yr1'!H126</f>
        <v>8.3000000000000004E-2</v>
      </c>
      <c r="I125" s="106">
        <f>'Cash Flow %s Yr1'!I126</f>
        <v>8.3000000000000004E-2</v>
      </c>
      <c r="J125" s="106">
        <f>'Cash Flow %s Yr1'!J126</f>
        <v>8.3000000000000004E-2</v>
      </c>
      <c r="K125" s="106">
        <f>'Cash Flow %s Yr1'!K126</f>
        <v>8.3000000000000004E-2</v>
      </c>
      <c r="L125" s="106">
        <f>'Cash Flow %s Yr1'!L126</f>
        <v>8.4000000000000005E-2</v>
      </c>
      <c r="M125" s="106">
        <f>'Cash Flow %s Yr1'!M126</f>
        <v>8.4000000000000005E-2</v>
      </c>
      <c r="N125" s="106">
        <f>'Cash Flow %s Yr1'!N126</f>
        <v>8.4000000000000005E-2</v>
      </c>
      <c r="O125" s="106">
        <f>'Cash Flow %s Yr1'!O126</f>
        <v>8.4000000000000005E-2</v>
      </c>
      <c r="P125" s="106">
        <f>'Cash Flow %s Yr1'!P126</f>
        <v>0</v>
      </c>
      <c r="Q125" s="106">
        <f>'Cash Flow %s Yr1'!Q126</f>
        <v>0</v>
      </c>
      <c r="R125" s="106">
        <f>'Cash Flow %s Yr1'!R126</f>
        <v>0</v>
      </c>
      <c r="S125" s="105">
        <f t="shared" si="9"/>
        <v>0.99999999999999989</v>
      </c>
    </row>
    <row r="126" spans="1:19" s="30" customFormat="1" x14ac:dyDescent="0.3">
      <c r="A126" s="35"/>
      <c r="B126" s="62" t="str">
        <f>'Expenses Summary'!B83</f>
        <v>5805</v>
      </c>
      <c r="C126" s="62" t="str">
        <f>'Expenses Summary'!C83</f>
        <v xml:space="preserve">Legal Services </v>
      </c>
      <c r="D126" s="106">
        <f>'Cash Flow %s Yr1'!D127</f>
        <v>8.3000000000000004E-2</v>
      </c>
      <c r="E126" s="106">
        <f>'Cash Flow %s Yr1'!E127</f>
        <v>8.3000000000000004E-2</v>
      </c>
      <c r="F126" s="106">
        <f>'Cash Flow %s Yr1'!F127</f>
        <v>8.3000000000000004E-2</v>
      </c>
      <c r="G126" s="106">
        <f>'Cash Flow %s Yr1'!G127</f>
        <v>8.3000000000000004E-2</v>
      </c>
      <c r="H126" s="106">
        <f>'Cash Flow %s Yr1'!H127</f>
        <v>8.3000000000000004E-2</v>
      </c>
      <c r="I126" s="106">
        <f>'Cash Flow %s Yr1'!I127</f>
        <v>8.3000000000000004E-2</v>
      </c>
      <c r="J126" s="106">
        <f>'Cash Flow %s Yr1'!J127</f>
        <v>8.3000000000000004E-2</v>
      </c>
      <c r="K126" s="106">
        <f>'Cash Flow %s Yr1'!K127</f>
        <v>8.3000000000000004E-2</v>
      </c>
      <c r="L126" s="106">
        <f>'Cash Flow %s Yr1'!L127</f>
        <v>8.4000000000000005E-2</v>
      </c>
      <c r="M126" s="106">
        <f>'Cash Flow %s Yr1'!M127</f>
        <v>8.4000000000000005E-2</v>
      </c>
      <c r="N126" s="106">
        <f>'Cash Flow %s Yr1'!N127</f>
        <v>8.4000000000000005E-2</v>
      </c>
      <c r="O126" s="106">
        <f>'Cash Flow %s Yr1'!O127</f>
        <v>8.4000000000000005E-2</v>
      </c>
      <c r="P126" s="106">
        <f>'Cash Flow %s Yr1'!P127</f>
        <v>0</v>
      </c>
      <c r="Q126" s="106">
        <f>'Cash Flow %s Yr1'!Q127</f>
        <v>0</v>
      </c>
      <c r="R126" s="106">
        <f>'Cash Flow %s Yr1'!R127</f>
        <v>0</v>
      </c>
      <c r="S126" s="105">
        <f t="shared" si="9"/>
        <v>0.99999999999999989</v>
      </c>
    </row>
    <row r="127" spans="1:19" s="30" customFormat="1" x14ac:dyDescent="0.3">
      <c r="A127" s="35"/>
      <c r="B127" s="62" t="str">
        <f>'Expenses Summary'!B84</f>
        <v>5806</v>
      </c>
      <c r="C127" s="62" t="str">
        <f>'Expenses Summary'!C84</f>
        <v>Audit Services</v>
      </c>
      <c r="D127" s="106">
        <f>'Cash Flow %s Yr1'!D128</f>
        <v>0</v>
      </c>
      <c r="E127" s="106">
        <f>'Cash Flow %s Yr1'!E128</f>
        <v>0</v>
      </c>
      <c r="F127" s="106">
        <f>'Cash Flow %s Yr1'!F128</f>
        <v>0</v>
      </c>
      <c r="G127" s="106">
        <f>'Cash Flow %s Yr1'!G128</f>
        <v>0</v>
      </c>
      <c r="H127" s="106">
        <f>'Cash Flow %s Yr1'!H128</f>
        <v>0.5</v>
      </c>
      <c r="I127" s="106">
        <f>'Cash Flow %s Yr1'!I128</f>
        <v>0</v>
      </c>
      <c r="J127" s="106">
        <f>'Cash Flow %s Yr1'!J128</f>
        <v>0</v>
      </c>
      <c r="K127" s="106">
        <f>'Cash Flow %s Yr1'!K128</f>
        <v>0</v>
      </c>
      <c r="L127" s="106">
        <f>'Cash Flow %s Yr1'!L128</f>
        <v>0</v>
      </c>
      <c r="M127" s="106">
        <f>'Cash Flow %s Yr1'!M128</f>
        <v>0</v>
      </c>
      <c r="N127" s="106">
        <f>'Cash Flow %s Yr1'!N128</f>
        <v>0.5</v>
      </c>
      <c r="O127" s="106">
        <f>'Cash Flow %s Yr1'!O128</f>
        <v>0</v>
      </c>
      <c r="P127" s="106">
        <f>'Cash Flow %s Yr1'!P128</f>
        <v>0</v>
      </c>
      <c r="Q127" s="106">
        <f>'Cash Flow %s Yr1'!Q128</f>
        <v>0</v>
      </c>
      <c r="R127" s="106">
        <f>'Cash Flow %s Yr1'!R128</f>
        <v>0</v>
      </c>
      <c r="S127" s="105">
        <f t="shared" si="9"/>
        <v>1</v>
      </c>
    </row>
    <row r="128" spans="1:19" s="30" customFormat="1" x14ac:dyDescent="0.3">
      <c r="A128" s="35"/>
      <c r="B128" s="62" t="str">
        <f>'Expenses Summary'!B85</f>
        <v>5810</v>
      </c>
      <c r="C128" s="62" t="str">
        <f>'Expenses Summary'!C85</f>
        <v>Educational Consultants</v>
      </c>
      <c r="D128" s="106">
        <f>'Cash Flow %s Yr1'!D129</f>
        <v>8.3000000000000004E-2</v>
      </c>
      <c r="E128" s="106">
        <f>'Cash Flow %s Yr1'!E129</f>
        <v>8.3000000000000004E-2</v>
      </c>
      <c r="F128" s="106">
        <f>'Cash Flow %s Yr1'!F129</f>
        <v>8.3000000000000004E-2</v>
      </c>
      <c r="G128" s="106">
        <f>'Cash Flow %s Yr1'!G129</f>
        <v>8.3000000000000004E-2</v>
      </c>
      <c r="H128" s="106">
        <f>'Cash Flow %s Yr1'!H129</f>
        <v>8.3000000000000004E-2</v>
      </c>
      <c r="I128" s="106">
        <f>'Cash Flow %s Yr1'!I129</f>
        <v>8.3000000000000004E-2</v>
      </c>
      <c r="J128" s="106">
        <f>'Cash Flow %s Yr1'!J129</f>
        <v>8.3000000000000004E-2</v>
      </c>
      <c r="K128" s="106">
        <f>'Cash Flow %s Yr1'!K129</f>
        <v>8.3000000000000004E-2</v>
      </c>
      <c r="L128" s="106">
        <f>'Cash Flow %s Yr1'!L129</f>
        <v>8.4000000000000005E-2</v>
      </c>
      <c r="M128" s="106">
        <f>'Cash Flow %s Yr1'!M129</f>
        <v>8.4000000000000005E-2</v>
      </c>
      <c r="N128" s="106">
        <f>'Cash Flow %s Yr1'!N129</f>
        <v>8.4000000000000005E-2</v>
      </c>
      <c r="O128" s="106">
        <f>'Cash Flow %s Yr1'!O129</f>
        <v>8.4000000000000005E-2</v>
      </c>
      <c r="P128" s="106">
        <f>'Cash Flow %s Yr1'!P129</f>
        <v>0</v>
      </c>
      <c r="Q128" s="106">
        <f>'Cash Flow %s Yr1'!Q129</f>
        <v>0</v>
      </c>
      <c r="R128" s="106">
        <f>'Cash Flow %s Yr1'!R129</f>
        <v>0</v>
      </c>
      <c r="S128" s="105">
        <f t="shared" si="9"/>
        <v>0.99999999999999989</v>
      </c>
    </row>
    <row r="129" spans="1:19" s="30" customFormat="1" x14ac:dyDescent="0.3">
      <c r="A129" s="35"/>
      <c r="B129" s="62" t="str">
        <f>'Expenses Summary'!B86</f>
        <v>5811</v>
      </c>
      <c r="C129" s="62" t="str">
        <f>'Expenses Summary'!C86</f>
        <v>Student Transportation / Events</v>
      </c>
      <c r="D129" s="106">
        <f>'Cash Flow %s Yr1'!D130</f>
        <v>0</v>
      </c>
      <c r="E129" s="106">
        <f>'Cash Flow %s Yr1'!E130</f>
        <v>0</v>
      </c>
      <c r="F129" s="106">
        <f>'Cash Flow %s Yr1'!F130</f>
        <v>0.1</v>
      </c>
      <c r="G129" s="106">
        <f>'Cash Flow %s Yr1'!G130</f>
        <v>0.1</v>
      </c>
      <c r="H129" s="106">
        <f>'Cash Flow %s Yr1'!H130</f>
        <v>0.1</v>
      </c>
      <c r="I129" s="106">
        <f>'Cash Flow %s Yr1'!I130</f>
        <v>0.1</v>
      </c>
      <c r="J129" s="106">
        <f>'Cash Flow %s Yr1'!J130</f>
        <v>0.1</v>
      </c>
      <c r="K129" s="106">
        <f>'Cash Flow %s Yr1'!K130</f>
        <v>0.1</v>
      </c>
      <c r="L129" s="106">
        <f>'Cash Flow %s Yr1'!L130</f>
        <v>0.1</v>
      </c>
      <c r="M129" s="106">
        <f>'Cash Flow %s Yr1'!M130</f>
        <v>0.1</v>
      </c>
      <c r="N129" s="106">
        <f>'Cash Flow %s Yr1'!N130</f>
        <v>0.1</v>
      </c>
      <c r="O129" s="106">
        <f>'Cash Flow %s Yr1'!O130</f>
        <v>0.1</v>
      </c>
      <c r="P129" s="106">
        <f>'Cash Flow %s Yr1'!P130</f>
        <v>0</v>
      </c>
      <c r="Q129" s="106">
        <f>'Cash Flow %s Yr1'!Q130</f>
        <v>0</v>
      </c>
      <c r="R129" s="106">
        <f>'Cash Flow %s Yr1'!R130</f>
        <v>0</v>
      </c>
      <c r="S129" s="105">
        <f t="shared" si="9"/>
        <v>0.99999999999999989</v>
      </c>
    </row>
    <row r="130" spans="1:19" s="30" customFormat="1" x14ac:dyDescent="0.3">
      <c r="A130" s="35"/>
      <c r="B130" s="62" t="str">
        <f>'Expenses Summary'!B88</f>
        <v>5815</v>
      </c>
      <c r="C130" s="62" t="str">
        <f>'Expenses Summary'!C88</f>
        <v>Advertising / Recruiting</v>
      </c>
      <c r="D130" s="106">
        <f>'Cash Flow %s Yr1'!D131</f>
        <v>8.33285E-2</v>
      </c>
      <c r="E130" s="106">
        <f>'Cash Flow %s Yr1'!E131</f>
        <v>8.33285E-2</v>
      </c>
      <c r="F130" s="106">
        <f>'Cash Flow %s Yr1'!F131</f>
        <v>8.33285E-2</v>
      </c>
      <c r="G130" s="106">
        <f>'Cash Flow %s Yr1'!G131</f>
        <v>8.33285E-2</v>
      </c>
      <c r="H130" s="106">
        <f>'Cash Flow %s Yr1'!H131</f>
        <v>8.33285E-2</v>
      </c>
      <c r="I130" s="106">
        <f>'Cash Flow %s Yr1'!I131</f>
        <v>8.33285E-2</v>
      </c>
      <c r="J130" s="106">
        <f>'Cash Flow %s Yr1'!J131</f>
        <v>8.33285E-2</v>
      </c>
      <c r="K130" s="106">
        <f>'Cash Flow %s Yr1'!K131</f>
        <v>8.33285E-2</v>
      </c>
      <c r="L130" s="106">
        <f>'Cash Flow %s Yr1'!L131</f>
        <v>8.33285E-2</v>
      </c>
      <c r="M130" s="106">
        <f>'Cash Flow %s Yr1'!M131</f>
        <v>8.33285E-2</v>
      </c>
      <c r="N130" s="106">
        <f>'Cash Flow %s Yr1'!N131</f>
        <v>8.33285E-2</v>
      </c>
      <c r="O130" s="106">
        <f>'Cash Flow %s Yr1'!O131</f>
        <v>8.3386000000000002E-2</v>
      </c>
      <c r="P130" s="106">
        <f>'Cash Flow %s Yr1'!P131</f>
        <v>0</v>
      </c>
      <c r="Q130" s="106">
        <f>'Cash Flow %s Yr1'!Q131</f>
        <v>0</v>
      </c>
      <c r="R130" s="106">
        <f>'Cash Flow %s Yr1'!R131</f>
        <v>0</v>
      </c>
      <c r="S130" s="105">
        <f t="shared" si="9"/>
        <v>0.99999950000000015</v>
      </c>
    </row>
    <row r="131" spans="1:19" s="30" customFormat="1" x14ac:dyDescent="0.3">
      <c r="A131" s="35"/>
      <c r="B131" s="62" t="str">
        <f>'Expenses Summary'!B89</f>
        <v>5820</v>
      </c>
      <c r="C131" s="62" t="str">
        <f>'Expenses Summary'!C89</f>
        <v>Fundraising Expense</v>
      </c>
      <c r="D131" s="106">
        <f>'Cash Flow %s Yr1'!D132</f>
        <v>8.33285E-2</v>
      </c>
      <c r="E131" s="106">
        <f>'Cash Flow %s Yr1'!E132</f>
        <v>8.33285E-2</v>
      </c>
      <c r="F131" s="106">
        <f>'Cash Flow %s Yr1'!F132</f>
        <v>8.33285E-2</v>
      </c>
      <c r="G131" s="106">
        <f>'Cash Flow %s Yr1'!G132</f>
        <v>8.33285E-2</v>
      </c>
      <c r="H131" s="106">
        <f>'Cash Flow %s Yr1'!H132</f>
        <v>8.33285E-2</v>
      </c>
      <c r="I131" s="106">
        <f>'Cash Flow %s Yr1'!I132</f>
        <v>8.33285E-2</v>
      </c>
      <c r="J131" s="106">
        <f>'Cash Flow %s Yr1'!J132</f>
        <v>8.33285E-2</v>
      </c>
      <c r="K131" s="106">
        <f>'Cash Flow %s Yr1'!K132</f>
        <v>8.33285E-2</v>
      </c>
      <c r="L131" s="106">
        <f>'Cash Flow %s Yr1'!L132</f>
        <v>8.33285E-2</v>
      </c>
      <c r="M131" s="106">
        <f>'Cash Flow %s Yr1'!M132</f>
        <v>8.33285E-2</v>
      </c>
      <c r="N131" s="106">
        <f>'Cash Flow %s Yr1'!N132</f>
        <v>8.33285E-2</v>
      </c>
      <c r="O131" s="106">
        <f>'Cash Flow %s Yr1'!O132</f>
        <v>8.3386000000000002E-2</v>
      </c>
      <c r="P131" s="106">
        <f>'Cash Flow %s Yr1'!P132</f>
        <v>0</v>
      </c>
      <c r="Q131" s="106">
        <f>'Cash Flow %s Yr1'!Q132</f>
        <v>0</v>
      </c>
      <c r="R131" s="106">
        <f>'Cash Flow %s Yr1'!R132</f>
        <v>0</v>
      </c>
      <c r="S131" s="105">
        <f t="shared" si="9"/>
        <v>0.99999950000000015</v>
      </c>
    </row>
    <row r="132" spans="1:19" s="30" customFormat="1" x14ac:dyDescent="0.3">
      <c r="A132" s="35"/>
      <c r="B132" s="62" t="str">
        <f>'Expenses Summary'!B91</f>
        <v>5836</v>
      </c>
      <c r="C132" s="62" t="str">
        <f>'Expenses Summary'!C91</f>
        <v>Transportation Services</v>
      </c>
      <c r="D132" s="106">
        <f>'Cash Flow %s Yr1'!D133</f>
        <v>8.3000000000000004E-2</v>
      </c>
      <c r="E132" s="106">
        <f>'Cash Flow %s Yr1'!E133</f>
        <v>8.3000000000000004E-2</v>
      </c>
      <c r="F132" s="106">
        <f>'Cash Flow %s Yr1'!F133</f>
        <v>8.3000000000000004E-2</v>
      </c>
      <c r="G132" s="106">
        <f>'Cash Flow %s Yr1'!G133</f>
        <v>8.3000000000000004E-2</v>
      </c>
      <c r="H132" s="106">
        <f>'Cash Flow %s Yr1'!H133</f>
        <v>8.3000000000000004E-2</v>
      </c>
      <c r="I132" s="106">
        <f>'Cash Flow %s Yr1'!I133</f>
        <v>8.3000000000000004E-2</v>
      </c>
      <c r="J132" s="106">
        <f>'Cash Flow %s Yr1'!J133</f>
        <v>8.3000000000000004E-2</v>
      </c>
      <c r="K132" s="106">
        <f>'Cash Flow %s Yr1'!K133</f>
        <v>8.3000000000000004E-2</v>
      </c>
      <c r="L132" s="106">
        <f>'Cash Flow %s Yr1'!L133</f>
        <v>8.4000000000000005E-2</v>
      </c>
      <c r="M132" s="106">
        <f>'Cash Flow %s Yr1'!M133</f>
        <v>8.4000000000000005E-2</v>
      </c>
      <c r="N132" s="106">
        <f>'Cash Flow %s Yr1'!N133</f>
        <v>8.4000000000000005E-2</v>
      </c>
      <c r="O132" s="106">
        <f>'Cash Flow %s Yr1'!O133</f>
        <v>8.4000000000000005E-2</v>
      </c>
      <c r="P132" s="106">
        <f>'Cash Flow %s Yr1'!P133</f>
        <v>0</v>
      </c>
      <c r="Q132" s="106">
        <f>'Cash Flow %s Yr1'!Q133</f>
        <v>0</v>
      </c>
      <c r="R132" s="106">
        <f>'Cash Flow %s Yr1'!R133</f>
        <v>0</v>
      </c>
      <c r="S132" s="105">
        <f t="shared" si="9"/>
        <v>0.99999999999999989</v>
      </c>
    </row>
    <row r="133" spans="1:19" s="30" customFormat="1" hidden="1" outlineLevel="1" x14ac:dyDescent="0.3">
      <c r="A133" s="35"/>
      <c r="B133" s="62" t="str">
        <f>'Expenses Summary'!B92</f>
        <v>5842</v>
      </c>
      <c r="C133" s="62" t="str">
        <f>'Expenses Summary'!C92</f>
        <v>Services Student Athletics</v>
      </c>
      <c r="D133" s="106">
        <f>'Cash Flow %s Yr1'!D134</f>
        <v>0</v>
      </c>
      <c r="E133" s="106">
        <f>'Cash Flow %s Yr1'!E134</f>
        <v>0</v>
      </c>
      <c r="F133" s="106">
        <f>'Cash Flow %s Yr1'!F134</f>
        <v>0.1</v>
      </c>
      <c r="G133" s="106">
        <f>'Cash Flow %s Yr1'!G134</f>
        <v>0.1</v>
      </c>
      <c r="H133" s="106">
        <f>'Cash Flow %s Yr1'!H134</f>
        <v>0.1</v>
      </c>
      <c r="I133" s="106">
        <f>'Cash Flow %s Yr1'!I134</f>
        <v>0.1</v>
      </c>
      <c r="J133" s="106">
        <f>'Cash Flow %s Yr1'!J134</f>
        <v>0.1</v>
      </c>
      <c r="K133" s="106">
        <f>'Cash Flow %s Yr1'!K134</f>
        <v>0.1</v>
      </c>
      <c r="L133" s="106">
        <f>'Cash Flow %s Yr1'!L134</f>
        <v>0.1</v>
      </c>
      <c r="M133" s="106">
        <f>'Cash Flow %s Yr1'!M134</f>
        <v>0.1</v>
      </c>
      <c r="N133" s="106">
        <f>'Cash Flow %s Yr1'!N134</f>
        <v>0.1</v>
      </c>
      <c r="O133" s="106">
        <f>'Cash Flow %s Yr1'!O134</f>
        <v>0.1</v>
      </c>
      <c r="P133" s="106">
        <f>'Cash Flow %s Yr1'!P134</f>
        <v>0</v>
      </c>
      <c r="Q133" s="106">
        <f>'Cash Flow %s Yr1'!Q134</f>
        <v>0</v>
      </c>
      <c r="R133" s="106">
        <f>'Cash Flow %s Yr1'!R134</f>
        <v>0</v>
      </c>
      <c r="S133" s="105">
        <f t="shared" si="9"/>
        <v>0.99999999999999989</v>
      </c>
    </row>
    <row r="134" spans="1:19" s="30" customFormat="1" hidden="1" outlineLevel="1" x14ac:dyDescent="0.3">
      <c r="A134" s="35"/>
      <c r="B134" s="62" t="str">
        <f>'Expenses Summary'!B93</f>
        <v>5850</v>
      </c>
      <c r="C134" s="62" t="str">
        <f>'Expenses Summary'!C93</f>
        <v>Scholarships</v>
      </c>
      <c r="D134" s="106">
        <f>'Cash Flow %s Yr1'!D135</f>
        <v>0</v>
      </c>
      <c r="E134" s="106">
        <f>'Cash Flow %s Yr1'!E135</f>
        <v>0</v>
      </c>
      <c r="F134" s="106">
        <f>'Cash Flow %s Yr1'!F135</f>
        <v>0.1</v>
      </c>
      <c r="G134" s="106">
        <f>'Cash Flow %s Yr1'!G135</f>
        <v>0.1</v>
      </c>
      <c r="H134" s="106">
        <f>'Cash Flow %s Yr1'!H135</f>
        <v>0.1</v>
      </c>
      <c r="I134" s="106">
        <f>'Cash Flow %s Yr1'!I135</f>
        <v>0.1</v>
      </c>
      <c r="J134" s="106">
        <f>'Cash Flow %s Yr1'!J135</f>
        <v>0.1</v>
      </c>
      <c r="K134" s="106">
        <f>'Cash Flow %s Yr1'!K135</f>
        <v>0.1</v>
      </c>
      <c r="L134" s="106">
        <f>'Cash Flow %s Yr1'!L135</f>
        <v>0.1</v>
      </c>
      <c r="M134" s="106">
        <f>'Cash Flow %s Yr1'!M135</f>
        <v>0.1</v>
      </c>
      <c r="N134" s="106">
        <f>'Cash Flow %s Yr1'!N135</f>
        <v>0.1</v>
      </c>
      <c r="O134" s="106">
        <f>'Cash Flow %s Yr1'!O135</f>
        <v>0.1</v>
      </c>
      <c r="P134" s="106">
        <f>'Cash Flow %s Yr1'!P135</f>
        <v>0</v>
      </c>
      <c r="Q134" s="106">
        <f>'Cash Flow %s Yr1'!Q135</f>
        <v>0</v>
      </c>
      <c r="R134" s="106">
        <f>'Cash Flow %s Yr1'!R135</f>
        <v>0</v>
      </c>
      <c r="S134" s="105">
        <f t="shared" si="9"/>
        <v>0.99999999999999989</v>
      </c>
    </row>
    <row r="135" spans="1:19" s="30" customFormat="1" hidden="1" outlineLevel="1" x14ac:dyDescent="0.3">
      <c r="A135" s="35"/>
      <c r="B135" s="62" t="str">
        <f>'Expenses Summary'!B94</f>
        <v>5873</v>
      </c>
      <c r="C135" s="62" t="str">
        <f>'Expenses Summary'!C94</f>
        <v>Financial Services</v>
      </c>
      <c r="D135" s="106">
        <f>'Cash Flow %s Yr1'!D136</f>
        <v>0</v>
      </c>
      <c r="E135" s="106">
        <f>'Cash Flow %s Yr1'!E136</f>
        <v>0</v>
      </c>
      <c r="F135" s="106">
        <f>'Cash Flow %s Yr1'!F136</f>
        <v>0.1</v>
      </c>
      <c r="G135" s="106">
        <f>'Cash Flow %s Yr1'!G136</f>
        <v>0.1</v>
      </c>
      <c r="H135" s="106">
        <f>'Cash Flow %s Yr1'!H136</f>
        <v>0.1</v>
      </c>
      <c r="I135" s="106">
        <f>'Cash Flow %s Yr1'!I136</f>
        <v>0.1</v>
      </c>
      <c r="J135" s="106">
        <f>'Cash Flow %s Yr1'!J136</f>
        <v>0.1</v>
      </c>
      <c r="K135" s="106">
        <f>'Cash Flow %s Yr1'!K136</f>
        <v>0.1</v>
      </c>
      <c r="L135" s="106">
        <f>'Cash Flow %s Yr1'!L136</f>
        <v>0.1</v>
      </c>
      <c r="M135" s="106">
        <f>'Cash Flow %s Yr1'!M136</f>
        <v>0.1</v>
      </c>
      <c r="N135" s="106">
        <f>'Cash Flow %s Yr1'!N136</f>
        <v>0.1</v>
      </c>
      <c r="O135" s="106">
        <f>'Cash Flow %s Yr1'!O136</f>
        <v>0.1</v>
      </c>
      <c r="P135" s="106">
        <f>'Cash Flow %s Yr1'!P136</f>
        <v>0</v>
      </c>
      <c r="Q135" s="106">
        <f>'Cash Flow %s Yr1'!Q136</f>
        <v>0</v>
      </c>
      <c r="R135" s="106">
        <f>'Cash Flow %s Yr1'!R136</f>
        <v>0</v>
      </c>
      <c r="S135" s="105">
        <f t="shared" si="9"/>
        <v>0.99999999999999989</v>
      </c>
    </row>
    <row r="136" spans="1:19" s="30" customFormat="1" hidden="1" outlineLevel="1" x14ac:dyDescent="0.3">
      <c r="A136" s="35"/>
      <c r="B136" s="62" t="str">
        <f>'Expenses Summary'!B96</f>
        <v>5875</v>
      </c>
      <c r="C136" s="62" t="str">
        <f>'Expenses Summary'!C96</f>
        <v>District Oversight Fee</v>
      </c>
      <c r="D136" s="106">
        <f>'Cash Flow %s Yr1'!D137</f>
        <v>0</v>
      </c>
      <c r="E136" s="106">
        <f>'Cash Flow %s Yr1'!E137</f>
        <v>0</v>
      </c>
      <c r="F136" s="106">
        <f>'Cash Flow %s Yr1'!F137</f>
        <v>0.1</v>
      </c>
      <c r="G136" s="106">
        <f>'Cash Flow %s Yr1'!G137</f>
        <v>0.1</v>
      </c>
      <c r="H136" s="106">
        <f>'Cash Flow %s Yr1'!H137</f>
        <v>0.1</v>
      </c>
      <c r="I136" s="106">
        <f>'Cash Flow %s Yr1'!I137</f>
        <v>0.1</v>
      </c>
      <c r="J136" s="106">
        <f>'Cash Flow %s Yr1'!J137</f>
        <v>0.1</v>
      </c>
      <c r="K136" s="106">
        <f>'Cash Flow %s Yr1'!K137</f>
        <v>0.1</v>
      </c>
      <c r="L136" s="106">
        <f>'Cash Flow %s Yr1'!L137</f>
        <v>0.1</v>
      </c>
      <c r="M136" s="106">
        <f>'Cash Flow %s Yr1'!M137</f>
        <v>0.1</v>
      </c>
      <c r="N136" s="106">
        <f>'Cash Flow %s Yr1'!N137</f>
        <v>0.1</v>
      </c>
      <c r="O136" s="106">
        <f>'Cash Flow %s Yr1'!O137</f>
        <v>0.1</v>
      </c>
      <c r="P136" s="106">
        <f>'Cash Flow %s Yr1'!P137</f>
        <v>0</v>
      </c>
      <c r="Q136" s="106">
        <f>'Cash Flow %s Yr1'!Q137</f>
        <v>0</v>
      </c>
      <c r="R136" s="106">
        <f>'Cash Flow %s Yr1'!R137</f>
        <v>0</v>
      </c>
      <c r="S136" s="105">
        <f t="shared" si="9"/>
        <v>0.99999999999999989</v>
      </c>
    </row>
    <row r="137" spans="1:19" s="30" customFormat="1" hidden="1" outlineLevel="1" x14ac:dyDescent="0.3">
      <c r="A137" s="35"/>
      <c r="B137" s="62" t="str">
        <f>'Expenses Summary'!B97</f>
        <v>5877</v>
      </c>
      <c r="C137" s="62" t="str">
        <f>'Expenses Summary'!C97</f>
        <v>IT Services</v>
      </c>
      <c r="D137" s="106">
        <f>'Cash Flow %s Yr1'!D138</f>
        <v>0</v>
      </c>
      <c r="E137" s="106">
        <f>'Cash Flow %s Yr1'!E138</f>
        <v>0</v>
      </c>
      <c r="F137" s="106">
        <f>'Cash Flow %s Yr1'!F138</f>
        <v>0.1</v>
      </c>
      <c r="G137" s="106">
        <f>'Cash Flow %s Yr1'!G138</f>
        <v>0.1</v>
      </c>
      <c r="H137" s="106">
        <f>'Cash Flow %s Yr1'!H138</f>
        <v>0.1</v>
      </c>
      <c r="I137" s="106">
        <f>'Cash Flow %s Yr1'!I138</f>
        <v>0.1</v>
      </c>
      <c r="J137" s="106">
        <f>'Cash Flow %s Yr1'!J138</f>
        <v>0.1</v>
      </c>
      <c r="K137" s="106">
        <f>'Cash Flow %s Yr1'!K138</f>
        <v>0.1</v>
      </c>
      <c r="L137" s="106">
        <f>'Cash Flow %s Yr1'!L138</f>
        <v>0.1</v>
      </c>
      <c r="M137" s="106">
        <f>'Cash Flow %s Yr1'!M138</f>
        <v>0.1</v>
      </c>
      <c r="N137" s="106">
        <f>'Cash Flow %s Yr1'!N138</f>
        <v>0.1</v>
      </c>
      <c r="O137" s="106">
        <f>'Cash Flow %s Yr1'!O138</f>
        <v>0.1</v>
      </c>
      <c r="P137" s="106">
        <f>'Cash Flow %s Yr1'!P138</f>
        <v>0</v>
      </c>
      <c r="Q137" s="106">
        <f>'Cash Flow %s Yr1'!Q138</f>
        <v>0</v>
      </c>
      <c r="R137" s="106">
        <f>'Cash Flow %s Yr1'!R138</f>
        <v>0</v>
      </c>
      <c r="S137" s="105">
        <f t="shared" si="9"/>
        <v>0.99999999999999989</v>
      </c>
    </row>
    <row r="138" spans="1:19" s="30" customFormat="1" hidden="1" outlineLevel="1" x14ac:dyDescent="0.3">
      <c r="A138" s="35"/>
      <c r="B138" s="62" t="str">
        <f>'Expenses Summary'!B98</f>
        <v>5885</v>
      </c>
      <c r="C138" s="62" t="str">
        <f>'Expenses Summary'!C98</f>
        <v>Summer School Program</v>
      </c>
      <c r="D138" s="106">
        <f>'Cash Flow %s Yr1'!D139</f>
        <v>0</v>
      </c>
      <c r="E138" s="106">
        <f>'Cash Flow %s Yr1'!E139</f>
        <v>0</v>
      </c>
      <c r="F138" s="106">
        <f>'Cash Flow %s Yr1'!F139</f>
        <v>0.1</v>
      </c>
      <c r="G138" s="106">
        <f>'Cash Flow %s Yr1'!G139</f>
        <v>0.1</v>
      </c>
      <c r="H138" s="106">
        <f>'Cash Flow %s Yr1'!H139</f>
        <v>0.1</v>
      </c>
      <c r="I138" s="106">
        <f>'Cash Flow %s Yr1'!I139</f>
        <v>0.1</v>
      </c>
      <c r="J138" s="106">
        <f>'Cash Flow %s Yr1'!J139</f>
        <v>0.1</v>
      </c>
      <c r="K138" s="106">
        <f>'Cash Flow %s Yr1'!K139</f>
        <v>0.1</v>
      </c>
      <c r="L138" s="106">
        <f>'Cash Flow %s Yr1'!L139</f>
        <v>0.1</v>
      </c>
      <c r="M138" s="106">
        <f>'Cash Flow %s Yr1'!M139</f>
        <v>0.1</v>
      </c>
      <c r="N138" s="106">
        <f>'Cash Flow %s Yr1'!N139</f>
        <v>0.1</v>
      </c>
      <c r="O138" s="106">
        <f>'Cash Flow %s Yr1'!O139</f>
        <v>0.1</v>
      </c>
      <c r="P138" s="106">
        <f>'Cash Flow %s Yr1'!P139</f>
        <v>0</v>
      </c>
      <c r="Q138" s="106">
        <f>'Cash Flow %s Yr1'!Q139</f>
        <v>0</v>
      </c>
      <c r="R138" s="106">
        <f>'Cash Flow %s Yr1'!R139</f>
        <v>0</v>
      </c>
      <c r="S138" s="105">
        <f t="shared" si="9"/>
        <v>0.99999999999999989</v>
      </c>
    </row>
    <row r="139" spans="1:19" s="30" customFormat="1" hidden="1" outlineLevel="1" x14ac:dyDescent="0.3">
      <c r="A139" s="35"/>
      <c r="B139" s="62" t="str">
        <f>'Expenses Summary'!B99</f>
        <v>5890</v>
      </c>
      <c r="C139" s="62" t="str">
        <f>'Expenses Summary'!C99</f>
        <v>Interest Expense / Misc. Fees</v>
      </c>
      <c r="D139" s="106">
        <f>'Cash Flow %s Yr1'!D140</f>
        <v>0</v>
      </c>
      <c r="E139" s="106">
        <f>'Cash Flow %s Yr1'!E140</f>
        <v>0</v>
      </c>
      <c r="F139" s="106">
        <f>'Cash Flow %s Yr1'!F140</f>
        <v>0.1</v>
      </c>
      <c r="G139" s="106">
        <f>'Cash Flow %s Yr1'!G140</f>
        <v>0.1</v>
      </c>
      <c r="H139" s="106">
        <f>'Cash Flow %s Yr1'!H140</f>
        <v>0.1</v>
      </c>
      <c r="I139" s="106">
        <f>'Cash Flow %s Yr1'!I140</f>
        <v>0.1</v>
      </c>
      <c r="J139" s="106">
        <f>'Cash Flow %s Yr1'!J140</f>
        <v>0.1</v>
      </c>
      <c r="K139" s="106">
        <f>'Cash Flow %s Yr1'!K140</f>
        <v>0.1</v>
      </c>
      <c r="L139" s="106">
        <f>'Cash Flow %s Yr1'!L140</f>
        <v>0.1</v>
      </c>
      <c r="M139" s="106">
        <f>'Cash Flow %s Yr1'!M140</f>
        <v>0.1</v>
      </c>
      <c r="N139" s="106">
        <f>'Cash Flow %s Yr1'!N140</f>
        <v>0.1</v>
      </c>
      <c r="O139" s="106">
        <f>'Cash Flow %s Yr1'!O140</f>
        <v>0.1</v>
      </c>
      <c r="P139" s="106">
        <f>'Cash Flow %s Yr1'!P140</f>
        <v>0</v>
      </c>
      <c r="Q139" s="106">
        <f>'Cash Flow %s Yr1'!Q140</f>
        <v>0</v>
      </c>
      <c r="R139" s="106">
        <f>'Cash Flow %s Yr1'!R140</f>
        <v>0</v>
      </c>
      <c r="S139" s="105">
        <f t="shared" si="9"/>
        <v>0.99999999999999989</v>
      </c>
    </row>
    <row r="140" spans="1:19" s="30" customFormat="1" hidden="1" outlineLevel="1" x14ac:dyDescent="0.3">
      <c r="A140" s="35"/>
      <c r="B140" s="62" t="str">
        <f>'Expenses Summary'!B100</f>
        <v>5900</v>
      </c>
      <c r="C140" s="62" t="str">
        <f>'Expenses Summary'!C100</f>
        <v>Communications</v>
      </c>
      <c r="D140" s="106">
        <f>'Cash Flow %s Yr1'!D141</f>
        <v>0</v>
      </c>
      <c r="E140" s="106">
        <f>'Cash Flow %s Yr1'!E141</f>
        <v>0</v>
      </c>
      <c r="F140" s="106">
        <f>'Cash Flow %s Yr1'!F141</f>
        <v>0.1</v>
      </c>
      <c r="G140" s="106">
        <f>'Cash Flow %s Yr1'!G141</f>
        <v>0.1</v>
      </c>
      <c r="H140" s="106">
        <f>'Cash Flow %s Yr1'!H141</f>
        <v>0.1</v>
      </c>
      <c r="I140" s="106">
        <f>'Cash Flow %s Yr1'!I141</f>
        <v>0.1</v>
      </c>
      <c r="J140" s="106">
        <f>'Cash Flow %s Yr1'!J141</f>
        <v>0.1</v>
      </c>
      <c r="K140" s="106">
        <f>'Cash Flow %s Yr1'!K141</f>
        <v>0.1</v>
      </c>
      <c r="L140" s="106">
        <f>'Cash Flow %s Yr1'!L141</f>
        <v>0.1</v>
      </c>
      <c r="M140" s="106">
        <f>'Cash Flow %s Yr1'!M141</f>
        <v>0.1</v>
      </c>
      <c r="N140" s="106">
        <f>'Cash Flow %s Yr1'!N141</f>
        <v>0.1</v>
      </c>
      <c r="O140" s="106">
        <f>'Cash Flow %s Yr1'!O141</f>
        <v>0.1</v>
      </c>
      <c r="P140" s="106">
        <f>'Cash Flow %s Yr1'!P141</f>
        <v>0</v>
      </c>
      <c r="Q140" s="106">
        <f>'Cash Flow %s Yr1'!Q141</f>
        <v>0</v>
      </c>
      <c r="R140" s="106">
        <f>'Cash Flow %s Yr1'!R141</f>
        <v>0</v>
      </c>
      <c r="S140" s="105">
        <f t="shared" si="9"/>
        <v>0.99999999999999989</v>
      </c>
    </row>
    <row r="141" spans="1:19" s="30" customFormat="1" hidden="1" outlineLevel="1" x14ac:dyDescent="0.3">
      <c r="A141" s="35"/>
      <c r="B141" s="62" t="str">
        <f>'Expenses Summary'!B101</f>
        <v>7010</v>
      </c>
      <c r="C141" s="62" t="str">
        <f>'Expenses Summary'!C101</f>
        <v>Special Education Encroachment</v>
      </c>
      <c r="D141" s="106">
        <f>'Cash Flow %s Yr1'!D142</f>
        <v>0</v>
      </c>
      <c r="E141" s="106">
        <f>'Cash Flow %s Yr1'!E142</f>
        <v>0</v>
      </c>
      <c r="F141" s="106">
        <f>'Cash Flow %s Yr1'!F142</f>
        <v>0.1</v>
      </c>
      <c r="G141" s="106">
        <f>'Cash Flow %s Yr1'!G142</f>
        <v>0.1</v>
      </c>
      <c r="H141" s="106">
        <f>'Cash Flow %s Yr1'!H142</f>
        <v>0.1</v>
      </c>
      <c r="I141" s="106">
        <f>'Cash Flow %s Yr1'!I142</f>
        <v>0.1</v>
      </c>
      <c r="J141" s="106">
        <f>'Cash Flow %s Yr1'!J142</f>
        <v>0.1</v>
      </c>
      <c r="K141" s="106">
        <f>'Cash Flow %s Yr1'!K142</f>
        <v>0.1</v>
      </c>
      <c r="L141" s="106">
        <f>'Cash Flow %s Yr1'!L142</f>
        <v>0.1</v>
      </c>
      <c r="M141" s="106">
        <f>'Cash Flow %s Yr1'!M142</f>
        <v>0.1</v>
      </c>
      <c r="N141" s="106">
        <f>'Cash Flow %s Yr1'!N142</f>
        <v>0.1</v>
      </c>
      <c r="O141" s="106">
        <f>'Cash Flow %s Yr1'!O142</f>
        <v>0.1</v>
      </c>
      <c r="P141" s="106">
        <f>'Cash Flow %s Yr1'!P142</f>
        <v>0</v>
      </c>
      <c r="Q141" s="106">
        <f>'Cash Flow %s Yr1'!Q142</f>
        <v>0</v>
      </c>
      <c r="R141" s="106">
        <f>'Cash Flow %s Yr1'!R142</f>
        <v>0</v>
      </c>
      <c r="S141" s="105">
        <f t="shared" si="9"/>
        <v>0.99999999999999989</v>
      </c>
    </row>
    <row r="142" spans="1:19" s="30" customFormat="1" hidden="1" outlineLevel="1" x14ac:dyDescent="0.3">
      <c r="A142" s="35"/>
      <c r="B142" s="62" t="e">
        <f>'Expenses Summary'!#REF!</f>
        <v>#REF!</v>
      </c>
      <c r="C142" s="62" t="e">
        <f>'Expenses Summary'!#REF!</f>
        <v>#REF!</v>
      </c>
      <c r="D142" s="106">
        <f>'Cash Flow %s Yr1'!D143</f>
        <v>0</v>
      </c>
      <c r="E142" s="106">
        <f>'Cash Flow %s Yr1'!E143</f>
        <v>0</v>
      </c>
      <c r="F142" s="106">
        <f>'Cash Flow %s Yr1'!F143</f>
        <v>0.1</v>
      </c>
      <c r="G142" s="106">
        <f>'Cash Flow %s Yr1'!G143</f>
        <v>0.1</v>
      </c>
      <c r="H142" s="106">
        <f>'Cash Flow %s Yr1'!H143</f>
        <v>0.1</v>
      </c>
      <c r="I142" s="106">
        <f>'Cash Flow %s Yr1'!I143</f>
        <v>0.1</v>
      </c>
      <c r="J142" s="106">
        <f>'Cash Flow %s Yr1'!J143</f>
        <v>0.1</v>
      </c>
      <c r="K142" s="106">
        <f>'Cash Flow %s Yr1'!K143</f>
        <v>0.1</v>
      </c>
      <c r="L142" s="106">
        <f>'Cash Flow %s Yr1'!L143</f>
        <v>0.1</v>
      </c>
      <c r="M142" s="106">
        <f>'Cash Flow %s Yr1'!M143</f>
        <v>0.1</v>
      </c>
      <c r="N142" s="106">
        <f>'Cash Flow %s Yr1'!N143</f>
        <v>0.1</v>
      </c>
      <c r="O142" s="106">
        <f>'Cash Flow %s Yr1'!O143</f>
        <v>0.1</v>
      </c>
      <c r="P142" s="106">
        <f>'Cash Flow %s Yr1'!P143</f>
        <v>0</v>
      </c>
      <c r="Q142" s="106">
        <f>'Cash Flow %s Yr1'!Q143</f>
        <v>0</v>
      </c>
      <c r="R142" s="106">
        <f>'Cash Flow %s Yr1'!R143</f>
        <v>0</v>
      </c>
      <c r="S142" s="105">
        <f>SUM(D142:R142)</f>
        <v>0.99999999999999989</v>
      </c>
    </row>
    <row r="143" spans="1:19" s="30" customFormat="1" collapsed="1" x14ac:dyDescent="0.3">
      <c r="A143" s="35"/>
      <c r="B143" s="62" t="str">
        <f>'Expenses Summary'!B102</f>
        <v>5999</v>
      </c>
      <c r="C143" s="62" t="str">
        <f>'Expenses Summary'!C102</f>
        <v>Expense Suspense</v>
      </c>
      <c r="D143" s="106">
        <f>'Cash Flow %s Yr1'!D144</f>
        <v>0.05</v>
      </c>
      <c r="E143" s="106">
        <f>'Cash Flow %s Yr1'!E144</f>
        <v>0.05</v>
      </c>
      <c r="F143" s="106">
        <f>'Cash Flow %s Yr1'!F144</f>
        <v>0.09</v>
      </c>
      <c r="G143" s="106">
        <f>'Cash Flow %s Yr1'!G144</f>
        <v>0.09</v>
      </c>
      <c r="H143" s="106">
        <f>'Cash Flow %s Yr1'!H144</f>
        <v>0.09</v>
      </c>
      <c r="I143" s="106">
        <f>'Cash Flow %s Yr1'!I144</f>
        <v>0.09</v>
      </c>
      <c r="J143" s="106">
        <f>'Cash Flow %s Yr1'!J144</f>
        <v>0.09</v>
      </c>
      <c r="K143" s="106">
        <f>'Cash Flow %s Yr1'!K144</f>
        <v>0.09</v>
      </c>
      <c r="L143" s="106">
        <f>'Cash Flow %s Yr1'!L144</f>
        <v>0.09</v>
      </c>
      <c r="M143" s="106">
        <f>'Cash Flow %s Yr1'!M144</f>
        <v>0.09</v>
      </c>
      <c r="N143" s="106">
        <f>'Cash Flow %s Yr1'!N144</f>
        <v>0.09</v>
      </c>
      <c r="O143" s="106">
        <f>'Cash Flow %s Yr1'!O144</f>
        <v>0.09</v>
      </c>
      <c r="P143" s="106">
        <f>'Cash Flow %s Yr1'!P144</f>
        <v>0</v>
      </c>
      <c r="Q143" s="106">
        <f>'Cash Flow %s Yr1'!Q144</f>
        <v>0</v>
      </c>
      <c r="R143" s="106">
        <f>'Cash Flow %s Yr1'!R144</f>
        <v>0</v>
      </c>
      <c r="S143" s="105">
        <f>SUM(D143:R143)</f>
        <v>0.99999999999999978</v>
      </c>
    </row>
    <row r="144" spans="1:19" s="30" customFormat="1" x14ac:dyDescent="0.3">
      <c r="A144" s="35"/>
      <c r="B144" s="118"/>
      <c r="C144" s="87"/>
      <c r="D144" s="94"/>
      <c r="E144" s="94"/>
      <c r="F144" s="94"/>
      <c r="G144" s="94"/>
      <c r="H144" s="94"/>
      <c r="I144" s="94"/>
      <c r="J144" s="94"/>
      <c r="K144" s="94"/>
      <c r="L144" s="94"/>
      <c r="M144" s="94"/>
      <c r="N144" s="94"/>
      <c r="O144" s="94"/>
      <c r="P144" s="102"/>
      <c r="Q144" s="102"/>
      <c r="R144" s="102"/>
      <c r="S144" s="105"/>
    </row>
    <row r="145" spans="1:24" s="30" customFormat="1" x14ac:dyDescent="0.3">
      <c r="A145" s="35"/>
      <c r="B145" s="4"/>
      <c r="C145" s="3"/>
      <c r="D145" s="89"/>
      <c r="E145" s="89"/>
      <c r="F145" s="89"/>
      <c r="G145" s="89"/>
      <c r="H145" s="89"/>
      <c r="I145" s="89"/>
      <c r="J145" s="89"/>
      <c r="K145" s="89"/>
      <c r="L145" s="89"/>
      <c r="M145" s="89"/>
      <c r="N145" s="89"/>
      <c r="O145" s="89"/>
      <c r="P145" s="89"/>
      <c r="Q145" s="89"/>
      <c r="R145" s="89"/>
      <c r="S145" s="105"/>
    </row>
    <row r="146" spans="1:24" s="30" customFormat="1" x14ac:dyDescent="0.3">
      <c r="B146" s="33" t="s">
        <v>722</v>
      </c>
      <c r="C146" s="3"/>
      <c r="D146" s="89"/>
      <c r="E146" s="89"/>
      <c r="F146" s="89"/>
      <c r="G146" s="89"/>
      <c r="H146" s="89"/>
      <c r="I146" s="89"/>
      <c r="J146" s="89"/>
      <c r="K146" s="89"/>
      <c r="L146" s="89"/>
      <c r="M146" s="89"/>
      <c r="N146" s="89"/>
      <c r="O146" s="89"/>
      <c r="P146" s="89"/>
      <c r="Q146" s="89"/>
      <c r="R146" s="89"/>
      <c r="S146" s="105"/>
    </row>
    <row r="147" spans="1:24" s="30" customFormat="1" x14ac:dyDescent="0.3">
      <c r="A147" s="35"/>
      <c r="B147" s="62" t="str">
        <f>'Expenses Summary'!B106</f>
        <v>6900</v>
      </c>
      <c r="C147" s="62" t="str">
        <f>'Expenses Summary'!C106</f>
        <v xml:space="preserve">Depreciation Expense      </v>
      </c>
      <c r="D147" s="106">
        <f>'Cash Flow %s Yr1'!D148</f>
        <v>0</v>
      </c>
      <c r="E147" s="106">
        <f>'Cash Flow %s Yr1'!E148</f>
        <v>0</v>
      </c>
      <c r="F147" s="106">
        <f>'Cash Flow %s Yr1'!F148</f>
        <v>0</v>
      </c>
      <c r="G147" s="106">
        <f>'Cash Flow %s Yr1'!G148</f>
        <v>0</v>
      </c>
      <c r="H147" s="106">
        <f>'Cash Flow %s Yr1'!H148</f>
        <v>0</v>
      </c>
      <c r="I147" s="106">
        <f>'Cash Flow %s Yr1'!I148</f>
        <v>0</v>
      </c>
      <c r="J147" s="106">
        <f>'Cash Flow %s Yr1'!J148</f>
        <v>0</v>
      </c>
      <c r="K147" s="106">
        <f>'Cash Flow %s Yr1'!K148</f>
        <v>0</v>
      </c>
      <c r="L147" s="106">
        <f>'Cash Flow %s Yr1'!L148</f>
        <v>0</v>
      </c>
      <c r="M147" s="106">
        <f>'Cash Flow %s Yr1'!M148</f>
        <v>0</v>
      </c>
      <c r="N147" s="106">
        <f>'Cash Flow %s Yr1'!N148</f>
        <v>0</v>
      </c>
      <c r="O147" s="106">
        <f>'Cash Flow %s Yr1'!O148</f>
        <v>1</v>
      </c>
      <c r="P147" s="106">
        <f>'Cash Flow %s Yr1'!P148</f>
        <v>0</v>
      </c>
      <c r="Q147" s="106">
        <f>'Cash Flow %s Yr1'!Q148</f>
        <v>0</v>
      </c>
      <c r="R147" s="106">
        <f>'Cash Flow %s Yr1'!R148</f>
        <v>0</v>
      </c>
      <c r="S147" s="105">
        <f>SUM(D147:R147)</f>
        <v>1</v>
      </c>
    </row>
    <row r="148" spans="1:24" s="30" customFormat="1" x14ac:dyDescent="0.3">
      <c r="A148" s="35"/>
      <c r="B148" s="118"/>
      <c r="C148" s="87"/>
      <c r="D148" s="94"/>
      <c r="E148" s="94"/>
      <c r="F148" s="94"/>
      <c r="G148" s="94"/>
      <c r="H148" s="94"/>
      <c r="I148" s="102"/>
      <c r="J148" s="102"/>
      <c r="K148" s="102"/>
      <c r="L148" s="102"/>
      <c r="M148" s="102"/>
      <c r="N148" s="102"/>
      <c r="O148" s="102"/>
      <c r="P148" s="102"/>
      <c r="Q148" s="102"/>
      <c r="R148" s="102"/>
      <c r="S148" s="105"/>
    </row>
    <row r="149" spans="1:24" s="30" customFormat="1" x14ac:dyDescent="0.3">
      <c r="A149" s="35"/>
      <c r="B149" s="4"/>
      <c r="C149" s="3"/>
      <c r="D149" s="89"/>
      <c r="E149" s="98"/>
      <c r="F149" s="98"/>
      <c r="G149" s="89"/>
      <c r="H149" s="89"/>
      <c r="I149" s="89"/>
      <c r="J149" s="89"/>
      <c r="K149" s="89"/>
      <c r="L149" s="89"/>
      <c r="M149" s="89"/>
      <c r="N149" s="89"/>
      <c r="O149" s="89"/>
      <c r="P149" s="89"/>
      <c r="Q149" s="89"/>
      <c r="R149" s="89"/>
      <c r="S149" s="105"/>
    </row>
    <row r="150" spans="1:24" s="30" customFormat="1" x14ac:dyDescent="0.3">
      <c r="B150" s="33" t="s">
        <v>723</v>
      </c>
      <c r="C150" s="3"/>
      <c r="D150" s="89"/>
      <c r="E150" s="98"/>
      <c r="F150" s="98"/>
      <c r="G150" s="89"/>
      <c r="H150" s="89"/>
      <c r="I150" s="89"/>
      <c r="J150" s="89"/>
      <c r="K150" s="89"/>
      <c r="L150" s="89"/>
      <c r="M150" s="89"/>
      <c r="N150" s="89"/>
      <c r="O150" s="89"/>
      <c r="P150" s="89"/>
      <c r="Q150" s="89"/>
      <c r="R150" s="89"/>
      <c r="S150" s="105"/>
    </row>
    <row r="151" spans="1:24" s="30" customFormat="1" x14ac:dyDescent="0.3">
      <c r="A151" s="35"/>
      <c r="B151" s="62" t="str">
        <f>'Expenses Summary'!B110</f>
        <v>7000</v>
      </c>
      <c r="C151" s="62" t="str">
        <f>'Expenses Summary'!C110</f>
        <v>Miscellaneous Expense</v>
      </c>
      <c r="D151" s="106">
        <f>'Cash Flow %s Yr1'!D152</f>
        <v>0.05</v>
      </c>
      <c r="E151" s="106">
        <f>'Cash Flow %s Yr1'!E152</f>
        <v>0.05</v>
      </c>
      <c r="F151" s="106">
        <f>'Cash Flow %s Yr1'!F152</f>
        <v>0.09</v>
      </c>
      <c r="G151" s="106">
        <f>'Cash Flow %s Yr1'!G152</f>
        <v>0.09</v>
      </c>
      <c r="H151" s="106">
        <f>'Cash Flow %s Yr1'!H152</f>
        <v>0.09</v>
      </c>
      <c r="I151" s="106">
        <f>'Cash Flow %s Yr1'!I152</f>
        <v>0.09</v>
      </c>
      <c r="J151" s="106">
        <f>'Cash Flow %s Yr1'!J152</f>
        <v>0.09</v>
      </c>
      <c r="K151" s="106">
        <f>'Cash Flow %s Yr1'!K152</f>
        <v>0.09</v>
      </c>
      <c r="L151" s="106">
        <f>'Cash Flow %s Yr1'!L152</f>
        <v>0.09</v>
      </c>
      <c r="M151" s="106">
        <f>'Cash Flow %s Yr1'!M152</f>
        <v>0.09</v>
      </c>
      <c r="N151" s="106">
        <f>'Cash Flow %s Yr1'!N152</f>
        <v>0.09</v>
      </c>
      <c r="O151" s="106">
        <f>'Cash Flow %s Yr1'!O152</f>
        <v>0.09</v>
      </c>
      <c r="P151" s="106">
        <f>'Cash Flow %s Yr1'!P152</f>
        <v>0</v>
      </c>
      <c r="Q151" s="106">
        <f>'Cash Flow %s Yr1'!Q152</f>
        <v>0</v>
      </c>
      <c r="R151" s="106">
        <f>'Cash Flow %s Yr1'!R152</f>
        <v>0</v>
      </c>
      <c r="S151" s="105">
        <f>SUM(D151:R151)</f>
        <v>0.99999999999999978</v>
      </c>
    </row>
    <row r="152" spans="1:24" s="30" customFormat="1" x14ac:dyDescent="0.3">
      <c r="A152" s="35"/>
      <c r="B152" s="62" t="e">
        <f>'Expenses Summary'!#REF!</f>
        <v>#REF!</v>
      </c>
      <c r="C152" s="62" t="e">
        <f>'Expenses Summary'!#REF!</f>
        <v>#REF!</v>
      </c>
      <c r="D152" s="106">
        <f>'Cash Flow %s Yr1'!D153</f>
        <v>0</v>
      </c>
      <c r="E152" s="106">
        <f>'Cash Flow %s Yr1'!E153</f>
        <v>0</v>
      </c>
      <c r="F152" s="106">
        <f>'Cash Flow %s Yr1'!F153</f>
        <v>0.1</v>
      </c>
      <c r="G152" s="106">
        <f>'Cash Flow %s Yr1'!G153</f>
        <v>0.1</v>
      </c>
      <c r="H152" s="106">
        <f>'Cash Flow %s Yr1'!H153</f>
        <v>0.1</v>
      </c>
      <c r="I152" s="106">
        <f>'Cash Flow %s Yr1'!I153</f>
        <v>0.1</v>
      </c>
      <c r="J152" s="106">
        <f>'Cash Flow %s Yr1'!J153</f>
        <v>0.1</v>
      </c>
      <c r="K152" s="106">
        <f>'Cash Flow %s Yr1'!K153</f>
        <v>0.1</v>
      </c>
      <c r="L152" s="106">
        <f>'Cash Flow %s Yr1'!L153</f>
        <v>0.1</v>
      </c>
      <c r="M152" s="106">
        <f>'Cash Flow %s Yr1'!M153</f>
        <v>0.1</v>
      </c>
      <c r="N152" s="106">
        <f>'Cash Flow %s Yr1'!N153</f>
        <v>0.1</v>
      </c>
      <c r="O152" s="106">
        <f>'Cash Flow %s Yr1'!O153</f>
        <v>0.1</v>
      </c>
      <c r="P152" s="106">
        <f>'Cash Flow %s Yr1'!P153</f>
        <v>0</v>
      </c>
      <c r="Q152" s="106">
        <f>'Cash Flow %s Yr1'!Q153</f>
        <v>0</v>
      </c>
      <c r="R152" s="106">
        <f>'Cash Flow %s Yr1'!R153</f>
        <v>0</v>
      </c>
      <c r="S152" s="105">
        <f>SUM(D152:R152)</f>
        <v>0.99999999999999989</v>
      </c>
    </row>
    <row r="153" spans="1:24" s="30" customFormat="1" x14ac:dyDescent="0.3">
      <c r="A153" s="35"/>
      <c r="B153" s="62" t="str">
        <f>'Expenses Summary'!B111</f>
        <v>7438</v>
      </c>
      <c r="C153" s="62" t="str">
        <f>'Expenses Summary'!C111</f>
        <v xml:space="preserve">Debt </v>
      </c>
      <c r="D153" s="106">
        <f>'Cash Flow %s Yr1'!D154</f>
        <v>0</v>
      </c>
      <c r="E153" s="106">
        <f>'Cash Flow %s Yr1'!E154</f>
        <v>0</v>
      </c>
      <c r="F153" s="106">
        <f>'Cash Flow %s Yr1'!F154</f>
        <v>0</v>
      </c>
      <c r="G153" s="106">
        <f>'Cash Flow %s Yr1'!G154</f>
        <v>0</v>
      </c>
      <c r="H153" s="106">
        <f>'Cash Flow %s Yr1'!H154</f>
        <v>0</v>
      </c>
      <c r="I153" s="106">
        <f>'Cash Flow %s Yr1'!I154</f>
        <v>0</v>
      </c>
      <c r="J153" s="106">
        <f>'Cash Flow %s Yr1'!J154</f>
        <v>0</v>
      </c>
      <c r="K153" s="106">
        <f>'Cash Flow %s Yr1'!K154</f>
        <v>0</v>
      </c>
      <c r="L153" s="106">
        <f>'Cash Flow %s Yr1'!L154</f>
        <v>0</v>
      </c>
      <c r="M153" s="106">
        <f>'Cash Flow %s Yr1'!M154</f>
        <v>0</v>
      </c>
      <c r="N153" s="106">
        <f>'Cash Flow %s Yr1'!N154</f>
        <v>0</v>
      </c>
      <c r="O153" s="106">
        <f>'Cash Flow %s Yr1'!O154</f>
        <v>1</v>
      </c>
      <c r="P153" s="106">
        <f>'Cash Flow %s Yr1'!P154</f>
        <v>0</v>
      </c>
      <c r="Q153" s="106">
        <f>'Cash Flow %s Yr1'!Q154</f>
        <v>0</v>
      </c>
      <c r="R153" s="106">
        <f>'Cash Flow %s Yr1'!R154</f>
        <v>0</v>
      </c>
      <c r="S153" s="105">
        <f>SUM(D153:R153)</f>
        <v>1</v>
      </c>
    </row>
    <row r="154" spans="1:24" s="30" customFormat="1" x14ac:dyDescent="0.3">
      <c r="A154" s="35"/>
      <c r="B154" s="62" t="str">
        <f>'Expenses Summary'!B112</f>
        <v>8910</v>
      </c>
      <c r="C154" s="62" t="str">
        <f>'Expenses Summary'!C112</f>
        <v>Transfer in From LLC</v>
      </c>
      <c r="D154" s="106">
        <f>'Cash Flow %s Yr1'!D155</f>
        <v>0</v>
      </c>
      <c r="E154" s="106">
        <f>'Cash Flow %s Yr1'!E155</f>
        <v>0</v>
      </c>
      <c r="F154" s="106">
        <f>'Cash Flow %s Yr1'!F155</f>
        <v>0</v>
      </c>
      <c r="G154" s="106">
        <f>'Cash Flow %s Yr1'!G155</f>
        <v>0</v>
      </c>
      <c r="H154" s="106">
        <f>'Cash Flow %s Yr1'!H155</f>
        <v>0</v>
      </c>
      <c r="I154" s="106">
        <f>'Cash Flow %s Yr1'!I155</f>
        <v>0</v>
      </c>
      <c r="J154" s="106">
        <f>'Cash Flow %s Yr1'!J155</f>
        <v>0</v>
      </c>
      <c r="K154" s="106">
        <f>'Cash Flow %s Yr1'!K155</f>
        <v>0</v>
      </c>
      <c r="L154" s="106">
        <f>'Cash Flow %s Yr1'!L155</f>
        <v>0</v>
      </c>
      <c r="M154" s="106">
        <f>'Cash Flow %s Yr1'!M155</f>
        <v>0</v>
      </c>
      <c r="N154" s="106">
        <f>'Cash Flow %s Yr1'!N155</f>
        <v>0</v>
      </c>
      <c r="O154" s="106">
        <f>'Cash Flow %s Yr1'!O155</f>
        <v>1</v>
      </c>
      <c r="P154" s="106">
        <f>'Cash Flow %s Yr1'!P155</f>
        <v>0</v>
      </c>
      <c r="Q154" s="106">
        <f>'Cash Flow %s Yr1'!Q155</f>
        <v>0</v>
      </c>
      <c r="R154" s="106">
        <f>'Cash Flow %s Yr1'!R155</f>
        <v>0</v>
      </c>
      <c r="S154" s="105">
        <f>SUM(D154:R154)</f>
        <v>1</v>
      </c>
    </row>
    <row r="155" spans="1:24" s="30" customFormat="1" x14ac:dyDescent="0.3">
      <c r="A155" s="35"/>
      <c r="B155" s="39"/>
      <c r="C155" s="1"/>
      <c r="D155" s="99"/>
      <c r="E155" s="99"/>
      <c r="F155" s="99"/>
      <c r="G155" s="99"/>
      <c r="H155" s="99"/>
      <c r="I155" s="99"/>
      <c r="J155" s="99"/>
      <c r="K155" s="99"/>
      <c r="L155" s="99"/>
      <c r="M155" s="99"/>
      <c r="N155" s="99"/>
      <c r="O155" s="99"/>
      <c r="P155" s="99"/>
      <c r="Q155" s="99"/>
      <c r="R155" s="99"/>
      <c r="S155" s="105"/>
    </row>
    <row r="156" spans="1:24" s="30" customFormat="1" x14ac:dyDescent="0.3">
      <c r="A156" s="35"/>
      <c r="B156" s="39"/>
      <c r="C156" s="1"/>
      <c r="D156" s="89"/>
      <c r="E156" s="89"/>
      <c r="F156" s="89"/>
      <c r="G156" s="89"/>
      <c r="H156" s="89"/>
      <c r="I156" s="89"/>
      <c r="J156" s="89"/>
      <c r="K156" s="89"/>
      <c r="L156" s="89"/>
      <c r="M156" s="89"/>
      <c r="N156" s="89"/>
      <c r="O156" s="89"/>
      <c r="P156" s="89"/>
      <c r="Q156" s="89"/>
      <c r="R156" s="89"/>
      <c r="S156" s="105"/>
      <c r="T156" s="148"/>
    </row>
    <row r="157" spans="1:24" s="30" customFormat="1" x14ac:dyDescent="0.3">
      <c r="A157" s="35"/>
      <c r="B157" s="33" t="s">
        <v>818</v>
      </c>
      <c r="C157" s="3"/>
      <c r="D157" s="89"/>
      <c r="E157" s="98"/>
      <c r="F157" s="98"/>
      <c r="G157" s="89"/>
      <c r="H157" s="89"/>
      <c r="I157" s="89"/>
      <c r="J157" s="89"/>
      <c r="K157" s="89"/>
      <c r="L157" s="89"/>
      <c r="M157" s="89"/>
      <c r="N157" s="89"/>
      <c r="O157" s="89"/>
      <c r="P157" s="89"/>
      <c r="Q157" s="89"/>
      <c r="R157" s="89"/>
      <c r="S157" s="105"/>
    </row>
    <row r="158" spans="1:24" s="30" customFormat="1" x14ac:dyDescent="0.3">
      <c r="A158" s="35"/>
      <c r="B158" s="62"/>
      <c r="C158" s="129" t="s">
        <v>819</v>
      </c>
      <c r="D158" s="106">
        <f>'Cash Flow %s Yr1'!D159</f>
        <v>1</v>
      </c>
      <c r="E158" s="106">
        <f>'Cash Flow %s Yr1'!E159</f>
        <v>0</v>
      </c>
      <c r="F158" s="106">
        <f>'Cash Flow %s Yr1'!F159</f>
        <v>0</v>
      </c>
      <c r="G158" s="106">
        <f>'Cash Flow %s Yr1'!G159</f>
        <v>0</v>
      </c>
      <c r="H158" s="106">
        <f>'Cash Flow %s Yr1'!H159</f>
        <v>0</v>
      </c>
      <c r="I158" s="106">
        <f>'Cash Flow %s Yr1'!I159</f>
        <v>0</v>
      </c>
      <c r="J158" s="106">
        <f>'Cash Flow %s Yr1'!J159</f>
        <v>0</v>
      </c>
      <c r="K158" s="106">
        <f>'Cash Flow %s Yr1'!K159</f>
        <v>0</v>
      </c>
      <c r="L158" s="106">
        <f>'Cash Flow %s Yr1'!L159</f>
        <v>0</v>
      </c>
      <c r="M158" s="106">
        <f>'Cash Flow %s Yr1'!M159</f>
        <v>0</v>
      </c>
      <c r="N158" s="106">
        <f>'Cash Flow %s Yr1'!N159</f>
        <v>0</v>
      </c>
      <c r="O158" s="106">
        <f>'Cash Flow %s Yr1'!O159</f>
        <v>0</v>
      </c>
      <c r="P158" s="106">
        <f>'Cash Flow %s Yr1'!P159</f>
        <v>0</v>
      </c>
      <c r="Q158" s="106">
        <f>'Cash Flow %s Yr1'!Q159</f>
        <v>0</v>
      </c>
      <c r="R158" s="106">
        <f>'Cash Flow %s Yr1'!R159</f>
        <v>0</v>
      </c>
      <c r="S158" s="105">
        <f>SUM(D158:R158)</f>
        <v>1</v>
      </c>
      <c r="T158" s="143"/>
      <c r="U158" s="143"/>
      <c r="V158" s="143"/>
      <c r="W158" s="143"/>
      <c r="X158" s="143"/>
    </row>
    <row r="159" spans="1:24" s="30" customFormat="1" x14ac:dyDescent="0.3">
      <c r="A159" s="35"/>
      <c r="B159" s="62"/>
      <c r="C159" s="129" t="s">
        <v>820</v>
      </c>
      <c r="D159" s="106">
        <f>'Cash Flow %s Yr1'!D160</f>
        <v>0.6</v>
      </c>
      <c r="E159" s="106">
        <f>'Cash Flow %s Yr1'!E160</f>
        <v>0.25</v>
      </c>
      <c r="F159" s="106">
        <f>'Cash Flow %s Yr1'!F160</f>
        <v>0.1</v>
      </c>
      <c r="G159" s="106">
        <f>'Cash Flow %s Yr1'!G160</f>
        <v>0.05</v>
      </c>
      <c r="H159" s="106">
        <f>'Cash Flow %s Yr1'!H160</f>
        <v>0</v>
      </c>
      <c r="I159" s="106">
        <f>'Cash Flow %s Yr1'!I160</f>
        <v>0</v>
      </c>
      <c r="J159" s="106">
        <f>'Cash Flow %s Yr1'!J160</f>
        <v>0</v>
      </c>
      <c r="K159" s="106">
        <f>'Cash Flow %s Yr1'!K160</f>
        <v>0</v>
      </c>
      <c r="L159" s="106">
        <f>'Cash Flow %s Yr1'!L160</f>
        <v>0</v>
      </c>
      <c r="M159" s="106">
        <f>'Cash Flow %s Yr1'!M160</f>
        <v>0</v>
      </c>
      <c r="N159" s="106">
        <f>'Cash Flow %s Yr1'!N160</f>
        <v>0</v>
      </c>
      <c r="O159" s="106">
        <f>'Cash Flow %s Yr1'!O160</f>
        <v>0</v>
      </c>
      <c r="P159" s="106">
        <f>'Cash Flow %s Yr1'!P160</f>
        <v>0</v>
      </c>
      <c r="Q159" s="106">
        <f>'Cash Flow %s Yr1'!Q160</f>
        <v>0</v>
      </c>
      <c r="R159" s="106">
        <f>'Cash Flow %s Yr1'!R160</f>
        <v>0</v>
      </c>
      <c r="S159" s="105">
        <f>SUM(D159:R159)</f>
        <v>1</v>
      </c>
      <c r="T159" s="143"/>
      <c r="U159" s="143"/>
      <c r="V159" s="143"/>
      <c r="W159" s="143"/>
      <c r="X159" s="143"/>
    </row>
    <row r="160" spans="1:24" s="30" customFormat="1" x14ac:dyDescent="0.3">
      <c r="A160" s="35"/>
      <c r="B160" s="62"/>
      <c r="C160" s="129" t="s">
        <v>821</v>
      </c>
      <c r="D160" s="106">
        <f>'Cash Flow %s Yr1'!D161</f>
        <v>0.5</v>
      </c>
      <c r="E160" s="106">
        <f>'Cash Flow %s Yr1'!E161</f>
        <v>0.3</v>
      </c>
      <c r="F160" s="106">
        <f>'Cash Flow %s Yr1'!F161</f>
        <v>0.2</v>
      </c>
      <c r="G160" s="106">
        <f>'Cash Flow %s Yr1'!G161</f>
        <v>0</v>
      </c>
      <c r="H160" s="106">
        <f>'Cash Flow %s Yr1'!H161</f>
        <v>0</v>
      </c>
      <c r="I160" s="106">
        <f>'Cash Flow %s Yr1'!I161</f>
        <v>0</v>
      </c>
      <c r="J160" s="106">
        <f>'Cash Flow %s Yr1'!J161</f>
        <v>0</v>
      </c>
      <c r="K160" s="106">
        <f>'Cash Flow %s Yr1'!K161</f>
        <v>0</v>
      </c>
      <c r="L160" s="106">
        <f>'Cash Flow %s Yr1'!L161</f>
        <v>0</v>
      </c>
      <c r="M160" s="106">
        <f>'Cash Flow %s Yr1'!M161</f>
        <v>0</v>
      </c>
      <c r="N160" s="106">
        <f>'Cash Flow %s Yr1'!N161</f>
        <v>0</v>
      </c>
      <c r="O160" s="106">
        <f>'Cash Flow %s Yr1'!O161</f>
        <v>0</v>
      </c>
      <c r="P160" s="106">
        <f>'Cash Flow %s Yr1'!P161</f>
        <v>0</v>
      </c>
      <c r="Q160" s="106">
        <f>'Cash Flow %s Yr1'!Q161</f>
        <v>0</v>
      </c>
      <c r="R160" s="106">
        <f>'Cash Flow %s Yr1'!R161</f>
        <v>0</v>
      </c>
      <c r="S160" s="105">
        <f>SUM(D160:R160)</f>
        <v>1</v>
      </c>
      <c r="T160" s="143"/>
      <c r="U160" s="143"/>
      <c r="V160" s="143"/>
      <c r="W160" s="143"/>
      <c r="X160" s="143"/>
    </row>
    <row r="161" spans="1:24" s="39" customFormat="1" x14ac:dyDescent="0.3">
      <c r="A161" s="35"/>
      <c r="B161" s="62"/>
      <c r="C161" s="129" t="s">
        <v>822</v>
      </c>
      <c r="D161" s="106">
        <f>'Cash Flow %s Yr1'!D162</f>
        <v>0</v>
      </c>
      <c r="E161" s="106">
        <f>'Cash Flow %s Yr1'!E162</f>
        <v>0</v>
      </c>
      <c r="F161" s="106">
        <f>'Cash Flow %s Yr1'!F162</f>
        <v>0</v>
      </c>
      <c r="G161" s="106">
        <f>'Cash Flow %s Yr1'!G162</f>
        <v>0</v>
      </c>
      <c r="H161" s="106">
        <f>'Cash Flow %s Yr1'!H162</f>
        <v>0</v>
      </c>
      <c r="I161" s="106">
        <f>'Cash Flow %s Yr1'!I162</f>
        <v>0</v>
      </c>
      <c r="J161" s="106">
        <f>'Cash Flow %s Yr1'!J162</f>
        <v>0</v>
      </c>
      <c r="K161" s="106">
        <f>'Cash Flow %s Yr1'!K162</f>
        <v>0</v>
      </c>
      <c r="L161" s="106">
        <f>'Cash Flow %s Yr1'!L162</f>
        <v>0</v>
      </c>
      <c r="M161" s="106">
        <f>'Cash Flow %s Yr1'!M162</f>
        <v>0</v>
      </c>
      <c r="N161" s="106">
        <f>'Cash Flow %s Yr1'!N162</f>
        <v>0</v>
      </c>
      <c r="O161" s="106">
        <f>'Cash Flow %s Yr1'!O162</f>
        <v>1</v>
      </c>
      <c r="P161" s="106">
        <f>'Cash Flow %s Yr1'!P162</f>
        <v>0</v>
      </c>
      <c r="Q161" s="106">
        <f>'Cash Flow %s Yr1'!Q162</f>
        <v>0</v>
      </c>
      <c r="R161" s="106">
        <f>'Cash Flow %s Yr1'!R162</f>
        <v>0</v>
      </c>
      <c r="S161" s="105">
        <f>SUM(D161:R161)</f>
        <v>1</v>
      </c>
      <c r="T161" s="143"/>
      <c r="U161" s="143"/>
      <c r="V161" s="143"/>
      <c r="W161" s="143"/>
      <c r="X161" s="143"/>
    </row>
    <row r="162" spans="1:24" s="39" customFormat="1" x14ac:dyDescent="0.3">
      <c r="A162" s="35"/>
      <c r="C162" s="1"/>
      <c r="D162" s="89"/>
      <c r="E162" s="89"/>
      <c r="F162" s="89"/>
      <c r="G162" s="89"/>
      <c r="H162" s="89"/>
      <c r="I162" s="89"/>
      <c r="J162" s="89"/>
      <c r="K162" s="89"/>
      <c r="L162" s="89"/>
      <c r="M162" s="89"/>
      <c r="N162" s="89"/>
      <c r="O162" s="89"/>
      <c r="P162" s="89"/>
      <c r="Q162" s="89"/>
      <c r="R162" s="89"/>
      <c r="S162" s="173"/>
    </row>
    <row r="163" spans="1:24" s="39" customFormat="1" x14ac:dyDescent="0.3">
      <c r="A163" s="35"/>
      <c r="C163" s="1"/>
      <c r="D163" s="89"/>
      <c r="E163" s="89"/>
      <c r="F163" s="89"/>
      <c r="G163" s="89"/>
      <c r="H163" s="89"/>
      <c r="I163" s="89"/>
      <c r="J163" s="89"/>
      <c r="K163" s="89"/>
      <c r="L163" s="89"/>
      <c r="M163" s="89"/>
      <c r="N163" s="89"/>
      <c r="O163" s="89"/>
      <c r="P163" s="89"/>
      <c r="Q163" s="89"/>
      <c r="R163" s="89"/>
      <c r="S163" s="173"/>
    </row>
    <row r="164" spans="1:24" s="39" customFormat="1" x14ac:dyDescent="0.3">
      <c r="A164" s="35"/>
      <c r="C164" s="1"/>
      <c r="D164" s="89"/>
      <c r="E164" s="89"/>
      <c r="F164" s="89"/>
      <c r="G164" s="89"/>
      <c r="H164" s="89"/>
      <c r="I164" s="89"/>
      <c r="J164" s="89"/>
      <c r="K164" s="89"/>
      <c r="L164" s="89"/>
      <c r="M164" s="89"/>
      <c r="N164" s="89"/>
      <c r="O164" s="89"/>
      <c r="P164" s="89"/>
      <c r="Q164" s="89"/>
      <c r="R164" s="89"/>
      <c r="S164" s="173"/>
    </row>
    <row r="165" spans="1:24" s="39" customFormat="1" x14ac:dyDescent="0.3">
      <c r="A165" s="35"/>
      <c r="C165" s="1"/>
      <c r="D165" s="89"/>
      <c r="E165" s="89"/>
      <c r="F165" s="89"/>
      <c r="G165" s="89"/>
      <c r="H165" s="89"/>
      <c r="I165" s="89"/>
      <c r="J165" s="89"/>
      <c r="K165" s="89"/>
      <c r="L165" s="89"/>
      <c r="M165" s="89"/>
      <c r="N165" s="89"/>
      <c r="O165" s="89"/>
      <c r="P165" s="89"/>
      <c r="Q165" s="89"/>
      <c r="R165" s="89"/>
      <c r="S165" s="173"/>
    </row>
    <row r="166" spans="1:24" s="39" customFormat="1" x14ac:dyDescent="0.3">
      <c r="A166" s="35"/>
      <c r="C166" s="1"/>
      <c r="D166" s="89"/>
      <c r="E166" s="89"/>
      <c r="F166" s="89"/>
      <c r="G166" s="89"/>
      <c r="H166" s="89"/>
      <c r="I166" s="89"/>
      <c r="J166" s="89"/>
      <c r="K166" s="89"/>
      <c r="L166" s="89"/>
      <c r="M166" s="89"/>
      <c r="N166" s="89"/>
      <c r="O166" s="89"/>
      <c r="P166" s="89"/>
      <c r="Q166" s="89"/>
      <c r="R166" s="89"/>
      <c r="S166" s="173"/>
    </row>
    <row r="167" spans="1:24" s="39" customFormat="1" x14ac:dyDescent="0.3">
      <c r="A167" s="35"/>
      <c r="C167" s="1"/>
      <c r="D167" s="89"/>
      <c r="E167" s="89"/>
      <c r="F167" s="89"/>
      <c r="G167" s="89"/>
      <c r="H167" s="89"/>
      <c r="I167" s="89"/>
      <c r="J167" s="89"/>
      <c r="K167" s="89"/>
      <c r="L167" s="89"/>
      <c r="M167" s="89"/>
      <c r="N167" s="89"/>
      <c r="O167" s="89"/>
      <c r="P167" s="89"/>
      <c r="Q167" s="89"/>
      <c r="R167" s="89"/>
      <c r="S167" s="173"/>
    </row>
    <row r="168" spans="1:24" s="39" customFormat="1" x14ac:dyDescent="0.3">
      <c r="A168" s="35"/>
      <c r="C168" s="1"/>
      <c r="D168" s="89"/>
      <c r="E168" s="89"/>
      <c r="F168" s="89"/>
      <c r="G168" s="89"/>
      <c r="H168" s="89"/>
      <c r="I168" s="89"/>
      <c r="J168" s="89"/>
      <c r="K168" s="89"/>
      <c r="L168" s="89"/>
      <c r="M168" s="89"/>
      <c r="N168" s="89"/>
      <c r="O168" s="89"/>
      <c r="P168" s="89"/>
      <c r="Q168" s="89"/>
      <c r="R168" s="89"/>
      <c r="S168" s="173"/>
    </row>
    <row r="169" spans="1:24" s="39" customFormat="1" x14ac:dyDescent="0.3">
      <c r="A169" s="35"/>
      <c r="C169" s="1"/>
      <c r="D169" s="89"/>
      <c r="E169" s="89"/>
      <c r="F169" s="89"/>
      <c r="G169" s="89"/>
      <c r="H169" s="89"/>
      <c r="I169" s="89"/>
      <c r="J169" s="89"/>
      <c r="K169" s="89"/>
      <c r="L169" s="89"/>
      <c r="M169" s="89"/>
      <c r="N169" s="89"/>
      <c r="O169" s="89"/>
      <c r="P169" s="89"/>
      <c r="Q169" s="89"/>
      <c r="R169" s="89"/>
      <c r="S169" s="173"/>
    </row>
    <row r="170" spans="1:24" x14ac:dyDescent="0.3">
      <c r="S170" s="173"/>
    </row>
    <row r="171" spans="1:24" x14ac:dyDescent="0.3">
      <c r="S171" s="173"/>
    </row>
    <row r="172" spans="1:24" x14ac:dyDescent="0.3">
      <c r="S172" s="173"/>
    </row>
    <row r="173" spans="1:24" x14ac:dyDescent="0.3">
      <c r="S173" s="173"/>
    </row>
  </sheetData>
  <pageMargins left="0.25" right="0.25" top="0.5" bottom="0.5" header="0.25" footer="0.25"/>
  <pageSetup scale="59" fitToHeight="3" orientation="landscape" r:id="rId1"/>
  <headerFooter alignWithMargins="0">
    <oddHeader>&amp;A</oddHeader>
    <oddFooter>Page &amp;P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84B250B178914AB82927271531B71A" ma:contentTypeVersion="12" ma:contentTypeDescription="Create a new document." ma:contentTypeScope="" ma:versionID="eb04a2423f1244f70fd7f011bbbc5795">
  <xsd:schema xmlns:xsd="http://www.w3.org/2001/XMLSchema" xmlns:xs="http://www.w3.org/2001/XMLSchema" xmlns:p="http://schemas.microsoft.com/office/2006/metadata/properties" xmlns:ns2="3d519abe-6cab-4e7d-a0d4-6aff8cfcd779" xmlns:ns3="9461095c-9215-420a-9a3c-b94b3e0179d8" targetNamespace="http://schemas.microsoft.com/office/2006/metadata/properties" ma:root="true" ma:fieldsID="1b5a23ebd16fdee33a0c964f2c601a2b" ns2:_="" ns3:_="">
    <xsd:import namespace="3d519abe-6cab-4e7d-a0d4-6aff8cfcd779"/>
    <xsd:import namespace="9461095c-9215-420a-9a3c-b94b3e0179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19abe-6cab-4e7d-a0d4-6aff8cfcd7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61095c-9215-420a-9a3c-b94b3e0179d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115736-462D-4257-A693-3A56E60BE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19abe-6cab-4e7d-a0d4-6aff8cfcd779"/>
    <ds:schemaRef ds:uri="9461095c-9215-420a-9a3c-b94b3e0179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B36E63-579C-4EDD-8A23-C7DEAA226340}">
  <ds:schemaRefs>
    <ds:schemaRef ds:uri="http://purl.org/dc/terms/"/>
    <ds:schemaRef ds:uri="http://schemas.openxmlformats.org/package/2006/metadata/core-properties"/>
    <ds:schemaRef ds:uri="9461095c-9215-420a-9a3c-b94b3e0179d8"/>
    <ds:schemaRef ds:uri="http://schemas.microsoft.com/office/2006/documentManagement/types"/>
    <ds:schemaRef ds:uri="http://schemas.microsoft.com/office/infopath/2007/PartnerControls"/>
    <ds:schemaRef ds:uri="http://purl.org/dc/elements/1.1/"/>
    <ds:schemaRef ds:uri="http://schemas.microsoft.com/office/2006/metadata/properties"/>
    <ds:schemaRef ds:uri="3d519abe-6cab-4e7d-a0d4-6aff8cfcd779"/>
    <ds:schemaRef ds:uri="http://www.w3.org/XML/1998/namespace"/>
    <ds:schemaRef ds:uri="http://purl.org/dc/dcmitype/"/>
  </ds:schemaRefs>
</ds:datastoreItem>
</file>

<file path=customXml/itemProps3.xml><?xml version="1.0" encoding="utf-8"?>
<ds:datastoreItem xmlns:ds="http://schemas.openxmlformats.org/officeDocument/2006/customXml" ds:itemID="{CCDFC168-439D-49AE-B5E0-059C3F8D3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43</vt:i4>
      </vt:variant>
    </vt:vector>
  </HeadingPairs>
  <TitlesOfParts>
    <vt:vector size="70" baseType="lpstr">
      <vt:lpstr>Budget Summary</vt:lpstr>
      <vt:lpstr>Student Info</vt:lpstr>
      <vt:lpstr>Revenue Input</vt:lpstr>
      <vt:lpstr>Expenses Input</vt:lpstr>
      <vt:lpstr>Expenses Summary</vt:lpstr>
      <vt:lpstr>Employee Input 20-21</vt:lpstr>
      <vt:lpstr>Fiscal_Sets</vt:lpstr>
      <vt:lpstr>Employee Input 21-22</vt:lpstr>
      <vt:lpstr>Cash Flow %s Yr2</vt:lpstr>
      <vt:lpstr>Employee Input 22-23</vt:lpstr>
      <vt:lpstr>Cash Flow %s Yr3</vt:lpstr>
      <vt:lpstr>Employee Input 23-24</vt:lpstr>
      <vt:lpstr>Cash Flow %s Yr4</vt:lpstr>
      <vt:lpstr>Employee Input 24-25</vt:lpstr>
      <vt:lpstr>Cash Flow %s Yr5</vt:lpstr>
      <vt:lpstr>Cash Flow $s Yr5</vt:lpstr>
      <vt:lpstr>Cash Flow graphs</vt:lpstr>
      <vt:lpstr>CSMC COA</vt:lpstr>
      <vt:lpstr>CSMC Personnel Codes</vt:lpstr>
      <vt:lpstr>SACS Object Codes</vt:lpstr>
      <vt:lpstr>Cash Flow %s Yr1</vt:lpstr>
      <vt:lpstr>Cash Flow $s Y20-21</vt:lpstr>
      <vt:lpstr>Cash Flow $s 21-22</vt:lpstr>
      <vt:lpstr>Cash Flow $s 22-23</vt:lpstr>
      <vt:lpstr>Cash Flow $s 23-24</vt:lpstr>
      <vt:lpstr>Cash Flow $s Yr4</vt:lpstr>
      <vt:lpstr>Sheet2</vt:lpstr>
      <vt:lpstr>'Budget Summary'!Accounts</vt:lpstr>
      <vt:lpstr>'Cash Flow $s 21-22'!Accounts</vt:lpstr>
      <vt:lpstr>'Cash Flow $s 22-23'!Accounts</vt:lpstr>
      <vt:lpstr>'Cash Flow $s 23-24'!Accounts</vt:lpstr>
      <vt:lpstr>'Cash Flow $s Y20-21'!Accounts</vt:lpstr>
      <vt:lpstr>'Cash Flow $s Yr4'!Accounts</vt:lpstr>
      <vt:lpstr>'Cash Flow $s Yr5'!Accounts</vt:lpstr>
      <vt:lpstr>'Cash Flow %s Yr1'!Accounts</vt:lpstr>
      <vt:lpstr>'Cash Flow %s Yr2'!Accounts</vt:lpstr>
      <vt:lpstr>'Cash Flow %s Yr3'!Accounts</vt:lpstr>
      <vt:lpstr>'Cash Flow %s Yr4'!Accounts</vt:lpstr>
      <vt:lpstr>'Cash Flow %s Yr5'!Accounts</vt:lpstr>
      <vt:lpstr>'Cash Flow graphs'!Accounts</vt:lpstr>
      <vt:lpstr>'Expenses Input'!Accounts</vt:lpstr>
      <vt:lpstr>'Expenses Summary'!Accounts</vt:lpstr>
      <vt:lpstr>'Revenue Input'!Accounts</vt:lpstr>
      <vt:lpstr>'Student Info'!Accounts</vt:lpstr>
      <vt:lpstr>Fiscal_Sets</vt:lpstr>
      <vt:lpstr>'Budget Summary'!Print_Area</vt:lpstr>
      <vt:lpstr>'Cash Flow $s 21-22'!Print_Area</vt:lpstr>
      <vt:lpstr>'Cash Flow $s 22-23'!Print_Area</vt:lpstr>
      <vt:lpstr>'Cash Flow $s Y20-21'!Print_Area</vt:lpstr>
      <vt:lpstr>'Employee Input 20-21'!Print_Area</vt:lpstr>
      <vt:lpstr>'Employee Input 21-22'!Print_Area</vt:lpstr>
      <vt:lpstr>'Employee Input 22-23'!Print_Area</vt:lpstr>
      <vt:lpstr>'Employee Input 23-24'!Print_Area</vt:lpstr>
      <vt:lpstr>'Employee Input 24-25'!Print_Area</vt:lpstr>
      <vt:lpstr>'Expenses Summary'!Print_Area</vt:lpstr>
      <vt:lpstr>'Revenue Input'!Print_Area</vt:lpstr>
      <vt:lpstr>'Student Info'!Print_Area</vt:lpstr>
      <vt:lpstr>'Cash Flow $s 21-22'!Print_Titles</vt:lpstr>
      <vt:lpstr>'Cash Flow $s 22-23'!Print_Titles</vt:lpstr>
      <vt:lpstr>'Cash Flow $s Y20-21'!Print_Titles</vt:lpstr>
      <vt:lpstr>'Cash Flow graphs'!Print_Titles</vt:lpstr>
      <vt:lpstr>'Employee Input 20-21'!Print_Titles</vt:lpstr>
      <vt:lpstr>'Employee Input 21-22'!Print_Titles</vt:lpstr>
      <vt:lpstr>'Employee Input 22-23'!Print_Titles</vt:lpstr>
      <vt:lpstr>'Employee Input 23-24'!Print_Titles</vt:lpstr>
      <vt:lpstr>'Employee Input 24-25'!Print_Titles</vt:lpstr>
      <vt:lpstr>'Expenses Input'!Print_Titles</vt:lpstr>
      <vt:lpstr>'Expenses Summary'!Print_Titles</vt:lpstr>
      <vt:lpstr>'Revenue Input'!Print_Titles</vt:lpstr>
      <vt:lpstr>'Student Info'!Print_Titles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dc:creator>
  <cp:lastModifiedBy>Karen Peters</cp:lastModifiedBy>
  <cp:lastPrinted>2020-10-09T18:43:48Z</cp:lastPrinted>
  <dcterms:created xsi:type="dcterms:W3CDTF">2010-08-31T18:00:39Z</dcterms:created>
  <dcterms:modified xsi:type="dcterms:W3CDTF">2021-11-23T21:37:15Z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0x0101008284B250B178914AB82927271531B71A</vt:lpwstr>
  </property>
</Properties>
</file>