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Mangen Server\IG\Five-Year Forecast\October'24\"/>
    </mc:Choice>
  </mc:AlternateContent>
  <xr:revisionPtr revIDLastSave="0" documentId="13_ncr:1_{5CC224CB-D33C-492B-BE08-AED154A2B872}" xr6:coauthVersionLast="47" xr6:coauthVersionMax="47" xr10:uidLastSave="{00000000-0000-0000-0000-000000000000}"/>
  <bookViews>
    <workbookView xWindow="-108" yWindow="-108" windowWidth="23256" windowHeight="12456" xr2:uid="{A6E8B846-F681-4356-9C38-A7CEAC2B31CC}"/>
  </bookViews>
  <sheets>
    <sheet name="ODE - NWIS" sheetId="1" r:id="rId1"/>
  </sheets>
  <definedNames>
    <definedName name="_xlnm.Print_Area" localSheetId="0">'ODE - NWIS'!$A:$K</definedName>
    <definedName name="_xlnm.Print_Titles" localSheetId="0">'ODE - NWIS'!$1:$7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C146" i="1"/>
  <c r="F119" i="1"/>
  <c r="E119" i="1"/>
  <c r="D119" i="1"/>
  <c r="C119" i="1"/>
  <c r="F118" i="1"/>
  <c r="F120" i="1" s="1"/>
  <c r="E118" i="1"/>
  <c r="E120" i="1" s="1"/>
  <c r="D118" i="1"/>
  <c r="D120" i="1" s="1"/>
  <c r="D122" i="1" s="1"/>
  <c r="C118" i="1"/>
  <c r="C120" i="1" s="1"/>
  <c r="D115" i="1"/>
  <c r="D114" i="1"/>
  <c r="D116" i="1" s="1"/>
  <c r="F112" i="1"/>
  <c r="E112" i="1"/>
  <c r="D112" i="1"/>
  <c r="C112" i="1"/>
  <c r="F111" i="1"/>
  <c r="E111" i="1"/>
  <c r="D111" i="1"/>
  <c r="C111" i="1"/>
  <c r="F110" i="1"/>
  <c r="D110" i="1"/>
  <c r="C110" i="1"/>
  <c r="D109" i="1"/>
  <c r="C109" i="1"/>
  <c r="D108" i="1"/>
  <c r="C108" i="1"/>
  <c r="D107" i="1"/>
  <c r="C107" i="1"/>
  <c r="F106" i="1"/>
  <c r="E106" i="1"/>
  <c r="D106" i="1"/>
  <c r="C106" i="1"/>
  <c r="E103" i="1"/>
  <c r="D103" i="1"/>
  <c r="C103" i="1"/>
  <c r="E102" i="1"/>
  <c r="D102" i="1"/>
  <c r="C102" i="1"/>
  <c r="E101" i="1"/>
  <c r="D101" i="1"/>
  <c r="C101" i="1"/>
  <c r="J100" i="1"/>
  <c r="I100" i="1"/>
  <c r="H100" i="1"/>
  <c r="G100" i="1"/>
  <c r="F100" i="1"/>
  <c r="E100" i="1"/>
  <c r="D100" i="1"/>
  <c r="C100" i="1"/>
  <c r="F99" i="1"/>
  <c r="C145" i="1" s="1"/>
  <c r="E99" i="1"/>
  <c r="D99" i="1"/>
  <c r="C99" i="1"/>
  <c r="J97" i="1"/>
  <c r="J98" i="1" s="1"/>
  <c r="I97" i="1"/>
  <c r="I98" i="1" s="1"/>
  <c r="H97" i="1"/>
  <c r="H98" i="1" s="1"/>
  <c r="G97" i="1"/>
  <c r="G98" i="1" s="1"/>
  <c r="F97" i="1"/>
  <c r="F98" i="1" s="1"/>
  <c r="E97" i="1"/>
  <c r="E98" i="1" s="1"/>
  <c r="D97" i="1"/>
  <c r="D98" i="1" s="1"/>
  <c r="C97" i="1"/>
  <c r="C98" i="1" s="1"/>
  <c r="D96" i="1"/>
  <c r="D92" i="1"/>
  <c r="L92" i="1" s="1"/>
  <c r="C92" i="1"/>
  <c r="M90" i="1"/>
  <c r="L90" i="1"/>
  <c r="R90" i="1"/>
  <c r="P90" i="1"/>
  <c r="O90" i="1"/>
  <c r="N90" i="1"/>
  <c r="M89" i="1"/>
  <c r="L89" i="1"/>
  <c r="R89" i="1"/>
  <c r="Q89" i="1"/>
  <c r="P89" i="1"/>
  <c r="O89" i="1"/>
  <c r="N89" i="1"/>
  <c r="E89" i="1"/>
  <c r="M88" i="1"/>
  <c r="L88" i="1"/>
  <c r="Q88" i="1"/>
  <c r="P88" i="1"/>
  <c r="N88" i="1"/>
  <c r="L85" i="1"/>
  <c r="R85" i="1"/>
  <c r="O85" i="1"/>
  <c r="E85" i="1"/>
  <c r="N85" i="1" s="1"/>
  <c r="M84" i="1"/>
  <c r="L84" i="1"/>
  <c r="R84" i="1"/>
  <c r="Q84" i="1"/>
  <c r="P84" i="1"/>
  <c r="O84" i="1"/>
  <c r="M83" i="1"/>
  <c r="L83" i="1"/>
  <c r="R83" i="1"/>
  <c r="P83" i="1"/>
  <c r="O83" i="1"/>
  <c r="O82" i="1"/>
  <c r="M82" i="1"/>
  <c r="R82" i="1"/>
  <c r="Q82" i="1"/>
  <c r="P82" i="1"/>
  <c r="N82" i="1"/>
  <c r="M80" i="1"/>
  <c r="L80" i="1"/>
  <c r="R80" i="1"/>
  <c r="Q80" i="1"/>
  <c r="P80" i="1"/>
  <c r="O80" i="1"/>
  <c r="N78" i="1"/>
  <c r="M78" i="1"/>
  <c r="L78" i="1"/>
  <c r="R78" i="1"/>
  <c r="Q78" i="1"/>
  <c r="P78" i="1"/>
  <c r="C156" i="1"/>
  <c r="J108" i="1"/>
  <c r="I108" i="1"/>
  <c r="H108" i="1"/>
  <c r="G108" i="1"/>
  <c r="Q76" i="1"/>
  <c r="O76" i="1"/>
  <c r="N76" i="1"/>
  <c r="M76" i="1"/>
  <c r="R76" i="1"/>
  <c r="P76" i="1"/>
  <c r="M74" i="1"/>
  <c r="L74" i="1"/>
  <c r="R74" i="1"/>
  <c r="Q74" i="1"/>
  <c r="N74" i="1"/>
  <c r="R73" i="1"/>
  <c r="Q73" i="1"/>
  <c r="P73" i="1"/>
  <c r="N72" i="1"/>
  <c r="M72" i="1"/>
  <c r="L72" i="1"/>
  <c r="J92" i="1"/>
  <c r="R72" i="1"/>
  <c r="P72" i="1"/>
  <c r="O72" i="1"/>
  <c r="R67" i="1"/>
  <c r="Q67" i="1"/>
  <c r="P67" i="1"/>
  <c r="O67" i="1"/>
  <c r="N67" i="1"/>
  <c r="M67" i="1"/>
  <c r="L67" i="1"/>
  <c r="R66" i="1"/>
  <c r="Q66" i="1"/>
  <c r="P66" i="1"/>
  <c r="O66" i="1"/>
  <c r="N66" i="1"/>
  <c r="M66" i="1"/>
  <c r="L66" i="1"/>
  <c r="N65" i="1"/>
  <c r="M65" i="1"/>
  <c r="L65" i="1"/>
  <c r="J119" i="1"/>
  <c r="R65" i="1"/>
  <c r="H119" i="1"/>
  <c r="P65" i="1"/>
  <c r="M51" i="1"/>
  <c r="L51" i="1"/>
  <c r="L44" i="1"/>
  <c r="I44" i="1"/>
  <c r="E44" i="1"/>
  <c r="M44" i="1" s="1"/>
  <c r="C44" i="1"/>
  <c r="M34" i="1"/>
  <c r="L34" i="1"/>
  <c r="R34" i="1"/>
  <c r="Q34" i="1"/>
  <c r="H44" i="1"/>
  <c r="G44" i="1"/>
  <c r="F44" i="1"/>
  <c r="C28" i="1"/>
  <c r="C115" i="1" s="1"/>
  <c r="M26" i="1"/>
  <c r="L26" i="1"/>
  <c r="R26" i="1"/>
  <c r="Q26" i="1"/>
  <c r="P26" i="1"/>
  <c r="O26" i="1"/>
  <c r="M23" i="1"/>
  <c r="L23" i="1"/>
  <c r="R23" i="1"/>
  <c r="P23" i="1"/>
  <c r="O23" i="1"/>
  <c r="M22" i="1"/>
  <c r="L22" i="1"/>
  <c r="R22" i="1"/>
  <c r="Q22" i="1"/>
  <c r="P22" i="1"/>
  <c r="O22" i="1"/>
  <c r="E22" i="1"/>
  <c r="L21" i="1"/>
  <c r="J110" i="1"/>
  <c r="Q21" i="1"/>
  <c r="H110" i="1"/>
  <c r="P21" i="1"/>
  <c r="N21" i="1"/>
  <c r="E21" i="1"/>
  <c r="E110" i="1" s="1"/>
  <c r="M20" i="1"/>
  <c r="L20" i="1"/>
  <c r="J109" i="1"/>
  <c r="I109" i="1"/>
  <c r="Q20" i="1"/>
  <c r="G109" i="1"/>
  <c r="N20" i="1"/>
  <c r="E20" i="1"/>
  <c r="E109" i="1" s="1"/>
  <c r="L17" i="1"/>
  <c r="E17" i="1"/>
  <c r="E114" i="1" s="1"/>
  <c r="C17" i="1"/>
  <c r="C114" i="1" s="1"/>
  <c r="C116" i="1" s="1"/>
  <c r="M16" i="1"/>
  <c r="L16" i="1"/>
  <c r="Q16" i="1"/>
  <c r="P16" i="1"/>
  <c r="N16" i="1"/>
  <c r="N13" i="1"/>
  <c r="M13" i="1"/>
  <c r="L13" i="1"/>
  <c r="J17" i="1"/>
  <c r="Q13" i="1"/>
  <c r="H17" i="1"/>
  <c r="G17" i="1"/>
  <c r="O13" i="1"/>
  <c r="R11" i="1"/>
  <c r="Q11" i="1"/>
  <c r="P11" i="1"/>
  <c r="O11" i="1"/>
  <c r="N11" i="1"/>
  <c r="M11" i="1"/>
  <c r="L11" i="1"/>
  <c r="R10" i="1"/>
  <c r="Q10" i="1"/>
  <c r="P10" i="1"/>
  <c r="O10" i="1"/>
  <c r="N10" i="1"/>
  <c r="M10" i="1"/>
  <c r="L10" i="1"/>
  <c r="O44" i="1" l="1"/>
  <c r="G102" i="1"/>
  <c r="G114" i="1"/>
  <c r="P44" i="1"/>
  <c r="H102" i="1"/>
  <c r="J114" i="1"/>
  <c r="P17" i="1"/>
  <c r="H114" i="1"/>
  <c r="H101" i="1"/>
  <c r="Q44" i="1"/>
  <c r="N44" i="1"/>
  <c r="F102" i="1"/>
  <c r="C122" i="1"/>
  <c r="R21" i="1"/>
  <c r="Q23" i="1"/>
  <c r="F28" i="1"/>
  <c r="M17" i="1"/>
  <c r="P20" i="1"/>
  <c r="N22" i="1"/>
  <c r="N26" i="1"/>
  <c r="G28" i="1"/>
  <c r="N34" i="1"/>
  <c r="J44" i="1"/>
  <c r="O65" i="1"/>
  <c r="P74" i="1"/>
  <c r="O78" i="1"/>
  <c r="N80" i="1"/>
  <c r="N84" i="1"/>
  <c r="Q85" i="1"/>
  <c r="E92" i="1"/>
  <c r="G99" i="1"/>
  <c r="G106" i="1"/>
  <c r="G107" i="1"/>
  <c r="G110" i="1"/>
  <c r="G111" i="1"/>
  <c r="G112" i="1"/>
  <c r="G118" i="1"/>
  <c r="G120" i="1" s="1"/>
  <c r="G119" i="1"/>
  <c r="R16" i="1"/>
  <c r="R88" i="1"/>
  <c r="Q90" i="1"/>
  <c r="F107" i="1"/>
  <c r="F108" i="1"/>
  <c r="F109" i="1"/>
  <c r="H28" i="1"/>
  <c r="O34" i="1"/>
  <c r="G92" i="1"/>
  <c r="O92" i="1" s="1"/>
  <c r="H99" i="1"/>
  <c r="H106" i="1"/>
  <c r="H107" i="1"/>
  <c r="H109" i="1"/>
  <c r="H111" i="1"/>
  <c r="H112" i="1"/>
  <c r="H118" i="1"/>
  <c r="H120" i="1" s="1"/>
  <c r="Q83" i="1"/>
  <c r="F17" i="1"/>
  <c r="O17" i="1" s="1"/>
  <c r="R20" i="1"/>
  <c r="M21" i="1"/>
  <c r="I28" i="1"/>
  <c r="P34" i="1"/>
  <c r="Q65" i="1"/>
  <c r="H92" i="1"/>
  <c r="I99" i="1"/>
  <c r="I102" i="1"/>
  <c r="I106" i="1"/>
  <c r="I107" i="1"/>
  <c r="I110" i="1"/>
  <c r="I111" i="1"/>
  <c r="I112" i="1"/>
  <c r="I118" i="1"/>
  <c r="I119" i="1"/>
  <c r="O74" i="1"/>
  <c r="P85" i="1"/>
  <c r="P13" i="1"/>
  <c r="R13" i="1"/>
  <c r="J28" i="1"/>
  <c r="J31" i="1" s="1"/>
  <c r="C31" i="1"/>
  <c r="O73" i="1"/>
  <c r="I92" i="1"/>
  <c r="Q92" i="1" s="1"/>
  <c r="J99" i="1"/>
  <c r="J106" i="1"/>
  <c r="J107" i="1"/>
  <c r="J111" i="1"/>
  <c r="J112" i="1"/>
  <c r="J118" i="1"/>
  <c r="J120" i="1" s="1"/>
  <c r="O20" i="1"/>
  <c r="O16" i="1"/>
  <c r="O21" i="1"/>
  <c r="N23" i="1"/>
  <c r="L28" i="1"/>
  <c r="E31" i="1"/>
  <c r="Q72" i="1"/>
  <c r="N83" i="1"/>
  <c r="M85" i="1"/>
  <c r="O88" i="1"/>
  <c r="C96" i="1"/>
  <c r="I17" i="1"/>
  <c r="E28" i="1"/>
  <c r="E107" i="1"/>
  <c r="E108" i="1"/>
  <c r="J49" i="1" l="1"/>
  <c r="L31" i="1"/>
  <c r="C49" i="1"/>
  <c r="H115" i="1"/>
  <c r="H116" i="1" s="1"/>
  <c r="H122" i="1" s="1"/>
  <c r="H96" i="1"/>
  <c r="P28" i="1"/>
  <c r="G115" i="1"/>
  <c r="G96" i="1"/>
  <c r="O28" i="1"/>
  <c r="G101" i="1"/>
  <c r="I115" i="1"/>
  <c r="I96" i="1"/>
  <c r="Q28" i="1"/>
  <c r="R92" i="1"/>
  <c r="G116" i="1"/>
  <c r="G122" i="1" s="1"/>
  <c r="M31" i="1"/>
  <c r="E49" i="1"/>
  <c r="E115" i="1"/>
  <c r="E116" i="1" s="1"/>
  <c r="E122" i="1" s="1"/>
  <c r="E96" i="1"/>
  <c r="M28" i="1"/>
  <c r="Q17" i="1"/>
  <c r="I114" i="1"/>
  <c r="I101" i="1"/>
  <c r="I31" i="1"/>
  <c r="J101" i="1"/>
  <c r="G31" i="1"/>
  <c r="F31" i="1"/>
  <c r="N17" i="1"/>
  <c r="F114" i="1"/>
  <c r="F101" i="1"/>
  <c r="N28" i="1"/>
  <c r="F96" i="1"/>
  <c r="F115" i="1"/>
  <c r="J116" i="1"/>
  <c r="J122" i="1" s="1"/>
  <c r="J102" i="1"/>
  <c r="R44" i="1"/>
  <c r="H31" i="1"/>
  <c r="R17" i="1"/>
  <c r="J115" i="1"/>
  <c r="J96" i="1"/>
  <c r="R28" i="1"/>
  <c r="I120" i="1"/>
  <c r="P92" i="1"/>
  <c r="M92" i="1"/>
  <c r="N92" i="1"/>
  <c r="E53" i="1" l="1"/>
  <c r="M49" i="1"/>
  <c r="C53" i="1"/>
  <c r="L53" i="1" s="1"/>
  <c r="L49" i="1"/>
  <c r="O31" i="1"/>
  <c r="G49" i="1"/>
  <c r="I49" i="1"/>
  <c r="Q31" i="1"/>
  <c r="N31" i="1"/>
  <c r="F49" i="1"/>
  <c r="R31" i="1"/>
  <c r="I116" i="1"/>
  <c r="I122" i="1" s="1"/>
  <c r="P31" i="1"/>
  <c r="H49" i="1"/>
  <c r="F116" i="1"/>
  <c r="F122" i="1" s="1"/>
  <c r="Q49" i="1" l="1"/>
  <c r="O49" i="1"/>
  <c r="N49" i="1"/>
  <c r="F51" i="1"/>
  <c r="N51" i="1" s="1"/>
  <c r="M53" i="1"/>
  <c r="P49" i="1"/>
  <c r="R49" i="1"/>
  <c r="F53" i="1" l="1"/>
  <c r="N53" i="1" l="1"/>
  <c r="G51" i="1"/>
  <c r="F103" i="1"/>
  <c r="O51" i="1" l="1"/>
  <c r="G53" i="1"/>
  <c r="O53" i="1" l="1"/>
  <c r="G103" i="1"/>
  <c r="H51" i="1"/>
  <c r="P51" i="1" l="1"/>
  <c r="H53" i="1"/>
  <c r="P53" i="1" l="1"/>
  <c r="H103" i="1"/>
  <c r="I51" i="1"/>
  <c r="Q51" i="1" l="1"/>
  <c r="I53" i="1"/>
  <c r="Q53" i="1" l="1"/>
  <c r="I103" i="1"/>
  <c r="J51" i="1"/>
  <c r="R51" i="1" l="1"/>
  <c r="J53" i="1"/>
  <c r="J103" i="1" l="1"/>
  <c r="R53" i="1"/>
</calcChain>
</file>

<file path=xl/sharedStrings.xml><?xml version="1.0" encoding="utf-8"?>
<sst xmlns="http://schemas.openxmlformats.org/spreadsheetml/2006/main" count="168" uniqueCount="155">
  <si>
    <t>FY25 - October 2024 Submission</t>
  </si>
  <si>
    <t>IRN No.: 012030</t>
  </si>
  <si>
    <t>Type of School: Brick and Mortar</t>
  </si>
  <si>
    <t>Contract Term: 06/30/2029</t>
  </si>
  <si>
    <t>NEAR WEST INTERGENERATIONAL SCHOOL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</si>
  <si>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</si>
  <si>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</si>
  <si>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</si>
  <si>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Forecast</t>
  </si>
  <si>
    <t>Actual</t>
  </si>
  <si>
    <t>Fiscal Year</t>
  </si>
  <si>
    <t>FY22</t>
  </si>
  <si>
    <t>FY23</t>
  </si>
  <si>
    <t>FY24</t>
  </si>
  <si>
    <t>FY25</t>
  </si>
  <si>
    <t>FY26</t>
  </si>
  <si>
    <t>FY27</t>
  </si>
  <si>
    <t>FY28</t>
  </si>
  <si>
    <t>FY29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</si>
  <si>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</si>
  <si>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</si>
  <si>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</si>
  <si>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</si>
  <si>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</si>
  <si>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</si>
  <si>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</si>
  <si>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</si>
  <si>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</si>
  <si>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</si>
  <si>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</si>
  <si>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</si>
  <si>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</si>
  <si>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</si>
  <si>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</si>
  <si>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</si>
  <si>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</si>
  <si>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</si>
  <si>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</si>
  <si>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</si>
  <si>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</si>
  <si>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</si>
  <si>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</si>
  <si>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</si>
  <si>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</si>
  <si>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</si>
  <si>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</si>
  <si>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</si>
  <si>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</si>
  <si>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</si>
  <si>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</si>
  <si>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</si>
  <si>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</si>
  <si>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</si>
  <si>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</si>
  <si>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</si>
  <si>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</si>
  <si>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</si>
  <si>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</si>
  <si>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</si>
  <si>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</si>
  <si>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</si>
  <si>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</si>
  <si>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</si>
  <si>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</si>
  <si>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</si>
  <si>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</si>
  <si>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</si>
  <si>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</si>
  <si>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</si>
  <si>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</si>
  <si>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Insurance (USAS code of 851 - incl in Other)</t>
  </si>
  <si>
    <t>Management Fee</t>
  </si>
  <si>
    <t>Sponsor Fee</t>
  </si>
  <si>
    <t>Audit Fees</t>
  </si>
  <si>
    <t>Audit Fees (USAS code of 843 - incl in Other)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</si>
  <si>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</si>
  <si>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</si>
  <si>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</si>
  <si>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</si>
  <si>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</si>
  <si>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</si>
  <si>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</si>
  <si>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</si>
  <si>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</si>
  <si>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</si>
  <si>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</si>
  <si>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 Purchased Services</t>
  </si>
  <si>
    <t>Financial Metrics</t>
  </si>
  <si>
    <t>Expenditures per FTE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</si>
  <si>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</si>
  <si>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</si>
  <si>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</si>
  <si>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</si>
  <si>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</si>
  <si>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</si>
  <si>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</si>
  <si>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Additional Metrics</t>
  </si>
  <si>
    <t>Management Fee per Pupil</t>
  </si>
  <si>
    <t>Salary and Wages per Pupil</t>
  </si>
  <si>
    <t>Salary, Wages, and Management Fee per Pupil</t>
  </si>
  <si>
    <t>Avg Staff Salary</t>
  </si>
  <si>
    <t>Benefits per Pupil</t>
  </si>
  <si>
    <t>Number of Students per Instruction Staff</t>
  </si>
  <si>
    <t>Number of Students per Total Staff</t>
  </si>
  <si>
    <t>Receipts per Pupil</t>
  </si>
  <si>
    <t>Disbursements per Pupil</t>
  </si>
  <si>
    <t>Operating Surplus/Deficit per Pupil</t>
  </si>
  <si>
    <t>Nonoperating Receipts per Pupil</t>
  </si>
  <si>
    <t>Nonoperating Disbursements per Pupil</t>
  </si>
  <si>
    <t>Nonoperating Surplus/Deficit per Pupil</t>
  </si>
  <si>
    <t>Total Surplus/Deficit per Pupil</t>
  </si>
  <si>
    <t>Assumptions Narrative Summary</t>
  </si>
  <si>
    <t>Principle Retirement</t>
  </si>
  <si>
    <t>Interest Expense</t>
  </si>
  <si>
    <t>Ending
Year Balance</t>
  </si>
  <si>
    <t>Debitor/
Creditor</t>
  </si>
  <si>
    <t>Miscellaneous Notes:</t>
  </si>
  <si>
    <t xml:space="preserve">The School does not use a management company. </t>
  </si>
  <si>
    <t>The School Sponsor is the Cleveland Metropolitan School District (CMSD). The contracted base fee is 2% of State Foundation revenues.</t>
  </si>
  <si>
    <t>Treasurer: Doug Mangen</t>
  </si>
  <si>
    <t>Expenditure/Expenses/Enrollment</t>
  </si>
  <si>
    <t>Inc / Dec</t>
  </si>
  <si>
    <t>Justification</t>
  </si>
  <si>
    <t>FY25 Enrollment</t>
  </si>
  <si>
    <t>Enrollment based on current and projected student counts</t>
  </si>
  <si>
    <t>State Foundation Payment / FTE</t>
  </si>
  <si>
    <t>Based on the most recent available State Foundation Report</t>
  </si>
  <si>
    <t>Forecasted Average Enrollment Growth</t>
  </si>
  <si>
    <t>The School will maintain its current class offerings through the timeframe at a maximum of 255 FTE</t>
  </si>
  <si>
    <t>Forecasted Expense Inflation</t>
  </si>
  <si>
    <t>The forecast uses 2% as an estimate for inflation</t>
  </si>
  <si>
    <t>Forecast Salaries &amp; Wages</t>
  </si>
  <si>
    <t>Staff and compensation planning results in an average 1% annual increase in wages</t>
  </si>
  <si>
    <t>FY25 Rent</t>
  </si>
  <si>
    <t>Rent based on Current Lease Agreement with CMSD</t>
  </si>
  <si>
    <t>FY25 Utilities</t>
  </si>
  <si>
    <t xml:space="preserve">Utilities based on Current Lease Agreement with CMSD. </t>
  </si>
  <si>
    <t>Other Facilitiy Costs</t>
  </si>
  <si>
    <t>Other Facilties Costs based on Lease Agreement with CMSD for Janitorial Services and other estimated expenses.</t>
  </si>
  <si>
    <t>Insurance based on FY24 coverage and increased for inflation</t>
  </si>
  <si>
    <t>No Management company</t>
  </si>
  <si>
    <t>Base rate based on current contract agreement</t>
  </si>
  <si>
    <t>Audit Fee</t>
  </si>
  <si>
    <t>Audit based on FY24 expenses paid</t>
  </si>
  <si>
    <t>FY25 Food Service</t>
  </si>
  <si>
    <t>Food services expenses based on FY24 expenses paid and estimated expenses</t>
  </si>
  <si>
    <t>FY25 Transportation</t>
  </si>
  <si>
    <t>Includes Field Trip Transportation</t>
  </si>
  <si>
    <t>FY25 Legal</t>
  </si>
  <si>
    <t>Legal expenses based on FY24 expenses paid and estimated expenses</t>
  </si>
  <si>
    <t>FY25 Marketing</t>
  </si>
  <si>
    <t>Paid and estimated expenses for community outreach and recruitment efforts</t>
  </si>
  <si>
    <t>FY25 Consulting</t>
  </si>
  <si>
    <t xml:space="preserve">Includes vendors for services including but not limited to School Improvement, Substitute Teacher Services, Professional </t>
  </si>
  <si>
    <t>Development, Treasurer and Accounting services. Consulting expenses based on FY24 expenses paid and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</si>
</sst>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8"/>
      <color rgb="FFFF0000"/>
      <name val="Arial"/>
      <family val="2"/>
    </font>
    <font>
      <b/>
      <u/>
      <sz val="9"/>
      <name val="Arial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DDD9C3"/>
        <bgColor rgb="FFDDD9C3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0" fontId="2" fillId="0" borderId="1" xfId="2" applyFont="1" applyBorder="1" applyAlignment="1" applyProtection="1">
      <alignment vertical="center"/>
      <protection locked="0"/>
    </xf>
    <xf numFmtId="0" fontId="3" fillId="0" borderId="2" xfId="2" applyFont="1" applyBorder="1" applyAlignment="1">
      <alignment vertical="center"/>
    </xf>
    <xf numFmtId="0" fontId="4" fillId="0" borderId="3" xfId="2" applyFont="1" applyBorder="1"/>
    <xf numFmtId="164" fontId="4" fillId="0" borderId="3" xfId="2" applyNumberFormat="1" applyFont="1" applyBorder="1"/>
    <xf numFmtId="0" fontId="1" fillId="0" borderId="4" xfId="2" applyBorder="1"/>
    <xf numFmtId="0" fontId="1" fillId="0" borderId="0" xfId="2"/>
    <xf numFmtId="0" fontId="2" fillId="0" borderId="5" xfId="2" applyFont="1" applyBorder="1" applyAlignment="1" applyProtection="1">
      <alignment vertical="center"/>
      <protection locked="0"/>
    </xf>
    <xf numFmtId="0" fontId="3" fillId="0" borderId="6" xfId="2" applyFont="1" applyBorder="1" applyAlignment="1">
      <alignment vertical="center"/>
    </xf>
    <xf numFmtId="0" fontId="4" fillId="0" borderId="0" xfId="2" applyFont="1"/>
    <xf numFmtId="164" fontId="4" fillId="0" borderId="0" xfId="2" applyNumberFormat="1" applyFont="1"/>
    <xf numFmtId="43" fontId="4" fillId="0" borderId="0" xfId="2" applyNumberFormat="1" applyFont="1"/>
    <xf numFmtId="0" fontId="1" fillId="0" borderId="7" xfId="2" applyBorder="1"/>
    <xf numFmtId="0" fontId="2" fillId="0" borderId="5" xfId="2" applyFont="1" applyBorder="1" applyAlignment="1">
      <alignment vertical="center"/>
    </xf>
    <xf numFmtId="0" fontId="1" fillId="0" borderId="5" xfId="2" applyBorder="1" applyProtection="1">
      <protection locked="0"/>
    </xf>
    <xf numFmtId="0" fontId="0" fillId="0" borderId="6" xfId="2" applyFont="1" applyBorder="1"/>
    <xf numFmtId="0" fontId="7" fillId="0" borderId="5" xfId="2" applyFont="1" applyBorder="1"/>
    <xf numFmtId="0" fontId="8" fillId="0" borderId="6" xfId="2" applyFont="1" applyBorder="1"/>
    <xf numFmtId="0" fontId="7" fillId="0" borderId="6" xfId="2" applyFont="1" applyBorder="1"/>
    <xf numFmtId="0" fontId="7" fillId="0" borderId="0" xfId="2" applyFont="1"/>
    <xf numFmtId="0" fontId="4" fillId="0" borderId="5" xfId="2" applyFont="1" applyBorder="1"/>
    <xf numFmtId="0" fontId="9" fillId="0" borderId="6" xfId="2" applyFont="1" applyBorder="1"/>
    <xf numFmtId="0" fontId="9" fillId="2" borderId="19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9" fillId="2" borderId="22" xfId="2" applyFont="1" applyFill="1" applyBorder="1" applyAlignment="1">
      <alignment horizontal="center"/>
    </xf>
    <xf numFmtId="0" fontId="9" fillId="2" borderId="23" xfId="2" applyFont="1" applyFill="1" applyBorder="1" applyAlignment="1">
      <alignment horizontal="center"/>
    </xf>
    <xf numFmtId="0" fontId="9" fillId="2" borderId="24" xfId="2" applyFont="1" applyFill="1" applyBorder="1" applyAlignment="1">
      <alignment horizontal="center"/>
    </xf>
    <xf numFmtId="0" fontId="9" fillId="2" borderId="25" xfId="2" applyFont="1" applyFill="1" applyBorder="1" applyAlignment="1">
      <alignment horizontal="center"/>
    </xf>
    <xf numFmtId="0" fontId="10" fillId="0" borderId="5" xfId="2" applyFont="1" applyBorder="1"/>
    <xf numFmtId="0" fontId="10" fillId="0" borderId="6" xfId="2" applyFont="1" applyBorder="1"/>
    <xf numFmtId="44" fontId="9" fillId="0" borderId="6" xfId="2" applyNumberFormat="1" applyFont="1" applyBorder="1" applyAlignment="1">
      <alignment horizontal="right"/>
    </xf>
    <xf numFmtId="44" fontId="9" fillId="0" borderId="0" xfId="2" applyNumberFormat="1" applyFont="1" applyAlignment="1">
      <alignment horizontal="right"/>
    </xf>
    <xf numFmtId="0" fontId="9" fillId="0" borderId="5" xfId="2" applyFont="1" applyBorder="1"/>
    <xf numFmtId="164" fontId="9" fillId="0" borderId="26" xfId="1" applyNumberFormat="1" applyFont="1" applyFill="1" applyBorder="1" applyAlignment="1">
      <alignment horizontal="right" vertical="top"/>
    </xf>
    <xf numFmtId="164" fontId="9" fillId="0" borderId="27" xfId="1" applyNumberFormat="1" applyFont="1" applyFill="1" applyBorder="1" applyAlignment="1">
      <alignment horizontal="right" vertical="top"/>
    </xf>
    <xf numFmtId="164" fontId="9" fillId="0" borderId="28" xfId="1" applyNumberFormat="1" applyFont="1" applyFill="1" applyBorder="1" applyAlignment="1">
      <alignment horizontal="right" vertical="top"/>
    </xf>
    <xf numFmtId="164" fontId="9" fillId="0" borderId="29" xfId="1" applyNumberFormat="1" applyFont="1" applyBorder="1" applyAlignment="1">
      <alignment horizontal="right" vertical="top"/>
    </xf>
    <xf numFmtId="164" fontId="9" fillId="0" borderId="30" xfId="1" applyNumberFormat="1" applyFont="1" applyBorder="1" applyAlignment="1">
      <alignment horizontal="right" vertical="top"/>
    </xf>
    <xf numFmtId="164" fontId="9" fillId="0" borderId="28" xfId="1" applyNumberFormat="1" applyFont="1" applyBorder="1" applyAlignment="1">
      <alignment horizontal="right" vertical="top"/>
    </xf>
    <xf numFmtId="9" fontId="4" fillId="0" borderId="31" xfId="3" applyFont="1" applyBorder="1"/>
    <xf numFmtId="9" fontId="4" fillId="0" borderId="32" xfId="3" applyFont="1" applyBorder="1"/>
    <xf numFmtId="9" fontId="4" fillId="0" borderId="33" xfId="3" applyFont="1" applyBorder="1"/>
    <xf numFmtId="9" fontId="4" fillId="0" borderId="34" xfId="3" applyFont="1" applyBorder="1"/>
    <xf numFmtId="164" fontId="9" fillId="0" borderId="35" xfId="1" applyNumberFormat="1" applyFont="1" applyFill="1" applyBorder="1" applyAlignment="1">
      <alignment horizontal="right" vertical="top"/>
    </xf>
    <xf numFmtId="164" fontId="9" fillId="0" borderId="36" xfId="1" applyNumberFormat="1" applyFont="1" applyFill="1" applyBorder="1" applyAlignment="1">
      <alignment horizontal="right" vertical="top"/>
    </xf>
    <xf numFmtId="164" fontId="9" fillId="0" borderId="37" xfId="1" applyNumberFormat="1" applyFont="1" applyFill="1" applyBorder="1" applyAlignment="1">
      <alignment horizontal="right" vertical="top"/>
    </xf>
    <xf numFmtId="164" fontId="9" fillId="0" borderId="38" xfId="1" applyNumberFormat="1" applyFont="1" applyBorder="1" applyAlignment="1">
      <alignment horizontal="right" vertical="top"/>
    </xf>
    <xf numFmtId="164" fontId="9" fillId="0" borderId="39" xfId="1" applyNumberFormat="1" applyFont="1" applyBorder="1" applyAlignment="1">
      <alignment horizontal="right" vertical="top"/>
    </xf>
    <xf numFmtId="164" fontId="9" fillId="0" borderId="37" xfId="1" applyNumberFormat="1" applyFont="1" applyBorder="1" applyAlignment="1">
      <alignment horizontal="right" vertical="top"/>
    </xf>
    <xf numFmtId="9" fontId="4" fillId="0" borderId="40" xfId="3" applyFont="1" applyBorder="1"/>
    <xf numFmtId="9" fontId="4" fillId="0" borderId="41" xfId="3" applyFont="1" applyBorder="1"/>
    <xf numFmtId="9" fontId="4" fillId="0" borderId="42" xfId="3" applyFont="1" applyBorder="1"/>
    <xf numFmtId="9" fontId="4" fillId="0" borderId="43" xfId="3" applyFont="1" applyBorder="1"/>
    <xf numFmtId="0" fontId="3" fillId="5" borderId="5" xfId="2" applyFont="1" applyFill="1" applyBorder="1"/>
    <xf numFmtId="0" fontId="3" fillId="0" borderId="6" xfId="2" applyFont="1" applyBorder="1"/>
    <xf numFmtId="164" fontId="9" fillId="5" borderId="44" xfId="1" applyNumberFormat="1" applyFont="1" applyFill="1" applyBorder="1" applyAlignment="1">
      <alignment horizontal="right" vertical="top"/>
    </xf>
    <xf numFmtId="164" fontId="9" fillId="5" borderId="39" xfId="1" applyNumberFormat="1" applyFont="1" applyFill="1" applyBorder="1" applyAlignment="1">
      <alignment horizontal="right" vertical="top"/>
    </xf>
    <xf numFmtId="164" fontId="9" fillId="5" borderId="37" xfId="1" applyNumberFormat="1" applyFont="1" applyFill="1" applyBorder="1" applyAlignment="1">
      <alignment horizontal="right" vertical="top"/>
    </xf>
    <xf numFmtId="164" fontId="9" fillId="5" borderId="38" xfId="1" applyNumberFormat="1" applyFont="1" applyFill="1" applyBorder="1" applyAlignment="1">
      <alignment horizontal="right" vertical="top"/>
    </xf>
    <xf numFmtId="9" fontId="4" fillId="5" borderId="40" xfId="3" applyFont="1" applyFill="1" applyBorder="1"/>
    <xf numFmtId="9" fontId="4" fillId="5" borderId="41" xfId="3" applyFont="1" applyFill="1" applyBorder="1"/>
    <xf numFmtId="9" fontId="4" fillId="5" borderId="42" xfId="3" applyFont="1" applyFill="1" applyBorder="1"/>
    <xf numFmtId="9" fontId="4" fillId="5" borderId="43" xfId="3" applyFont="1" applyFill="1" applyBorder="1"/>
    <xf numFmtId="0" fontId="3" fillId="0" borderId="5" xfId="2" applyFont="1" applyBorder="1"/>
    <xf numFmtId="164" fontId="9" fillId="0" borderId="44" xfId="1" applyNumberFormat="1" applyFont="1" applyFill="1" applyBorder="1" applyAlignment="1">
      <alignment horizontal="right" vertical="top"/>
    </xf>
    <xf numFmtId="164" fontId="9" fillId="0" borderId="39" xfId="1" applyNumberFormat="1" applyFont="1" applyFill="1" applyBorder="1" applyAlignment="1">
      <alignment horizontal="right" vertical="top"/>
    </xf>
    <xf numFmtId="164" fontId="9" fillId="0" borderId="44" xfId="3" applyNumberFormat="1" applyFont="1" applyFill="1" applyBorder="1" applyAlignment="1">
      <alignment horizontal="right" vertical="top"/>
    </xf>
    <xf numFmtId="164" fontId="9" fillId="0" borderId="39" xfId="3" applyNumberFormat="1" applyFont="1" applyFill="1" applyBorder="1" applyAlignment="1">
      <alignment horizontal="right" vertical="top"/>
    </xf>
    <xf numFmtId="0" fontId="3" fillId="6" borderId="5" xfId="2" applyFont="1" applyFill="1" applyBorder="1"/>
    <xf numFmtId="164" fontId="9" fillId="6" borderId="44" xfId="1" applyNumberFormat="1" applyFont="1" applyFill="1" applyBorder="1" applyAlignment="1">
      <alignment horizontal="right" vertical="top"/>
    </xf>
    <xf numFmtId="164" fontId="9" fillId="6" borderId="39" xfId="1" applyNumberFormat="1" applyFont="1" applyFill="1" applyBorder="1" applyAlignment="1">
      <alignment horizontal="right" vertical="top"/>
    </xf>
    <xf numFmtId="164" fontId="9" fillId="6" borderId="37" xfId="1" applyNumberFormat="1" applyFont="1" applyFill="1" applyBorder="1" applyAlignment="1">
      <alignment horizontal="right" vertical="top"/>
    </xf>
    <xf numFmtId="164" fontId="9" fillId="6" borderId="38" xfId="1" applyNumberFormat="1" applyFont="1" applyFill="1" applyBorder="1" applyAlignment="1">
      <alignment horizontal="right" vertical="top"/>
    </xf>
    <xf numFmtId="9" fontId="4" fillId="6" borderId="40" xfId="3" applyFont="1" applyFill="1" applyBorder="1"/>
    <xf numFmtId="9" fontId="4" fillId="6" borderId="41" xfId="3" applyFont="1" applyFill="1" applyBorder="1"/>
    <xf numFmtId="9" fontId="4" fillId="6" borderId="42" xfId="3" applyFont="1" applyFill="1" applyBorder="1"/>
    <xf numFmtId="9" fontId="4" fillId="6" borderId="43" xfId="3" applyFont="1" applyFill="1" applyBorder="1"/>
    <xf numFmtId="164" fontId="9" fillId="0" borderId="45" xfId="1" applyNumberFormat="1" applyFont="1" applyBorder="1" applyAlignment="1">
      <alignment horizontal="right" vertical="top"/>
    </xf>
    <xf numFmtId="164" fontId="9" fillId="0" borderId="46" xfId="1" applyNumberFormat="1" applyFont="1" applyBorder="1" applyAlignment="1">
      <alignment horizontal="right" vertical="top"/>
    </xf>
    <xf numFmtId="164" fontId="9" fillId="0" borderId="47" xfId="1" applyNumberFormat="1" applyFont="1" applyBorder="1" applyAlignment="1">
      <alignment horizontal="right" vertical="top"/>
    </xf>
    <xf numFmtId="164" fontId="9" fillId="0" borderId="44" xfId="1" applyNumberFormat="1" applyFont="1" applyFill="1" applyBorder="1" applyAlignment="1">
      <alignment vertical="top"/>
    </xf>
    <xf numFmtId="164" fontId="9" fillId="0" borderId="39" xfId="1" applyNumberFormat="1" applyFont="1" applyFill="1" applyBorder="1" applyAlignment="1">
      <alignment vertical="top"/>
    </xf>
    <xf numFmtId="164" fontId="9" fillId="0" borderId="37" xfId="1" applyNumberFormat="1" applyFont="1" applyFill="1" applyBorder="1" applyAlignment="1">
      <alignment vertical="top"/>
    </xf>
    <xf numFmtId="164" fontId="9" fillId="0" borderId="48" xfId="1" applyNumberFormat="1" applyFont="1" applyBorder="1" applyAlignment="1">
      <alignment vertical="top"/>
    </xf>
    <xf numFmtId="164" fontId="9" fillId="0" borderId="49" xfId="1" applyNumberFormat="1" applyFont="1" applyBorder="1" applyAlignment="1">
      <alignment vertical="top"/>
    </xf>
    <xf numFmtId="164" fontId="9" fillId="0" borderId="50" xfId="1" applyNumberFormat="1" applyFont="1" applyBorder="1" applyAlignment="1">
      <alignment vertical="top"/>
    </xf>
    <xf numFmtId="164" fontId="9" fillId="0" borderId="38" xfId="1" applyNumberFormat="1" applyFont="1" applyBorder="1" applyAlignment="1">
      <alignment vertical="top"/>
    </xf>
    <xf numFmtId="164" fontId="9" fillId="0" borderId="39" xfId="1" applyNumberFormat="1" applyFont="1" applyBorder="1" applyAlignment="1">
      <alignment vertical="top"/>
    </xf>
    <xf numFmtId="164" fontId="9" fillId="0" borderId="37" xfId="1" applyNumberFormat="1" applyFont="1" applyBorder="1" applyAlignment="1">
      <alignment vertical="top"/>
    </xf>
    <xf numFmtId="164" fontId="9" fillId="0" borderId="51" xfId="1" applyNumberFormat="1" applyFont="1" applyFill="1" applyBorder="1" applyAlignment="1">
      <alignment vertical="top"/>
    </xf>
    <xf numFmtId="164" fontId="9" fillId="0" borderId="52" xfId="1" applyNumberFormat="1" applyFont="1" applyFill="1" applyBorder="1" applyAlignment="1">
      <alignment vertical="top"/>
    </xf>
    <xf numFmtId="164" fontId="9" fillId="0" borderId="53" xfId="1" applyNumberFormat="1" applyFont="1" applyFill="1" applyBorder="1" applyAlignment="1">
      <alignment vertical="top"/>
    </xf>
    <xf numFmtId="164" fontId="9" fillId="0" borderId="54" xfId="1" applyNumberFormat="1" applyFont="1" applyBorder="1" applyAlignment="1">
      <alignment vertical="top"/>
    </xf>
    <xf numFmtId="164" fontId="9" fillId="0" borderId="55" xfId="1" applyNumberFormat="1" applyFont="1" applyBorder="1" applyAlignment="1">
      <alignment vertical="top"/>
    </xf>
    <xf numFmtId="164" fontId="9" fillId="0" borderId="56" xfId="1" applyNumberFormat="1" applyFont="1" applyBorder="1" applyAlignment="1">
      <alignment vertical="top"/>
    </xf>
    <xf numFmtId="164" fontId="9" fillId="5" borderId="57" xfId="1" applyNumberFormat="1" applyFont="1" applyFill="1" applyBorder="1" applyAlignment="1">
      <alignment horizontal="right" vertical="top"/>
    </xf>
    <xf numFmtId="164" fontId="9" fillId="5" borderId="58" xfId="1" applyNumberFormat="1" applyFont="1" applyFill="1" applyBorder="1" applyAlignment="1">
      <alignment horizontal="right" vertical="top"/>
    </xf>
    <xf numFmtId="164" fontId="9" fillId="5" borderId="59" xfId="1" applyNumberFormat="1" applyFont="1" applyFill="1" applyBorder="1" applyAlignment="1">
      <alignment horizontal="right" vertical="top"/>
    </xf>
    <xf numFmtId="164" fontId="9" fillId="5" borderId="60" xfId="1" applyNumberFormat="1" applyFont="1" applyFill="1" applyBorder="1" applyAlignment="1">
      <alignment horizontal="right" vertical="top"/>
    </xf>
    <xf numFmtId="9" fontId="4" fillId="5" borderId="61" xfId="3" applyFont="1" applyFill="1" applyBorder="1"/>
    <xf numFmtId="9" fontId="4" fillId="5" borderId="62" xfId="3" applyFont="1" applyFill="1" applyBorder="1"/>
    <xf numFmtId="9" fontId="4" fillId="5" borderId="63" xfId="3" applyFont="1" applyFill="1" applyBorder="1"/>
    <xf numFmtId="9" fontId="4" fillId="5" borderId="64" xfId="3" applyFont="1" applyFill="1" applyBorder="1"/>
    <xf numFmtId="0" fontId="11" fillId="0" borderId="6" xfId="2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42" fontId="4" fillId="0" borderId="0" xfId="2" applyNumberFormat="1" applyFont="1"/>
    <xf numFmtId="0" fontId="12" fillId="0" borderId="5" xfId="2" applyFont="1" applyBorder="1"/>
    <xf numFmtId="42" fontId="9" fillId="7" borderId="0" xfId="2" applyNumberFormat="1" applyFont="1" applyFill="1" applyAlignment="1">
      <alignment vertical="top"/>
    </xf>
    <xf numFmtId="42" fontId="4" fillId="0" borderId="0" xfId="4" applyNumberFormat="1" applyFont="1" applyBorder="1" applyAlignment="1">
      <alignment horizontal="center"/>
    </xf>
    <xf numFmtId="5" fontId="9" fillId="0" borderId="0" xfId="2" applyNumberFormat="1" applyFont="1" applyAlignment="1">
      <alignment vertical="top"/>
    </xf>
    <xf numFmtId="37" fontId="4" fillId="0" borderId="0" xfId="4" applyNumberFormat="1" applyFont="1" applyBorder="1" applyAlignment="1">
      <alignment horizontal="center"/>
    </xf>
    <xf numFmtId="9" fontId="9" fillId="0" borderId="0" xfId="3" applyFont="1" applyFill="1" applyBorder="1" applyAlignment="1">
      <alignment horizontal="center" vertical="top"/>
    </xf>
    <xf numFmtId="43" fontId="4" fillId="0" borderId="0" xfId="1" applyFont="1" applyBorder="1" applyAlignment="1">
      <alignment horizontal="center"/>
    </xf>
    <xf numFmtId="164" fontId="9" fillId="0" borderId="65" xfId="1" applyNumberFormat="1" applyFont="1" applyFill="1" applyBorder="1" applyAlignment="1">
      <alignment horizontal="right" vertical="top"/>
    </xf>
    <xf numFmtId="164" fontId="9" fillId="0" borderId="30" xfId="1" applyNumberFormat="1" applyFont="1" applyFill="1" applyBorder="1" applyAlignment="1">
      <alignment horizontal="right" vertical="top"/>
    </xf>
    <xf numFmtId="9" fontId="4" fillId="0" borderId="3" xfId="3" applyFont="1" applyBorder="1"/>
    <xf numFmtId="9" fontId="4" fillId="0" borderId="4" xfId="3" applyFont="1" applyBorder="1"/>
    <xf numFmtId="9" fontId="4" fillId="0" borderId="1" xfId="3" applyFont="1" applyBorder="1"/>
    <xf numFmtId="9" fontId="4" fillId="0" borderId="0" xfId="3" applyFont="1" applyBorder="1"/>
    <xf numFmtId="9" fontId="4" fillId="0" borderId="7" xfId="3" applyFont="1" applyBorder="1"/>
    <xf numFmtId="9" fontId="4" fillId="0" borderId="5" xfId="3" applyFont="1" applyBorder="1"/>
    <xf numFmtId="164" fontId="9" fillId="0" borderId="66" xfId="1" applyNumberFormat="1" applyFont="1" applyFill="1" applyBorder="1" applyAlignment="1">
      <alignment horizontal="right" vertical="top"/>
    </xf>
    <xf numFmtId="164" fontId="9" fillId="0" borderId="55" xfId="1" applyNumberFormat="1" applyFont="1" applyFill="1" applyBorder="1" applyAlignment="1">
      <alignment horizontal="right" vertical="top"/>
    </xf>
    <xf numFmtId="164" fontId="9" fillId="0" borderId="54" xfId="1" applyNumberFormat="1" applyFont="1" applyFill="1" applyBorder="1" applyAlignment="1">
      <alignment horizontal="right" vertical="top"/>
    </xf>
    <xf numFmtId="164" fontId="9" fillId="0" borderId="55" xfId="1" applyNumberFormat="1" applyFont="1" applyBorder="1" applyAlignment="1">
      <alignment horizontal="right" vertical="top"/>
    </xf>
    <xf numFmtId="164" fontId="9" fillId="0" borderId="56" xfId="1" applyNumberFormat="1" applyFont="1" applyBorder="1" applyAlignment="1">
      <alignment horizontal="right" vertical="top"/>
    </xf>
    <xf numFmtId="9" fontId="4" fillId="0" borderId="67" xfId="3" applyFont="1" applyBorder="1"/>
    <xf numFmtId="9" fontId="4" fillId="0" borderId="68" xfId="3" applyFont="1" applyBorder="1"/>
    <xf numFmtId="9" fontId="4" fillId="0" borderId="69" xfId="3" applyFont="1" applyBorder="1"/>
    <xf numFmtId="10" fontId="4" fillId="0" borderId="0" xfId="3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9" fillId="0" borderId="0" xfId="2" applyFont="1" applyAlignment="1">
      <alignment horizontal="center" vertical="top"/>
    </xf>
    <xf numFmtId="2" fontId="9" fillId="0" borderId="0" xfId="2" applyNumberFormat="1" applyFont="1" applyAlignment="1">
      <alignment horizontal="right" vertical="top"/>
    </xf>
    <xf numFmtId="10" fontId="9" fillId="0" borderId="0" xfId="3" applyNumberFormat="1" applyFont="1" applyBorder="1" applyAlignment="1">
      <alignment horizontal="right" vertical="top"/>
    </xf>
    <xf numFmtId="0" fontId="9" fillId="0" borderId="0" xfId="2" applyFont="1" applyAlignment="1">
      <alignment horizontal="right" vertical="top"/>
    </xf>
    <xf numFmtId="164" fontId="9" fillId="0" borderId="29" xfId="1" applyNumberFormat="1" applyFont="1" applyFill="1" applyBorder="1" applyAlignment="1">
      <alignment horizontal="right" vertical="top"/>
    </xf>
    <xf numFmtId="164" fontId="9" fillId="0" borderId="70" xfId="1" applyNumberFormat="1" applyFont="1" applyBorder="1" applyAlignment="1">
      <alignment horizontal="right" vertical="top"/>
    </xf>
    <xf numFmtId="164" fontId="9" fillId="0" borderId="71" xfId="1" applyNumberFormat="1" applyFont="1" applyBorder="1" applyAlignment="1">
      <alignment horizontal="right" vertical="top"/>
    </xf>
    <xf numFmtId="164" fontId="9" fillId="0" borderId="38" xfId="1" applyNumberFormat="1" applyFont="1" applyFill="1" applyBorder="1" applyAlignment="1">
      <alignment horizontal="right" vertical="top"/>
    </xf>
    <xf numFmtId="164" fontId="9" fillId="0" borderId="72" xfId="1" applyNumberFormat="1" applyFont="1" applyBorder="1" applyAlignment="1">
      <alignment horizontal="right" vertical="top"/>
    </xf>
    <xf numFmtId="164" fontId="9" fillId="0" borderId="73" xfId="1" applyNumberFormat="1" applyFont="1" applyBorder="1" applyAlignment="1">
      <alignment horizontal="right" vertical="top"/>
    </xf>
    <xf numFmtId="9" fontId="4" fillId="5" borderId="16" xfId="3" applyFont="1" applyFill="1" applyBorder="1"/>
    <xf numFmtId="9" fontId="4" fillId="5" borderId="17" xfId="3" applyFont="1" applyFill="1" applyBorder="1"/>
    <xf numFmtId="9" fontId="4" fillId="5" borderId="18" xfId="3" applyFont="1" applyFill="1" applyBorder="1"/>
    <xf numFmtId="5" fontId="4" fillId="0" borderId="0" xfId="2" applyNumberFormat="1" applyFont="1" applyAlignment="1">
      <alignment vertical="top"/>
    </xf>
    <xf numFmtId="9" fontId="4" fillId="0" borderId="0" xfId="3" applyFont="1"/>
    <xf numFmtId="164" fontId="4" fillId="0" borderId="0" xfId="2" applyNumberFormat="1" applyFont="1" applyAlignment="1">
      <alignment vertical="top"/>
    </xf>
    <xf numFmtId="164" fontId="4" fillId="0" borderId="34" xfId="1" applyNumberFormat="1" applyFont="1" applyFill="1" applyBorder="1" applyAlignment="1">
      <alignment horizontal="right" vertical="top"/>
    </xf>
    <xf numFmtId="164" fontId="4" fillId="0" borderId="32" xfId="1" applyNumberFormat="1" applyFont="1" applyFill="1" applyBorder="1" applyAlignment="1">
      <alignment horizontal="right" vertical="top"/>
    </xf>
    <xf numFmtId="164" fontId="4" fillId="0" borderId="33" xfId="1" applyNumberFormat="1" applyFont="1" applyFill="1" applyBorder="1" applyAlignment="1">
      <alignment horizontal="right" vertical="top"/>
    </xf>
    <xf numFmtId="164" fontId="4" fillId="0" borderId="74" xfId="1" applyNumberFormat="1" applyFont="1" applyFill="1" applyBorder="1" applyAlignment="1">
      <alignment horizontal="right" vertical="top"/>
    </xf>
    <xf numFmtId="164" fontId="4" fillId="0" borderId="75" xfId="1" applyNumberFormat="1" applyFont="1" applyFill="1" applyBorder="1" applyAlignment="1">
      <alignment horizontal="right" vertical="top"/>
    </xf>
    <xf numFmtId="164" fontId="4" fillId="0" borderId="76" xfId="1" applyNumberFormat="1" applyFont="1" applyFill="1" applyBorder="1" applyAlignment="1">
      <alignment horizontal="right" vertical="top"/>
    </xf>
    <xf numFmtId="2" fontId="4" fillId="0" borderId="43" xfId="2" applyNumberFormat="1" applyFont="1" applyBorder="1" applyAlignment="1">
      <alignment horizontal="right" vertical="top"/>
    </xf>
    <xf numFmtId="2" fontId="4" fillId="0" borderId="41" xfId="2" applyNumberFormat="1" applyFont="1" applyBorder="1" applyAlignment="1">
      <alignment horizontal="right" vertical="top"/>
    </xf>
    <xf numFmtId="2" fontId="4" fillId="0" borderId="42" xfId="2" applyNumberFormat="1" applyFont="1" applyBorder="1" applyAlignment="1">
      <alignment horizontal="right" vertical="top"/>
    </xf>
    <xf numFmtId="165" fontId="4" fillId="0" borderId="43" xfId="2" applyNumberFormat="1" applyFont="1" applyBorder="1" applyAlignment="1">
      <alignment horizontal="right" vertical="top"/>
    </xf>
    <xf numFmtId="165" fontId="4" fillId="0" borderId="41" xfId="2" applyNumberFormat="1" applyFont="1" applyBorder="1" applyAlignment="1">
      <alignment horizontal="right" vertical="top"/>
    </xf>
    <xf numFmtId="165" fontId="4" fillId="0" borderId="42" xfId="2" applyNumberFormat="1" applyFont="1" applyBorder="1" applyAlignment="1">
      <alignment horizontal="right" vertical="top"/>
    </xf>
    <xf numFmtId="2" fontId="4" fillId="0" borderId="64" xfId="2" applyNumberFormat="1" applyFont="1" applyBorder="1" applyAlignment="1">
      <alignment horizontal="right" vertical="top"/>
    </xf>
    <xf numFmtId="2" fontId="4" fillId="0" borderId="62" xfId="2" applyNumberFormat="1" applyFont="1" applyBorder="1" applyAlignment="1">
      <alignment horizontal="right" vertical="top"/>
    </xf>
    <xf numFmtId="2" fontId="4" fillId="0" borderId="63" xfId="2" applyNumberFormat="1" applyFont="1" applyBorder="1" applyAlignment="1">
      <alignment horizontal="right" vertical="top"/>
    </xf>
    <xf numFmtId="0" fontId="4" fillId="0" borderId="0" xfId="2" applyFont="1" applyAlignment="1">
      <alignment horizontal="center"/>
    </xf>
    <xf numFmtId="164" fontId="4" fillId="0" borderId="77" xfId="1" applyNumberFormat="1" applyFont="1" applyFill="1" applyBorder="1" applyAlignment="1">
      <alignment vertical="top"/>
    </xf>
    <xf numFmtId="164" fontId="4" fillId="0" borderId="32" xfId="1" applyNumberFormat="1" applyFont="1" applyFill="1" applyBorder="1" applyAlignment="1">
      <alignment vertical="top"/>
    </xf>
    <xf numFmtId="164" fontId="4" fillId="0" borderId="78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4" fillId="0" borderId="75" xfId="1" applyNumberFormat="1" applyFont="1" applyFill="1" applyBorder="1" applyAlignment="1">
      <alignment vertical="top"/>
    </xf>
    <xf numFmtId="164" fontId="4" fillId="0" borderId="13" xfId="1" applyNumberFormat="1" applyFont="1" applyFill="1" applyBorder="1" applyAlignment="1">
      <alignment vertical="top"/>
    </xf>
    <xf numFmtId="0" fontId="9" fillId="0" borderId="79" xfId="2" applyFont="1" applyBorder="1"/>
    <xf numFmtId="164" fontId="9" fillId="5" borderId="80" xfId="2" applyNumberFormat="1" applyFont="1" applyFill="1" applyBorder="1" applyAlignment="1">
      <alignment vertical="top"/>
    </xf>
    <xf numFmtId="164" fontId="9" fillId="5" borderId="41" xfId="2" applyNumberFormat="1" applyFont="1" applyFill="1" applyBorder="1" applyAlignment="1">
      <alignment vertical="top"/>
    </xf>
    <xf numFmtId="164" fontId="9" fillId="5" borderId="81" xfId="2" applyNumberFormat="1" applyFont="1" applyFill="1" applyBorder="1" applyAlignment="1">
      <alignment vertical="top"/>
    </xf>
    <xf numFmtId="0" fontId="0" fillId="0" borderId="12" xfId="2" applyFont="1" applyBorder="1" applyAlignment="1">
      <alignment vertical="top"/>
    </xf>
    <xf numFmtId="0" fontId="0" fillId="0" borderId="75" xfId="2" applyFont="1" applyBorder="1" applyAlignment="1">
      <alignment vertical="top"/>
    </xf>
    <xf numFmtId="0" fontId="0" fillId="0" borderId="13" xfId="2" applyFont="1" applyBorder="1" applyAlignment="1">
      <alignment vertical="top"/>
    </xf>
    <xf numFmtId="164" fontId="9" fillId="5" borderId="82" xfId="1" applyNumberFormat="1" applyFont="1" applyFill="1" applyBorder="1" applyAlignment="1">
      <alignment horizontal="right" vertical="top"/>
    </xf>
    <xf numFmtId="0" fontId="1" fillId="0" borderId="5" xfId="2" applyBorder="1"/>
    <xf numFmtId="0" fontId="9" fillId="0" borderId="0" xfId="2" applyFont="1"/>
    <xf numFmtId="0" fontId="13" fillId="0" borderId="89" xfId="2" applyFont="1" applyBorder="1" applyAlignment="1">
      <alignment horizontal="center" vertical="center" wrapText="1"/>
    </xf>
    <xf numFmtId="0" fontId="13" fillId="0" borderId="90" xfId="2" applyFont="1" applyBorder="1" applyAlignment="1">
      <alignment horizontal="center" vertical="center" wrapText="1"/>
    </xf>
    <xf numFmtId="0" fontId="13" fillId="0" borderId="91" xfId="2" applyFont="1" applyBorder="1" applyAlignment="1">
      <alignment horizontal="center" vertical="center" wrapText="1"/>
    </xf>
    <xf numFmtId="0" fontId="13" fillId="0" borderId="92" xfId="2" applyFont="1" applyBorder="1" applyAlignment="1">
      <alignment horizontal="center" vertical="center" wrapText="1"/>
    </xf>
    <xf numFmtId="44" fontId="6" fillId="0" borderId="44" xfId="2" applyNumberFormat="1" applyFont="1" applyBorder="1" applyAlignment="1">
      <alignment vertical="center" wrapText="1"/>
    </xf>
    <xf numFmtId="44" fontId="6" fillId="0" borderId="39" xfId="2" applyNumberFormat="1" applyFont="1" applyBorder="1" applyAlignment="1">
      <alignment vertical="center" wrapText="1"/>
    </xf>
    <xf numFmtId="0" fontId="9" fillId="0" borderId="93" xfId="2" applyFont="1" applyBorder="1" applyAlignment="1">
      <alignment horizontal="center"/>
    </xf>
    <xf numFmtId="44" fontId="6" fillId="8" borderId="44" xfId="2" applyNumberFormat="1" applyFont="1" applyFill="1" applyBorder="1" applyAlignment="1">
      <alignment vertical="center" wrapText="1"/>
    </xf>
    <xf numFmtId="44" fontId="6" fillId="8" borderId="39" xfId="2" applyNumberFormat="1" applyFont="1" applyFill="1" applyBorder="1" applyAlignment="1">
      <alignment vertical="center" wrapText="1"/>
    </xf>
    <xf numFmtId="0" fontId="9" fillId="8" borderId="93" xfId="2" applyFont="1" applyFill="1" applyBorder="1" applyAlignment="1">
      <alignment horizontal="center"/>
    </xf>
    <xf numFmtId="0" fontId="9" fillId="8" borderId="93" xfId="2" applyFont="1" applyFill="1" applyBorder="1" applyAlignment="1">
      <alignment horizontal="center" wrapText="1"/>
    </xf>
    <xf numFmtId="44" fontId="6" fillId="0" borderId="94" xfId="2" applyNumberFormat="1" applyFont="1" applyBorder="1" applyAlignment="1">
      <alignment vertical="center" wrapText="1"/>
    </xf>
    <xf numFmtId="44" fontId="6" fillId="0" borderId="46" xfId="2" applyNumberFormat="1" applyFont="1" applyBorder="1" applyAlignment="1">
      <alignment vertical="center" wrapText="1"/>
    </xf>
    <xf numFmtId="0" fontId="9" fillId="0" borderId="95" xfId="2" applyFont="1" applyBorder="1" applyAlignment="1">
      <alignment horizontal="center"/>
    </xf>
    <xf numFmtId="44" fontId="6" fillId="0" borderId="96" xfId="2" applyNumberFormat="1" applyFont="1" applyBorder="1" applyAlignment="1">
      <alignment vertical="center" wrapText="1"/>
    </xf>
    <xf numFmtId="44" fontId="6" fillId="0" borderId="97" xfId="2" applyNumberFormat="1" applyFont="1" applyBorder="1" applyAlignment="1">
      <alignment vertical="center" wrapText="1"/>
    </xf>
    <xf numFmtId="0" fontId="9" fillId="0" borderId="98" xfId="2" applyFont="1" applyBorder="1" applyAlignment="1">
      <alignment horizontal="center"/>
    </xf>
    <xf numFmtId="44" fontId="6" fillId="0" borderId="99" xfId="2" applyNumberFormat="1" applyFont="1" applyBorder="1" applyAlignment="1">
      <alignment vertical="center" wrapText="1"/>
    </xf>
    <xf numFmtId="44" fontId="6" fillId="0" borderId="100" xfId="2" applyNumberFormat="1" applyFont="1" applyBorder="1" applyAlignment="1">
      <alignment vertical="center" wrapText="1"/>
    </xf>
    <xf numFmtId="44" fontId="6" fillId="0" borderId="0" xfId="2" applyNumberFormat="1" applyFont="1" applyAlignment="1">
      <alignment vertical="center" wrapText="1"/>
    </xf>
    <xf numFmtId="0" fontId="9" fillId="0" borderId="0" xfId="2" applyFont="1" applyAlignment="1">
      <alignment horizontal="center"/>
    </xf>
    <xf numFmtId="0" fontId="1" fillId="0" borderId="6" xfId="2" applyBorder="1"/>
    <xf numFmtId="0" fontId="3" fillId="0" borderId="5" xfId="2" applyFont="1" applyBorder="1" applyAlignment="1">
      <alignment horizontal="left"/>
    </xf>
    <xf numFmtId="0" fontId="2" fillId="0" borderId="0" xfId="5" applyFont="1"/>
    <xf numFmtId="0" fontId="9" fillId="0" borderId="5" xfId="2" applyFont="1" applyBorder="1" applyAlignment="1">
      <alignment horizontal="left"/>
    </xf>
    <xf numFmtId="9" fontId="4" fillId="0" borderId="0" xfId="5" applyNumberFormat="1" applyFont="1" applyAlignment="1">
      <alignment horizontal="center"/>
    </xf>
    <xf numFmtId="0" fontId="4" fillId="0" borderId="0" xfId="5" applyFont="1"/>
    <xf numFmtId="6" fontId="4" fillId="0" borderId="0" xfId="5" applyNumberFormat="1" applyFont="1" applyAlignment="1">
      <alignment horizontal="center"/>
    </xf>
    <xf numFmtId="164" fontId="0" fillId="0" borderId="0" xfId="1" applyNumberFormat="1" applyFont="1" applyBorder="1"/>
    <xf numFmtId="0" fontId="9" fillId="0" borderId="5" xfId="2" applyFont="1" applyBorder="1" applyAlignment="1">
      <alignment horizontal="right"/>
    </xf>
    <xf numFmtId="0" fontId="3" fillId="0" borderId="69" xfId="2" applyFont="1" applyBorder="1"/>
    <xf numFmtId="0" fontId="0" fillId="0" borderId="101" xfId="2" applyFont="1" applyBorder="1"/>
    <xf numFmtId="0" fontId="1" fillId="0" borderId="67" xfId="2" applyBorder="1"/>
    <xf numFmtId="0" fontId="1" fillId="0" borderId="68" xfId="2" applyBorder="1"/>
    <xf numFmtId="0" fontId="2" fillId="3" borderId="16" xfId="2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4" borderId="18" xfId="2" applyFont="1" applyFill="1" applyBorder="1" applyAlignment="1">
      <alignment horizontal="center"/>
    </xf>
    <xf numFmtId="0" fontId="2" fillId="4" borderId="16" xfId="2" applyFont="1" applyFill="1" applyBorder="1" applyAlignment="1">
      <alignment horizontal="center"/>
    </xf>
    <xf numFmtId="0" fontId="2" fillId="4" borderId="17" xfId="2" applyFont="1" applyFill="1" applyBorder="1" applyAlignment="1">
      <alignment horizontal="center"/>
    </xf>
    <xf numFmtId="0" fontId="1" fillId="0" borderId="83" xfId="2" applyBorder="1"/>
    <xf numFmtId="0" fontId="1" fillId="0" borderId="84" xfId="2" applyBorder="1"/>
    <xf numFmtId="0" fontId="1" fillId="0" borderId="85" xfId="2" applyBorder="1"/>
    <xf numFmtId="0" fontId="1" fillId="0" borderId="86" xfId="2" applyBorder="1"/>
    <xf numFmtId="0" fontId="1" fillId="0" borderId="87" xfId="2" applyBorder="1"/>
    <xf numFmtId="0" fontId="1" fillId="0" borderId="88" xfId="2" applyBorder="1"/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/>
    </xf>
  </cellXfs>
  <cellStyles count="6">
    <cellStyle name="Comma" xfId="1" builtinId="3"/>
    <cellStyle name="Comma0" xfId="4" xr:uid="{62832C7E-28E6-427A-BE95-A9C832509295}"/>
    <cellStyle name="Normal" xfId="0" builtinId="0"/>
    <cellStyle name="Normal 2" xfId="2" xr:uid="{97DED296-9DA5-4857-AA5D-D2ED123364E7}"/>
    <cellStyle name="Normal 3" xfId="5" xr:uid="{4D500CA3-2D86-4C4F-B736-68389C72C47B}"/>
    <cellStyle name="Percent 2" xfId="3" xr:uid="{195A63B6-13DE-41F5-A8DB-2EE573B1A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8BE1-A0F2-4CA6-90DE-68EB5F71FD17}">
  <sheetPr>
    <tabColor theme="0" tint="-0.499984740745262"/>
  </sheetPr>
  <dimension ref="A1:R166"/>
  <sheetViews>
    <sheetView tabSelected="1" zoomScale="90" zoomScaleNormal="90" zoomScaleSheetLayoutView="85" workbookViewId="0">
      <pane xSplit="1" ySplit="11" topLeftCell="B75" activePane="bottomRight" state="frozen"/>
      <selection activeCell="K40" sqref="K40"/>
      <selection pane="topRight" activeCell="K40" sqref="K40"/>
      <selection pane="bottomLeft" activeCell="K40" sqref="K40"/>
      <selection pane="bottomRight" activeCell="G83" sqref="G83"/>
    </sheetView>
  </sheetViews>
  <sheetFormatPr defaultColWidth="8.5546875" defaultRowHeight="14.4" outlineLevelCol="1" x14ac:dyDescent="0.3"/>
  <cols>
    <col min="1" max="1" width="49.44140625" style="6" bestFit="1" customWidth="1"/>
    <col min="2" max="2" width="5" style="15" customWidth="1"/>
    <col min="3" max="3" width="14.44140625" style="202" customWidth="1"/>
    <col min="4" max="10" width="14.44140625" style="6" customWidth="1"/>
    <col min="11" max="11" width="13" style="6" customWidth="1"/>
    <col min="12" max="18" width="9.33203125" style="6" customWidth="1" outlineLevel="1"/>
    <col min="19" max="16384" width="8.5546875" style="6"/>
  </cols>
  <sheetData>
    <row r="1" spans="1:18" ht="13.2" x14ac:dyDescent="0.25">
      <c r="A1" s="1" t="s">
        <v>0</v>
      </c>
      <c r="B1" s="2"/>
      <c r="C1" s="3"/>
      <c r="D1" s="3"/>
      <c r="E1" s="3"/>
      <c r="F1" s="4"/>
      <c r="G1" s="3"/>
      <c r="H1" s="3"/>
      <c r="I1" s="3"/>
      <c r="J1" s="3"/>
      <c r="K1" s="5"/>
    </row>
    <row r="2" spans="1:18" ht="13.2" x14ac:dyDescent="0.25">
      <c r="A2" s="7" t="s">
        <v>1</v>
      </c>
      <c r="B2" s="8"/>
      <c r="C2" s="9"/>
      <c r="D2" s="9"/>
      <c r="E2" s="10"/>
      <c r="F2" s="9"/>
      <c r="G2" s="10"/>
      <c r="H2" s="10"/>
      <c r="I2" s="11"/>
      <c r="J2" s="9"/>
      <c r="K2" s="12"/>
    </row>
    <row r="3" spans="1:18" ht="13.2" x14ac:dyDescent="0.25">
      <c r="A3" s="13" t="s">
        <v>2</v>
      </c>
      <c r="B3" s="8"/>
      <c r="C3" s="9"/>
      <c r="D3" s="9"/>
      <c r="E3" s="9"/>
      <c r="F3" s="9"/>
      <c r="G3" s="9"/>
      <c r="H3" s="9"/>
      <c r="I3" s="9"/>
      <c r="J3" s="9"/>
      <c r="K3" s="12"/>
    </row>
    <row r="4" spans="1:18" ht="13.2" x14ac:dyDescent="0.25">
      <c r="A4" s="13" t="s">
        <v>3</v>
      </c>
      <c r="B4" s="8"/>
      <c r="C4" s="226" t="s">
        <v>4</v>
      </c>
      <c r="D4" s="227"/>
      <c r="E4" s="227"/>
      <c r="F4" s="227"/>
      <c r="G4" s="227"/>
      <c r="H4" s="227"/>
      <c r="I4" s="227"/>
      <c r="J4" s="228"/>
      <c r="K4" s="12"/>
    </row>
    <row r="5" spans="1:18" x14ac:dyDescent="0.3">
      <c r="A5" s="14"/>
      <c r="C5" s="229" t="s">
        <v>5</v>
      </c>
      <c r="D5" s="230"/>
      <c r="E5" s="230"/>
      <c r="F5" s="230"/>
      <c r="G5" s="230"/>
      <c r="H5" s="230"/>
      <c r="I5" s="230"/>
      <c r="J5" s="231"/>
      <c r="K5" s="12"/>
    </row>
    <row r="6" spans="1:18" x14ac:dyDescent="0.3">
      <c r="A6" s="14"/>
      <c r="C6" s="229" t="s">
        <v>6</v>
      </c>
      <c r="D6" s="230"/>
      <c r="E6" s="230"/>
      <c r="F6" s="230"/>
      <c r="G6" s="230"/>
      <c r="H6" s="230"/>
      <c r="I6" s="230"/>
      <c r="J6" s="231"/>
      <c r="K6" s="12"/>
    </row>
    <row r="7" spans="1:18" x14ac:dyDescent="0.3">
      <c r="A7" s="14"/>
      <c r="C7" s="232" t="s">
        <v>7</v>
      </c>
      <c r="D7" s="233"/>
      <c r="E7" s="233"/>
      <c r="F7" s="233"/>
      <c r="G7" s="233"/>
      <c r="H7" s="233"/>
      <c r="I7" s="233"/>
      <c r="J7" s="234"/>
      <c r="K7" s="12"/>
    </row>
    <row r="8" spans="1:18" ht="13.8" thickBot="1" x14ac:dyDescent="0.3">
      <c r="A8" s="16"/>
      <c r="B8" s="17"/>
      <c r="C8" s="18"/>
      <c r="D8" s="19"/>
      <c r="E8" s="19"/>
      <c r="F8" s="9"/>
      <c r="G8" s="9"/>
      <c r="H8" s="9"/>
      <c r="I8" s="9"/>
      <c r="J8" s="9"/>
      <c r="K8" s="12"/>
    </row>
    <row r="9" spans="1:18" ht="13.8" thickBot="1" x14ac:dyDescent="0.3">
      <c r="A9" s="20"/>
      <c r="B9" s="21"/>
      <c r="C9" s="235"/>
      <c r="D9" s="215"/>
      <c r="E9" s="216"/>
      <c r="F9" s="217" t="s">
        <v>8</v>
      </c>
      <c r="G9" s="218"/>
      <c r="H9" s="218"/>
      <c r="I9" s="218"/>
      <c r="J9" s="219"/>
      <c r="K9" s="12"/>
      <c r="L9" s="215" t="s">
        <v>9</v>
      </c>
      <c r="M9" s="215"/>
      <c r="N9" s="216"/>
      <c r="O9" s="217" t="s">
        <v>8</v>
      </c>
      <c r="P9" s="218"/>
      <c r="Q9" s="218"/>
      <c r="R9" s="219"/>
    </row>
    <row r="10" spans="1:18" ht="13.2" x14ac:dyDescent="0.25">
      <c r="A10" s="20"/>
      <c r="B10" s="21"/>
      <c r="C10" s="22" t="s">
        <v>10</v>
      </c>
      <c r="D10" s="22" t="s">
        <v>10</v>
      </c>
      <c r="E10" s="23" t="s">
        <v>10</v>
      </c>
      <c r="F10" s="22" t="s">
        <v>10</v>
      </c>
      <c r="G10" s="22" t="s">
        <v>10</v>
      </c>
      <c r="H10" s="22" t="s">
        <v>10</v>
      </c>
      <c r="I10" s="22" t="s">
        <v>10</v>
      </c>
      <c r="J10" s="23" t="s">
        <v>10</v>
      </c>
      <c r="K10" s="12"/>
      <c r="L10" s="24" t="str">
        <f t="shared" ref="L10:R10" si="0">+D11</f>
        <v>FY23</v>
      </c>
      <c r="M10" s="23" t="str">
        <f t="shared" si="0"/>
        <v>FY24</v>
      </c>
      <c r="N10" s="25" t="str">
        <f t="shared" si="0"/>
        <v>FY25</v>
      </c>
      <c r="O10" s="22" t="str">
        <f t="shared" si="0"/>
        <v>FY26</v>
      </c>
      <c r="P10" s="22" t="str">
        <f t="shared" si="0"/>
        <v>FY27</v>
      </c>
      <c r="Q10" s="22" t="str">
        <f t="shared" si="0"/>
        <v>FY28</v>
      </c>
      <c r="R10" s="23" t="str">
        <f t="shared" si="0"/>
        <v>FY29</v>
      </c>
    </row>
    <row r="11" spans="1:18" ht="13.8" thickBot="1" x14ac:dyDescent="0.3">
      <c r="A11" s="20"/>
      <c r="B11" s="21"/>
      <c r="C11" s="26" t="s">
        <v>11</v>
      </c>
      <c r="D11" s="26" t="s">
        <v>12</v>
      </c>
      <c r="E11" s="27" t="s">
        <v>13</v>
      </c>
      <c r="F11" s="26" t="s">
        <v>14</v>
      </c>
      <c r="G11" s="26" t="s">
        <v>15</v>
      </c>
      <c r="H11" s="26" t="s">
        <v>16</v>
      </c>
      <c r="I11" s="27" t="s">
        <v>17</v>
      </c>
      <c r="J11" s="27" t="s">
        <v>18</v>
      </c>
      <c r="K11" s="12"/>
      <c r="L11" s="28" t="str">
        <f>+C11</f>
        <v>FY22</v>
      </c>
      <c r="M11" s="27" t="str">
        <f t="shared" ref="M11:N11" si="1">+D11</f>
        <v>FY23</v>
      </c>
      <c r="N11" s="29" t="str">
        <f t="shared" si="1"/>
        <v>FY24</v>
      </c>
      <c r="O11" s="26" t="str">
        <f>+F11</f>
        <v>FY25</v>
      </c>
      <c r="P11" s="26" t="str">
        <f t="shared" ref="P11:R11" si="2">+G11</f>
        <v>FY26</v>
      </c>
      <c r="Q11" s="26" t="str">
        <f t="shared" si="2"/>
        <v>FY27</v>
      </c>
      <c r="R11" s="27" t="str">
        <f t="shared" si="2"/>
        <v>FY28</v>
      </c>
    </row>
    <row r="12" spans="1:18" ht="13.8" thickBot="1" x14ac:dyDescent="0.3">
      <c r="A12" s="30" t="s">
        <v>19</v>
      </c>
      <c r="B12" s="31"/>
      <c r="C12" s="32"/>
      <c r="D12" s="33"/>
      <c r="E12" s="33"/>
      <c r="F12" s="33"/>
      <c r="G12" s="33"/>
      <c r="H12" s="33"/>
      <c r="I12" s="33"/>
      <c r="J12" s="33"/>
      <c r="K12" s="12"/>
    </row>
    <row r="13" spans="1:18" ht="13.2" x14ac:dyDescent="0.25">
      <c r="A13" s="34" t="s">
        <v>20</v>
      </c>
      <c r="B13" s="21"/>
      <c r="C13" s="35">
        <v>2677273.37</v>
      </c>
      <c r="D13" s="36">
        <v>1821203</v>
      </c>
      <c r="E13" s="37">
        <v>2379087</v>
      </c>
      <c r="F13" s="38">
        <v>2595645.190021649</v>
      </c>
      <c r="G13" s="39">
        <v>2734638.8396625044</v>
      </c>
      <c r="H13" s="39">
        <v>2875930.0799766784</v>
      </c>
      <c r="I13" s="39">
        <v>3007757.0930131897</v>
      </c>
      <c r="J13" s="40">
        <v>3034633.252493124</v>
      </c>
      <c r="K13" s="12"/>
      <c r="L13" s="41">
        <f t="shared" ref="L13:R13" si="3">+D13/C13-1</f>
        <v>-0.3197545605886335</v>
      </c>
      <c r="M13" s="42">
        <f t="shared" si="3"/>
        <v>0.30632719142237308</v>
      </c>
      <c r="N13" s="43">
        <f t="shared" si="3"/>
        <v>9.1025754846985052E-2</v>
      </c>
      <c r="O13" s="44">
        <f t="shared" si="3"/>
        <v>5.3548786319171704E-2</v>
      </c>
      <c r="P13" s="44">
        <f t="shared" si="3"/>
        <v>5.1667239660653452E-2</v>
      </c>
      <c r="Q13" s="44">
        <f t="shared" si="3"/>
        <v>4.5838045213387302E-2</v>
      </c>
      <c r="R13" s="42">
        <f t="shared" si="3"/>
        <v>8.9356150276782564E-3</v>
      </c>
    </row>
    <row r="14" spans="1:18" ht="13.2" x14ac:dyDescent="0.25">
      <c r="A14" s="34" t="s">
        <v>21</v>
      </c>
      <c r="B14" s="21"/>
      <c r="C14" s="45">
        <v>0</v>
      </c>
      <c r="D14" s="46">
        <v>0</v>
      </c>
      <c r="E14" s="47">
        <v>0</v>
      </c>
      <c r="F14" s="48">
        <v>0</v>
      </c>
      <c r="G14" s="49">
        <v>0</v>
      </c>
      <c r="H14" s="49">
        <v>0</v>
      </c>
      <c r="I14" s="49">
        <v>0</v>
      </c>
      <c r="J14" s="50">
        <v>0</v>
      </c>
      <c r="K14" s="12"/>
      <c r="L14" s="51"/>
      <c r="M14" s="52"/>
      <c r="N14" s="53"/>
      <c r="O14" s="54"/>
      <c r="P14" s="54"/>
      <c r="Q14" s="54"/>
      <c r="R14" s="52"/>
    </row>
    <row r="15" spans="1:18" ht="13.2" x14ac:dyDescent="0.25">
      <c r="A15" s="34" t="s">
        <v>22</v>
      </c>
      <c r="B15" s="21"/>
      <c r="C15" s="45">
        <v>5625.85</v>
      </c>
      <c r="D15" s="46">
        <v>0</v>
      </c>
      <c r="E15" s="47">
        <v>0</v>
      </c>
      <c r="F15" s="48">
        <v>0</v>
      </c>
      <c r="G15" s="49">
        <v>0</v>
      </c>
      <c r="H15" s="49">
        <v>0</v>
      </c>
      <c r="I15" s="49">
        <v>0</v>
      </c>
      <c r="J15" s="50">
        <v>0</v>
      </c>
      <c r="K15" s="12"/>
      <c r="L15" s="51"/>
      <c r="M15" s="52"/>
      <c r="N15" s="53"/>
      <c r="O15" s="54"/>
      <c r="P15" s="54"/>
      <c r="Q15" s="54"/>
      <c r="R15" s="52"/>
    </row>
    <row r="16" spans="1:18" ht="13.2" x14ac:dyDescent="0.25">
      <c r="A16" s="34" t="s">
        <v>23</v>
      </c>
      <c r="B16" s="21"/>
      <c r="C16" s="45">
        <v>283725.76</v>
      </c>
      <c r="D16" s="46">
        <v>735453</v>
      </c>
      <c r="E16" s="47">
        <v>1048372</v>
      </c>
      <c r="F16" s="48">
        <v>911488.88629518077</v>
      </c>
      <c r="G16" s="49">
        <v>867591.89011355152</v>
      </c>
      <c r="H16" s="49">
        <v>878694.89393192239</v>
      </c>
      <c r="I16" s="49">
        <v>318126.59736845613</v>
      </c>
      <c r="J16" s="50">
        <v>318126.59736845613</v>
      </c>
      <c r="K16" s="12"/>
      <c r="L16" s="51">
        <f t="shared" ref="L16:R53" si="4">+D16/C16-1</f>
        <v>1.592126284197811</v>
      </c>
      <c r="M16" s="52">
        <f t="shared" si="4"/>
        <v>0.42547790273477704</v>
      </c>
      <c r="N16" s="53">
        <f t="shared" si="4"/>
        <v>-0.13056731170311608</v>
      </c>
      <c r="O16" s="54">
        <f t="shared" si="4"/>
        <v>-4.8159661452431002E-2</v>
      </c>
      <c r="P16" s="54">
        <f t="shared" si="4"/>
        <v>1.2797496086458082E-2</v>
      </c>
      <c r="Q16" s="54">
        <f t="shared" si="4"/>
        <v>-0.63795556391032893</v>
      </c>
      <c r="R16" s="52">
        <f t="shared" si="4"/>
        <v>0</v>
      </c>
    </row>
    <row r="17" spans="1:18" ht="13.2" x14ac:dyDescent="0.25">
      <c r="A17" s="55" t="s">
        <v>24</v>
      </c>
      <c r="B17" s="56"/>
      <c r="C17" s="57">
        <f t="shared" ref="C17" si="5">SUM(C13:C16)</f>
        <v>2966624.9800000004</v>
      </c>
      <c r="D17" s="58">
        <v>2556656</v>
      </c>
      <c r="E17" s="59">
        <f>SUM(E13:E16)</f>
        <v>3427459</v>
      </c>
      <c r="F17" s="60">
        <f>SUM(F13:F16)</f>
        <v>3507134.0763168298</v>
      </c>
      <c r="G17" s="58">
        <f>SUM(G13:G16)</f>
        <v>3602230.729776056</v>
      </c>
      <c r="H17" s="58">
        <f t="shared" ref="H17:I17" si="6">SUM(H13:H16)</f>
        <v>3754624.9739086009</v>
      </c>
      <c r="I17" s="58">
        <f t="shared" si="6"/>
        <v>3325883.6903816457</v>
      </c>
      <c r="J17" s="59">
        <f>SUM(J13:J16)</f>
        <v>3352759.8498615799</v>
      </c>
      <c r="K17" s="12"/>
      <c r="L17" s="61">
        <f t="shared" si="4"/>
        <v>-0.1381937328660936</v>
      </c>
      <c r="M17" s="62">
        <f t="shared" si="4"/>
        <v>0.34060233367336079</v>
      </c>
      <c r="N17" s="63">
        <f t="shared" si="4"/>
        <v>2.3246106318654647E-2</v>
      </c>
      <c r="O17" s="64">
        <f t="shared" si="4"/>
        <v>2.7115203294165502E-2</v>
      </c>
      <c r="P17" s="64">
        <f t="shared" si="4"/>
        <v>4.2305519985950113E-2</v>
      </c>
      <c r="Q17" s="64">
        <f t="shared" si="4"/>
        <v>-0.11419017518562746</v>
      </c>
      <c r="R17" s="62">
        <f t="shared" si="4"/>
        <v>8.0809078073473817E-3</v>
      </c>
    </row>
    <row r="18" spans="1:18" ht="13.2" x14ac:dyDescent="0.25">
      <c r="A18" s="65"/>
      <c r="B18" s="56"/>
      <c r="C18" s="66"/>
      <c r="D18" s="67"/>
      <c r="E18" s="47"/>
      <c r="F18" s="48"/>
      <c r="G18" s="49"/>
      <c r="H18" s="49"/>
      <c r="I18" s="49"/>
      <c r="J18" s="50"/>
      <c r="K18" s="12"/>
      <c r="L18" s="51"/>
      <c r="M18" s="52"/>
      <c r="N18" s="53"/>
      <c r="O18" s="54"/>
      <c r="P18" s="54"/>
      <c r="Q18" s="54"/>
      <c r="R18" s="52"/>
    </row>
    <row r="19" spans="1:18" ht="13.2" x14ac:dyDescent="0.25">
      <c r="A19" s="30" t="s">
        <v>25</v>
      </c>
      <c r="B19" s="31"/>
      <c r="C19" s="68"/>
      <c r="D19" s="69"/>
      <c r="E19" s="47"/>
      <c r="F19" s="48"/>
      <c r="G19" s="49"/>
      <c r="H19" s="49"/>
      <c r="I19" s="49"/>
      <c r="J19" s="50"/>
      <c r="K19" s="12"/>
      <c r="L19" s="51"/>
      <c r="M19" s="52"/>
      <c r="N19" s="53"/>
      <c r="O19" s="54"/>
      <c r="P19" s="54"/>
      <c r="Q19" s="54"/>
      <c r="R19" s="52"/>
    </row>
    <row r="20" spans="1:18" ht="13.2" x14ac:dyDescent="0.25">
      <c r="A20" s="34" t="s">
        <v>26</v>
      </c>
      <c r="B20" s="21"/>
      <c r="C20" s="66">
        <v>1428442.8499999999</v>
      </c>
      <c r="D20" s="67">
        <v>1451626</v>
      </c>
      <c r="E20" s="47">
        <f>1093401+406983</f>
        <v>1500384</v>
      </c>
      <c r="F20" s="48">
        <v>2254428.1187</v>
      </c>
      <c r="G20" s="49">
        <v>2276972.3998869997</v>
      </c>
      <c r="H20" s="49">
        <v>2345742.1238858709</v>
      </c>
      <c r="I20" s="49">
        <v>2370119.5451247292</v>
      </c>
      <c r="J20" s="50">
        <v>2394768.3405759763</v>
      </c>
      <c r="K20" s="12"/>
      <c r="L20" s="51">
        <f t="shared" si="4"/>
        <v>1.6229665751066102E-2</v>
      </c>
      <c r="M20" s="52">
        <f t="shared" si="4"/>
        <v>3.3588541401159855E-2</v>
      </c>
      <c r="N20" s="53">
        <f t="shared" si="4"/>
        <v>0.50256742187333381</v>
      </c>
      <c r="O20" s="54">
        <f t="shared" si="4"/>
        <v>9.9999999999997868E-3</v>
      </c>
      <c r="P20" s="54">
        <f t="shared" si="4"/>
        <v>3.020226507896373E-2</v>
      </c>
      <c r="Q20" s="54">
        <f t="shared" si="4"/>
        <v>1.0392199974000427E-2</v>
      </c>
      <c r="R20" s="52">
        <f t="shared" si="4"/>
        <v>1.0399811056766683E-2</v>
      </c>
    </row>
    <row r="21" spans="1:18" ht="13.2" x14ac:dyDescent="0.25">
      <c r="A21" s="34" t="s">
        <v>27</v>
      </c>
      <c r="B21" s="21"/>
      <c r="C21" s="66">
        <v>339787.91000000003</v>
      </c>
      <c r="D21" s="67">
        <v>357040</v>
      </c>
      <c r="E21" s="47">
        <f>397000+112023</f>
        <v>509023</v>
      </c>
      <c r="F21" s="48">
        <v>562281.23933915002</v>
      </c>
      <c r="G21" s="49">
        <v>567904.05173254153</v>
      </c>
      <c r="H21" s="49">
        <v>573583.09224986692</v>
      </c>
      <c r="I21" s="49">
        <v>579318.92317236564</v>
      </c>
      <c r="J21" s="50">
        <v>585112.1124040893</v>
      </c>
      <c r="K21" s="12"/>
      <c r="L21" s="51">
        <f t="shared" si="4"/>
        <v>5.0773113145785365E-2</v>
      </c>
      <c r="M21" s="52">
        <f t="shared" si="4"/>
        <v>0.42567499439838663</v>
      </c>
      <c r="N21" s="53">
        <f t="shared" si="4"/>
        <v>0.10462835537716364</v>
      </c>
      <c r="O21" s="54">
        <f t="shared" si="4"/>
        <v>1.0000000000000009E-2</v>
      </c>
      <c r="P21" s="54">
        <f t="shared" si="4"/>
        <v>1.0000000000000009E-2</v>
      </c>
      <c r="Q21" s="54">
        <f t="shared" si="4"/>
        <v>1.0000000000000009E-2</v>
      </c>
      <c r="R21" s="52">
        <f t="shared" si="4"/>
        <v>1.0000000000000009E-2</v>
      </c>
    </row>
    <row r="22" spans="1:18" ht="13.2" x14ac:dyDescent="0.25">
      <c r="A22" s="34" t="s">
        <v>28</v>
      </c>
      <c r="B22" s="21"/>
      <c r="C22" s="66">
        <v>736705.87000000011</v>
      </c>
      <c r="D22" s="67">
        <v>1370066</v>
      </c>
      <c r="E22" s="47">
        <f>830611+35000</f>
        <v>865611</v>
      </c>
      <c r="F22" s="48">
        <v>1157089.3999999999</v>
      </c>
      <c r="G22" s="49">
        <v>1135276.548</v>
      </c>
      <c r="H22" s="49">
        <v>1157282.0789600003</v>
      </c>
      <c r="I22" s="49">
        <v>1179727.7205392004</v>
      </c>
      <c r="J22" s="50">
        <v>1202622.2749499839</v>
      </c>
      <c r="K22" s="12"/>
      <c r="L22" s="51">
        <f t="shared" si="4"/>
        <v>0.85971913051269677</v>
      </c>
      <c r="M22" s="52">
        <f t="shared" si="4"/>
        <v>-0.3681975904810425</v>
      </c>
      <c r="N22" s="53">
        <f t="shared" si="4"/>
        <v>0.33673139551137865</v>
      </c>
      <c r="O22" s="54">
        <f t="shared" si="4"/>
        <v>-1.885148373150769E-2</v>
      </c>
      <c r="P22" s="54">
        <f t="shared" si="4"/>
        <v>1.9383410146864399E-2</v>
      </c>
      <c r="Q22" s="54">
        <f t="shared" si="4"/>
        <v>1.9395134502878442E-2</v>
      </c>
      <c r="R22" s="52">
        <f t="shared" si="4"/>
        <v>1.9406642746615743E-2</v>
      </c>
    </row>
    <row r="23" spans="1:18" ht="13.2" x14ac:dyDescent="0.25">
      <c r="A23" s="34" t="s">
        <v>29</v>
      </c>
      <c r="B23" s="21"/>
      <c r="C23" s="66">
        <v>186395.54</v>
      </c>
      <c r="D23" s="67">
        <v>151540</v>
      </c>
      <c r="E23" s="47">
        <v>92642</v>
      </c>
      <c r="F23" s="48">
        <v>155180</v>
      </c>
      <c r="G23" s="49">
        <v>158283.6</v>
      </c>
      <c r="H23" s="49">
        <v>159368.47200000001</v>
      </c>
      <c r="I23" s="49">
        <v>162555.84144000002</v>
      </c>
      <c r="J23" s="50">
        <v>165806.95826880005</v>
      </c>
      <c r="K23" s="12"/>
      <c r="L23" s="51">
        <f t="shared" si="4"/>
        <v>-0.18699771464488912</v>
      </c>
      <c r="M23" s="52">
        <f t="shared" si="4"/>
        <v>-0.3886630592582816</v>
      </c>
      <c r="N23" s="53">
        <f t="shared" si="4"/>
        <v>0.67505019321689952</v>
      </c>
      <c r="O23" s="54">
        <f t="shared" si="4"/>
        <v>2.0000000000000018E-2</v>
      </c>
      <c r="P23" s="54">
        <f t="shared" si="4"/>
        <v>6.8539760278385486E-3</v>
      </c>
      <c r="Q23" s="54">
        <f t="shared" si="4"/>
        <v>2.0000000000000018E-2</v>
      </c>
      <c r="R23" s="52">
        <f t="shared" si="4"/>
        <v>2.000000000000024E-2</v>
      </c>
    </row>
    <row r="24" spans="1:18" ht="13.2" x14ac:dyDescent="0.25">
      <c r="A24" s="34" t="s">
        <v>30</v>
      </c>
      <c r="B24" s="21"/>
      <c r="C24" s="66">
        <v>0</v>
      </c>
      <c r="D24" s="67">
        <v>0</v>
      </c>
      <c r="E24" s="47">
        <v>0</v>
      </c>
      <c r="F24" s="48">
        <v>0</v>
      </c>
      <c r="G24" s="49">
        <v>0</v>
      </c>
      <c r="H24" s="49">
        <v>0</v>
      </c>
      <c r="I24" s="49">
        <v>0</v>
      </c>
      <c r="J24" s="50">
        <v>0</v>
      </c>
      <c r="K24" s="12"/>
      <c r="L24" s="51"/>
      <c r="M24" s="52"/>
      <c r="N24" s="53"/>
      <c r="O24" s="54"/>
      <c r="P24" s="54"/>
      <c r="Q24" s="54"/>
      <c r="R24" s="52"/>
    </row>
    <row r="25" spans="1:18" ht="13.2" x14ac:dyDescent="0.25">
      <c r="A25" s="34" t="s">
        <v>31</v>
      </c>
      <c r="B25" s="21"/>
      <c r="C25" s="66">
        <v>0</v>
      </c>
      <c r="D25" s="67">
        <v>0</v>
      </c>
      <c r="E25" s="47">
        <v>0</v>
      </c>
      <c r="F25" s="48">
        <v>0</v>
      </c>
      <c r="G25" s="49">
        <v>0</v>
      </c>
      <c r="H25" s="49">
        <v>0</v>
      </c>
      <c r="I25" s="49">
        <v>0</v>
      </c>
      <c r="J25" s="50">
        <v>0</v>
      </c>
      <c r="K25" s="12"/>
      <c r="L25" s="51"/>
      <c r="M25" s="52"/>
      <c r="N25" s="53"/>
      <c r="O25" s="54"/>
      <c r="P25" s="54"/>
      <c r="Q25" s="54"/>
      <c r="R25" s="52"/>
    </row>
    <row r="26" spans="1:18" ht="13.2" x14ac:dyDescent="0.25">
      <c r="A26" s="34" t="s">
        <v>32</v>
      </c>
      <c r="B26" s="21"/>
      <c r="C26" s="66">
        <v>23030.95</v>
      </c>
      <c r="D26" s="67">
        <v>17963</v>
      </c>
      <c r="E26" s="47">
        <v>29809</v>
      </c>
      <c r="F26" s="48">
        <v>37783.5</v>
      </c>
      <c r="G26" s="49">
        <v>38539.17</v>
      </c>
      <c r="H26" s="49">
        <v>39309.953399999999</v>
      </c>
      <c r="I26" s="49">
        <v>40096.152468</v>
      </c>
      <c r="J26" s="50">
        <v>40898.075517360005</v>
      </c>
      <c r="K26" s="12"/>
      <c r="L26" s="51">
        <f t="shared" si="4"/>
        <v>-0.22004954202931271</v>
      </c>
      <c r="M26" s="52">
        <f t="shared" si="4"/>
        <v>0.65946668151199694</v>
      </c>
      <c r="N26" s="53">
        <f t="shared" si="4"/>
        <v>0.26751987654735143</v>
      </c>
      <c r="O26" s="54">
        <f t="shared" si="4"/>
        <v>2.0000000000000018E-2</v>
      </c>
      <c r="P26" s="54">
        <f t="shared" si="4"/>
        <v>2.0000000000000018E-2</v>
      </c>
      <c r="Q26" s="54">
        <f t="shared" si="4"/>
        <v>2.0000000000000018E-2</v>
      </c>
      <c r="R26" s="52">
        <f t="shared" si="4"/>
        <v>2.0000000000000018E-2</v>
      </c>
    </row>
    <row r="27" spans="1:18" ht="13.2" x14ac:dyDescent="0.25">
      <c r="A27" s="34" t="s">
        <v>33</v>
      </c>
      <c r="B27" s="21"/>
      <c r="C27" s="66">
        <v>0</v>
      </c>
      <c r="D27" s="67"/>
      <c r="E27" s="47"/>
      <c r="F27" s="48"/>
      <c r="G27" s="49"/>
      <c r="H27" s="49"/>
      <c r="I27" s="49"/>
      <c r="J27" s="50"/>
      <c r="K27" s="12"/>
      <c r="L27" s="51"/>
      <c r="M27" s="52"/>
      <c r="N27" s="53"/>
      <c r="O27" s="54"/>
      <c r="P27" s="54"/>
      <c r="Q27" s="54"/>
      <c r="R27" s="52"/>
    </row>
    <row r="28" spans="1:18" ht="13.2" x14ac:dyDescent="0.25">
      <c r="A28" s="55" t="s">
        <v>34</v>
      </c>
      <c r="B28" s="56"/>
      <c r="C28" s="57">
        <f t="shared" ref="C28" si="7">SUM(C20:C27)</f>
        <v>2714363.12</v>
      </c>
      <c r="D28" s="58">
        <v>3348235</v>
      </c>
      <c r="E28" s="59">
        <f>SUM(E20:E27)</f>
        <v>2997469</v>
      </c>
      <c r="F28" s="60">
        <f>SUM(F20:F27)</f>
        <v>4166762.2580391499</v>
      </c>
      <c r="G28" s="58">
        <f>SUM(G20:G27)</f>
        <v>4176975.7696195412</v>
      </c>
      <c r="H28" s="58">
        <f t="shared" ref="H28:I28" si="8">SUM(H20:H27)</f>
        <v>4275285.7204957381</v>
      </c>
      <c r="I28" s="58">
        <f t="shared" si="8"/>
        <v>4331818.1827442944</v>
      </c>
      <c r="J28" s="59">
        <f>SUM(J20:J27)</f>
        <v>4389207.7617162094</v>
      </c>
      <c r="K28" s="12"/>
      <c r="L28" s="61">
        <f t="shared" si="4"/>
        <v>0.23352508561934782</v>
      </c>
      <c r="M28" s="62">
        <f t="shared" si="4"/>
        <v>-0.10476146387574348</v>
      </c>
      <c r="N28" s="63">
        <f t="shared" si="4"/>
        <v>0.39009352825305288</v>
      </c>
      <c r="O28" s="64">
        <f t="shared" si="4"/>
        <v>2.4511865443452852E-3</v>
      </c>
      <c r="P28" s="64">
        <f t="shared" si="4"/>
        <v>2.3536155414459525E-2</v>
      </c>
      <c r="Q28" s="64">
        <f t="shared" si="4"/>
        <v>1.3223084009927E-2</v>
      </c>
      <c r="R28" s="62">
        <f t="shared" si="4"/>
        <v>1.3248381291838474E-2</v>
      </c>
    </row>
    <row r="29" spans="1:18" ht="13.2" x14ac:dyDescent="0.25">
      <c r="A29" s="34"/>
      <c r="B29" s="21"/>
      <c r="C29" s="66"/>
      <c r="D29" s="67"/>
      <c r="E29" s="47"/>
      <c r="F29" s="48"/>
      <c r="G29" s="49"/>
      <c r="H29" s="49"/>
      <c r="I29" s="49"/>
      <c r="J29" s="50"/>
      <c r="K29" s="12"/>
      <c r="L29" s="51"/>
      <c r="M29" s="52"/>
      <c r="N29" s="53"/>
      <c r="O29" s="54"/>
      <c r="P29" s="54"/>
      <c r="Q29" s="54"/>
      <c r="R29" s="52"/>
    </row>
    <row r="30" spans="1:18" ht="13.2" x14ac:dyDescent="0.25">
      <c r="A30" s="34" t="s">
        <v>35</v>
      </c>
      <c r="B30" s="21"/>
      <c r="C30" s="66"/>
      <c r="D30" s="67"/>
      <c r="E30" s="47"/>
      <c r="F30" s="48"/>
      <c r="G30" s="49"/>
      <c r="H30" s="49"/>
      <c r="I30" s="49"/>
      <c r="J30" s="50"/>
      <c r="K30" s="12"/>
      <c r="L30" s="51"/>
      <c r="M30" s="52"/>
      <c r="N30" s="53"/>
      <c r="O30" s="54"/>
      <c r="P30" s="54"/>
      <c r="Q30" s="54"/>
      <c r="R30" s="52"/>
    </row>
    <row r="31" spans="1:18" ht="13.2" x14ac:dyDescent="0.25">
      <c r="A31" s="70" t="s">
        <v>25</v>
      </c>
      <c r="B31" s="21"/>
      <c r="C31" s="71">
        <f>+C17-C28</f>
        <v>252261.86000000034</v>
      </c>
      <c r="D31" s="72">
        <v>-791579</v>
      </c>
      <c r="E31" s="73">
        <f>+E17-E28</f>
        <v>429990</v>
      </c>
      <c r="F31" s="74">
        <f t="shared" ref="F31:J31" si="9">+F17-F28</f>
        <v>-659628.18172232015</v>
      </c>
      <c r="G31" s="72">
        <f t="shared" si="9"/>
        <v>-574745.03984348522</v>
      </c>
      <c r="H31" s="72">
        <f t="shared" si="9"/>
        <v>-520660.74658713723</v>
      </c>
      <c r="I31" s="72">
        <f t="shared" si="9"/>
        <v>-1005934.4923626487</v>
      </c>
      <c r="J31" s="73">
        <f t="shared" si="9"/>
        <v>-1036447.9118546294</v>
      </c>
      <c r="K31" s="12"/>
      <c r="L31" s="75">
        <f t="shared" si="4"/>
        <v>-4.1379258045587983</v>
      </c>
      <c r="M31" s="76">
        <f t="shared" si="4"/>
        <v>-1.5432054160102782</v>
      </c>
      <c r="N31" s="77">
        <f t="shared" si="4"/>
        <v>-2.534054702951976</v>
      </c>
      <c r="O31" s="78">
        <f t="shared" si="4"/>
        <v>-0.12868331619367912</v>
      </c>
      <c r="P31" s="78">
        <f t="shared" si="4"/>
        <v>-9.4101365835321138E-2</v>
      </c>
      <c r="Q31" s="78">
        <f t="shared" si="4"/>
        <v>0.93203443692734123</v>
      </c>
      <c r="R31" s="76">
        <f t="shared" si="4"/>
        <v>3.0333406124998685E-2</v>
      </c>
    </row>
    <row r="32" spans="1:18" ht="13.2" x14ac:dyDescent="0.25">
      <c r="A32" s="34"/>
      <c r="B32" s="21"/>
      <c r="C32" s="66"/>
      <c r="D32" s="67"/>
      <c r="E32" s="47"/>
      <c r="F32" s="48"/>
      <c r="G32" s="49"/>
      <c r="H32" s="49"/>
      <c r="I32" s="49"/>
      <c r="J32" s="50"/>
      <c r="K32" s="12"/>
      <c r="L32" s="51"/>
      <c r="M32" s="52"/>
      <c r="N32" s="53"/>
      <c r="O32" s="54"/>
      <c r="P32" s="54"/>
      <c r="Q32" s="54"/>
      <c r="R32" s="52"/>
    </row>
    <row r="33" spans="1:18" ht="13.2" x14ac:dyDescent="0.25">
      <c r="A33" s="30" t="s">
        <v>36</v>
      </c>
      <c r="B33" s="31"/>
      <c r="C33" s="66"/>
      <c r="D33" s="67"/>
      <c r="E33" s="47"/>
      <c r="F33" s="48"/>
      <c r="G33" s="49"/>
      <c r="H33" s="49"/>
      <c r="I33" s="49"/>
      <c r="J33" s="50"/>
      <c r="K33" s="12"/>
      <c r="L33" s="51"/>
      <c r="M33" s="52"/>
      <c r="N33" s="53"/>
      <c r="O33" s="54"/>
      <c r="P33" s="54"/>
      <c r="Q33" s="54"/>
      <c r="R33" s="52"/>
    </row>
    <row r="34" spans="1:18" ht="13.2" x14ac:dyDescent="0.25">
      <c r="A34" s="34" t="s">
        <v>37</v>
      </c>
      <c r="B34" s="21"/>
      <c r="C34" s="45">
        <v>795978.75</v>
      </c>
      <c r="D34" s="46">
        <v>1380244</v>
      </c>
      <c r="E34" s="47">
        <v>392444</v>
      </c>
      <c r="F34" s="48">
        <v>506472.1795933735</v>
      </c>
      <c r="G34" s="49">
        <v>528882.47787610616</v>
      </c>
      <c r="H34" s="49">
        <v>551292.7523623819</v>
      </c>
      <c r="I34" s="49">
        <v>571461.99940002989</v>
      </c>
      <c r="J34" s="50">
        <v>571461.99940002989</v>
      </c>
      <c r="K34" s="12"/>
      <c r="L34" s="51">
        <f t="shared" si="4"/>
        <v>0.73402116576604581</v>
      </c>
      <c r="M34" s="52">
        <f t="shared" si="4"/>
        <v>-0.71567056259617867</v>
      </c>
      <c r="N34" s="53">
        <f t="shared" si="4"/>
        <v>0.29055911058233397</v>
      </c>
      <c r="O34" s="54">
        <f t="shared" si="4"/>
        <v>4.4247836674316421E-2</v>
      </c>
      <c r="P34" s="54">
        <f t="shared" si="4"/>
        <v>4.2372881355932313E-2</v>
      </c>
      <c r="Q34" s="54">
        <f t="shared" si="4"/>
        <v>3.6585365853658347E-2</v>
      </c>
      <c r="R34" s="52">
        <f t="shared" si="4"/>
        <v>0</v>
      </c>
    </row>
    <row r="35" spans="1:18" ht="13.2" x14ac:dyDescent="0.25">
      <c r="A35" s="34" t="s">
        <v>38</v>
      </c>
      <c r="B35" s="21"/>
      <c r="C35" s="45">
        <v>2403.79</v>
      </c>
      <c r="D35" s="46">
        <v>0</v>
      </c>
      <c r="E35" s="47">
        <v>0</v>
      </c>
      <c r="F35" s="48">
        <v>0</v>
      </c>
      <c r="G35" s="49">
        <v>0</v>
      </c>
      <c r="H35" s="49">
        <v>0</v>
      </c>
      <c r="I35" s="49">
        <v>0</v>
      </c>
      <c r="J35" s="50">
        <v>0</v>
      </c>
      <c r="K35" s="12"/>
      <c r="L35" s="51"/>
      <c r="M35" s="52"/>
      <c r="N35" s="53"/>
      <c r="O35" s="54"/>
      <c r="P35" s="54"/>
      <c r="Q35" s="54"/>
      <c r="R35" s="52"/>
    </row>
    <row r="36" spans="1:18" ht="13.2" x14ac:dyDescent="0.25">
      <c r="A36" s="34" t="s">
        <v>39</v>
      </c>
      <c r="B36" s="21"/>
      <c r="C36" s="45">
        <v>0</v>
      </c>
      <c r="D36" s="46">
        <v>0</v>
      </c>
      <c r="E36" s="47">
        <v>0</v>
      </c>
      <c r="F36" s="48">
        <v>0</v>
      </c>
      <c r="G36" s="49">
        <v>0</v>
      </c>
      <c r="H36" s="49">
        <v>0</v>
      </c>
      <c r="I36" s="49">
        <v>0</v>
      </c>
      <c r="J36" s="50">
        <v>0</v>
      </c>
      <c r="K36" s="12"/>
      <c r="L36" s="51"/>
      <c r="M36" s="52"/>
      <c r="N36" s="53"/>
      <c r="O36" s="54"/>
      <c r="P36" s="54"/>
      <c r="Q36" s="54"/>
      <c r="R36" s="52"/>
    </row>
    <row r="37" spans="1:18" ht="13.2" x14ac:dyDescent="0.25">
      <c r="A37" s="34" t="s">
        <v>40</v>
      </c>
      <c r="B37" s="21"/>
      <c r="C37" s="45">
        <v>27126.04</v>
      </c>
      <c r="D37" s="46">
        <v>15765</v>
      </c>
      <c r="E37" s="47">
        <v>0</v>
      </c>
      <c r="F37" s="48">
        <v>0</v>
      </c>
      <c r="G37" s="49">
        <v>0</v>
      </c>
      <c r="H37" s="49">
        <v>0</v>
      </c>
      <c r="I37" s="49">
        <v>0</v>
      </c>
      <c r="J37" s="50">
        <v>0</v>
      </c>
      <c r="K37" s="12"/>
      <c r="L37" s="51"/>
      <c r="M37" s="52"/>
      <c r="N37" s="53"/>
      <c r="O37" s="54"/>
      <c r="P37" s="54"/>
      <c r="Q37" s="54"/>
      <c r="R37" s="52"/>
    </row>
    <row r="38" spans="1:18" ht="13.2" x14ac:dyDescent="0.25">
      <c r="A38" s="34" t="s">
        <v>41</v>
      </c>
      <c r="B38" s="21"/>
      <c r="C38" s="45">
        <v>558.27</v>
      </c>
      <c r="D38" s="46">
        <v>107051</v>
      </c>
      <c r="E38" s="47">
        <v>0</v>
      </c>
      <c r="F38" s="48">
        <v>220174</v>
      </c>
      <c r="G38" s="49">
        <v>229916.21238938055</v>
      </c>
      <c r="H38" s="49">
        <v>239658.42477876108</v>
      </c>
      <c r="I38" s="49">
        <v>248426.41592920356</v>
      </c>
      <c r="J38" s="50">
        <v>248426.41592920356</v>
      </c>
      <c r="K38" s="12"/>
      <c r="L38" s="51"/>
      <c r="M38" s="52"/>
      <c r="N38" s="53"/>
      <c r="O38" s="54"/>
      <c r="P38" s="54"/>
      <c r="Q38" s="54"/>
      <c r="R38" s="52"/>
    </row>
    <row r="39" spans="1:18" ht="13.2" x14ac:dyDescent="0.25">
      <c r="A39" s="34" t="s">
        <v>42</v>
      </c>
      <c r="B39" s="21"/>
      <c r="C39" s="66">
        <v>0</v>
      </c>
      <c r="D39" s="67">
        <v>0</v>
      </c>
      <c r="E39" s="47">
        <v>0</v>
      </c>
      <c r="F39" s="48">
        <v>0</v>
      </c>
      <c r="G39" s="49">
        <v>0</v>
      </c>
      <c r="H39" s="49">
        <v>0</v>
      </c>
      <c r="I39" s="49">
        <v>0</v>
      </c>
      <c r="J39" s="50">
        <v>0</v>
      </c>
      <c r="K39" s="12"/>
      <c r="L39" s="51"/>
      <c r="M39" s="52"/>
      <c r="N39" s="53"/>
      <c r="O39" s="54"/>
      <c r="P39" s="54"/>
      <c r="Q39" s="54"/>
      <c r="R39" s="52"/>
    </row>
    <row r="40" spans="1:18" ht="13.2" x14ac:dyDescent="0.25">
      <c r="A40" s="34" t="s">
        <v>43</v>
      </c>
      <c r="B40" s="21"/>
      <c r="C40" s="66">
        <v>0</v>
      </c>
      <c r="D40" s="67">
        <v>-5826</v>
      </c>
      <c r="E40" s="47">
        <v>0</v>
      </c>
      <c r="F40" s="48">
        <v>0</v>
      </c>
      <c r="G40" s="49">
        <v>0</v>
      </c>
      <c r="H40" s="49">
        <v>0</v>
      </c>
      <c r="I40" s="49">
        <v>0</v>
      </c>
      <c r="J40" s="50">
        <v>0</v>
      </c>
      <c r="K40" s="12"/>
      <c r="L40" s="51"/>
      <c r="M40" s="52"/>
      <c r="N40" s="53"/>
      <c r="O40" s="54"/>
      <c r="P40" s="54"/>
      <c r="Q40" s="54"/>
      <c r="R40" s="52"/>
    </row>
    <row r="41" spans="1:18" ht="13.2" x14ac:dyDescent="0.25">
      <c r="A41" s="34" t="s">
        <v>44</v>
      </c>
      <c r="B41" s="21"/>
      <c r="C41" s="66">
        <v>0</v>
      </c>
      <c r="D41" s="67">
        <v>-513</v>
      </c>
      <c r="E41" s="47">
        <v>0</v>
      </c>
      <c r="F41" s="48">
        <v>0</v>
      </c>
      <c r="G41" s="49">
        <v>0</v>
      </c>
      <c r="H41" s="49">
        <v>0</v>
      </c>
      <c r="I41" s="49">
        <v>0</v>
      </c>
      <c r="J41" s="50">
        <v>0</v>
      </c>
      <c r="K41" s="12"/>
      <c r="L41" s="51"/>
      <c r="M41" s="52"/>
      <c r="N41" s="53"/>
      <c r="O41" s="54"/>
      <c r="P41" s="54"/>
      <c r="Q41" s="54"/>
      <c r="R41" s="52"/>
    </row>
    <row r="42" spans="1:18" ht="13.2" x14ac:dyDescent="0.25">
      <c r="A42" s="34" t="s">
        <v>45</v>
      </c>
      <c r="B42" s="21"/>
      <c r="C42" s="66">
        <v>0</v>
      </c>
      <c r="D42" s="67">
        <v>0</v>
      </c>
      <c r="E42" s="47">
        <v>0</v>
      </c>
      <c r="F42" s="48">
        <v>0</v>
      </c>
      <c r="G42" s="49">
        <v>0</v>
      </c>
      <c r="H42" s="49">
        <v>0</v>
      </c>
      <c r="I42" s="49">
        <v>0</v>
      </c>
      <c r="J42" s="50">
        <v>0</v>
      </c>
      <c r="K42" s="12"/>
      <c r="L42" s="51"/>
      <c r="M42" s="52"/>
      <c r="N42" s="53"/>
      <c r="O42" s="54"/>
      <c r="P42" s="54"/>
      <c r="Q42" s="54"/>
      <c r="R42" s="52"/>
    </row>
    <row r="43" spans="1:18" ht="13.2" x14ac:dyDescent="0.25">
      <c r="A43" s="34" t="s">
        <v>46</v>
      </c>
      <c r="B43" s="21"/>
      <c r="C43" s="66">
        <v>0</v>
      </c>
      <c r="D43" s="67">
        <v>0</v>
      </c>
      <c r="E43" s="47">
        <v>0</v>
      </c>
      <c r="F43" s="79">
        <v>0</v>
      </c>
      <c r="G43" s="80">
        <v>0</v>
      </c>
      <c r="H43" s="80">
        <v>0</v>
      </c>
      <c r="I43" s="80">
        <v>0</v>
      </c>
      <c r="J43" s="81">
        <v>0</v>
      </c>
      <c r="K43" s="12"/>
      <c r="L43" s="51"/>
      <c r="M43" s="52"/>
      <c r="N43" s="53"/>
      <c r="O43" s="54"/>
      <c r="P43" s="54"/>
      <c r="Q43" s="54"/>
      <c r="R43" s="52"/>
    </row>
    <row r="44" spans="1:18" ht="13.2" x14ac:dyDescent="0.25">
      <c r="A44" s="55" t="s">
        <v>47</v>
      </c>
      <c r="B44" s="21"/>
      <c r="C44" s="57">
        <f t="shared" ref="C44" si="10">SUM(C34:C43)</f>
        <v>826066.85000000009</v>
      </c>
      <c r="D44" s="58">
        <v>1496721</v>
      </c>
      <c r="E44" s="59">
        <f>SUM(E34:E43)</f>
        <v>392444</v>
      </c>
      <c r="F44" s="60">
        <f>SUM(F34:F43)</f>
        <v>726646.17959337356</v>
      </c>
      <c r="G44" s="58">
        <f>SUM(G34:G43)</f>
        <v>758798.69026548672</v>
      </c>
      <c r="H44" s="58">
        <f t="shared" ref="H44:I44" si="11">SUM(H34:H43)</f>
        <v>790951.17714114301</v>
      </c>
      <c r="I44" s="58">
        <f t="shared" si="11"/>
        <v>819888.41532923351</v>
      </c>
      <c r="J44" s="59">
        <f>SUM(J34:J43)</f>
        <v>819888.41532923351</v>
      </c>
      <c r="K44" s="12"/>
      <c r="L44" s="61">
        <f t="shared" si="4"/>
        <v>0.81186425771715665</v>
      </c>
      <c r="M44" s="62">
        <f t="shared" si="4"/>
        <v>-0.73779749198414402</v>
      </c>
      <c r="N44" s="63">
        <f t="shared" si="4"/>
        <v>0.85159202228438602</v>
      </c>
      <c r="O44" s="64">
        <f t="shared" si="4"/>
        <v>4.4247821808002241E-2</v>
      </c>
      <c r="P44" s="64">
        <f t="shared" si="4"/>
        <v>4.2372881355932313E-2</v>
      </c>
      <c r="Q44" s="64">
        <f t="shared" si="4"/>
        <v>3.6585365853658347E-2</v>
      </c>
      <c r="R44" s="62">
        <f t="shared" si="4"/>
        <v>0</v>
      </c>
    </row>
    <row r="45" spans="1:18" ht="13.2" x14ac:dyDescent="0.25">
      <c r="A45" s="34"/>
      <c r="B45" s="21"/>
      <c r="C45" s="82"/>
      <c r="D45" s="83"/>
      <c r="E45" s="84"/>
      <c r="F45" s="85"/>
      <c r="G45" s="86"/>
      <c r="H45" s="86"/>
      <c r="I45" s="86"/>
      <c r="J45" s="87"/>
      <c r="K45" s="12"/>
      <c r="L45" s="51"/>
      <c r="M45" s="52"/>
      <c r="N45" s="53"/>
      <c r="O45" s="54"/>
      <c r="P45" s="54"/>
      <c r="Q45" s="54"/>
      <c r="R45" s="52"/>
    </row>
    <row r="46" spans="1:18" ht="13.2" x14ac:dyDescent="0.25">
      <c r="A46" s="34"/>
      <c r="B46" s="21"/>
      <c r="C46" s="82"/>
      <c r="D46" s="83"/>
      <c r="E46" s="84"/>
      <c r="F46" s="88"/>
      <c r="G46" s="89"/>
      <c r="H46" s="89"/>
      <c r="I46" s="89"/>
      <c r="J46" s="90"/>
      <c r="K46" s="12"/>
      <c r="L46" s="51"/>
      <c r="M46" s="52"/>
      <c r="N46" s="53"/>
      <c r="O46" s="54"/>
      <c r="P46" s="54"/>
      <c r="Q46" s="54"/>
      <c r="R46" s="52"/>
    </row>
    <row r="47" spans="1:18" ht="13.2" x14ac:dyDescent="0.25">
      <c r="A47" s="34" t="s">
        <v>48</v>
      </c>
      <c r="B47" s="21"/>
      <c r="C47" s="82"/>
      <c r="D47" s="83"/>
      <c r="E47" s="84"/>
      <c r="F47" s="88"/>
      <c r="G47" s="89"/>
      <c r="H47" s="89"/>
      <c r="I47" s="89"/>
      <c r="J47" s="90"/>
      <c r="K47" s="12"/>
      <c r="L47" s="51"/>
      <c r="M47" s="52"/>
      <c r="N47" s="53"/>
      <c r="O47" s="54"/>
      <c r="P47" s="54"/>
      <c r="Q47" s="54"/>
      <c r="R47" s="52"/>
    </row>
    <row r="48" spans="1:18" ht="13.2" x14ac:dyDescent="0.25">
      <c r="A48" s="34" t="s">
        <v>49</v>
      </c>
      <c r="B48" s="21"/>
      <c r="C48" s="82"/>
      <c r="D48" s="83"/>
      <c r="E48" s="84"/>
      <c r="F48" s="88"/>
      <c r="G48" s="89"/>
      <c r="H48" s="89"/>
      <c r="I48" s="89"/>
      <c r="J48" s="90"/>
      <c r="K48" s="12"/>
      <c r="L48" s="51"/>
      <c r="M48" s="52"/>
      <c r="N48" s="53"/>
      <c r="O48" s="54"/>
      <c r="P48" s="54"/>
      <c r="Q48" s="54"/>
      <c r="R48" s="52"/>
    </row>
    <row r="49" spans="1:18" ht="13.2" x14ac:dyDescent="0.25">
      <c r="A49" s="70" t="s">
        <v>50</v>
      </c>
      <c r="B49" s="21"/>
      <c r="C49" s="71">
        <f>+C31+C44</f>
        <v>1078328.7100000004</v>
      </c>
      <c r="D49" s="72">
        <v>705142</v>
      </c>
      <c r="E49" s="73">
        <f>+E31+E44</f>
        <v>822434</v>
      </c>
      <c r="F49" s="74">
        <f>+F31+F44</f>
        <v>67017.997871053405</v>
      </c>
      <c r="G49" s="72">
        <f t="shared" ref="G49:H49" si="12">+G31+G44</f>
        <v>184053.65042200149</v>
      </c>
      <c r="H49" s="72">
        <f t="shared" si="12"/>
        <v>270290.43055400578</v>
      </c>
      <c r="I49" s="72">
        <f>+I31+I44</f>
        <v>-186046.0770334152</v>
      </c>
      <c r="J49" s="73">
        <f>+J31+J44</f>
        <v>-216559.49652539589</v>
      </c>
      <c r="K49" s="12"/>
      <c r="L49" s="51">
        <f t="shared" si="4"/>
        <v>-0.34607880374436129</v>
      </c>
      <c r="M49" s="52">
        <f t="shared" si="4"/>
        <v>0.16633812763953926</v>
      </c>
      <c r="N49" s="53">
        <f t="shared" si="4"/>
        <v>-0.91851261271901041</v>
      </c>
      <c r="O49" s="54">
        <f t="shared" si="4"/>
        <v>1.7463316760988832</v>
      </c>
      <c r="P49" s="54">
        <f t="shared" si="4"/>
        <v>0.46854153630900042</v>
      </c>
      <c r="Q49" s="54">
        <f t="shared" si="4"/>
        <v>-1.6883191411996439</v>
      </c>
      <c r="R49" s="52">
        <f t="shared" si="4"/>
        <v>0.16401001288783035</v>
      </c>
    </row>
    <row r="50" spans="1:18" ht="13.2" x14ac:dyDescent="0.25">
      <c r="A50" s="34"/>
      <c r="B50" s="21"/>
      <c r="C50" s="82"/>
      <c r="D50" s="83"/>
      <c r="E50" s="84"/>
      <c r="F50" s="88"/>
      <c r="G50" s="89"/>
      <c r="H50" s="89"/>
      <c r="I50" s="89"/>
      <c r="J50" s="90"/>
      <c r="K50" s="12"/>
      <c r="L50" s="51"/>
      <c r="M50" s="52"/>
      <c r="N50" s="53"/>
      <c r="O50" s="54"/>
      <c r="P50" s="54"/>
      <c r="Q50" s="54"/>
      <c r="R50" s="52"/>
    </row>
    <row r="51" spans="1:18" ht="13.2" x14ac:dyDescent="0.25">
      <c r="A51" s="34" t="s">
        <v>51</v>
      </c>
      <c r="B51" s="21"/>
      <c r="C51" s="82">
        <v>2258060.3400000012</v>
      </c>
      <c r="D51" s="83">
        <v>3336389.0500000017</v>
      </c>
      <c r="E51" s="84">
        <v>4041531</v>
      </c>
      <c r="F51" s="88">
        <f>+E53</f>
        <v>4863965</v>
      </c>
      <c r="G51" s="89">
        <f>+F53</f>
        <v>4930982.9978710534</v>
      </c>
      <c r="H51" s="89">
        <f>+G53</f>
        <v>5115036.6482930547</v>
      </c>
      <c r="I51" s="89">
        <f>+H53</f>
        <v>5385327.07884706</v>
      </c>
      <c r="J51" s="90">
        <f>+I53</f>
        <v>5199281.0018136445</v>
      </c>
      <c r="K51" s="12"/>
      <c r="L51" s="51">
        <f t="shared" si="4"/>
        <v>0.47754645475948609</v>
      </c>
      <c r="M51" s="52">
        <f t="shared" si="4"/>
        <v>0.21134883834965179</v>
      </c>
      <c r="N51" s="53">
        <f t="shared" si="4"/>
        <v>0.20349565548303361</v>
      </c>
      <c r="O51" s="54">
        <f t="shared" si="4"/>
        <v>1.3778470418897681E-2</v>
      </c>
      <c r="P51" s="54">
        <f t="shared" si="4"/>
        <v>3.7325955190165239E-2</v>
      </c>
      <c r="Q51" s="54">
        <f t="shared" si="4"/>
        <v>5.2842325312410843E-2</v>
      </c>
      <c r="R51" s="52">
        <f t="shared" si="4"/>
        <v>-3.4546848187584134E-2</v>
      </c>
    </row>
    <row r="52" spans="1:18" ht="13.8" thickBot="1" x14ac:dyDescent="0.3">
      <c r="A52" s="34"/>
      <c r="B52" s="21"/>
      <c r="C52" s="91"/>
      <c r="D52" s="92"/>
      <c r="E52" s="93"/>
      <c r="F52" s="94"/>
      <c r="G52" s="95"/>
      <c r="H52" s="95"/>
      <c r="I52" s="95"/>
      <c r="J52" s="96"/>
      <c r="K52" s="12"/>
      <c r="L52" s="51"/>
      <c r="M52" s="52"/>
      <c r="N52" s="53"/>
      <c r="O52" s="54"/>
      <c r="P52" s="54"/>
      <c r="Q52" s="54"/>
      <c r="R52" s="52"/>
    </row>
    <row r="53" spans="1:18" ht="13.8" thickBot="1" x14ac:dyDescent="0.3">
      <c r="A53" s="55" t="s">
        <v>52</v>
      </c>
      <c r="B53" s="21"/>
      <c r="C53" s="97">
        <f>+C49+C51</f>
        <v>3336389.0500000017</v>
      </c>
      <c r="D53" s="98">
        <v>4041531.0500000017</v>
      </c>
      <c r="E53" s="99">
        <f>+E49+E51</f>
        <v>4863965</v>
      </c>
      <c r="F53" s="100">
        <f t="shared" ref="F53:J53" si="13">+F49+F51</f>
        <v>4930982.9978710534</v>
      </c>
      <c r="G53" s="98">
        <f t="shared" si="13"/>
        <v>5115036.6482930547</v>
      </c>
      <c r="H53" s="98">
        <f t="shared" si="13"/>
        <v>5385327.07884706</v>
      </c>
      <c r="I53" s="98">
        <f t="shared" si="13"/>
        <v>5199281.0018136445</v>
      </c>
      <c r="J53" s="99">
        <f t="shared" si="13"/>
        <v>4982721.5052882489</v>
      </c>
      <c r="K53" s="12"/>
      <c r="L53" s="101">
        <f t="shared" si="4"/>
        <v>0.21134885333591402</v>
      </c>
      <c r="M53" s="102">
        <f t="shared" si="4"/>
        <v>0.20349564059392744</v>
      </c>
      <c r="N53" s="103">
        <f t="shared" si="4"/>
        <v>1.3778470418897681E-2</v>
      </c>
      <c r="O53" s="104">
        <f t="shared" si="4"/>
        <v>3.7325955190165239E-2</v>
      </c>
      <c r="P53" s="104">
        <f t="shared" si="4"/>
        <v>5.2842325312410843E-2</v>
      </c>
      <c r="Q53" s="104">
        <f t="shared" si="4"/>
        <v>-3.4546848187584134E-2</v>
      </c>
      <c r="R53" s="102">
        <f t="shared" si="4"/>
        <v>-4.1651816174169909E-2</v>
      </c>
    </row>
    <row r="54" spans="1:18" ht="13.2" x14ac:dyDescent="0.25">
      <c r="A54" s="20"/>
      <c r="B54" s="105"/>
      <c r="C54" s="106"/>
      <c r="D54" s="106"/>
      <c r="E54" s="106"/>
      <c r="F54" s="107"/>
      <c r="G54" s="107"/>
      <c r="H54" s="107"/>
      <c r="I54" s="107"/>
      <c r="J54" s="107"/>
      <c r="K54" s="12"/>
    </row>
    <row r="55" spans="1:18" ht="13.35" hidden="1" customHeight="1" x14ac:dyDescent="0.25">
      <c r="A55" s="108" t="s">
        <v>53</v>
      </c>
      <c r="B55" s="31"/>
      <c r="C55" s="109">
        <v>0</v>
      </c>
      <c r="D55" s="109">
        <v>0</v>
      </c>
      <c r="E55" s="109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2"/>
    </row>
    <row r="56" spans="1:18" ht="13.35" hidden="1" customHeight="1" x14ac:dyDescent="0.25">
      <c r="A56" s="108"/>
      <c r="B56" s="31"/>
      <c r="C56" s="109">
        <v>0</v>
      </c>
      <c r="D56" s="109">
        <v>0</v>
      </c>
      <c r="E56" s="109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2"/>
    </row>
    <row r="57" spans="1:18" ht="13.35" hidden="1" customHeight="1" x14ac:dyDescent="0.25">
      <c r="A57" s="20" t="s">
        <v>54</v>
      </c>
      <c r="B57" s="21"/>
      <c r="C57" s="109">
        <v>0</v>
      </c>
      <c r="D57" s="109">
        <v>0</v>
      </c>
      <c r="E57" s="109">
        <v>0</v>
      </c>
      <c r="F57" s="110">
        <v>0</v>
      </c>
      <c r="G57" s="110">
        <v>0</v>
      </c>
      <c r="H57" s="110">
        <v>0</v>
      </c>
      <c r="I57" s="110">
        <v>0</v>
      </c>
      <c r="J57" s="110">
        <v>0</v>
      </c>
      <c r="K57" s="12"/>
    </row>
    <row r="58" spans="1:18" ht="13.35" hidden="1" customHeight="1" x14ac:dyDescent="0.25">
      <c r="A58" s="20" t="s">
        <v>55</v>
      </c>
      <c r="B58" s="21"/>
      <c r="C58" s="109">
        <v>0</v>
      </c>
      <c r="D58" s="109">
        <v>0</v>
      </c>
      <c r="E58" s="109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"/>
    </row>
    <row r="59" spans="1:18" ht="13.35" hidden="1" customHeight="1" x14ac:dyDescent="0.25">
      <c r="A59" s="20" t="s">
        <v>56</v>
      </c>
      <c r="B59" s="21"/>
      <c r="C59" s="109">
        <v>0</v>
      </c>
      <c r="D59" s="109">
        <v>0</v>
      </c>
      <c r="E59" s="109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"/>
    </row>
    <row r="60" spans="1:18" ht="13.35" hidden="1" customHeight="1" x14ac:dyDescent="0.25">
      <c r="A60" s="20" t="s">
        <v>57</v>
      </c>
      <c r="B60" s="21"/>
      <c r="C60" s="109">
        <v>0</v>
      </c>
      <c r="D60" s="109">
        <v>0</v>
      </c>
      <c r="E60" s="109">
        <v>0</v>
      </c>
      <c r="F60" s="110">
        <v>0</v>
      </c>
      <c r="G60" s="110">
        <v>0</v>
      </c>
      <c r="H60" s="110">
        <v>0</v>
      </c>
      <c r="I60" s="110">
        <v>0</v>
      </c>
      <c r="J60" s="110">
        <v>0</v>
      </c>
      <c r="K60" s="12"/>
    </row>
    <row r="61" spans="1:18" ht="13.35" hidden="1" customHeight="1" x14ac:dyDescent="0.25">
      <c r="A61" s="20" t="s">
        <v>58</v>
      </c>
      <c r="B61" s="21"/>
      <c r="C61" s="109">
        <v>0</v>
      </c>
      <c r="D61" s="109">
        <v>0</v>
      </c>
      <c r="E61" s="109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2"/>
    </row>
    <row r="62" spans="1:18" ht="13.35" hidden="1" customHeight="1" x14ac:dyDescent="0.25">
      <c r="A62" s="20" t="s">
        <v>59</v>
      </c>
      <c r="B62" s="21"/>
      <c r="C62" s="109">
        <v>0</v>
      </c>
      <c r="D62" s="109">
        <v>0</v>
      </c>
      <c r="E62" s="109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2"/>
    </row>
    <row r="63" spans="1:18" ht="13.2" x14ac:dyDescent="0.25">
      <c r="A63" s="20"/>
      <c r="B63" s="21"/>
      <c r="C63" s="111"/>
      <c r="D63" s="111"/>
      <c r="E63" s="111"/>
      <c r="F63" s="112"/>
      <c r="G63" s="112"/>
      <c r="H63" s="112"/>
      <c r="I63" s="112"/>
      <c r="J63" s="112"/>
      <c r="K63" s="12"/>
    </row>
    <row r="64" spans="1:18" ht="13.8" thickBot="1" x14ac:dyDescent="0.3">
      <c r="A64" s="30" t="s">
        <v>60</v>
      </c>
      <c r="B64" s="31"/>
      <c r="C64" s="113"/>
      <c r="D64" s="113"/>
      <c r="E64" s="113"/>
      <c r="F64" s="114"/>
      <c r="G64" s="114"/>
      <c r="H64" s="114"/>
      <c r="I64" s="114"/>
      <c r="J64" s="114"/>
      <c r="K64" s="12"/>
    </row>
    <row r="65" spans="1:18" ht="13.2" x14ac:dyDescent="0.25">
      <c r="A65" s="34" t="s">
        <v>61</v>
      </c>
      <c r="B65" s="21"/>
      <c r="C65" s="115">
        <v>242.1</v>
      </c>
      <c r="D65" s="116">
        <v>223.55</v>
      </c>
      <c r="E65" s="116">
        <v>213</v>
      </c>
      <c r="F65" s="38">
        <v>226</v>
      </c>
      <c r="G65" s="38">
        <v>236</v>
      </c>
      <c r="H65" s="38">
        <v>246</v>
      </c>
      <c r="I65" s="38">
        <v>255</v>
      </c>
      <c r="J65" s="38">
        <v>255</v>
      </c>
      <c r="K65" s="12"/>
      <c r="L65" s="117">
        <f t="shared" ref="L65:R67" si="14">+D65/C65-1</f>
        <v>-7.6621230896323778E-2</v>
      </c>
      <c r="M65" s="118">
        <f t="shared" si="14"/>
        <v>-4.7193021695370208E-2</v>
      </c>
      <c r="N65" s="119">
        <f t="shared" si="14"/>
        <v>6.1032863849765251E-2</v>
      </c>
      <c r="O65" s="117">
        <f t="shared" si="14"/>
        <v>4.4247787610619538E-2</v>
      </c>
      <c r="P65" s="117">
        <f t="shared" si="14"/>
        <v>4.2372881355932313E-2</v>
      </c>
      <c r="Q65" s="117">
        <f t="shared" si="14"/>
        <v>3.6585365853658569E-2</v>
      </c>
      <c r="R65" s="118">
        <f t="shared" si="14"/>
        <v>0</v>
      </c>
    </row>
    <row r="66" spans="1:18" ht="13.2" x14ac:dyDescent="0.25">
      <c r="A66" s="34" t="s">
        <v>62</v>
      </c>
      <c r="B66" s="21"/>
      <c r="C66" s="66">
        <v>25</v>
      </c>
      <c r="D66" s="67">
        <v>26</v>
      </c>
      <c r="E66" s="67">
        <v>25</v>
      </c>
      <c r="F66" s="49">
        <v>28</v>
      </c>
      <c r="G66" s="49">
        <v>28</v>
      </c>
      <c r="H66" s="49">
        <v>28</v>
      </c>
      <c r="I66" s="50">
        <v>28</v>
      </c>
      <c r="J66" s="50">
        <v>28</v>
      </c>
      <c r="K66" s="12"/>
      <c r="L66" s="120">
        <f t="shared" si="14"/>
        <v>4.0000000000000036E-2</v>
      </c>
      <c r="M66" s="121">
        <f t="shared" si="14"/>
        <v>-3.8461538461538436E-2</v>
      </c>
      <c r="N66" s="122">
        <f t="shared" si="14"/>
        <v>0.12000000000000011</v>
      </c>
      <c r="O66" s="120">
        <f t="shared" si="14"/>
        <v>0</v>
      </c>
      <c r="P66" s="120">
        <f t="shared" si="14"/>
        <v>0</v>
      </c>
      <c r="Q66" s="120">
        <f t="shared" si="14"/>
        <v>0</v>
      </c>
      <c r="R66" s="121">
        <f t="shared" si="14"/>
        <v>0</v>
      </c>
    </row>
    <row r="67" spans="1:18" ht="13.2" x14ac:dyDescent="0.25">
      <c r="A67" s="34" t="s">
        <v>63</v>
      </c>
      <c r="B67" s="21"/>
      <c r="C67" s="66">
        <v>9</v>
      </c>
      <c r="D67" s="67">
        <v>11</v>
      </c>
      <c r="E67" s="67">
        <v>9</v>
      </c>
      <c r="F67" s="49">
        <v>10</v>
      </c>
      <c r="G67" s="49">
        <v>10</v>
      </c>
      <c r="H67" s="49">
        <v>10</v>
      </c>
      <c r="I67" s="50">
        <v>10</v>
      </c>
      <c r="J67" s="50">
        <v>10</v>
      </c>
      <c r="K67" s="12"/>
      <c r="L67" s="120">
        <f t="shared" si="14"/>
        <v>0.22222222222222232</v>
      </c>
      <c r="M67" s="121">
        <f t="shared" si="14"/>
        <v>-0.18181818181818177</v>
      </c>
      <c r="N67" s="122">
        <f t="shared" si="14"/>
        <v>0.11111111111111116</v>
      </c>
      <c r="O67" s="120">
        <f t="shared" si="14"/>
        <v>0</v>
      </c>
      <c r="P67" s="120">
        <f t="shared" si="14"/>
        <v>0</v>
      </c>
      <c r="Q67" s="120">
        <f t="shared" si="14"/>
        <v>0</v>
      </c>
      <c r="R67" s="121">
        <f t="shared" si="14"/>
        <v>0</v>
      </c>
    </row>
    <row r="68" spans="1:18" ht="13.8" thickBot="1" x14ac:dyDescent="0.3">
      <c r="A68" s="34" t="s">
        <v>64</v>
      </c>
      <c r="B68" s="21"/>
      <c r="C68" s="123">
        <v>0</v>
      </c>
      <c r="D68" s="124">
        <v>0</v>
      </c>
      <c r="E68" s="124">
        <v>0</v>
      </c>
      <c r="F68" s="125">
        <v>0</v>
      </c>
      <c r="G68" s="126">
        <v>0</v>
      </c>
      <c r="H68" s="126">
        <v>0</v>
      </c>
      <c r="I68" s="126">
        <v>0</v>
      </c>
      <c r="J68" s="127">
        <v>0</v>
      </c>
      <c r="K68" s="12"/>
      <c r="L68" s="128"/>
      <c r="M68" s="129"/>
      <c r="N68" s="130"/>
      <c r="O68" s="128"/>
      <c r="P68" s="128"/>
      <c r="Q68" s="128"/>
      <c r="R68" s="129"/>
    </row>
    <row r="69" spans="1:18" ht="13.2" x14ac:dyDescent="0.25">
      <c r="A69" s="20"/>
      <c r="B69" s="105"/>
      <c r="C69" s="111"/>
      <c r="D69" s="111"/>
      <c r="E69" s="111"/>
      <c r="F69" s="131"/>
      <c r="G69" s="132"/>
      <c r="H69" s="132"/>
      <c r="I69" s="132"/>
      <c r="J69" s="112"/>
      <c r="K69" s="12"/>
    </row>
    <row r="70" spans="1:18" ht="13.2" x14ac:dyDescent="0.25">
      <c r="A70" s="20"/>
      <c r="B70" s="21"/>
      <c r="C70" s="133"/>
      <c r="D70" s="133"/>
      <c r="E70" s="133"/>
      <c r="F70" s="131"/>
      <c r="G70" s="132"/>
      <c r="H70" s="132"/>
      <c r="I70" s="132"/>
      <c r="J70" s="112"/>
      <c r="K70" s="12"/>
    </row>
    <row r="71" spans="1:18" ht="13.8" thickBot="1" x14ac:dyDescent="0.3">
      <c r="A71" s="108" t="s">
        <v>65</v>
      </c>
      <c r="B71" s="31"/>
      <c r="C71" s="134"/>
      <c r="D71" s="134"/>
      <c r="E71" s="134"/>
      <c r="F71" s="135"/>
      <c r="G71" s="132"/>
      <c r="H71" s="132"/>
      <c r="I71" s="132"/>
      <c r="J71" s="136"/>
      <c r="K71" s="12"/>
    </row>
    <row r="72" spans="1:18" ht="13.2" x14ac:dyDescent="0.25">
      <c r="A72" s="34" t="s">
        <v>66</v>
      </c>
      <c r="B72" s="21"/>
      <c r="C72" s="35">
        <v>35000</v>
      </c>
      <c r="D72" s="36">
        <v>35200.04</v>
      </c>
      <c r="E72" s="37">
        <v>35000</v>
      </c>
      <c r="F72" s="137">
        <v>35000</v>
      </c>
      <c r="G72" s="138">
        <v>35000</v>
      </c>
      <c r="H72" s="138">
        <v>35000</v>
      </c>
      <c r="I72" s="138">
        <v>35000</v>
      </c>
      <c r="J72" s="139">
        <v>35000</v>
      </c>
      <c r="K72" s="12"/>
      <c r="L72" s="117">
        <f t="shared" ref="L72:R92" si="15">+D72/C72-1</f>
        <v>5.7154285714287045E-3</v>
      </c>
      <c r="M72" s="118">
        <f t="shared" si="15"/>
        <v>-5.6829480875589811E-3</v>
      </c>
      <c r="N72" s="119">
        <f t="shared" si="15"/>
        <v>0</v>
      </c>
      <c r="O72" s="117">
        <f t="shared" si="15"/>
        <v>0</v>
      </c>
      <c r="P72" s="117">
        <f t="shared" si="15"/>
        <v>0</v>
      </c>
      <c r="Q72" s="117">
        <f t="shared" si="15"/>
        <v>0</v>
      </c>
      <c r="R72" s="118">
        <f t="shared" si="15"/>
        <v>0</v>
      </c>
    </row>
    <row r="73" spans="1:18" ht="13.2" x14ac:dyDescent="0.25">
      <c r="A73" s="34" t="s">
        <v>67</v>
      </c>
      <c r="B73" s="21"/>
      <c r="C73" s="45">
        <v>0</v>
      </c>
      <c r="D73" s="46">
        <v>0</v>
      </c>
      <c r="E73" s="47">
        <v>0</v>
      </c>
      <c r="F73" s="140">
        <v>43268.4</v>
      </c>
      <c r="G73" s="141">
        <v>44133.767999999996</v>
      </c>
      <c r="H73" s="141">
        <v>45016.443360000005</v>
      </c>
      <c r="I73" s="141">
        <v>45916.772227199996</v>
      </c>
      <c r="J73" s="142">
        <v>46835.107671744001</v>
      </c>
      <c r="K73" s="12"/>
      <c r="L73" s="120"/>
      <c r="M73" s="121"/>
      <c r="N73" s="122"/>
      <c r="O73" s="120">
        <f t="shared" si="15"/>
        <v>1.9999999999999796E-2</v>
      </c>
      <c r="P73" s="120">
        <f t="shared" si="15"/>
        <v>2.000000000000024E-2</v>
      </c>
      <c r="Q73" s="120">
        <f t="shared" si="15"/>
        <v>1.9999999999999796E-2</v>
      </c>
      <c r="R73" s="121">
        <f t="shared" si="15"/>
        <v>2.0000000000000018E-2</v>
      </c>
    </row>
    <row r="74" spans="1:18" ht="13.2" x14ac:dyDescent="0.25">
      <c r="A74" s="34" t="s">
        <v>68</v>
      </c>
      <c r="B74" s="21"/>
      <c r="C74" s="45">
        <v>126819.53</v>
      </c>
      <c r="D74" s="46">
        <v>98727.13</v>
      </c>
      <c r="E74" s="47">
        <v>106650</v>
      </c>
      <c r="F74" s="140">
        <v>217235</v>
      </c>
      <c r="G74" s="141">
        <v>221579.7</v>
      </c>
      <c r="H74" s="141">
        <v>226011.29399999999</v>
      </c>
      <c r="I74" s="141">
        <v>230531.51988000004</v>
      </c>
      <c r="J74" s="142">
        <v>235142.15027760004</v>
      </c>
      <c r="K74" s="12"/>
      <c r="L74" s="120">
        <f t="shared" si="15"/>
        <v>-0.2215147777317894</v>
      </c>
      <c r="M74" s="121">
        <f t="shared" si="15"/>
        <v>8.0250180472176247E-2</v>
      </c>
      <c r="N74" s="122">
        <f t="shared" si="15"/>
        <v>1.0368963900609471</v>
      </c>
      <c r="O74" s="120">
        <f t="shared" si="15"/>
        <v>2.0000000000000018E-2</v>
      </c>
      <c r="P74" s="120">
        <f t="shared" si="15"/>
        <v>2.0000000000000018E-2</v>
      </c>
      <c r="Q74" s="120">
        <f t="shared" si="15"/>
        <v>2.000000000000024E-2</v>
      </c>
      <c r="R74" s="121">
        <f t="shared" si="15"/>
        <v>2.0000000000000018E-2</v>
      </c>
    </row>
    <row r="75" spans="1:18" ht="13.2" x14ac:dyDescent="0.25">
      <c r="A75" s="34" t="s">
        <v>69</v>
      </c>
      <c r="B75" s="21"/>
      <c r="C75" s="45">
        <v>0</v>
      </c>
      <c r="D75" s="46">
        <v>0</v>
      </c>
      <c r="E75" s="47">
        <v>0</v>
      </c>
      <c r="F75" s="140">
        <v>0</v>
      </c>
      <c r="G75" s="141">
        <v>0</v>
      </c>
      <c r="H75" s="141">
        <v>0</v>
      </c>
      <c r="I75" s="141">
        <v>0</v>
      </c>
      <c r="J75" s="142">
        <v>0</v>
      </c>
      <c r="K75" s="12"/>
      <c r="L75" s="120"/>
      <c r="M75" s="121"/>
      <c r="N75" s="122"/>
      <c r="O75" s="120"/>
      <c r="P75" s="120"/>
      <c r="Q75" s="120"/>
      <c r="R75" s="121"/>
    </row>
    <row r="76" spans="1:18" ht="13.2" x14ac:dyDescent="0.25">
      <c r="A76" s="34" t="s">
        <v>70</v>
      </c>
      <c r="B76" s="21"/>
      <c r="C76" s="45">
        <v>8602.69</v>
      </c>
      <c r="D76" s="46">
        <v>5129</v>
      </c>
      <c r="E76" s="47">
        <v>6591</v>
      </c>
      <c r="F76" s="140">
        <v>19881</v>
      </c>
      <c r="G76" s="141">
        <v>20278.62</v>
      </c>
      <c r="H76" s="141">
        <v>20684.1924</v>
      </c>
      <c r="I76" s="141">
        <v>21097.876248</v>
      </c>
      <c r="J76" s="142">
        <v>21519.833772960003</v>
      </c>
      <c r="K76" s="12"/>
      <c r="L76" s="120">
        <v>0</v>
      </c>
      <c r="M76" s="121">
        <f t="shared" si="15"/>
        <v>0.28504581789822581</v>
      </c>
      <c r="N76" s="122">
        <f t="shared" si="15"/>
        <v>2.0163859808830225</v>
      </c>
      <c r="O76" s="120">
        <f t="shared" si="15"/>
        <v>2.0000000000000018E-2</v>
      </c>
      <c r="P76" s="120">
        <f t="shared" si="15"/>
        <v>2.0000000000000018E-2</v>
      </c>
      <c r="Q76" s="120">
        <f t="shared" si="15"/>
        <v>2.0000000000000018E-2</v>
      </c>
      <c r="R76" s="121">
        <f t="shared" si="15"/>
        <v>2.0000000000000018E-2</v>
      </c>
    </row>
    <row r="77" spans="1:18" ht="13.2" x14ac:dyDescent="0.25">
      <c r="A77" s="34" t="s">
        <v>71</v>
      </c>
      <c r="B77" s="21"/>
      <c r="C77" s="45">
        <v>0</v>
      </c>
      <c r="D77" s="46">
        <v>0</v>
      </c>
      <c r="E77" s="47">
        <v>0</v>
      </c>
      <c r="F77" s="140">
        <v>0</v>
      </c>
      <c r="G77" s="141">
        <v>0</v>
      </c>
      <c r="H77" s="141">
        <v>0</v>
      </c>
      <c r="I77" s="141">
        <v>0</v>
      </c>
      <c r="J77" s="142">
        <v>0</v>
      </c>
      <c r="K77" s="12"/>
      <c r="L77" s="120"/>
      <c r="M77" s="121"/>
      <c r="N77" s="122"/>
      <c r="O77" s="120"/>
      <c r="P77" s="120"/>
      <c r="Q77" s="120"/>
      <c r="R77" s="121"/>
    </row>
    <row r="78" spans="1:18" ht="13.2" x14ac:dyDescent="0.25">
      <c r="A78" s="34" t="s">
        <v>72</v>
      </c>
      <c r="B78" s="21"/>
      <c r="C78" s="45">
        <v>34600</v>
      </c>
      <c r="D78" s="46">
        <v>50745.380000000005</v>
      </c>
      <c r="E78" s="47">
        <v>7958</v>
      </c>
      <c r="F78" s="140">
        <v>67039</v>
      </c>
      <c r="G78" s="141">
        <v>68379.78</v>
      </c>
      <c r="H78" s="141">
        <v>69747.375599999999</v>
      </c>
      <c r="I78" s="141">
        <v>71142.323111999998</v>
      </c>
      <c r="J78" s="142">
        <v>72565.169574240004</v>
      </c>
      <c r="K78" s="12"/>
      <c r="L78" s="120">
        <f t="shared" si="15"/>
        <v>0.46662947976878622</v>
      </c>
      <c r="M78" s="121">
        <f t="shared" si="15"/>
        <v>-0.84317784200256263</v>
      </c>
      <c r="N78" s="122">
        <f t="shared" si="15"/>
        <v>7.4241015330485052</v>
      </c>
      <c r="O78" s="120">
        <f t="shared" si="15"/>
        <v>2.0000000000000018E-2</v>
      </c>
      <c r="P78" s="120">
        <f t="shared" si="15"/>
        <v>2.0000000000000018E-2</v>
      </c>
      <c r="Q78" s="120">
        <f t="shared" si="15"/>
        <v>2.0000000000000018E-2</v>
      </c>
      <c r="R78" s="121">
        <f t="shared" si="15"/>
        <v>2.0000000000000018E-2</v>
      </c>
    </row>
    <row r="79" spans="1:18" ht="13.2" x14ac:dyDescent="0.25">
      <c r="A79" s="34" t="s">
        <v>73</v>
      </c>
      <c r="B79" s="21"/>
      <c r="C79" s="45">
        <v>0</v>
      </c>
      <c r="D79" s="46">
        <v>0</v>
      </c>
      <c r="E79" s="47">
        <v>0</v>
      </c>
      <c r="F79" s="140">
        <v>0</v>
      </c>
      <c r="G79" s="141">
        <v>0</v>
      </c>
      <c r="H79" s="141">
        <v>0</v>
      </c>
      <c r="I79" s="141">
        <v>0</v>
      </c>
      <c r="J79" s="142">
        <v>0</v>
      </c>
      <c r="K79" s="12"/>
      <c r="L79" s="120"/>
      <c r="M79" s="121"/>
      <c r="N79" s="122"/>
      <c r="O79" s="120"/>
      <c r="P79" s="120"/>
      <c r="Q79" s="120"/>
      <c r="R79" s="121"/>
    </row>
    <row r="80" spans="1:18" ht="13.2" x14ac:dyDescent="0.25">
      <c r="A80" s="34" t="s">
        <v>74</v>
      </c>
      <c r="B80" s="21"/>
      <c r="C80" s="45">
        <v>10984.9</v>
      </c>
      <c r="D80" s="46">
        <v>11221.2</v>
      </c>
      <c r="E80" s="47">
        <v>11332</v>
      </c>
      <c r="F80" s="140">
        <v>12000</v>
      </c>
      <c r="G80" s="141">
        <v>12240</v>
      </c>
      <c r="H80" s="141">
        <v>12484.800000000001</v>
      </c>
      <c r="I80" s="141">
        <v>12734.496000000001</v>
      </c>
      <c r="J80" s="142">
        <v>12989.185920000002</v>
      </c>
      <c r="K80" s="12"/>
      <c r="L80" s="120">
        <f t="shared" si="15"/>
        <v>2.1511347395060554E-2</v>
      </c>
      <c r="M80" s="121">
        <f t="shared" si="15"/>
        <v>9.8741667557835644E-3</v>
      </c>
      <c r="N80" s="122">
        <f t="shared" si="15"/>
        <v>5.8948111542534321E-2</v>
      </c>
      <c r="O80" s="120">
        <f t="shared" si="15"/>
        <v>2.0000000000000018E-2</v>
      </c>
      <c r="P80" s="120">
        <f t="shared" si="15"/>
        <v>2.0000000000000018E-2</v>
      </c>
      <c r="Q80" s="120">
        <f t="shared" si="15"/>
        <v>2.0000000000000018E-2</v>
      </c>
      <c r="R80" s="121">
        <f t="shared" si="15"/>
        <v>2.0000000000000018E-2</v>
      </c>
    </row>
    <row r="81" spans="1:18" ht="13.2" x14ac:dyDescent="0.25">
      <c r="A81" s="34" t="s">
        <v>75</v>
      </c>
      <c r="B81" s="21"/>
      <c r="C81" s="45">
        <v>0</v>
      </c>
      <c r="D81" s="46">
        <v>0</v>
      </c>
      <c r="E81" s="47">
        <v>0</v>
      </c>
      <c r="F81" s="140">
        <v>0</v>
      </c>
      <c r="G81" s="141">
        <v>0</v>
      </c>
      <c r="H81" s="141">
        <v>0</v>
      </c>
      <c r="I81" s="141">
        <v>0</v>
      </c>
      <c r="J81" s="142">
        <v>0</v>
      </c>
      <c r="K81" s="12"/>
      <c r="L81" s="120"/>
      <c r="M81" s="121"/>
      <c r="N81" s="122"/>
      <c r="O81" s="120"/>
      <c r="P81" s="120"/>
      <c r="Q81" s="120"/>
      <c r="R81" s="121"/>
    </row>
    <row r="82" spans="1:18" ht="13.2" x14ac:dyDescent="0.25">
      <c r="A82" s="34" t="s">
        <v>76</v>
      </c>
      <c r="B82" s="21"/>
      <c r="C82" s="45">
        <v>0</v>
      </c>
      <c r="D82" s="46">
        <v>2250</v>
      </c>
      <c r="E82" s="47">
        <v>14977</v>
      </c>
      <c r="F82" s="140">
        <v>41500</v>
      </c>
      <c r="G82" s="141">
        <v>42000</v>
      </c>
      <c r="H82" s="141">
        <v>42840</v>
      </c>
      <c r="I82" s="141">
        <v>43696.800000000003</v>
      </c>
      <c r="J82" s="142">
        <v>44570.735999999997</v>
      </c>
      <c r="K82" s="12"/>
      <c r="L82" s="120">
        <v>0</v>
      </c>
      <c r="M82" s="121">
        <f t="shared" si="15"/>
        <v>5.6564444444444444</v>
      </c>
      <c r="N82" s="122">
        <f t="shared" si="15"/>
        <v>1.7709154036188823</v>
      </c>
      <c r="O82" s="120">
        <f t="shared" si="15"/>
        <v>1.2048192771084265E-2</v>
      </c>
      <c r="P82" s="120">
        <f t="shared" si="15"/>
        <v>2.0000000000000018E-2</v>
      </c>
      <c r="Q82" s="120">
        <f t="shared" si="15"/>
        <v>2.0000000000000018E-2</v>
      </c>
      <c r="R82" s="121">
        <f t="shared" si="15"/>
        <v>1.9999999999999796E-2</v>
      </c>
    </row>
    <row r="83" spans="1:18" ht="13.2" x14ac:dyDescent="0.25">
      <c r="A83" s="34" t="s">
        <v>77</v>
      </c>
      <c r="B83" s="21"/>
      <c r="C83" s="45">
        <v>4890</v>
      </c>
      <c r="D83" s="46">
        <v>5177.1000000000004</v>
      </c>
      <c r="E83" s="47">
        <v>4918</v>
      </c>
      <c r="F83" s="140">
        <v>7000</v>
      </c>
      <c r="G83" s="141">
        <v>7140</v>
      </c>
      <c r="H83" s="141">
        <v>7282.8</v>
      </c>
      <c r="I83" s="141">
        <v>7428.4560000000001</v>
      </c>
      <c r="J83" s="142">
        <v>7577.0251200000002</v>
      </c>
      <c r="K83" s="12"/>
      <c r="L83" s="120">
        <f t="shared" si="15"/>
        <v>5.871165644171783E-2</v>
      </c>
      <c r="M83" s="121">
        <f t="shared" si="15"/>
        <v>-5.0047323791311826E-2</v>
      </c>
      <c r="N83" s="122">
        <f t="shared" si="15"/>
        <v>0.42334282228548181</v>
      </c>
      <c r="O83" s="120">
        <f t="shared" si="15"/>
        <v>2.0000000000000018E-2</v>
      </c>
      <c r="P83" s="120">
        <f t="shared" si="15"/>
        <v>2.0000000000000018E-2</v>
      </c>
      <c r="Q83" s="120">
        <f t="shared" si="15"/>
        <v>2.0000000000000018E-2</v>
      </c>
      <c r="R83" s="121">
        <f t="shared" si="15"/>
        <v>2.0000000000000018E-2</v>
      </c>
    </row>
    <row r="84" spans="1:18" ht="13.2" x14ac:dyDescent="0.25">
      <c r="A84" s="34" t="s">
        <v>78</v>
      </c>
      <c r="B84" s="21"/>
      <c r="C84" s="45">
        <v>4468.05</v>
      </c>
      <c r="D84" s="46">
        <v>6750.85</v>
      </c>
      <c r="E84" s="47">
        <v>19012</v>
      </c>
      <c r="F84" s="140">
        <v>34832</v>
      </c>
      <c r="G84" s="141">
        <v>39850</v>
      </c>
      <c r="H84" s="141">
        <v>40647</v>
      </c>
      <c r="I84" s="141">
        <v>41459.94</v>
      </c>
      <c r="J84" s="142">
        <v>42289.138800000001</v>
      </c>
      <c r="K84" s="12"/>
      <c r="L84" s="120">
        <f t="shared" si="15"/>
        <v>0.51091639529548694</v>
      </c>
      <c r="M84" s="121">
        <f t="shared" si="15"/>
        <v>1.8162379552204535</v>
      </c>
      <c r="N84" s="122">
        <f t="shared" si="15"/>
        <v>0.83210603829160523</v>
      </c>
      <c r="O84" s="120">
        <f t="shared" si="15"/>
        <v>0.14406293063849329</v>
      </c>
      <c r="P84" s="120">
        <f t="shared" si="15"/>
        <v>2.0000000000000018E-2</v>
      </c>
      <c r="Q84" s="120">
        <f t="shared" si="15"/>
        <v>2.0000000000000018E-2</v>
      </c>
      <c r="R84" s="121">
        <f t="shared" si="15"/>
        <v>2.0000000000000018E-2</v>
      </c>
    </row>
    <row r="85" spans="1:18" ht="13.2" x14ac:dyDescent="0.25">
      <c r="A85" s="34" t="s">
        <v>79</v>
      </c>
      <c r="B85" s="21"/>
      <c r="C85" s="45">
        <v>47671.040000000001</v>
      </c>
      <c r="D85" s="46">
        <v>148470.91</v>
      </c>
      <c r="E85" s="47">
        <f>123662+66415</f>
        <v>190077</v>
      </c>
      <c r="F85" s="140">
        <v>106200</v>
      </c>
      <c r="G85" s="141">
        <v>1224</v>
      </c>
      <c r="H85" s="141">
        <v>1248.48</v>
      </c>
      <c r="I85" s="141">
        <v>1273.4496000000001</v>
      </c>
      <c r="J85" s="142">
        <v>1298.9185920000002</v>
      </c>
      <c r="K85" s="12"/>
      <c r="L85" s="120">
        <f t="shared" si="15"/>
        <v>2.1144885867814085</v>
      </c>
      <c r="M85" s="121">
        <f t="shared" si="15"/>
        <v>0.28023058523720223</v>
      </c>
      <c r="N85" s="122">
        <f t="shared" si="15"/>
        <v>-0.44127906059123412</v>
      </c>
      <c r="O85" s="120">
        <f t="shared" si="15"/>
        <v>-0.9884745762711864</v>
      </c>
      <c r="P85" s="120">
        <f t="shared" si="15"/>
        <v>2.0000000000000018E-2</v>
      </c>
      <c r="Q85" s="120">
        <f t="shared" si="15"/>
        <v>2.0000000000000018E-2</v>
      </c>
      <c r="R85" s="121">
        <f t="shared" si="15"/>
        <v>2.0000000000000018E-2</v>
      </c>
    </row>
    <row r="86" spans="1:18" ht="13.2" x14ac:dyDescent="0.25">
      <c r="A86" s="34" t="s">
        <v>80</v>
      </c>
      <c r="B86" s="21"/>
      <c r="C86" s="45">
        <v>0</v>
      </c>
      <c r="D86" s="46">
        <v>0</v>
      </c>
      <c r="E86" s="47">
        <v>0</v>
      </c>
      <c r="F86" s="140">
        <v>0</v>
      </c>
      <c r="G86" s="141">
        <v>0</v>
      </c>
      <c r="H86" s="141">
        <v>0</v>
      </c>
      <c r="I86" s="141">
        <v>0</v>
      </c>
      <c r="J86" s="142">
        <v>0</v>
      </c>
      <c r="K86" s="12"/>
      <c r="L86" s="120"/>
      <c r="M86" s="121"/>
      <c r="N86" s="122"/>
      <c r="O86" s="120"/>
      <c r="P86" s="120"/>
      <c r="Q86" s="120"/>
      <c r="R86" s="121"/>
    </row>
    <row r="87" spans="1:18" ht="13.2" x14ac:dyDescent="0.25">
      <c r="A87" s="34" t="s">
        <v>81</v>
      </c>
      <c r="B87" s="21"/>
      <c r="C87" s="45">
        <v>0</v>
      </c>
      <c r="D87" s="46">
        <v>0</v>
      </c>
      <c r="E87" s="47">
        <v>0</v>
      </c>
      <c r="F87" s="140">
        <v>0</v>
      </c>
      <c r="G87" s="141">
        <v>0</v>
      </c>
      <c r="H87" s="141">
        <v>0</v>
      </c>
      <c r="I87" s="141">
        <v>0</v>
      </c>
      <c r="J87" s="142">
        <v>0</v>
      </c>
      <c r="K87" s="12"/>
      <c r="L87" s="120"/>
      <c r="M87" s="121"/>
      <c r="N87" s="122"/>
      <c r="O87" s="120"/>
      <c r="P87" s="120"/>
      <c r="Q87" s="120"/>
      <c r="R87" s="121"/>
    </row>
    <row r="88" spans="1:18" ht="13.2" x14ac:dyDescent="0.25">
      <c r="A88" s="34" t="s">
        <v>82</v>
      </c>
      <c r="B88" s="21"/>
      <c r="C88" s="45">
        <v>156682.60999999999</v>
      </c>
      <c r="D88" s="46">
        <v>180437.84</v>
      </c>
      <c r="E88" s="47">
        <v>217123</v>
      </c>
      <c r="F88" s="140">
        <v>205000</v>
      </c>
      <c r="G88" s="141">
        <v>163200</v>
      </c>
      <c r="H88" s="141">
        <v>166464</v>
      </c>
      <c r="I88" s="141">
        <v>169793.28</v>
      </c>
      <c r="J88" s="142">
        <v>173189.14560000002</v>
      </c>
      <c r="K88" s="12"/>
      <c r="L88" s="120">
        <f t="shared" si="15"/>
        <v>0.15161369854637985</v>
      </c>
      <c r="M88" s="121">
        <f t="shared" si="15"/>
        <v>0.20331189954390938</v>
      </c>
      <c r="N88" s="122">
        <f t="shared" si="15"/>
        <v>-5.5834711200563714E-2</v>
      </c>
      <c r="O88" s="120">
        <f t="shared" si="15"/>
        <v>-0.2039024390243902</v>
      </c>
      <c r="P88" s="120">
        <f t="shared" si="15"/>
        <v>2.0000000000000018E-2</v>
      </c>
      <c r="Q88" s="120">
        <f t="shared" si="15"/>
        <v>2.0000000000000018E-2</v>
      </c>
      <c r="R88" s="121">
        <f t="shared" si="15"/>
        <v>2.0000000000000018E-2</v>
      </c>
    </row>
    <row r="89" spans="1:18" ht="13.2" x14ac:dyDescent="0.25">
      <c r="A89" s="34" t="s">
        <v>83</v>
      </c>
      <c r="B89" s="21"/>
      <c r="C89" s="45">
        <v>99599.98</v>
      </c>
      <c r="D89" s="46">
        <v>89645.19</v>
      </c>
      <c r="E89" s="47">
        <f>57172+1733+11332</f>
        <v>70237</v>
      </c>
      <c r="F89" s="140">
        <v>130225</v>
      </c>
      <c r="G89" s="141">
        <v>132829.5</v>
      </c>
      <c r="H89" s="141">
        <v>135486.09</v>
      </c>
      <c r="I89" s="141">
        <v>138195.8118</v>
      </c>
      <c r="J89" s="142">
        <v>140959.72803600001</v>
      </c>
      <c r="K89" s="12"/>
      <c r="L89" s="120">
        <f t="shared" si="15"/>
        <v>-9.9947710832873571E-2</v>
      </c>
      <c r="M89" s="121">
        <f t="shared" si="15"/>
        <v>-0.21650007100213631</v>
      </c>
      <c r="N89" s="122">
        <f t="shared" si="15"/>
        <v>0.85407975853182805</v>
      </c>
      <c r="O89" s="120">
        <f t="shared" si="15"/>
        <v>2.0000000000000018E-2</v>
      </c>
      <c r="P89" s="120">
        <f t="shared" si="15"/>
        <v>2.0000000000000018E-2</v>
      </c>
      <c r="Q89" s="120">
        <f t="shared" si="15"/>
        <v>2.0000000000000018E-2</v>
      </c>
      <c r="R89" s="121">
        <f t="shared" si="15"/>
        <v>2.000000000000024E-2</v>
      </c>
    </row>
    <row r="90" spans="1:18" ht="13.2" x14ac:dyDescent="0.25">
      <c r="A90" s="34" t="s">
        <v>84</v>
      </c>
      <c r="B90" s="21"/>
      <c r="C90" s="45">
        <v>37012.5</v>
      </c>
      <c r="D90" s="46">
        <v>119301.43</v>
      </c>
      <c r="E90" s="47">
        <v>112984</v>
      </c>
      <c r="F90" s="140">
        <v>100000</v>
      </c>
      <c r="G90" s="141">
        <v>102000</v>
      </c>
      <c r="H90" s="141">
        <v>104040</v>
      </c>
      <c r="I90" s="141">
        <v>106120.8</v>
      </c>
      <c r="J90" s="142">
        <v>108243.216</v>
      </c>
      <c r="K90" s="12"/>
      <c r="L90" s="120">
        <f t="shared" si="15"/>
        <v>2.2232740290442417</v>
      </c>
      <c r="M90" s="121">
        <f t="shared" si="15"/>
        <v>-5.2953514471704044E-2</v>
      </c>
      <c r="N90" s="122">
        <f t="shared" si="15"/>
        <v>-0.1149189265736742</v>
      </c>
      <c r="O90" s="120">
        <f t="shared" si="15"/>
        <v>2.0000000000000018E-2</v>
      </c>
      <c r="P90" s="120">
        <f t="shared" si="15"/>
        <v>2.0000000000000018E-2</v>
      </c>
      <c r="Q90" s="120">
        <f t="shared" si="15"/>
        <v>2.0000000000000018E-2</v>
      </c>
      <c r="R90" s="121">
        <f t="shared" si="15"/>
        <v>2.0000000000000018E-2</v>
      </c>
    </row>
    <row r="91" spans="1:18" ht="13.8" thickBot="1" x14ac:dyDescent="0.3">
      <c r="A91" s="34" t="s">
        <v>85</v>
      </c>
      <c r="B91" s="21"/>
      <c r="C91" s="45">
        <v>0</v>
      </c>
      <c r="D91" s="46">
        <v>0</v>
      </c>
      <c r="E91" s="47"/>
      <c r="F91" s="48">
        <v>0</v>
      </c>
      <c r="G91" s="141">
        <v>0</v>
      </c>
      <c r="H91" s="141">
        <v>0</v>
      </c>
      <c r="I91" s="141">
        <v>0</v>
      </c>
      <c r="J91" s="142">
        <v>0</v>
      </c>
      <c r="K91" s="12"/>
      <c r="L91" s="120"/>
      <c r="M91" s="121"/>
      <c r="N91" s="122"/>
      <c r="O91" s="120"/>
      <c r="P91" s="120"/>
      <c r="Q91" s="120"/>
      <c r="R91" s="121"/>
    </row>
    <row r="92" spans="1:18" ht="13.8" thickBot="1" x14ac:dyDescent="0.3">
      <c r="A92" s="55" t="s">
        <v>86</v>
      </c>
      <c r="B92" s="21"/>
      <c r="C92" s="97">
        <f t="shared" ref="C92:D92" si="16">SUM(C72:C91)</f>
        <v>566331.29999999993</v>
      </c>
      <c r="D92" s="98">
        <f t="shared" si="16"/>
        <v>753056.07000000007</v>
      </c>
      <c r="E92" s="99">
        <f>SUM(E72:E91)</f>
        <v>796859</v>
      </c>
      <c r="F92" s="100">
        <f>SUM(F72:F91)</f>
        <v>1019180.4</v>
      </c>
      <c r="G92" s="98">
        <f>SUM(G72:G91)</f>
        <v>889855.36800000002</v>
      </c>
      <c r="H92" s="98">
        <f t="shared" ref="H92:I92" si="17">SUM(H72:H91)</f>
        <v>906952.47535999992</v>
      </c>
      <c r="I92" s="98">
        <f t="shared" si="17"/>
        <v>924391.52486720006</v>
      </c>
      <c r="J92" s="99">
        <f>SUM(J72:J91)</f>
        <v>942179.35536454408</v>
      </c>
      <c r="K92" s="12"/>
      <c r="L92" s="143">
        <f t="shared" si="15"/>
        <v>0.32970942979842399</v>
      </c>
      <c r="M92" s="144">
        <f t="shared" si="15"/>
        <v>5.8166890547738381E-2</v>
      </c>
      <c r="N92" s="145">
        <f t="shared" si="15"/>
        <v>0.27899716260969631</v>
      </c>
      <c r="O92" s="143">
        <f t="shared" si="15"/>
        <v>-0.12689120787644659</v>
      </c>
      <c r="P92" s="143">
        <f t="shared" si="15"/>
        <v>1.9213355310118141E-2</v>
      </c>
      <c r="Q92" s="143">
        <f t="shared" si="15"/>
        <v>1.9228184476014487E-2</v>
      </c>
      <c r="R92" s="144">
        <f t="shared" si="15"/>
        <v>1.9242745112683091E-2</v>
      </c>
    </row>
    <row r="93" spans="1:18" ht="13.2" x14ac:dyDescent="0.25">
      <c r="A93" s="65"/>
      <c r="B93" s="21"/>
      <c r="C93" s="111"/>
      <c r="D93" s="111"/>
      <c r="E93" s="146"/>
      <c r="F93" s="112"/>
      <c r="G93" s="112"/>
      <c r="H93" s="112"/>
      <c r="I93" s="112"/>
      <c r="J93" s="112"/>
      <c r="K93" s="12"/>
      <c r="L93" s="147"/>
      <c r="M93" s="147"/>
      <c r="N93" s="147"/>
      <c r="O93" s="147"/>
      <c r="P93" s="147"/>
      <c r="Q93" s="147"/>
      <c r="R93" s="147"/>
    </row>
    <row r="94" spans="1:18" ht="13.2" x14ac:dyDescent="0.25">
      <c r="A94" s="65"/>
      <c r="B94" s="21"/>
      <c r="C94" s="111"/>
      <c r="D94" s="111"/>
      <c r="E94" s="148"/>
      <c r="F94" s="112"/>
      <c r="G94" s="112"/>
      <c r="H94" s="112"/>
      <c r="I94" s="112"/>
      <c r="J94" s="112"/>
      <c r="K94" s="12"/>
    </row>
    <row r="95" spans="1:18" ht="13.8" thickBot="1" x14ac:dyDescent="0.3">
      <c r="A95" s="108" t="s">
        <v>87</v>
      </c>
      <c r="B95" s="105"/>
      <c r="C95" s="9"/>
      <c r="D95" s="9"/>
      <c r="E95" s="10"/>
      <c r="K95" s="12"/>
    </row>
    <row r="96" spans="1:18" ht="13.2" x14ac:dyDescent="0.25">
      <c r="A96" s="20" t="s">
        <v>88</v>
      </c>
      <c r="B96" s="105"/>
      <c r="C96" s="149">
        <f t="shared" ref="C96:E96" si="18">+C28/C65</f>
        <v>11211.743577034284</v>
      </c>
      <c r="D96" s="149">
        <f t="shared" si="18"/>
        <v>14977.566539923953</v>
      </c>
      <c r="E96" s="150">
        <f t="shared" si="18"/>
        <v>14072.624413145541</v>
      </c>
      <c r="F96" s="151">
        <f>+F28/F65</f>
        <v>18437.001141766152</v>
      </c>
      <c r="G96" s="149">
        <f>+G28/G65</f>
        <v>17699.049871269242</v>
      </c>
      <c r="H96" s="149">
        <f>+H28/H65</f>
        <v>17379.210245917635</v>
      </c>
      <c r="I96" s="149">
        <f>+I28/I65</f>
        <v>16987.522285271742</v>
      </c>
      <c r="J96" s="150">
        <f>+J28/J65</f>
        <v>17212.579457710624</v>
      </c>
      <c r="K96" s="12"/>
    </row>
    <row r="97" spans="1:11" ht="13.2" x14ac:dyDescent="0.25">
      <c r="A97" s="20" t="s">
        <v>89</v>
      </c>
      <c r="B97" s="31"/>
      <c r="C97" s="152">
        <f t="shared" ref="C97:J97" si="19">-(C41+C42)</f>
        <v>0</v>
      </c>
      <c r="D97" s="152">
        <f t="shared" si="19"/>
        <v>513</v>
      </c>
      <c r="E97" s="153">
        <f t="shared" si="19"/>
        <v>0</v>
      </c>
      <c r="F97" s="154">
        <f t="shared" si="19"/>
        <v>0</v>
      </c>
      <c r="G97" s="152">
        <f t="shared" si="19"/>
        <v>0</v>
      </c>
      <c r="H97" s="152">
        <f t="shared" si="19"/>
        <v>0</v>
      </c>
      <c r="I97" s="152">
        <f t="shared" si="19"/>
        <v>0</v>
      </c>
      <c r="J97" s="153">
        <f t="shared" si="19"/>
        <v>0</v>
      </c>
      <c r="K97" s="12"/>
    </row>
    <row r="98" spans="1:11" ht="13.2" x14ac:dyDescent="0.25">
      <c r="A98" s="20" t="s">
        <v>90</v>
      </c>
      <c r="B98" s="21"/>
      <c r="C98" s="155">
        <f t="shared" ref="C98:J98" si="20">IFERROR((C32+SUM(C35:C39))/C97,0)</f>
        <v>0</v>
      </c>
      <c r="D98" s="155">
        <f t="shared" si="20"/>
        <v>239.40740740740742</v>
      </c>
      <c r="E98" s="156">
        <f t="shared" si="20"/>
        <v>0</v>
      </c>
      <c r="F98" s="157">
        <f t="shared" si="20"/>
        <v>0</v>
      </c>
      <c r="G98" s="155">
        <f t="shared" si="20"/>
        <v>0</v>
      </c>
      <c r="H98" s="155">
        <f t="shared" si="20"/>
        <v>0</v>
      </c>
      <c r="I98" s="155">
        <f t="shared" si="20"/>
        <v>0</v>
      </c>
      <c r="J98" s="156">
        <f t="shared" si="20"/>
        <v>0</v>
      </c>
      <c r="K98" s="12"/>
    </row>
    <row r="99" spans="1:11" ht="13.2" x14ac:dyDescent="0.25">
      <c r="A99" s="20" t="s">
        <v>91</v>
      </c>
      <c r="B99" s="21"/>
      <c r="C99" s="158">
        <f>IFERROR((C66/#REF!)-1,0)</f>
        <v>0</v>
      </c>
      <c r="D99" s="158">
        <f t="shared" ref="D99:E99" si="21">IFERROR((D66/C66)-1,0)</f>
        <v>4.0000000000000036E-2</v>
      </c>
      <c r="E99" s="159">
        <f t="shared" si="21"/>
        <v>-3.8461538461538436E-2</v>
      </c>
      <c r="F99" s="160">
        <f>IFERROR((F65/E65)-1,0)</f>
        <v>6.1032863849765251E-2</v>
      </c>
      <c r="G99" s="160">
        <f t="shared" ref="G99:J99" si="22">IFERROR((G65/F65)-1,0)</f>
        <v>4.4247787610619538E-2</v>
      </c>
      <c r="H99" s="160">
        <f t="shared" si="22"/>
        <v>4.2372881355932313E-2</v>
      </c>
      <c r="I99" s="160">
        <f t="shared" si="22"/>
        <v>3.6585365853658569E-2</v>
      </c>
      <c r="J99" s="160">
        <f t="shared" si="22"/>
        <v>0</v>
      </c>
      <c r="K99" s="12"/>
    </row>
    <row r="100" spans="1:11" ht="13.2" x14ac:dyDescent="0.25">
      <c r="A100" s="20" t="s">
        <v>92</v>
      </c>
      <c r="B100" s="21"/>
      <c r="C100" s="158">
        <f>IFERROR((C25/#REF!)-1,0)</f>
        <v>0</v>
      </c>
      <c r="D100" s="158">
        <f t="shared" ref="D100:J100" si="23">IFERROR((D25/C25)-1,0)</f>
        <v>0</v>
      </c>
      <c r="E100" s="159">
        <f t="shared" si="23"/>
        <v>0</v>
      </c>
      <c r="F100" s="160">
        <f t="shared" si="23"/>
        <v>0</v>
      </c>
      <c r="G100" s="158">
        <f t="shared" si="23"/>
        <v>0</v>
      </c>
      <c r="H100" s="158">
        <f t="shared" si="23"/>
        <v>0</v>
      </c>
      <c r="I100" s="158">
        <f t="shared" si="23"/>
        <v>0</v>
      </c>
      <c r="J100" s="159">
        <f t="shared" si="23"/>
        <v>0</v>
      </c>
      <c r="K100" s="12"/>
    </row>
    <row r="101" spans="1:11" ht="13.2" x14ac:dyDescent="0.25">
      <c r="A101" s="20" t="s">
        <v>93</v>
      </c>
      <c r="B101" s="21"/>
      <c r="C101" s="158">
        <f>IFERROR((C18/#REF!)-1,0)</f>
        <v>0</v>
      </c>
      <c r="D101" s="158">
        <f t="shared" ref="D101:E101" si="24">IFERROR((D18/C18)-1,0)</f>
        <v>0</v>
      </c>
      <c r="E101" s="159">
        <f t="shared" si="24"/>
        <v>0</v>
      </c>
      <c r="F101" s="160">
        <f>IFERROR((F17/E17)-1,0)</f>
        <v>2.3246106318654647E-2</v>
      </c>
      <c r="G101" s="160">
        <f t="shared" ref="G101:J101" si="25">IFERROR((G17/F17)-1,0)</f>
        <v>2.7115203294165502E-2</v>
      </c>
      <c r="H101" s="160">
        <f t="shared" si="25"/>
        <v>4.2305519985950113E-2</v>
      </c>
      <c r="I101" s="160">
        <f t="shared" si="25"/>
        <v>-0.11419017518562746</v>
      </c>
      <c r="J101" s="160">
        <f t="shared" si="25"/>
        <v>8.0809078073473817E-3</v>
      </c>
      <c r="K101" s="12"/>
    </row>
    <row r="102" spans="1:11" ht="13.2" x14ac:dyDescent="0.25">
      <c r="A102" s="20" t="s">
        <v>94</v>
      </c>
      <c r="B102" s="21"/>
      <c r="C102" s="158">
        <f>IFERROR((C45/#REF!)-1,0)</f>
        <v>0</v>
      </c>
      <c r="D102" s="158">
        <f t="shared" ref="D102:E102" si="26">IFERROR((D45/C45)-1,0)</f>
        <v>0</v>
      </c>
      <c r="E102" s="159">
        <f t="shared" si="26"/>
        <v>0</v>
      </c>
      <c r="F102" s="160">
        <f>IFERROR((F44/E44)-1,0)</f>
        <v>0.85159202228438602</v>
      </c>
      <c r="G102" s="160">
        <f t="shared" ref="G102:J102" si="27">IFERROR((G44/F44)-1,0)</f>
        <v>4.4247821808002241E-2</v>
      </c>
      <c r="H102" s="160">
        <f t="shared" si="27"/>
        <v>4.2372881355932313E-2</v>
      </c>
      <c r="I102" s="160">
        <f t="shared" si="27"/>
        <v>3.6585365853658347E-2</v>
      </c>
      <c r="J102" s="160">
        <f t="shared" si="27"/>
        <v>0</v>
      </c>
      <c r="K102" s="12"/>
    </row>
    <row r="103" spans="1:11" ht="13.8" thickBot="1" x14ac:dyDescent="0.3">
      <c r="A103" s="20" t="s">
        <v>95</v>
      </c>
      <c r="B103" s="21"/>
      <c r="C103" s="161">
        <f t="shared" ref="C103:E103" si="28">IFERROR(C52/(C29+SUM(C41:C42)/365),0)</f>
        <v>0</v>
      </c>
      <c r="D103" s="161">
        <f t="shared" si="28"/>
        <v>0</v>
      </c>
      <c r="E103" s="162">
        <f t="shared" si="28"/>
        <v>0</v>
      </c>
      <c r="F103" s="163">
        <f t="shared" ref="F103:J103" si="29">IFERROR(F53/(F28+SUM(F41:F42)/365),0)</f>
        <v>1.1834087698086093</v>
      </c>
      <c r="G103" s="163">
        <f t="shared" si="29"/>
        <v>1.224578961050319</v>
      </c>
      <c r="H103" s="163">
        <f t="shared" si="29"/>
        <v>1.2596414440863635</v>
      </c>
      <c r="I103" s="163">
        <f t="shared" si="29"/>
        <v>1.2002537462271317</v>
      </c>
      <c r="J103" s="163">
        <f t="shared" si="29"/>
        <v>1.1352211551134166</v>
      </c>
      <c r="K103" s="12"/>
    </row>
    <row r="104" spans="1:11" ht="13.2" x14ac:dyDescent="0.25">
      <c r="A104" s="20"/>
      <c r="B104" s="21"/>
      <c r="C104" s="9"/>
      <c r="D104" s="9"/>
      <c r="E104" s="9"/>
      <c r="F104" s="9"/>
      <c r="G104" s="9"/>
      <c r="H104" s="9"/>
      <c r="I104" s="9"/>
      <c r="J104" s="164"/>
      <c r="K104" s="12"/>
    </row>
    <row r="105" spans="1:11" ht="13.8" thickBot="1" x14ac:dyDescent="0.3">
      <c r="A105" s="30" t="s">
        <v>96</v>
      </c>
      <c r="B105" s="21"/>
      <c r="C105" s="9"/>
      <c r="D105" s="9"/>
      <c r="E105" s="9"/>
      <c r="F105" s="9"/>
      <c r="G105" s="9"/>
      <c r="H105" s="9"/>
      <c r="I105" s="9"/>
      <c r="J105" s="164"/>
      <c r="K105" s="12"/>
    </row>
    <row r="106" spans="1:11" ht="13.2" x14ac:dyDescent="0.25">
      <c r="A106" s="34" t="s">
        <v>97</v>
      </c>
      <c r="B106" s="21"/>
      <c r="C106" s="165">
        <f t="shared" ref="C106:J106" si="30">C77/C$65</f>
        <v>0</v>
      </c>
      <c r="D106" s="165">
        <f t="shared" si="30"/>
        <v>0</v>
      </c>
      <c r="E106" s="166">
        <f t="shared" si="30"/>
        <v>0</v>
      </c>
      <c r="F106" s="167">
        <f t="shared" si="30"/>
        <v>0</v>
      </c>
      <c r="G106" s="165">
        <f t="shared" si="30"/>
        <v>0</v>
      </c>
      <c r="H106" s="165">
        <f t="shared" si="30"/>
        <v>0</v>
      </c>
      <c r="I106" s="165">
        <f t="shared" si="30"/>
        <v>0</v>
      </c>
      <c r="J106" s="166">
        <f t="shared" si="30"/>
        <v>0</v>
      </c>
      <c r="K106" s="12"/>
    </row>
    <row r="107" spans="1:11" ht="13.2" x14ac:dyDescent="0.25">
      <c r="A107" s="34" t="s">
        <v>98</v>
      </c>
      <c r="B107" s="21"/>
      <c r="C107" s="168">
        <f t="shared" ref="C107:J107" si="31">+C$20/C$65</f>
        <v>5900.2182982238737</v>
      </c>
      <c r="D107" s="168">
        <f t="shared" si="31"/>
        <v>6493.5182285842093</v>
      </c>
      <c r="E107" s="169">
        <f t="shared" si="31"/>
        <v>7044.0563380281692</v>
      </c>
      <c r="F107" s="170">
        <f t="shared" si="31"/>
        <v>9975.3456579646008</v>
      </c>
      <c r="G107" s="168">
        <f t="shared" si="31"/>
        <v>9648.1881351144057</v>
      </c>
      <c r="H107" s="168">
        <f t="shared" si="31"/>
        <v>9535.5370889669557</v>
      </c>
      <c r="I107" s="168">
        <f t="shared" si="31"/>
        <v>9294.5864514695259</v>
      </c>
      <c r="J107" s="169">
        <f t="shared" si="31"/>
        <v>9391.2483944155938</v>
      </c>
      <c r="K107" s="12"/>
    </row>
    <row r="108" spans="1:11" x14ac:dyDescent="0.3">
      <c r="A108" s="34" t="s">
        <v>99</v>
      </c>
      <c r="C108" s="168">
        <f t="shared" ref="C108:J108" si="32">(C$77+C$20)/C$65</f>
        <v>5900.2182982238737</v>
      </c>
      <c r="D108" s="168">
        <f t="shared" si="32"/>
        <v>6493.5182285842093</v>
      </c>
      <c r="E108" s="169">
        <f t="shared" si="32"/>
        <v>7044.0563380281692</v>
      </c>
      <c r="F108" s="170">
        <f t="shared" si="32"/>
        <v>9975.3456579646008</v>
      </c>
      <c r="G108" s="168">
        <f t="shared" si="32"/>
        <v>9648.1881351144057</v>
      </c>
      <c r="H108" s="168">
        <f t="shared" si="32"/>
        <v>9535.5370889669557</v>
      </c>
      <c r="I108" s="168">
        <f t="shared" si="32"/>
        <v>9294.5864514695259</v>
      </c>
      <c r="J108" s="169">
        <f t="shared" si="32"/>
        <v>9391.2483944155938</v>
      </c>
      <c r="K108" s="12"/>
    </row>
    <row r="109" spans="1:11" x14ac:dyDescent="0.3">
      <c r="A109" s="34" t="s">
        <v>100</v>
      </c>
      <c r="C109" s="168">
        <f t="shared" ref="C109:J109" si="33">C20/SUM(C66:C68)</f>
        <v>42013.024999999994</v>
      </c>
      <c r="D109" s="168">
        <f t="shared" si="33"/>
        <v>39233.135135135133</v>
      </c>
      <c r="E109" s="169">
        <f t="shared" si="33"/>
        <v>44128.941176470587</v>
      </c>
      <c r="F109" s="170">
        <f t="shared" si="33"/>
        <v>59327.055755263158</v>
      </c>
      <c r="G109" s="168">
        <f t="shared" si="33"/>
        <v>59920.326312815785</v>
      </c>
      <c r="H109" s="168">
        <f t="shared" si="33"/>
        <v>61730.055891733442</v>
      </c>
      <c r="I109" s="168">
        <f t="shared" si="33"/>
        <v>62371.566976966555</v>
      </c>
      <c r="J109" s="169">
        <f t="shared" si="33"/>
        <v>63020.219488841482</v>
      </c>
      <c r="K109" s="12"/>
    </row>
    <row r="110" spans="1:11" x14ac:dyDescent="0.3">
      <c r="A110" s="34" t="s">
        <v>101</v>
      </c>
      <c r="C110" s="168">
        <f t="shared" ref="C110:J110" si="34">+C$21/C$65</f>
        <v>1403.5023130937632</v>
      </c>
      <c r="D110" s="168">
        <f t="shared" si="34"/>
        <v>1597.1371057928875</v>
      </c>
      <c r="E110" s="169">
        <f t="shared" si="34"/>
        <v>2389.7793427230049</v>
      </c>
      <c r="F110" s="170">
        <f t="shared" si="34"/>
        <v>2487.9700855714605</v>
      </c>
      <c r="G110" s="168">
        <f t="shared" si="34"/>
        <v>2406.3731005616169</v>
      </c>
      <c r="H110" s="168">
        <f t="shared" si="34"/>
        <v>2331.6385863815731</v>
      </c>
      <c r="I110" s="168">
        <f t="shared" si="34"/>
        <v>2271.8389144014341</v>
      </c>
      <c r="J110" s="169">
        <f t="shared" si="34"/>
        <v>2294.5573035454481</v>
      </c>
      <c r="K110" s="12"/>
    </row>
    <row r="111" spans="1:11" x14ac:dyDescent="0.3">
      <c r="A111" s="34" t="s">
        <v>102</v>
      </c>
      <c r="C111" s="168">
        <f t="shared" ref="C111:J111" si="35">+C$65/C$66</f>
        <v>9.6839999999999993</v>
      </c>
      <c r="D111" s="168">
        <f t="shared" si="35"/>
        <v>8.5980769230769241</v>
      </c>
      <c r="E111" s="169">
        <f t="shared" si="35"/>
        <v>8.52</v>
      </c>
      <c r="F111" s="170">
        <f t="shared" si="35"/>
        <v>8.0714285714285712</v>
      </c>
      <c r="G111" s="168">
        <f t="shared" si="35"/>
        <v>8.4285714285714288</v>
      </c>
      <c r="H111" s="168">
        <f t="shared" si="35"/>
        <v>8.7857142857142865</v>
      </c>
      <c r="I111" s="168">
        <f t="shared" si="35"/>
        <v>9.1071428571428577</v>
      </c>
      <c r="J111" s="169">
        <f t="shared" si="35"/>
        <v>9.1071428571428577</v>
      </c>
      <c r="K111" s="12"/>
    </row>
    <row r="112" spans="1:11" x14ac:dyDescent="0.3">
      <c r="A112" s="34" t="s">
        <v>103</v>
      </c>
      <c r="C112" s="168">
        <f t="shared" ref="C112:J112" si="36">+C$65/SUM(C$66:C$68)</f>
        <v>7.1205882352941172</v>
      </c>
      <c r="D112" s="168">
        <f t="shared" si="36"/>
        <v>6.0418918918918925</v>
      </c>
      <c r="E112" s="169">
        <f t="shared" si="36"/>
        <v>6.2647058823529411</v>
      </c>
      <c r="F112" s="170">
        <f t="shared" si="36"/>
        <v>5.9473684210526319</v>
      </c>
      <c r="G112" s="168">
        <f t="shared" si="36"/>
        <v>6.2105263157894735</v>
      </c>
      <c r="H112" s="168">
        <f t="shared" si="36"/>
        <v>6.4736842105263159</v>
      </c>
      <c r="I112" s="168">
        <f t="shared" si="36"/>
        <v>6.7105263157894735</v>
      </c>
      <c r="J112" s="169">
        <f t="shared" si="36"/>
        <v>6.7105263157894735</v>
      </c>
      <c r="K112" s="12"/>
    </row>
    <row r="113" spans="1:11" x14ac:dyDescent="0.3">
      <c r="A113" s="34"/>
      <c r="C113" s="168"/>
      <c r="D113" s="168"/>
      <c r="E113" s="169"/>
      <c r="F113" s="170"/>
      <c r="G113" s="168"/>
      <c r="H113" s="168"/>
      <c r="I113" s="168"/>
      <c r="J113" s="169"/>
      <c r="K113" s="12"/>
    </row>
    <row r="114" spans="1:11" x14ac:dyDescent="0.3">
      <c r="A114" s="20" t="s">
        <v>104</v>
      </c>
      <c r="C114" s="168">
        <f t="shared" ref="C114:J114" si="37">C17/C$65</f>
        <v>12253.717389508469</v>
      </c>
      <c r="D114" s="168">
        <f t="shared" si="37"/>
        <v>11436.618206217849</v>
      </c>
      <c r="E114" s="169">
        <f t="shared" si="37"/>
        <v>16091.356807511736</v>
      </c>
      <c r="F114" s="170">
        <f t="shared" si="37"/>
        <v>15518.292373083317</v>
      </c>
      <c r="G114" s="168">
        <f t="shared" si="37"/>
        <v>15263.689532949389</v>
      </c>
      <c r="H114" s="168">
        <f t="shared" si="37"/>
        <v>15262.703145969923</v>
      </c>
      <c r="I114" s="168">
        <f t="shared" si="37"/>
        <v>13042.681138751552</v>
      </c>
      <c r="J114" s="169">
        <f t="shared" si="37"/>
        <v>13148.077842594432</v>
      </c>
      <c r="K114" s="12"/>
    </row>
    <row r="115" spans="1:11" x14ac:dyDescent="0.3">
      <c r="A115" s="171" t="s">
        <v>105</v>
      </c>
      <c r="C115" s="168">
        <f t="shared" ref="C115:J115" si="38">C28/C$65</f>
        <v>11211.743577034284</v>
      </c>
      <c r="D115" s="168">
        <f t="shared" si="38"/>
        <v>14977.566539923953</v>
      </c>
      <c r="E115" s="169">
        <f t="shared" si="38"/>
        <v>14072.624413145541</v>
      </c>
      <c r="F115" s="170">
        <f t="shared" si="38"/>
        <v>18437.001141766152</v>
      </c>
      <c r="G115" s="168">
        <f t="shared" si="38"/>
        <v>17699.049871269242</v>
      </c>
      <c r="H115" s="168">
        <f t="shared" si="38"/>
        <v>17379.210245917635</v>
      </c>
      <c r="I115" s="168">
        <f t="shared" si="38"/>
        <v>16987.522285271742</v>
      </c>
      <c r="J115" s="169">
        <f t="shared" si="38"/>
        <v>17212.579457710624</v>
      </c>
      <c r="K115" s="12"/>
    </row>
    <row r="116" spans="1:11" x14ac:dyDescent="0.3">
      <c r="A116" s="55" t="s">
        <v>106</v>
      </c>
      <c r="C116" s="172">
        <f t="shared" ref="C116:J116" si="39">+C114-C115</f>
        <v>1041.9738124741853</v>
      </c>
      <c r="D116" s="172">
        <f t="shared" si="39"/>
        <v>-3540.9483337061047</v>
      </c>
      <c r="E116" s="173">
        <f t="shared" si="39"/>
        <v>2018.7323943661959</v>
      </c>
      <c r="F116" s="174">
        <f t="shared" si="39"/>
        <v>-2918.7087686828345</v>
      </c>
      <c r="G116" s="172">
        <f t="shared" si="39"/>
        <v>-2435.3603383198533</v>
      </c>
      <c r="H116" s="172">
        <f t="shared" si="39"/>
        <v>-2116.507099947712</v>
      </c>
      <c r="I116" s="172">
        <f t="shared" si="39"/>
        <v>-3944.8411465201898</v>
      </c>
      <c r="J116" s="173">
        <f t="shared" si="39"/>
        <v>-4064.5016151161926</v>
      </c>
      <c r="K116" s="12"/>
    </row>
    <row r="117" spans="1:11" x14ac:dyDescent="0.3">
      <c r="A117" s="34"/>
      <c r="C117" s="175"/>
      <c r="D117" s="175"/>
      <c r="E117" s="176"/>
      <c r="F117" s="177"/>
      <c r="G117" s="175"/>
      <c r="H117" s="175"/>
      <c r="I117" s="175"/>
      <c r="J117" s="176"/>
      <c r="K117" s="12"/>
    </row>
    <row r="118" spans="1:11" x14ac:dyDescent="0.3">
      <c r="A118" s="20" t="s">
        <v>107</v>
      </c>
      <c r="C118" s="168">
        <f t="shared" ref="C118:J118" si="40">+SUM(C34:C39)/C65</f>
        <v>3412.0894258570843</v>
      </c>
      <c r="D118" s="168">
        <f t="shared" si="40"/>
        <v>6723.5965108476848</v>
      </c>
      <c r="E118" s="169">
        <f t="shared" si="40"/>
        <v>1842.4600938967137</v>
      </c>
      <c r="F118" s="170">
        <f t="shared" si="40"/>
        <v>3215.2485822715644</v>
      </c>
      <c r="G118" s="168">
        <f t="shared" si="40"/>
        <v>3215.2486875656218</v>
      </c>
      <c r="H118" s="168">
        <f t="shared" si="40"/>
        <v>3215.2486875656218</v>
      </c>
      <c r="I118" s="168">
        <f t="shared" si="40"/>
        <v>3215.2486875656218</v>
      </c>
      <c r="J118" s="169">
        <f t="shared" si="40"/>
        <v>3215.2486875656218</v>
      </c>
      <c r="K118" s="12"/>
    </row>
    <row r="119" spans="1:11" x14ac:dyDescent="0.3">
      <c r="A119" s="34" t="s">
        <v>108</v>
      </c>
      <c r="C119" s="168">
        <f t="shared" ref="C119:J119" si="41">+SUM(C40:C43)/C65*-1</f>
        <v>0</v>
      </c>
      <c r="D119" s="168">
        <f t="shared" si="41"/>
        <v>28.356072467009618</v>
      </c>
      <c r="E119" s="169">
        <f t="shared" si="41"/>
        <v>0</v>
      </c>
      <c r="F119" s="170">
        <f t="shared" si="41"/>
        <v>0</v>
      </c>
      <c r="G119" s="168">
        <f t="shared" si="41"/>
        <v>0</v>
      </c>
      <c r="H119" s="168">
        <f t="shared" si="41"/>
        <v>0</v>
      </c>
      <c r="I119" s="168">
        <f t="shared" si="41"/>
        <v>0</v>
      </c>
      <c r="J119" s="169">
        <f t="shared" si="41"/>
        <v>0</v>
      </c>
      <c r="K119" s="12"/>
    </row>
    <row r="120" spans="1:11" x14ac:dyDescent="0.3">
      <c r="A120" s="55" t="s">
        <v>109</v>
      </c>
      <c r="C120" s="172">
        <f t="shared" ref="C120:J120" si="42">+C118-C119</f>
        <v>3412.0894258570843</v>
      </c>
      <c r="D120" s="172">
        <f t="shared" si="42"/>
        <v>6695.2404383806752</v>
      </c>
      <c r="E120" s="173">
        <f t="shared" si="42"/>
        <v>1842.4600938967137</v>
      </c>
      <c r="F120" s="174">
        <f t="shared" si="42"/>
        <v>3215.2485822715644</v>
      </c>
      <c r="G120" s="172">
        <f t="shared" si="42"/>
        <v>3215.2486875656218</v>
      </c>
      <c r="H120" s="172">
        <f t="shared" si="42"/>
        <v>3215.2486875656218</v>
      </c>
      <c r="I120" s="172">
        <f t="shared" si="42"/>
        <v>3215.2486875656218</v>
      </c>
      <c r="J120" s="173">
        <f t="shared" si="42"/>
        <v>3215.2486875656218</v>
      </c>
      <c r="K120" s="12"/>
    </row>
    <row r="121" spans="1:11" ht="15" thickBot="1" x14ac:dyDescent="0.35">
      <c r="A121" s="65"/>
      <c r="C121" s="175"/>
      <c r="D121" s="175"/>
      <c r="E121" s="176"/>
      <c r="F121" s="177"/>
      <c r="G121" s="175"/>
      <c r="H121" s="175"/>
      <c r="I121" s="175"/>
      <c r="J121" s="176"/>
      <c r="K121" s="12"/>
    </row>
    <row r="122" spans="1:11" ht="15" thickBot="1" x14ac:dyDescent="0.35">
      <c r="A122" s="55" t="s">
        <v>110</v>
      </c>
      <c r="C122" s="97">
        <f t="shared" ref="C122:J122" si="43">+C120+C116</f>
        <v>4454.0632383312695</v>
      </c>
      <c r="D122" s="98">
        <f t="shared" si="43"/>
        <v>3154.2921046745705</v>
      </c>
      <c r="E122" s="99">
        <f t="shared" si="43"/>
        <v>3861.1924882629096</v>
      </c>
      <c r="F122" s="178">
        <f t="shared" si="43"/>
        <v>296.53981358872988</v>
      </c>
      <c r="G122" s="98">
        <f t="shared" si="43"/>
        <v>779.8883492457685</v>
      </c>
      <c r="H122" s="98">
        <f t="shared" si="43"/>
        <v>1098.7415876179098</v>
      </c>
      <c r="I122" s="98">
        <f t="shared" si="43"/>
        <v>-729.59245895456797</v>
      </c>
      <c r="J122" s="99">
        <f t="shared" si="43"/>
        <v>-849.2529275505708</v>
      </c>
      <c r="K122" s="12"/>
    </row>
    <row r="123" spans="1:11" x14ac:dyDescent="0.3">
      <c r="A123" s="179"/>
      <c r="C123" s="6"/>
      <c r="K123" s="12"/>
    </row>
    <row r="124" spans="1:11" x14ac:dyDescent="0.3">
      <c r="A124" s="179"/>
      <c r="C124" s="6"/>
      <c r="K124" s="12"/>
    </row>
    <row r="125" spans="1:11" ht="15" thickBot="1" x14ac:dyDescent="0.35">
      <c r="A125" s="30" t="s">
        <v>111</v>
      </c>
      <c r="C125" s="180"/>
      <c r="D125" s="180"/>
      <c r="E125" s="180"/>
      <c r="F125" s="180"/>
      <c r="K125" s="12"/>
    </row>
    <row r="126" spans="1:11" x14ac:dyDescent="0.3">
      <c r="A126" s="34"/>
      <c r="C126" s="220"/>
      <c r="D126" s="221"/>
      <c r="E126" s="221"/>
      <c r="F126" s="222"/>
      <c r="K126" s="12"/>
    </row>
    <row r="127" spans="1:11" ht="15" thickBot="1" x14ac:dyDescent="0.35">
      <c r="A127" s="34"/>
      <c r="C127" s="223"/>
      <c r="D127" s="224"/>
      <c r="E127" s="224"/>
      <c r="F127" s="225"/>
      <c r="K127" s="12"/>
    </row>
    <row r="128" spans="1:11" ht="28.8" x14ac:dyDescent="0.3">
      <c r="A128" s="34"/>
      <c r="C128" s="181" t="s">
        <v>112</v>
      </c>
      <c r="D128" s="182" t="s">
        <v>113</v>
      </c>
      <c r="E128" s="183" t="s">
        <v>114</v>
      </c>
      <c r="F128" s="184" t="s">
        <v>115</v>
      </c>
      <c r="K128" s="12"/>
    </row>
    <row r="129" spans="1:11" x14ac:dyDescent="0.3">
      <c r="A129" s="34"/>
      <c r="C129" s="185">
        <v>0</v>
      </c>
      <c r="D129" s="186">
        <v>0</v>
      </c>
      <c r="E129" s="186">
        <v>0</v>
      </c>
      <c r="F129" s="187"/>
      <c r="K129" s="12"/>
    </row>
    <row r="130" spans="1:11" x14ac:dyDescent="0.3">
      <c r="A130" s="34"/>
      <c r="C130" s="188">
        <v>0</v>
      </c>
      <c r="D130" s="189">
        <v>0</v>
      </c>
      <c r="E130" s="189">
        <v>0</v>
      </c>
      <c r="F130" s="190"/>
      <c r="K130" s="12"/>
    </row>
    <row r="131" spans="1:11" x14ac:dyDescent="0.3">
      <c r="A131" s="34"/>
      <c r="C131" s="185">
        <v>0</v>
      </c>
      <c r="D131" s="186">
        <v>0</v>
      </c>
      <c r="E131" s="186">
        <v>0</v>
      </c>
      <c r="F131" s="187"/>
      <c r="K131" s="12"/>
    </row>
    <row r="132" spans="1:11" x14ac:dyDescent="0.3">
      <c r="A132" s="34"/>
      <c r="C132" s="188">
        <v>0</v>
      </c>
      <c r="D132" s="189">
        <v>0</v>
      </c>
      <c r="E132" s="189">
        <v>0</v>
      </c>
      <c r="F132" s="191"/>
      <c r="K132" s="12"/>
    </row>
    <row r="133" spans="1:11" x14ac:dyDescent="0.3">
      <c r="A133" s="34"/>
      <c r="C133" s="185">
        <v>0</v>
      </c>
      <c r="D133" s="186">
        <v>0</v>
      </c>
      <c r="E133" s="186">
        <v>0</v>
      </c>
      <c r="F133" s="187"/>
      <c r="K133" s="12"/>
    </row>
    <row r="134" spans="1:11" x14ac:dyDescent="0.3">
      <c r="A134" s="34"/>
      <c r="C134" s="188">
        <v>0</v>
      </c>
      <c r="D134" s="189">
        <v>0</v>
      </c>
      <c r="E134" s="189">
        <v>0</v>
      </c>
      <c r="F134" s="190"/>
      <c r="K134" s="12"/>
    </row>
    <row r="135" spans="1:11" ht="15" thickBot="1" x14ac:dyDescent="0.35">
      <c r="A135" s="34"/>
      <c r="C135" s="192">
        <v>0</v>
      </c>
      <c r="D135" s="193">
        <v>0</v>
      </c>
      <c r="E135" s="193">
        <v>0</v>
      </c>
      <c r="F135" s="194"/>
      <c r="K135" s="12"/>
    </row>
    <row r="136" spans="1:11" ht="15" thickBot="1" x14ac:dyDescent="0.35">
      <c r="A136" s="34"/>
      <c r="C136" s="195"/>
      <c r="D136" s="196"/>
      <c r="E136" s="196"/>
      <c r="F136" s="197"/>
      <c r="K136" s="12"/>
    </row>
    <row r="137" spans="1:11" ht="15" thickBot="1" x14ac:dyDescent="0.35">
      <c r="A137" s="34"/>
      <c r="C137" s="198">
        <v>0</v>
      </c>
      <c r="D137" s="199">
        <v>0</v>
      </c>
      <c r="E137" s="199">
        <v>0</v>
      </c>
      <c r="F137" s="197"/>
      <c r="K137" s="12"/>
    </row>
    <row r="138" spans="1:11" x14ac:dyDescent="0.3">
      <c r="A138" s="34"/>
      <c r="C138" s="200"/>
      <c r="D138" s="200"/>
      <c r="E138" s="200"/>
      <c r="F138" s="201"/>
      <c r="K138" s="12"/>
    </row>
    <row r="139" spans="1:11" x14ac:dyDescent="0.3">
      <c r="A139" s="65" t="s">
        <v>116</v>
      </c>
      <c r="C139" s="6"/>
      <c r="K139" s="12"/>
    </row>
    <row r="140" spans="1:11" x14ac:dyDescent="0.3">
      <c r="A140" s="34" t="s">
        <v>117</v>
      </c>
      <c r="C140" s="6"/>
      <c r="K140" s="12"/>
    </row>
    <row r="141" spans="1:11" x14ac:dyDescent="0.3">
      <c r="A141" s="34" t="s">
        <v>118</v>
      </c>
      <c r="K141" s="12"/>
    </row>
    <row r="142" spans="1:11" x14ac:dyDescent="0.3">
      <c r="A142" s="34" t="s">
        <v>119</v>
      </c>
      <c r="C142" s="6"/>
      <c r="K142" s="12"/>
    </row>
    <row r="143" spans="1:11" x14ac:dyDescent="0.3">
      <c r="A143" s="34"/>
      <c r="C143" s="6"/>
      <c r="K143" s="12"/>
    </row>
    <row r="144" spans="1:11" x14ac:dyDescent="0.3">
      <c r="A144" s="203" t="s">
        <v>120</v>
      </c>
      <c r="C144" s="204" t="s">
        <v>121</v>
      </c>
      <c r="D144" s="204" t="s">
        <v>122</v>
      </c>
      <c r="K144" s="12"/>
    </row>
    <row r="145" spans="1:11" x14ac:dyDescent="0.3">
      <c r="A145" s="205" t="s">
        <v>123</v>
      </c>
      <c r="C145" s="206">
        <f>F99</f>
        <v>6.1032863849765251E-2</v>
      </c>
      <c r="D145" s="207" t="s">
        <v>124</v>
      </c>
      <c r="K145" s="12"/>
    </row>
    <row r="146" spans="1:11" x14ac:dyDescent="0.3">
      <c r="A146" s="205" t="s">
        <v>125</v>
      </c>
      <c r="C146" s="208">
        <f>2204262.86/212</f>
        <v>10397.466320754716</v>
      </c>
      <c r="D146" s="207" t="s">
        <v>126</v>
      </c>
      <c r="K146" s="12"/>
    </row>
    <row r="147" spans="1:11" x14ac:dyDescent="0.3">
      <c r="A147" s="205" t="s">
        <v>127</v>
      </c>
      <c r="C147" s="206">
        <v>4.2056074766355145E-2</v>
      </c>
      <c r="D147" s="207" t="s">
        <v>128</v>
      </c>
      <c r="K147" s="12"/>
    </row>
    <row r="148" spans="1:11" x14ac:dyDescent="0.3">
      <c r="A148" s="205" t="s">
        <v>129</v>
      </c>
      <c r="C148" s="206">
        <v>0.02</v>
      </c>
      <c r="D148" s="207" t="s">
        <v>130</v>
      </c>
      <c r="K148" s="12"/>
    </row>
    <row r="149" spans="1:11" x14ac:dyDescent="0.3">
      <c r="A149" s="205" t="s">
        <v>131</v>
      </c>
      <c r="C149" s="206">
        <v>0.01</v>
      </c>
      <c r="D149" s="207" t="s">
        <v>132</v>
      </c>
      <c r="K149" s="12"/>
    </row>
    <row r="150" spans="1:11" x14ac:dyDescent="0.3">
      <c r="A150" s="205" t="s">
        <v>65</v>
      </c>
      <c r="C150" s="207"/>
      <c r="D150" s="207"/>
      <c r="K150" s="12"/>
    </row>
    <row r="151" spans="1:11" x14ac:dyDescent="0.3">
      <c r="A151" s="205" t="s">
        <v>133</v>
      </c>
      <c r="C151" s="208">
        <v>35000</v>
      </c>
      <c r="D151" s="207" t="s">
        <v>134</v>
      </c>
      <c r="G151" s="209"/>
      <c r="K151" s="12"/>
    </row>
    <row r="152" spans="1:11" x14ac:dyDescent="0.3">
      <c r="A152" s="205" t="s">
        <v>135</v>
      </c>
      <c r="C152" s="208">
        <v>43268.4</v>
      </c>
      <c r="D152" s="207" t="s">
        <v>136</v>
      </c>
      <c r="G152" s="209"/>
      <c r="K152" s="12"/>
    </row>
    <row r="153" spans="1:11" x14ac:dyDescent="0.3">
      <c r="A153" s="205" t="s">
        <v>137</v>
      </c>
      <c r="C153" s="208">
        <v>203621.93460000001</v>
      </c>
      <c r="D153" s="207" t="s">
        <v>138</v>
      </c>
      <c r="G153" s="209"/>
      <c r="K153" s="12"/>
    </row>
    <row r="154" spans="1:11" x14ac:dyDescent="0.3">
      <c r="A154" s="205" t="s">
        <v>69</v>
      </c>
      <c r="C154" s="208">
        <v>19881</v>
      </c>
      <c r="D154" s="207" t="s">
        <v>139</v>
      </c>
      <c r="G154" s="209"/>
      <c r="K154" s="12"/>
    </row>
    <row r="155" spans="1:11" x14ac:dyDescent="0.3">
      <c r="A155" s="205" t="s">
        <v>71</v>
      </c>
      <c r="C155" s="208">
        <v>0</v>
      </c>
      <c r="D155" s="207" t="s">
        <v>140</v>
      </c>
      <c r="G155" s="209"/>
      <c r="K155" s="12"/>
    </row>
    <row r="156" spans="1:11" x14ac:dyDescent="0.3">
      <c r="A156" s="205" t="s">
        <v>72</v>
      </c>
      <c r="C156" s="208">
        <f>F78</f>
        <v>67039</v>
      </c>
      <c r="D156" s="207" t="s">
        <v>141</v>
      </c>
      <c r="G156" s="209"/>
      <c r="K156" s="12"/>
    </row>
    <row r="157" spans="1:11" x14ac:dyDescent="0.3">
      <c r="A157" s="205" t="s">
        <v>142</v>
      </c>
      <c r="C157" s="208">
        <v>11153.189959200001</v>
      </c>
      <c r="D157" s="207" t="s">
        <v>143</v>
      </c>
      <c r="K157" s="12"/>
    </row>
    <row r="158" spans="1:11" x14ac:dyDescent="0.3">
      <c r="A158" s="205" t="s">
        <v>144</v>
      </c>
      <c r="C158" s="208">
        <v>100000</v>
      </c>
      <c r="D158" s="207" t="s">
        <v>145</v>
      </c>
      <c r="K158" s="12"/>
    </row>
    <row r="159" spans="1:11" x14ac:dyDescent="0.3">
      <c r="A159" s="205" t="s">
        <v>146</v>
      </c>
      <c r="C159" s="208">
        <v>41500</v>
      </c>
      <c r="D159" s="207" t="s">
        <v>147</v>
      </c>
      <c r="K159" s="12"/>
    </row>
    <row r="160" spans="1:11" x14ac:dyDescent="0.3">
      <c r="A160" s="205" t="s">
        <v>148</v>
      </c>
      <c r="C160" s="208">
        <v>7000</v>
      </c>
      <c r="D160" s="207" t="s">
        <v>149</v>
      </c>
      <c r="K160" s="12"/>
    </row>
    <row r="161" spans="1:11" x14ac:dyDescent="0.3">
      <c r="A161" s="205" t="s">
        <v>150</v>
      </c>
      <c r="C161" s="208">
        <v>1600.0128</v>
      </c>
      <c r="D161" s="207" t="s">
        <v>151</v>
      </c>
      <c r="K161" s="12"/>
    </row>
    <row r="162" spans="1:11" x14ac:dyDescent="0.3">
      <c r="A162" s="205" t="s">
        <v>152</v>
      </c>
      <c r="C162" s="208">
        <v>152862.54999999999</v>
      </c>
      <c r="D162" s="207" t="s">
        <v>153</v>
      </c>
      <c r="K162" s="12"/>
    </row>
    <row r="163" spans="1:11" x14ac:dyDescent="0.3">
      <c r="A163" s="210"/>
      <c r="C163" s="208"/>
      <c r="D163" s="207" t="s">
        <v>154</v>
      </c>
      <c r="K163" s="12"/>
    </row>
    <row r="164" spans="1:11" x14ac:dyDescent="0.3">
      <c r="A164" s="34"/>
      <c r="C164" s="6"/>
      <c r="K164" s="12"/>
    </row>
    <row r="165" spans="1:11" ht="15" thickBot="1" x14ac:dyDescent="0.35">
      <c r="A165" s="211"/>
      <c r="B165" s="212"/>
      <c r="C165" s="213"/>
      <c r="D165" s="213"/>
      <c r="E165" s="213"/>
      <c r="F165" s="213"/>
      <c r="G165" s="213"/>
      <c r="H165" s="213"/>
      <c r="I165" s="213"/>
      <c r="J165" s="213"/>
      <c r="K165" s="214"/>
    </row>
    <row r="166" spans="1:11" ht="13.2" x14ac:dyDescent="0.25">
      <c r="B166" s="6"/>
      <c r="C166" s="6"/>
    </row>
  </sheetData>
  <mergeCells count="9">
    <mergeCell ref="L9:N9"/>
    <mergeCell ref="O9:R9"/>
    <mergeCell ref="C126:F127"/>
    <mergeCell ref="C4:J4"/>
    <mergeCell ref="C5:J5"/>
    <mergeCell ref="C6:J6"/>
    <mergeCell ref="C7:J7"/>
    <mergeCell ref="C9:E9"/>
    <mergeCell ref="F9:J9"/>
  </mergeCells>
  <pageMargins left="0.7" right="0.7" top="0.75" bottom="0.75" header="0.3" footer="0.3"/>
  <pageSetup scale="64" orientation="landscape" r:id="rId1"/>
  <rowBreaks count="2" manualBreakCount="2">
    <brk id="63" max="10" man="1"/>
    <brk id="1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ODE - NWIS</vt:lpstr>
      <vt:lpstr>'ODE - NWIS'!Print_Area</vt:lpstr>
      <vt:lpstr>'ODE - NWIS'!Print_Titles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Karousis</dc:creator>
  <cp:lastModifiedBy>Davis Karousis</cp:lastModifiedBy>
  <cp:lastPrinted>2024-10-14T17:48:43Z</cp:lastPrinted>
  <dcterms:created xsi:type="dcterms:W3CDTF">2024-10-14T17:48:32Z</dcterms:created>
  <dcterms:modified xsi:type="dcterms:W3CDTF">2024-10-17T14:41:34Z</dcterms:modified>
</cp:coreProperties>
</file>