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Mangen Server\IG\Five-Year Forecast\October'24\"/>
    </mc:Choice>
  </mc:AlternateContent>
  <xr:revisionPtr revIDLastSave="0" documentId="8_{880F7977-2A2A-42FD-975B-4F90D52F7C61}" xr6:coauthVersionLast="47" xr6:coauthVersionMax="47" xr10:uidLastSave="{00000000-0000-0000-0000-000000000000}"/>
  <bookViews>
    <workbookView xWindow="-28920" yWindow="-120" windowWidth="29040" windowHeight="15720" xr2:uid="{0455FAE9-5018-4403-95CF-A65B75B1705C}"/>
  </bookViews>
  <sheets>
    <sheet name="ODE - TIS" sheetId="1" r:id="rId1"/>
  </sheets>
  <definedNames>
    <definedName name="_xlnm.Print_Area" localSheetId="0">'ODE - TIS'!$A$1:$K$166</definedName>
    <definedName name="_xlnm.Print_Titles" localSheetId="0">'ODE - TIS'!$1:$7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" i="1" l="1"/>
  <c r="H119" i="1"/>
  <c r="E119" i="1"/>
  <c r="D119" i="1"/>
  <c r="C119" i="1"/>
  <c r="H118" i="1"/>
  <c r="H120" i="1" s="1"/>
  <c r="E118" i="1"/>
  <c r="E120" i="1" s="1"/>
  <c r="D118" i="1"/>
  <c r="D120" i="1" s="1"/>
  <c r="D122" i="1" s="1"/>
  <c r="C118" i="1"/>
  <c r="C120" i="1" s="1"/>
  <c r="D115" i="1"/>
  <c r="C115" i="1"/>
  <c r="D114" i="1"/>
  <c r="D116" i="1" s="1"/>
  <c r="C114" i="1"/>
  <c r="C116" i="1" s="1"/>
  <c r="H112" i="1"/>
  <c r="E112" i="1"/>
  <c r="D112" i="1"/>
  <c r="C112" i="1"/>
  <c r="H111" i="1"/>
  <c r="E111" i="1"/>
  <c r="D111" i="1"/>
  <c r="C111" i="1"/>
  <c r="H110" i="1"/>
  <c r="E110" i="1"/>
  <c r="D110" i="1"/>
  <c r="C110" i="1"/>
  <c r="H109" i="1"/>
  <c r="E109" i="1"/>
  <c r="D109" i="1"/>
  <c r="C109" i="1"/>
  <c r="H108" i="1"/>
  <c r="E108" i="1"/>
  <c r="D108" i="1"/>
  <c r="C108" i="1"/>
  <c r="H107" i="1"/>
  <c r="E107" i="1"/>
  <c r="D107" i="1"/>
  <c r="C107" i="1"/>
  <c r="H106" i="1"/>
  <c r="E106" i="1"/>
  <c r="D106" i="1"/>
  <c r="C106" i="1"/>
  <c r="J103" i="1"/>
  <c r="I103" i="1"/>
  <c r="H103" i="1"/>
  <c r="G103" i="1"/>
  <c r="F103" i="1"/>
  <c r="E103" i="1"/>
  <c r="D103" i="1"/>
  <c r="C103" i="1"/>
  <c r="D102" i="1"/>
  <c r="C102" i="1"/>
  <c r="D101" i="1"/>
  <c r="C101" i="1"/>
  <c r="J100" i="1"/>
  <c r="I100" i="1"/>
  <c r="H100" i="1"/>
  <c r="G100" i="1"/>
  <c r="F100" i="1"/>
  <c r="E100" i="1"/>
  <c r="D100" i="1"/>
  <c r="C100" i="1"/>
  <c r="H99" i="1"/>
  <c r="E99" i="1"/>
  <c r="D99" i="1"/>
  <c r="C99" i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98" i="1" s="1"/>
  <c r="C97" i="1"/>
  <c r="C98" i="1" s="1"/>
  <c r="D96" i="1"/>
  <c r="C96" i="1"/>
  <c r="R90" i="1"/>
  <c r="Q90" i="1"/>
  <c r="P90" i="1"/>
  <c r="O90" i="1"/>
  <c r="E90" i="1"/>
  <c r="M90" i="1" s="1"/>
  <c r="D90" i="1"/>
  <c r="D92" i="1" s="1"/>
  <c r="C90" i="1"/>
  <c r="C92" i="1" s="1"/>
  <c r="L89" i="1"/>
  <c r="Q89" i="1"/>
  <c r="P89" i="1"/>
  <c r="O89" i="1"/>
  <c r="N89" i="1"/>
  <c r="E89" i="1"/>
  <c r="E92" i="1" s="1"/>
  <c r="M88" i="1"/>
  <c r="L88" i="1"/>
  <c r="R88" i="1"/>
  <c r="Q88" i="1"/>
  <c r="P88" i="1"/>
  <c r="N88" i="1"/>
  <c r="N85" i="1"/>
  <c r="M85" i="1"/>
  <c r="L85" i="1"/>
  <c r="R85" i="1"/>
  <c r="P85" i="1"/>
  <c r="O85" i="1"/>
  <c r="N84" i="1"/>
  <c r="M84" i="1"/>
  <c r="L84" i="1"/>
  <c r="R84" i="1"/>
  <c r="P84" i="1"/>
  <c r="O84" i="1"/>
  <c r="M83" i="1"/>
  <c r="L83" i="1"/>
  <c r="R83" i="1"/>
  <c r="P83" i="1"/>
  <c r="O83" i="1"/>
  <c r="Q82" i="1"/>
  <c r="N82" i="1"/>
  <c r="M82" i="1"/>
  <c r="R82" i="1"/>
  <c r="P82" i="1"/>
  <c r="O82" i="1"/>
  <c r="N80" i="1"/>
  <c r="M80" i="1"/>
  <c r="L80" i="1"/>
  <c r="R80" i="1"/>
  <c r="P80" i="1"/>
  <c r="C158" i="1"/>
  <c r="M78" i="1"/>
  <c r="L78" i="1"/>
  <c r="Q78" i="1"/>
  <c r="P78" i="1"/>
  <c r="C157" i="1"/>
  <c r="J108" i="1"/>
  <c r="I108" i="1"/>
  <c r="G108" i="1"/>
  <c r="F108" i="1"/>
  <c r="P76" i="1"/>
  <c r="M76" i="1"/>
  <c r="R76" i="1"/>
  <c r="Q76" i="1"/>
  <c r="O76" i="1"/>
  <c r="C155" i="1"/>
  <c r="M74" i="1"/>
  <c r="L74" i="1"/>
  <c r="R74" i="1"/>
  <c r="Q74" i="1"/>
  <c r="P74" i="1"/>
  <c r="N74" i="1"/>
  <c r="M73" i="1"/>
  <c r="L73" i="1"/>
  <c r="R73" i="1"/>
  <c r="Q73" i="1"/>
  <c r="P73" i="1"/>
  <c r="N73" i="1"/>
  <c r="N72" i="1"/>
  <c r="M72" i="1"/>
  <c r="L72" i="1"/>
  <c r="R72" i="1"/>
  <c r="I92" i="1"/>
  <c r="Q72" i="1"/>
  <c r="P72" i="1"/>
  <c r="R67" i="1"/>
  <c r="Q67" i="1"/>
  <c r="P67" i="1"/>
  <c r="O67" i="1"/>
  <c r="N67" i="1"/>
  <c r="M67" i="1"/>
  <c r="L67" i="1"/>
  <c r="R66" i="1"/>
  <c r="Q66" i="1"/>
  <c r="P66" i="1"/>
  <c r="O66" i="1"/>
  <c r="N66" i="1"/>
  <c r="M66" i="1"/>
  <c r="L66" i="1"/>
  <c r="M65" i="1"/>
  <c r="L65" i="1"/>
  <c r="J119" i="1"/>
  <c r="R65" i="1"/>
  <c r="G119" i="1"/>
  <c r="F119" i="1"/>
  <c r="D53" i="1"/>
  <c r="C53" i="1"/>
  <c r="L53" i="1" s="1"/>
  <c r="N51" i="1"/>
  <c r="M51" i="1"/>
  <c r="L51" i="1"/>
  <c r="L49" i="1"/>
  <c r="M44" i="1"/>
  <c r="L44" i="1"/>
  <c r="J44" i="1"/>
  <c r="G44" i="1"/>
  <c r="G102" i="1" s="1"/>
  <c r="E44" i="1"/>
  <c r="E102" i="1" s="1"/>
  <c r="M34" i="1"/>
  <c r="L34" i="1"/>
  <c r="Q34" i="1"/>
  <c r="P34" i="1"/>
  <c r="F44" i="1"/>
  <c r="L31" i="1"/>
  <c r="E31" i="1"/>
  <c r="M31" i="1" s="1"/>
  <c r="L28" i="1"/>
  <c r="J28" i="1"/>
  <c r="E28" i="1"/>
  <c r="E115" i="1" s="1"/>
  <c r="M26" i="1"/>
  <c r="L26" i="1"/>
  <c r="R26" i="1"/>
  <c r="Q26" i="1"/>
  <c r="O26" i="1"/>
  <c r="N26" i="1"/>
  <c r="M23" i="1"/>
  <c r="L23" i="1"/>
  <c r="R23" i="1"/>
  <c r="Q23" i="1"/>
  <c r="O23" i="1"/>
  <c r="N23" i="1"/>
  <c r="M22" i="1"/>
  <c r="L22" i="1"/>
  <c r="R22" i="1"/>
  <c r="Q22" i="1"/>
  <c r="O22" i="1"/>
  <c r="N22" i="1"/>
  <c r="M21" i="1"/>
  <c r="L21" i="1"/>
  <c r="R21" i="1"/>
  <c r="I110" i="1"/>
  <c r="Q21" i="1"/>
  <c r="G110" i="1"/>
  <c r="F110" i="1"/>
  <c r="M20" i="1"/>
  <c r="L20" i="1"/>
  <c r="J109" i="1"/>
  <c r="I28" i="1"/>
  <c r="H28" i="1"/>
  <c r="G109" i="1"/>
  <c r="F109" i="1"/>
  <c r="M17" i="1"/>
  <c r="L17" i="1"/>
  <c r="J17" i="1"/>
  <c r="R17" i="1" s="1"/>
  <c r="F17" i="1"/>
  <c r="F114" i="1" s="1"/>
  <c r="E17" i="1"/>
  <c r="E114" i="1" s="1"/>
  <c r="E116" i="1" s="1"/>
  <c r="N16" i="1"/>
  <c r="M16" i="1"/>
  <c r="L16" i="1"/>
  <c r="R16" i="1"/>
  <c r="P16" i="1"/>
  <c r="O16" i="1"/>
  <c r="M13" i="1"/>
  <c r="L13" i="1"/>
  <c r="R13" i="1"/>
  <c r="I17" i="1"/>
  <c r="H17" i="1"/>
  <c r="P13" i="1"/>
  <c r="N13" i="1"/>
  <c r="R11" i="1"/>
  <c r="Q11" i="1"/>
  <c r="P11" i="1"/>
  <c r="O11" i="1"/>
  <c r="N11" i="1"/>
  <c r="M11" i="1"/>
  <c r="L11" i="1"/>
  <c r="R10" i="1"/>
  <c r="Q10" i="1"/>
  <c r="P10" i="1"/>
  <c r="O10" i="1"/>
  <c r="N10" i="1"/>
  <c r="M10" i="1"/>
  <c r="L10" i="1"/>
  <c r="Q28" i="1" l="1"/>
  <c r="I115" i="1"/>
  <c r="I96" i="1"/>
  <c r="R28" i="1"/>
  <c r="N92" i="1"/>
  <c r="M92" i="1"/>
  <c r="L92" i="1"/>
  <c r="E122" i="1"/>
  <c r="H31" i="1"/>
  <c r="H114" i="1"/>
  <c r="Q17" i="1"/>
  <c r="I31" i="1"/>
  <c r="I114" i="1"/>
  <c r="I116" i="1" s="1"/>
  <c r="I101" i="1"/>
  <c r="Q92" i="1"/>
  <c r="F102" i="1"/>
  <c r="N44" i="1"/>
  <c r="H96" i="1"/>
  <c r="H115" i="1"/>
  <c r="C122" i="1"/>
  <c r="G92" i="1"/>
  <c r="O92" i="1" s="1"/>
  <c r="Q20" i="1"/>
  <c r="H44" i="1"/>
  <c r="N65" i="1"/>
  <c r="N83" i="1"/>
  <c r="L90" i="1"/>
  <c r="H92" i="1"/>
  <c r="P92" i="1" s="1"/>
  <c r="I99" i="1"/>
  <c r="I106" i="1"/>
  <c r="I107" i="1"/>
  <c r="I109" i="1"/>
  <c r="I111" i="1"/>
  <c r="I112" i="1"/>
  <c r="I118" i="1"/>
  <c r="I120" i="1" s="1"/>
  <c r="I122" i="1" s="1"/>
  <c r="I119" i="1"/>
  <c r="P20" i="1"/>
  <c r="P22" i="1"/>
  <c r="R34" i="1"/>
  <c r="O73" i="1"/>
  <c r="O13" i="1"/>
  <c r="N17" i="1"/>
  <c r="R20" i="1"/>
  <c r="N21" i="1"/>
  <c r="M28" i="1"/>
  <c r="I44" i="1"/>
  <c r="R44" i="1" s="1"/>
  <c r="O65" i="1"/>
  <c r="J96" i="1"/>
  <c r="J99" i="1"/>
  <c r="J101" i="1"/>
  <c r="J106" i="1"/>
  <c r="J107" i="1"/>
  <c r="J110" i="1"/>
  <c r="J111" i="1"/>
  <c r="J112" i="1"/>
  <c r="J114" i="1"/>
  <c r="J115" i="1"/>
  <c r="J118" i="1"/>
  <c r="J120" i="1" s="1"/>
  <c r="O88" i="1"/>
  <c r="R89" i="1"/>
  <c r="E49" i="1"/>
  <c r="P65" i="1"/>
  <c r="N76" i="1"/>
  <c r="M89" i="1"/>
  <c r="N90" i="1"/>
  <c r="J92" i="1"/>
  <c r="R92" i="1" s="1"/>
  <c r="Q16" i="1"/>
  <c r="Q84" i="1"/>
  <c r="O21" i="1"/>
  <c r="P23" i="1"/>
  <c r="F28" i="1"/>
  <c r="N34" i="1"/>
  <c r="Q65" i="1"/>
  <c r="O72" i="1"/>
  <c r="O74" i="1"/>
  <c r="N78" i="1"/>
  <c r="Q83" i="1"/>
  <c r="Q85" i="1"/>
  <c r="C153" i="1"/>
  <c r="R78" i="1"/>
  <c r="Q13" i="1"/>
  <c r="G17" i="1"/>
  <c r="G28" i="1"/>
  <c r="P28" i="1" s="1"/>
  <c r="J31" i="1"/>
  <c r="O34" i="1"/>
  <c r="O78" i="1"/>
  <c r="E96" i="1"/>
  <c r="E101" i="1"/>
  <c r="P21" i="1"/>
  <c r="N20" i="1"/>
  <c r="O80" i="1"/>
  <c r="F99" i="1"/>
  <c r="F101" i="1"/>
  <c r="F106" i="1"/>
  <c r="F107" i="1"/>
  <c r="F111" i="1"/>
  <c r="F112" i="1"/>
  <c r="F118" i="1"/>
  <c r="F120" i="1" s="1"/>
  <c r="P26" i="1"/>
  <c r="Q80" i="1"/>
  <c r="O20" i="1"/>
  <c r="O44" i="1"/>
  <c r="G99" i="1"/>
  <c r="G106" i="1"/>
  <c r="G107" i="1"/>
  <c r="G111" i="1"/>
  <c r="G112" i="1"/>
  <c r="G118" i="1"/>
  <c r="G120" i="1" s="1"/>
  <c r="J116" i="1" l="1"/>
  <c r="J122" i="1" s="1"/>
  <c r="J102" i="1"/>
  <c r="G114" i="1"/>
  <c r="G101" i="1"/>
  <c r="O17" i="1"/>
  <c r="G31" i="1"/>
  <c r="F115" i="1"/>
  <c r="F116" i="1" s="1"/>
  <c r="F122" i="1" s="1"/>
  <c r="F96" i="1"/>
  <c r="N28" i="1"/>
  <c r="H101" i="1"/>
  <c r="F31" i="1"/>
  <c r="H116" i="1"/>
  <c r="H122" i="1" s="1"/>
  <c r="E53" i="1"/>
  <c r="M53" i="1" s="1"/>
  <c r="M49" i="1"/>
  <c r="I102" i="1"/>
  <c r="Q44" i="1"/>
  <c r="H49" i="1"/>
  <c r="R31" i="1"/>
  <c r="J49" i="1"/>
  <c r="P17" i="1"/>
  <c r="I49" i="1"/>
  <c r="Q31" i="1"/>
  <c r="P44" i="1"/>
  <c r="H102" i="1"/>
  <c r="G115" i="1"/>
  <c r="G96" i="1"/>
  <c r="O28" i="1"/>
  <c r="R49" i="1" l="1"/>
  <c r="G49" i="1"/>
  <c r="O31" i="1"/>
  <c r="G116" i="1"/>
  <c r="G122" i="1" s="1"/>
  <c r="F49" i="1"/>
  <c r="N31" i="1"/>
  <c r="P31" i="1"/>
  <c r="Q49" i="1"/>
  <c r="P49" i="1"/>
  <c r="F53" i="1" l="1"/>
  <c r="N49" i="1"/>
  <c r="O49" i="1"/>
  <c r="N53" i="1" l="1"/>
  <c r="G51" i="1"/>
  <c r="O51" i="1" l="1"/>
  <c r="G53" i="1"/>
  <c r="O53" i="1" l="1"/>
  <c r="H51" i="1"/>
  <c r="P51" i="1" l="1"/>
  <c r="H53" i="1"/>
  <c r="P53" i="1" l="1"/>
  <c r="I51" i="1"/>
  <c r="Q51" i="1" l="1"/>
  <c r="I53" i="1"/>
  <c r="J51" i="1" l="1"/>
  <c r="Q53" i="1"/>
  <c r="R51" i="1" l="1"/>
  <c r="J53" i="1"/>
  <c r="R53" i="1" s="1"/>
</calcChain>
</file>

<file path=xl/sharedStrings.xml><?xml version="1.0" encoding="utf-8"?>
<sst xmlns="http://schemas.openxmlformats.org/spreadsheetml/2006/main" count="181" uniqueCount="168">
  <si>
    <t>FY25 - October 2024 Update</t>
  </si>
  <si>
    <t>IRN No.: 133215</t>
  </si>
  <si>
    <t>Type of School: Brick and Mortar</t>
  </si>
  <si>
    <t>Contract Term: 6/30/2025</t>
  </si>
  <si>
    <t>THE INTERGENERATIONAL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</si>
  <si>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</si>
  <si>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</si>
  <si>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</si>
  <si>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Forecast</t>
  </si>
  <si>
    <t>Actual</t>
  </si>
  <si>
    <t>Fiscal Year</t>
  </si>
  <si>
    <t>FY22</t>
  </si>
  <si>
    <t>FY23</t>
  </si>
  <si>
    <t>FY24</t>
  </si>
  <si>
    <t>FY25</t>
  </si>
  <si>
    <t>FY26</t>
  </si>
  <si>
    <t>FY27</t>
  </si>
  <si>
    <t>FY28</t>
  </si>
  <si>
    <t>FY29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</si>
  <si>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</si>
  <si>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</si>
  <si>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</si>
  <si>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</si>
  <si>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</si>
  <si>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</si>
  <si>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</si>
  <si>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</si>
  <si>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</si>
  <si>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</si>
  <si>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</si>
  <si>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</si>
  <si>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</si>
  <si>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</si>
  <si>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</si>
  <si>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</si>
  <si>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</si>
  <si>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</si>
  <si>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</si>
  <si>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</si>
  <si>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</si>
  <si>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</si>
  <si>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</si>
  <si>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</si>
  <si>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</si>
  <si>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</si>
  <si>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</si>
  <si>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</si>
  <si>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</si>
  <si>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</si>
  <si>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</si>
  <si>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</si>
  <si>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</si>
  <si>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</si>
  <si>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</si>
  <si>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</si>
  <si>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</si>
  <si>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</si>
  <si>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</si>
  <si>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</si>
  <si>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</si>
  <si>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</si>
  <si>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</si>
  <si>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</si>
  <si>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</si>
  <si>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</si>
  <si>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</si>
  <si>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</si>
  <si>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</si>
  <si>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</si>
  <si>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</si>
  <si>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Insurance (USAS code of 851 - incl in Other)</t>
  </si>
  <si>
    <t>Management Fee</t>
  </si>
  <si>
    <t>Sponsor Fee</t>
  </si>
  <si>
    <t>Audit Fees</t>
  </si>
  <si>
    <t>Audit Fees (USAS code of 843 - incl in Other)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</si>
  <si>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</si>
  <si>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</si>
  <si>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</si>
  <si>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</si>
  <si>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</si>
  <si>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</si>
  <si>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</si>
  <si>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</si>
  <si>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</si>
  <si>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</si>
  <si>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</si>
  <si>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 Purchased Services</t>
  </si>
  <si>
    <t>Financial Metrics</t>
  </si>
  <si>
    <t>Expenditures per FTE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</si>
  <si>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</si>
  <si>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</si>
  <si>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</si>
  <si>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</si>
  <si>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</si>
  <si>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</si>
  <si>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</si>
  <si>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Additional Metrics</t>
  </si>
  <si>
    <t>Management Fee per Pupil</t>
  </si>
  <si>
    <t>Salary and Wages per Pupil</t>
  </si>
  <si>
    <t>Salary, Wages, and Management Fee per Pupil</t>
  </si>
  <si>
    <t>Avg Staff Salary</t>
  </si>
  <si>
    <t>Benefits per Pupil</t>
  </si>
  <si>
    <t>Number of Students per Instruction Staff</t>
  </si>
  <si>
    <t>Number of Students per Total Staff</t>
  </si>
  <si>
    <t>Receipts per Pupil</t>
  </si>
  <si>
    <t>Disbursements per Pupil</t>
  </si>
  <si>
    <t>Operating Surplus/Deficit per Pupil</t>
  </si>
  <si>
    <t>Nonoperating Receipts per Pupil</t>
  </si>
  <si>
    <t>Nonoperating Disbursements per Pupil</t>
  </si>
  <si>
    <t>Nonoperating Surplus/Deficit per Pupil</t>
  </si>
  <si>
    <t>Total Surplus/Deficit per Pupil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</si>
  <si>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</si>
  <si>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</si>
  <si>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</si>
  <si>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</si>
  <si>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</si>
  <si>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</si>
  <si>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</si>
  <si>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</si>
  <si>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</si>
  <si>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</si>
  <si>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Erie Bank</t>
  </si>
  <si>
    <t>Loan B</t>
  </si>
  <si>
    <t>Line of Credit</t>
  </si>
  <si>
    <t>Notes, Bonds</t>
  </si>
  <si>
    <t>Capital Leases</t>
  </si>
  <si>
    <t>Payables (Past Due 180+ days)</t>
  </si>
  <si>
    <t>Total</t>
  </si>
  <si>
    <t>Miscellaneous Notes:</t>
  </si>
  <si>
    <t xml:space="preserve">The School does not use a management company. </t>
  </si>
  <si>
    <t>The School Sponsor is the Educational Services Center of Lake Erie West. The contracted base fee is 2.5% of State Foundation revenues.</t>
  </si>
  <si>
    <t>The School received a loan to purchase its building through Erie Bank. The loan terms are $1,000,000 principal, 4.27% interest rate, 20-yr amortization.</t>
  </si>
  <si>
    <t>Treasurer: Doug Mangen</t>
  </si>
  <si>
    <t>Expenditure/Expenses/Enrollment</t>
  </si>
  <si>
    <t>Inc / Dec</t>
  </si>
  <si>
    <t>Justification</t>
  </si>
  <si>
    <t>FY25 Enrollment</t>
  </si>
  <si>
    <t xml:space="preserve">Enrollment based on current and projected student counts. </t>
  </si>
  <si>
    <t>State Foundation Payment / FTE</t>
  </si>
  <si>
    <t>Based on the most recent available State Foundation Report</t>
  </si>
  <si>
    <t>Forecasted Average Enrollment Growth</t>
  </si>
  <si>
    <t>The School will maintain its current class offerings through the timeframe at a maximum of 255 FTE</t>
  </si>
  <si>
    <t>Forecasted Expense Inflation</t>
  </si>
  <si>
    <t>The forecast uses 2% as an estimate for inflation</t>
  </si>
  <si>
    <t>Forecast Salaries &amp; Wages</t>
  </si>
  <si>
    <t>Staff and compensation planning results in an average 1% annual increase in wages</t>
  </si>
  <si>
    <t>FY25 Rent</t>
  </si>
  <si>
    <t>The School owns its building</t>
  </si>
  <si>
    <t>FY25 Utilities</t>
  </si>
  <si>
    <t>Utilities based on  prior year and estimated expenses</t>
  </si>
  <si>
    <t>Other Facilitiy Costs</t>
  </si>
  <si>
    <t>Other Facilties Costs based on  prior year and estimated expenses</t>
  </si>
  <si>
    <t>Insurance based on current coverage and estimated expenses</t>
  </si>
  <si>
    <t>No Management company</t>
  </si>
  <si>
    <t>Base rate based on current contract agreement</t>
  </si>
  <si>
    <t>Audit Fee</t>
  </si>
  <si>
    <t>Audit based on FY24 expenses paid</t>
  </si>
  <si>
    <t>FY25 Food Service</t>
  </si>
  <si>
    <t>Food services expenses based on FY24 expenses paid and estimated expenses</t>
  </si>
  <si>
    <t>FY25 Transportation</t>
  </si>
  <si>
    <t>Includes Field Trip Transportation</t>
  </si>
  <si>
    <t>FY25 Legal</t>
  </si>
  <si>
    <t>Legal expenses based on FY24 expenses paid and estimated expenses</t>
  </si>
  <si>
    <t>FY25 Marketing</t>
  </si>
  <si>
    <t>Paid and estimated expenses for community outreach and recruitment efforts</t>
  </si>
  <si>
    <t>FY25 Consulting</t>
  </si>
  <si>
    <t xml:space="preserve">Includes vendors for services including but not limited to School Improvement, Substitute Teacher Services, Professional </t>
  </si>
  <si>
    <t>Development, Treasurer and Accounting services. Consulting expenses based on FY24 expenses paid and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</si>
</sst>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color rgb="FFFF0000"/>
      <name val="Arial"/>
      <family val="2"/>
    </font>
    <font>
      <b/>
      <u/>
      <sz val="9"/>
      <name val="Arial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2" tint="-9.9978637043366805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5" fillId="0" borderId="0" xfId="2" applyFont="1"/>
    <xf numFmtId="0" fontId="2" fillId="0" borderId="0" xfId="2"/>
    <xf numFmtId="0" fontId="3" fillId="0" borderId="2" xfId="2" applyFont="1" applyBorder="1" applyAlignment="1" applyProtection="1">
      <alignment vertical="center"/>
      <protection locked="0"/>
    </xf>
    <xf numFmtId="164" fontId="5" fillId="0" borderId="0" xfId="2" applyNumberFormat="1" applyFont="1"/>
    <xf numFmtId="43" fontId="5" fillId="0" borderId="0" xfId="2" applyNumberFormat="1" applyFont="1"/>
    <xf numFmtId="0" fontId="3" fillId="0" borderId="2" xfId="2" applyFont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2" fillId="0" borderId="2" xfId="2" applyBorder="1" applyProtection="1">
      <protection locked="0"/>
    </xf>
    <xf numFmtId="0" fontId="0" fillId="0" borderId="0" xfId="2" applyFont="1"/>
    <xf numFmtId="0" fontId="7" fillId="2" borderId="6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8" fillId="0" borderId="2" xfId="2" applyFont="1" applyBorder="1"/>
    <xf numFmtId="0" fontId="9" fillId="0" borderId="0" xfId="2" applyFont="1"/>
    <xf numFmtId="0" fontId="8" fillId="0" borderId="0" xfId="2" applyFont="1"/>
    <xf numFmtId="0" fontId="5" fillId="0" borderId="2" xfId="2" applyFont="1" applyBorder="1"/>
    <xf numFmtId="0" fontId="10" fillId="0" borderId="0" xfId="2" applyFont="1"/>
    <xf numFmtId="0" fontId="3" fillId="3" borderId="11" xfId="2" applyFont="1" applyFill="1" applyBorder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1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7" xfId="2" applyFont="1" applyFill="1" applyBorder="1" applyAlignment="1">
      <alignment horizontal="center"/>
    </xf>
    <xf numFmtId="0" fontId="10" fillId="2" borderId="18" xfId="2" applyFont="1" applyFill="1" applyBorder="1" applyAlignment="1">
      <alignment horizontal="center"/>
    </xf>
    <xf numFmtId="0" fontId="10" fillId="2" borderId="19" xfId="2" applyFont="1" applyFill="1" applyBorder="1" applyAlignment="1">
      <alignment horizontal="center"/>
    </xf>
    <xf numFmtId="0" fontId="11" fillId="0" borderId="20" xfId="2" applyFont="1" applyBorder="1"/>
    <xf numFmtId="0" fontId="11" fillId="0" borderId="0" xfId="2" applyFont="1"/>
    <xf numFmtId="44" fontId="10" fillId="0" borderId="0" xfId="2" applyNumberFormat="1" applyFont="1" applyAlignment="1">
      <alignment horizontal="right"/>
    </xf>
    <xf numFmtId="0" fontId="10" fillId="0" borderId="20" xfId="2" applyFont="1" applyBorder="1"/>
    <xf numFmtId="0" fontId="10" fillId="0" borderId="7" xfId="2" applyFont="1" applyBorder="1"/>
    <xf numFmtId="164" fontId="10" fillId="0" borderId="21" xfId="1" applyNumberFormat="1" applyFont="1" applyFill="1" applyBorder="1" applyAlignment="1">
      <alignment horizontal="right" vertical="top"/>
    </xf>
    <xf numFmtId="164" fontId="10" fillId="0" borderId="22" xfId="1" applyNumberFormat="1" applyFont="1" applyFill="1" applyBorder="1" applyAlignment="1">
      <alignment horizontal="right" vertical="top"/>
    </xf>
    <xf numFmtId="164" fontId="10" fillId="0" borderId="23" xfId="1" applyNumberFormat="1" applyFont="1" applyFill="1" applyBorder="1" applyAlignment="1">
      <alignment horizontal="right" vertical="top"/>
    </xf>
    <xf numFmtId="164" fontId="10" fillId="0" borderId="24" xfId="1" applyNumberFormat="1" applyFont="1" applyBorder="1" applyAlignment="1">
      <alignment horizontal="right" vertical="top"/>
    </xf>
    <xf numFmtId="164" fontId="10" fillId="0" borderId="25" xfId="1" applyNumberFormat="1" applyFont="1" applyBorder="1" applyAlignment="1">
      <alignment horizontal="right" vertical="top"/>
    </xf>
    <xf numFmtId="164" fontId="10" fillId="0" borderId="23" xfId="1" applyNumberFormat="1" applyFont="1" applyBorder="1" applyAlignment="1">
      <alignment horizontal="right" vertical="top"/>
    </xf>
    <xf numFmtId="9" fontId="5" fillId="0" borderId="26" xfId="3" applyFont="1" applyBorder="1"/>
    <xf numFmtId="9" fontId="5" fillId="0" borderId="27" xfId="3" applyFont="1" applyBorder="1"/>
    <xf numFmtId="9" fontId="5" fillId="0" borderId="28" xfId="3" applyFont="1" applyBorder="1"/>
    <xf numFmtId="164" fontId="10" fillId="0" borderId="29" xfId="1" applyNumberFormat="1" applyFont="1" applyFill="1" applyBorder="1" applyAlignment="1">
      <alignment horizontal="right" vertical="top"/>
    </xf>
    <xf numFmtId="164" fontId="10" fillId="0" borderId="30" xfId="1" applyNumberFormat="1" applyFont="1" applyFill="1" applyBorder="1" applyAlignment="1">
      <alignment horizontal="right" vertical="top"/>
    </xf>
    <xf numFmtId="164" fontId="10" fillId="0" borderId="31" xfId="1" applyNumberFormat="1" applyFont="1" applyFill="1" applyBorder="1" applyAlignment="1">
      <alignment horizontal="right" vertical="top"/>
    </xf>
    <xf numFmtId="164" fontId="10" fillId="0" borderId="32" xfId="1" applyNumberFormat="1" applyFont="1" applyBorder="1" applyAlignment="1">
      <alignment horizontal="right" vertical="top"/>
    </xf>
    <xf numFmtId="164" fontId="10" fillId="0" borderId="33" xfId="1" applyNumberFormat="1" applyFont="1" applyBorder="1" applyAlignment="1">
      <alignment horizontal="right" vertical="top"/>
    </xf>
    <xf numFmtId="164" fontId="10" fillId="0" borderId="31" xfId="1" applyNumberFormat="1" applyFont="1" applyBorder="1" applyAlignment="1">
      <alignment horizontal="right" vertical="top"/>
    </xf>
    <xf numFmtId="9" fontId="5" fillId="0" borderId="34" xfId="3" applyFont="1" applyBorder="1"/>
    <xf numFmtId="9" fontId="5" fillId="0" borderId="35" xfId="3" applyFont="1" applyBorder="1"/>
    <xf numFmtId="9" fontId="5" fillId="0" borderId="36" xfId="3" applyFont="1" applyBorder="1"/>
    <xf numFmtId="0" fontId="4" fillId="5" borderId="20" xfId="2" applyFont="1" applyFill="1" applyBorder="1"/>
    <xf numFmtId="0" fontId="4" fillId="0" borderId="7" xfId="2" applyFont="1" applyBorder="1"/>
    <xf numFmtId="164" fontId="10" fillId="5" borderId="29" xfId="1" applyNumberFormat="1" applyFont="1" applyFill="1" applyBorder="1" applyAlignment="1">
      <alignment horizontal="right" vertical="top"/>
    </xf>
    <xf numFmtId="164" fontId="10" fillId="5" borderId="33" xfId="1" applyNumberFormat="1" applyFont="1" applyFill="1" applyBorder="1" applyAlignment="1">
      <alignment horizontal="right" vertical="top"/>
    </xf>
    <xf numFmtId="164" fontId="10" fillId="5" borderId="31" xfId="1" applyNumberFormat="1" applyFont="1" applyFill="1" applyBorder="1" applyAlignment="1">
      <alignment horizontal="right" vertical="top"/>
    </xf>
    <xf numFmtId="164" fontId="10" fillId="5" borderId="32" xfId="1" applyNumberFormat="1" applyFont="1" applyFill="1" applyBorder="1" applyAlignment="1">
      <alignment horizontal="right" vertical="top"/>
    </xf>
    <xf numFmtId="9" fontId="5" fillId="5" borderId="34" xfId="3" applyFont="1" applyFill="1" applyBorder="1"/>
    <xf numFmtId="9" fontId="5" fillId="5" borderId="35" xfId="3" applyFont="1" applyFill="1" applyBorder="1"/>
    <xf numFmtId="9" fontId="5" fillId="5" borderId="36" xfId="3" applyFont="1" applyFill="1" applyBorder="1"/>
    <xf numFmtId="0" fontId="4" fillId="0" borderId="20" xfId="2" applyFont="1" applyBorder="1"/>
    <xf numFmtId="164" fontId="10" fillId="0" borderId="33" xfId="1" applyNumberFormat="1" applyFont="1" applyFill="1" applyBorder="1" applyAlignment="1">
      <alignment horizontal="right" vertical="top"/>
    </xf>
    <xf numFmtId="0" fontId="11" fillId="0" borderId="7" xfId="2" applyFont="1" applyBorder="1"/>
    <xf numFmtId="9" fontId="10" fillId="0" borderId="29" xfId="3" applyFont="1" applyFill="1" applyBorder="1" applyAlignment="1">
      <alignment horizontal="right" vertical="top"/>
    </xf>
    <xf numFmtId="9" fontId="10" fillId="0" borderId="33" xfId="3" applyFont="1" applyFill="1" applyBorder="1" applyAlignment="1">
      <alignment horizontal="right" vertical="top"/>
    </xf>
    <xf numFmtId="0" fontId="4" fillId="6" borderId="0" xfId="2" applyFont="1" applyFill="1"/>
    <xf numFmtId="164" fontId="10" fillId="6" borderId="29" xfId="1" applyNumberFormat="1" applyFont="1" applyFill="1" applyBorder="1" applyAlignment="1">
      <alignment horizontal="right" vertical="top"/>
    </xf>
    <xf numFmtId="164" fontId="10" fillId="6" borderId="33" xfId="1" applyNumberFormat="1" applyFont="1" applyFill="1" applyBorder="1" applyAlignment="1">
      <alignment horizontal="right" vertical="top"/>
    </xf>
    <xf numFmtId="164" fontId="10" fillId="6" borderId="31" xfId="1" applyNumberFormat="1" applyFont="1" applyFill="1" applyBorder="1" applyAlignment="1">
      <alignment horizontal="right" vertical="top"/>
    </xf>
    <xf numFmtId="164" fontId="10" fillId="6" borderId="32" xfId="1" applyNumberFormat="1" applyFont="1" applyFill="1" applyBorder="1" applyAlignment="1">
      <alignment horizontal="right" vertical="top"/>
    </xf>
    <xf numFmtId="9" fontId="5" fillId="6" borderId="34" xfId="3" applyFont="1" applyFill="1" applyBorder="1"/>
    <xf numFmtId="9" fontId="5" fillId="6" borderId="35" xfId="3" applyFont="1" applyFill="1" applyBorder="1"/>
    <xf numFmtId="9" fontId="5" fillId="6" borderId="36" xfId="3" applyFont="1" applyFill="1" applyBorder="1"/>
    <xf numFmtId="164" fontId="10" fillId="0" borderId="37" xfId="1" applyNumberFormat="1" applyFont="1" applyBorder="1" applyAlignment="1">
      <alignment horizontal="right" vertical="top"/>
    </xf>
    <xf numFmtId="164" fontId="10" fillId="0" borderId="38" xfId="1" applyNumberFormat="1" applyFont="1" applyBorder="1" applyAlignment="1">
      <alignment horizontal="right" vertical="top"/>
    </xf>
    <xf numFmtId="164" fontId="10" fillId="0" borderId="39" xfId="1" applyNumberFormat="1" applyFont="1" applyBorder="1" applyAlignment="1">
      <alignment horizontal="right" vertical="top"/>
    </xf>
    <xf numFmtId="164" fontId="10" fillId="0" borderId="29" xfId="1" applyNumberFormat="1" applyFont="1" applyFill="1" applyBorder="1" applyAlignment="1">
      <alignment vertical="top"/>
    </xf>
    <xf numFmtId="164" fontId="10" fillId="0" borderId="33" xfId="1" applyNumberFormat="1" applyFont="1" applyFill="1" applyBorder="1" applyAlignment="1">
      <alignment vertical="top"/>
    </xf>
    <xf numFmtId="164" fontId="10" fillId="0" borderId="31" xfId="1" applyNumberFormat="1" applyFont="1" applyFill="1" applyBorder="1" applyAlignment="1">
      <alignment vertical="top"/>
    </xf>
    <xf numFmtId="164" fontId="10" fillId="0" borderId="40" xfId="1" applyNumberFormat="1" applyFont="1" applyBorder="1" applyAlignment="1">
      <alignment vertical="top"/>
    </xf>
    <xf numFmtId="164" fontId="10" fillId="0" borderId="41" xfId="1" applyNumberFormat="1" applyFont="1" applyBorder="1" applyAlignment="1">
      <alignment vertical="top"/>
    </xf>
    <xf numFmtId="164" fontId="10" fillId="0" borderId="42" xfId="1" applyNumberFormat="1" applyFont="1" applyBorder="1" applyAlignment="1">
      <alignment vertical="top"/>
    </xf>
    <xf numFmtId="164" fontId="10" fillId="0" borderId="32" xfId="1" applyNumberFormat="1" applyFont="1" applyBorder="1" applyAlignment="1">
      <alignment vertical="top"/>
    </xf>
    <xf numFmtId="164" fontId="10" fillId="0" borderId="33" xfId="1" applyNumberFormat="1" applyFont="1" applyBorder="1" applyAlignment="1">
      <alignment vertical="top"/>
    </xf>
    <xf numFmtId="164" fontId="10" fillId="0" borderId="31" xfId="1" applyNumberFormat="1" applyFont="1" applyBorder="1" applyAlignment="1">
      <alignment vertical="top"/>
    </xf>
    <xf numFmtId="0" fontId="4" fillId="6" borderId="20" xfId="2" applyFont="1" applyFill="1" applyBorder="1"/>
    <xf numFmtId="164" fontId="10" fillId="0" borderId="43" xfId="1" applyNumberFormat="1" applyFont="1" applyFill="1" applyBorder="1" applyAlignment="1">
      <alignment vertical="top"/>
    </xf>
    <xf numFmtId="164" fontId="10" fillId="0" borderId="44" xfId="1" applyNumberFormat="1" applyFont="1" applyFill="1" applyBorder="1" applyAlignment="1">
      <alignment vertical="top"/>
    </xf>
    <xf numFmtId="164" fontId="10" fillId="0" borderId="45" xfId="1" applyNumberFormat="1" applyFont="1" applyFill="1" applyBorder="1" applyAlignment="1">
      <alignment vertical="top"/>
    </xf>
    <xf numFmtId="164" fontId="10" fillId="0" borderId="46" xfId="1" applyNumberFormat="1" applyFont="1" applyBorder="1" applyAlignment="1">
      <alignment vertical="top"/>
    </xf>
    <xf numFmtId="164" fontId="10" fillId="0" borderId="47" xfId="1" applyNumberFormat="1" applyFont="1" applyBorder="1" applyAlignment="1">
      <alignment vertical="top"/>
    </xf>
    <xf numFmtId="164" fontId="10" fillId="0" borderId="48" xfId="1" applyNumberFormat="1" applyFont="1" applyBorder="1" applyAlignment="1">
      <alignment vertical="top"/>
    </xf>
    <xf numFmtId="164" fontId="10" fillId="5" borderId="49" xfId="1" applyNumberFormat="1" applyFont="1" applyFill="1" applyBorder="1" applyAlignment="1">
      <alignment horizontal="right" vertical="top"/>
    </xf>
    <xf numFmtId="164" fontId="10" fillId="5" borderId="50" xfId="1" applyNumberFormat="1" applyFont="1" applyFill="1" applyBorder="1" applyAlignment="1">
      <alignment horizontal="right" vertical="top"/>
    </xf>
    <xf numFmtId="164" fontId="10" fillId="5" borderId="51" xfId="1" applyNumberFormat="1" applyFont="1" applyFill="1" applyBorder="1" applyAlignment="1">
      <alignment horizontal="right" vertical="top"/>
    </xf>
    <xf numFmtId="164" fontId="10" fillId="5" borderId="52" xfId="1" applyNumberFormat="1" applyFont="1" applyFill="1" applyBorder="1" applyAlignment="1">
      <alignment horizontal="right" vertical="top"/>
    </xf>
    <xf numFmtId="9" fontId="5" fillId="5" borderId="53" xfId="3" applyFont="1" applyFill="1" applyBorder="1"/>
    <xf numFmtId="9" fontId="5" fillId="5" borderId="54" xfId="3" applyFont="1" applyFill="1" applyBorder="1"/>
    <xf numFmtId="9" fontId="5" fillId="5" borderId="55" xfId="3" applyFont="1" applyFill="1" applyBorder="1"/>
    <xf numFmtId="0" fontId="12" fillId="0" borderId="0" xfId="2" applyFont="1" applyAlignment="1">
      <alignment vertical="center"/>
    </xf>
    <xf numFmtId="43" fontId="12" fillId="0" borderId="0" xfId="1" applyFont="1" applyAlignment="1">
      <alignment vertical="center"/>
    </xf>
    <xf numFmtId="42" fontId="5" fillId="0" borderId="0" xfId="2" applyNumberFormat="1" applyFont="1"/>
    <xf numFmtId="0" fontId="13" fillId="0" borderId="2" xfId="2" applyFont="1" applyBorder="1"/>
    <xf numFmtId="42" fontId="10" fillId="7" borderId="0" xfId="2" applyNumberFormat="1" applyFont="1" applyFill="1" applyAlignment="1">
      <alignment vertical="top"/>
    </xf>
    <xf numFmtId="42" fontId="5" fillId="0" borderId="0" xfId="4" applyNumberFormat="1" applyFont="1" applyAlignment="1">
      <alignment horizontal="center"/>
    </xf>
    <xf numFmtId="5" fontId="10" fillId="0" borderId="0" xfId="2" applyNumberFormat="1" applyFont="1" applyAlignment="1">
      <alignment vertical="top"/>
    </xf>
    <xf numFmtId="37" fontId="5" fillId="0" borderId="0" xfId="4" applyNumberFormat="1" applyFont="1" applyAlignment="1">
      <alignment horizontal="center"/>
    </xf>
    <xf numFmtId="9" fontId="10" fillId="0" borderId="0" xfId="3" applyFont="1" applyFill="1" applyBorder="1" applyAlignment="1">
      <alignment horizontal="center" vertical="top"/>
    </xf>
    <xf numFmtId="43" fontId="5" fillId="0" borderId="0" xfId="1" applyFont="1" applyAlignment="1">
      <alignment horizontal="center"/>
    </xf>
    <xf numFmtId="164" fontId="10" fillId="0" borderId="25" xfId="1" applyNumberFormat="1" applyFont="1" applyFill="1" applyBorder="1" applyAlignment="1">
      <alignment horizontal="right" vertical="top"/>
    </xf>
    <xf numFmtId="9" fontId="5" fillId="0" borderId="1" xfId="3" applyFont="1" applyBorder="1"/>
    <xf numFmtId="9" fontId="5" fillId="0" borderId="56" xfId="3" applyFont="1" applyBorder="1"/>
    <xf numFmtId="9" fontId="5" fillId="0" borderId="57" xfId="3" applyFont="1" applyBorder="1"/>
    <xf numFmtId="164" fontId="10" fillId="0" borderId="32" xfId="1" applyNumberFormat="1" applyFont="1" applyFill="1" applyBorder="1" applyAlignment="1">
      <alignment horizontal="right" vertical="top"/>
    </xf>
    <xf numFmtId="9" fontId="5" fillId="0" borderId="2" xfId="3" applyFont="1" applyBorder="1"/>
    <xf numFmtId="9" fontId="5" fillId="0" borderId="58" xfId="3" applyFont="1" applyBorder="1"/>
    <xf numFmtId="9" fontId="5" fillId="0" borderId="0" xfId="3" applyFont="1" applyBorder="1"/>
    <xf numFmtId="164" fontId="10" fillId="0" borderId="47" xfId="1" applyNumberFormat="1" applyFont="1" applyFill="1" applyBorder="1" applyAlignment="1">
      <alignment horizontal="right" vertical="top"/>
    </xf>
    <xf numFmtId="164" fontId="10" fillId="0" borderId="46" xfId="1" applyNumberFormat="1" applyFont="1" applyFill="1" applyBorder="1" applyAlignment="1">
      <alignment horizontal="right" vertical="top"/>
    </xf>
    <xf numFmtId="164" fontId="10" fillId="0" borderId="47" xfId="1" applyNumberFormat="1" applyFont="1" applyBorder="1" applyAlignment="1">
      <alignment horizontal="right" vertical="top"/>
    </xf>
    <xf numFmtId="164" fontId="10" fillId="0" borderId="48" xfId="1" applyNumberFormat="1" applyFont="1" applyBorder="1" applyAlignment="1">
      <alignment horizontal="right" vertical="top"/>
    </xf>
    <xf numFmtId="9" fontId="5" fillId="0" borderId="59" xfId="3" applyFont="1" applyBorder="1"/>
    <xf numFmtId="9" fontId="5" fillId="0" borderId="60" xfId="3" applyFont="1" applyBorder="1"/>
    <xf numFmtId="9" fontId="5" fillId="0" borderId="61" xfId="3" applyFont="1" applyBorder="1"/>
    <xf numFmtId="10" fontId="5" fillId="0" borderId="0" xfId="3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10" fillId="0" borderId="0" xfId="2" applyFont="1" applyAlignment="1">
      <alignment horizontal="center" vertical="top"/>
    </xf>
    <xf numFmtId="2" fontId="10" fillId="0" borderId="0" xfId="2" applyNumberFormat="1" applyFont="1" applyAlignment="1">
      <alignment horizontal="right" vertical="top"/>
    </xf>
    <xf numFmtId="10" fontId="10" fillId="0" borderId="0" xfId="3" applyNumberFormat="1" applyFont="1" applyAlignment="1">
      <alignment horizontal="right" vertical="top"/>
    </xf>
    <xf numFmtId="0" fontId="10" fillId="0" borderId="0" xfId="2" applyFont="1" applyAlignment="1">
      <alignment horizontal="right" vertical="top"/>
    </xf>
    <xf numFmtId="164" fontId="10" fillId="0" borderId="24" xfId="1" applyNumberFormat="1" applyFont="1" applyFill="1" applyBorder="1" applyAlignment="1">
      <alignment horizontal="right" vertical="top"/>
    </xf>
    <xf numFmtId="164" fontId="10" fillId="0" borderId="62" xfId="1" applyNumberFormat="1" applyFont="1" applyBorder="1" applyAlignment="1">
      <alignment horizontal="right" vertical="top"/>
    </xf>
    <xf numFmtId="164" fontId="10" fillId="0" borderId="63" xfId="1" applyNumberFormat="1" applyFont="1" applyBorder="1" applyAlignment="1">
      <alignment horizontal="right" vertical="top"/>
    </xf>
    <xf numFmtId="164" fontId="10" fillId="0" borderId="64" xfId="1" applyNumberFormat="1" applyFont="1" applyBorder="1" applyAlignment="1">
      <alignment horizontal="right" vertical="top"/>
    </xf>
    <xf numFmtId="164" fontId="10" fillId="0" borderId="65" xfId="1" applyNumberFormat="1" applyFont="1" applyBorder="1" applyAlignment="1">
      <alignment horizontal="right" vertical="top"/>
    </xf>
    <xf numFmtId="0" fontId="5" fillId="0" borderId="2" xfId="3" applyNumberFormat="1" applyFont="1" applyBorder="1"/>
    <xf numFmtId="9" fontId="5" fillId="5" borderId="13" xfId="3" applyFont="1" applyFill="1" applyBorder="1"/>
    <xf numFmtId="9" fontId="5" fillId="5" borderId="12" xfId="3" applyFont="1" applyFill="1" applyBorder="1"/>
    <xf numFmtId="9" fontId="5" fillId="5" borderId="11" xfId="3" applyFont="1" applyFill="1" applyBorder="1"/>
    <xf numFmtId="0" fontId="4" fillId="0" borderId="0" xfId="2" applyFont="1"/>
    <xf numFmtId="5" fontId="5" fillId="0" borderId="0" xfId="2" applyNumberFormat="1" applyFont="1" applyAlignment="1">
      <alignment vertical="top"/>
    </xf>
    <xf numFmtId="9" fontId="5" fillId="0" borderId="0" xfId="3" applyFont="1"/>
    <xf numFmtId="164" fontId="5" fillId="0" borderId="26" xfId="1" applyNumberFormat="1" applyFont="1" applyFill="1" applyBorder="1" applyAlignment="1">
      <alignment horizontal="right" vertical="top"/>
    </xf>
    <xf numFmtId="164" fontId="5" fillId="0" borderId="27" xfId="1" applyNumberFormat="1" applyFont="1" applyFill="1" applyBorder="1" applyAlignment="1">
      <alignment horizontal="right" vertical="top"/>
    </xf>
    <xf numFmtId="164" fontId="5" fillId="0" borderId="28" xfId="1" applyNumberFormat="1" applyFont="1" applyFill="1" applyBorder="1" applyAlignment="1">
      <alignment horizontal="right" vertical="top"/>
    </xf>
    <xf numFmtId="164" fontId="5" fillId="0" borderId="66" xfId="1" applyNumberFormat="1" applyFont="1" applyFill="1" applyBorder="1" applyAlignment="1">
      <alignment horizontal="right" vertical="top"/>
    </xf>
    <xf numFmtId="164" fontId="5" fillId="0" borderId="67" xfId="1" applyNumberFormat="1" applyFont="1" applyFill="1" applyBorder="1" applyAlignment="1">
      <alignment horizontal="right" vertical="top"/>
    </xf>
    <xf numFmtId="164" fontId="5" fillId="0" borderId="68" xfId="1" applyNumberFormat="1" applyFont="1" applyFill="1" applyBorder="1" applyAlignment="1">
      <alignment horizontal="right" vertical="top"/>
    </xf>
    <xf numFmtId="2" fontId="5" fillId="0" borderId="34" xfId="2" applyNumberFormat="1" applyFont="1" applyBorder="1" applyAlignment="1">
      <alignment horizontal="right" vertical="top"/>
    </xf>
    <xf numFmtId="2" fontId="5" fillId="0" borderId="35" xfId="2" applyNumberFormat="1" applyFont="1" applyBorder="1" applyAlignment="1">
      <alignment horizontal="right" vertical="top"/>
    </xf>
    <xf numFmtId="2" fontId="5" fillId="0" borderId="36" xfId="2" applyNumberFormat="1" applyFont="1" applyBorder="1" applyAlignment="1">
      <alignment horizontal="right" vertical="top"/>
    </xf>
    <xf numFmtId="165" fontId="5" fillId="0" borderId="36" xfId="2" applyNumberFormat="1" applyFont="1" applyBorder="1" applyAlignment="1">
      <alignment horizontal="right" vertical="top"/>
    </xf>
    <xf numFmtId="165" fontId="5" fillId="0" borderId="34" xfId="2" applyNumberFormat="1" applyFont="1" applyBorder="1" applyAlignment="1">
      <alignment horizontal="right" vertical="top"/>
    </xf>
    <xf numFmtId="165" fontId="5" fillId="0" borderId="35" xfId="2" applyNumberFormat="1" applyFont="1" applyBorder="1" applyAlignment="1">
      <alignment horizontal="right" vertical="top"/>
    </xf>
    <xf numFmtId="2" fontId="5" fillId="0" borderId="53" xfId="2" applyNumberFormat="1" applyFont="1" applyBorder="1" applyAlignment="1">
      <alignment horizontal="right" vertical="top"/>
    </xf>
    <xf numFmtId="2" fontId="5" fillId="0" borderId="54" xfId="2" applyNumberFormat="1" applyFont="1" applyBorder="1" applyAlignment="1">
      <alignment horizontal="right" vertical="top"/>
    </xf>
    <xf numFmtId="2" fontId="5" fillId="0" borderId="55" xfId="2" applyNumberFormat="1" applyFont="1" applyBorder="1" applyAlignment="1">
      <alignment horizontal="right" vertical="top"/>
    </xf>
    <xf numFmtId="0" fontId="5" fillId="0" borderId="0" xfId="2" applyFont="1" applyAlignment="1">
      <alignment horizontal="center"/>
    </xf>
    <xf numFmtId="164" fontId="5" fillId="0" borderId="69" xfId="1" applyNumberFormat="1" applyFont="1" applyFill="1" applyBorder="1" applyAlignment="1">
      <alignment vertical="top"/>
    </xf>
    <xf numFmtId="164" fontId="5" fillId="0" borderId="27" xfId="1" applyNumberFormat="1" applyFont="1" applyFill="1" applyBorder="1" applyAlignment="1">
      <alignment vertical="top"/>
    </xf>
    <xf numFmtId="164" fontId="5" fillId="0" borderId="70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vertical="top"/>
    </xf>
    <xf numFmtId="164" fontId="5" fillId="0" borderId="67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0" fontId="10" fillId="0" borderId="9" xfId="2" applyFont="1" applyBorder="1"/>
    <xf numFmtId="0" fontId="4" fillId="5" borderId="0" xfId="2" applyFont="1" applyFill="1"/>
    <xf numFmtId="164" fontId="10" fillId="5" borderId="71" xfId="2" applyNumberFormat="1" applyFont="1" applyFill="1" applyBorder="1" applyAlignment="1">
      <alignment vertical="top"/>
    </xf>
    <xf numFmtId="164" fontId="10" fillId="5" borderId="35" xfId="2" applyNumberFormat="1" applyFont="1" applyFill="1" applyBorder="1" applyAlignment="1">
      <alignment vertical="top"/>
    </xf>
    <xf numFmtId="164" fontId="10" fillId="5" borderId="72" xfId="2" applyNumberFormat="1" applyFont="1" applyFill="1" applyBorder="1" applyAlignment="1">
      <alignment vertical="top"/>
    </xf>
    <xf numFmtId="0" fontId="0" fillId="0" borderId="8" xfId="2" applyFont="1" applyBorder="1" applyAlignment="1">
      <alignment vertical="top"/>
    </xf>
    <xf numFmtId="0" fontId="0" fillId="0" borderId="67" xfId="2" applyFont="1" applyBorder="1" applyAlignment="1">
      <alignment vertical="top"/>
    </xf>
    <xf numFmtId="0" fontId="0" fillId="0" borderId="9" xfId="2" applyFont="1" applyBorder="1" applyAlignment="1">
      <alignment vertical="top"/>
    </xf>
    <xf numFmtId="164" fontId="10" fillId="5" borderId="73" xfId="1" applyNumberFormat="1" applyFont="1" applyFill="1" applyBorder="1" applyAlignment="1">
      <alignment horizontal="right" vertical="top"/>
    </xf>
    <xf numFmtId="0" fontId="1" fillId="0" borderId="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1" fillId="0" borderId="56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 wrapText="1"/>
    </xf>
    <xf numFmtId="0" fontId="1" fillId="0" borderId="75" xfId="2" applyFont="1" applyBorder="1" applyAlignment="1">
      <alignment horizontal="center" vertical="center" wrapText="1"/>
    </xf>
    <xf numFmtId="0" fontId="1" fillId="0" borderId="7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2" fillId="0" borderId="36" xfId="2" applyBorder="1" applyAlignment="1">
      <alignment vertical="center" wrapText="1"/>
    </xf>
    <xf numFmtId="44" fontId="2" fillId="0" borderId="34" xfId="2" applyNumberFormat="1" applyBorder="1" applyAlignment="1">
      <alignment vertical="center" wrapText="1"/>
    </xf>
    <xf numFmtId="0" fontId="5" fillId="0" borderId="35" xfId="2" applyFont="1" applyBorder="1" applyAlignment="1">
      <alignment horizontal="center"/>
    </xf>
    <xf numFmtId="0" fontId="2" fillId="8" borderId="36" xfId="2" applyFill="1" applyBorder="1" applyAlignment="1">
      <alignment vertical="center" wrapText="1"/>
    </xf>
    <xf numFmtId="44" fontId="2" fillId="8" borderId="34" xfId="2" applyNumberFormat="1" applyFill="1" applyBorder="1" applyAlignment="1">
      <alignment vertical="center" wrapText="1"/>
    </xf>
    <xf numFmtId="0" fontId="5" fillId="8" borderId="35" xfId="2" applyFont="1" applyFill="1" applyBorder="1" applyAlignment="1">
      <alignment horizontal="center"/>
    </xf>
    <xf numFmtId="0" fontId="5" fillId="0" borderId="35" xfId="2" applyFont="1" applyBorder="1" applyAlignment="1">
      <alignment horizontal="center" wrapText="1"/>
    </xf>
    <xf numFmtId="44" fontId="2" fillId="0" borderId="0" xfId="2" applyNumberFormat="1"/>
    <xf numFmtId="0" fontId="2" fillId="0" borderId="77" xfId="2" applyBorder="1" applyAlignment="1">
      <alignment vertical="center" wrapText="1"/>
    </xf>
    <xf numFmtId="44" fontId="2" fillId="0" borderId="78" xfId="2" applyNumberFormat="1" applyBorder="1" applyAlignment="1">
      <alignment vertical="center" wrapText="1"/>
    </xf>
    <xf numFmtId="0" fontId="5" fillId="0" borderId="79" xfId="2" applyFont="1" applyBorder="1" applyAlignment="1">
      <alignment horizontal="center"/>
    </xf>
    <xf numFmtId="0" fontId="2" fillId="0" borderId="13" xfId="2" applyBorder="1" applyAlignment="1">
      <alignment vertical="center" wrapText="1"/>
    </xf>
    <xf numFmtId="44" fontId="2" fillId="0" borderId="11" xfId="2" applyNumberFormat="1" applyBorder="1" applyAlignment="1">
      <alignment vertical="center" wrapText="1"/>
    </xf>
    <xf numFmtId="0" fontId="5" fillId="0" borderId="12" xfId="2" applyFont="1" applyBorder="1" applyAlignment="1">
      <alignment horizontal="center"/>
    </xf>
    <xf numFmtId="0" fontId="2" fillId="0" borderId="80" xfId="2" applyBorder="1" applyAlignment="1">
      <alignment vertical="center" wrapText="1"/>
    </xf>
    <xf numFmtId="44" fontId="2" fillId="0" borderId="81" xfId="2" applyNumberFormat="1" applyBorder="1" applyAlignment="1">
      <alignment vertical="center" wrapText="1"/>
    </xf>
    <xf numFmtId="44" fontId="7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center"/>
    </xf>
    <xf numFmtId="0" fontId="3" fillId="0" borderId="0" xfId="5" applyFont="1"/>
    <xf numFmtId="0" fontId="10" fillId="0" borderId="0" xfId="2" applyFont="1" applyAlignment="1">
      <alignment horizontal="left"/>
    </xf>
    <xf numFmtId="9" fontId="5" fillId="0" borderId="0" xfId="5" applyNumberFormat="1" applyFont="1" applyAlignment="1">
      <alignment horizontal="center"/>
    </xf>
    <xf numFmtId="0" fontId="5" fillId="0" borderId="0" xfId="5" applyFont="1"/>
    <xf numFmtId="6" fontId="5" fillId="0" borderId="0" xfId="5" applyNumberFormat="1" applyFont="1" applyAlignment="1">
      <alignment horizontal="center"/>
    </xf>
    <xf numFmtId="164" fontId="0" fillId="0" borderId="0" xfId="1" applyNumberFormat="1" applyFont="1"/>
    <xf numFmtId="0" fontId="10" fillId="0" borderId="0" xfId="2" applyFont="1" applyAlignment="1">
      <alignment horizontal="right"/>
    </xf>
  </cellXfs>
  <cellStyles count="6">
    <cellStyle name="Comma" xfId="1" builtinId="3"/>
    <cellStyle name="Comma0" xfId="4" xr:uid="{86300D8A-8A4C-4141-B11C-FCD83AD4667E}"/>
    <cellStyle name="Normal" xfId="0" builtinId="0"/>
    <cellStyle name="Normal 2" xfId="2" xr:uid="{A57D64B1-E811-4C77-A72F-8347DE532841}"/>
    <cellStyle name="Normal 3" xfId="5" xr:uid="{C16148E3-6566-409E-B060-5D04D7BD9024}"/>
    <cellStyle name="Percent 2" xfId="3" xr:uid="{5913CE6C-4D3E-4CDF-8E89-B7A900135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A516-28E1-41DE-BB93-C0A30C3CA047}">
  <sheetPr>
    <tabColor theme="0" tint="-0.499984740745262"/>
    <pageSetUpPr fitToPage="1"/>
  </sheetPr>
  <dimension ref="A1:R166"/>
  <sheetViews>
    <sheetView tabSelected="1" zoomScaleNormal="100" zoomScaleSheetLayoutView="85" workbookViewId="0">
      <pane xSplit="2" ySplit="11" topLeftCell="C35" activePane="bottomRight" state="frozen"/>
      <selection pane="topRight" activeCell="C1" sqref="C1"/>
      <selection pane="bottomLeft" activeCell="A12" sqref="A12"/>
      <selection pane="bottomRight" activeCell="J38" sqref="J38"/>
    </sheetView>
  </sheetViews>
  <sheetFormatPr defaultColWidth="8.5546875" defaultRowHeight="14.4" outlineLevelCol="1" x14ac:dyDescent="0.3"/>
  <cols>
    <col min="1" max="1" width="49.44140625" style="4" bestFit="1" customWidth="1"/>
    <col min="2" max="2" width="5.33203125" style="13" customWidth="1"/>
    <col min="3" max="10" width="14.44140625" style="4" customWidth="1"/>
    <col min="11" max="11" width="10.44140625" style="4" customWidth="1"/>
    <col min="12" max="18" width="9.33203125" style="4" customWidth="1" outlineLevel="1"/>
    <col min="19" max="16384" width="8.5546875" style="4"/>
  </cols>
  <sheetData>
    <row r="1" spans="1:18" ht="13.2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8" ht="13.2" x14ac:dyDescent="0.25">
      <c r="A2" s="5" t="s">
        <v>1</v>
      </c>
      <c r="B2" s="2"/>
      <c r="C2" s="3"/>
      <c r="D2" s="3"/>
      <c r="E2" s="3"/>
      <c r="F2" s="3"/>
      <c r="G2" s="6"/>
      <c r="H2" s="6"/>
      <c r="I2" s="7"/>
      <c r="J2" s="3"/>
    </row>
    <row r="3" spans="1:18" ht="13.2" x14ac:dyDescent="0.25">
      <c r="A3" s="8" t="s">
        <v>2</v>
      </c>
      <c r="B3" s="2"/>
      <c r="C3" s="3"/>
      <c r="D3" s="3"/>
      <c r="E3" s="3"/>
      <c r="F3" s="3"/>
      <c r="G3" s="3"/>
      <c r="H3" s="3"/>
      <c r="I3" s="3"/>
      <c r="J3" s="3"/>
    </row>
    <row r="4" spans="1:18" ht="13.2" x14ac:dyDescent="0.25">
      <c r="A4" s="8" t="s">
        <v>3</v>
      </c>
      <c r="B4" s="2"/>
      <c r="C4" s="9" t="s">
        <v>4</v>
      </c>
      <c r="D4" s="10"/>
      <c r="E4" s="10"/>
      <c r="F4" s="10"/>
      <c r="G4" s="10"/>
      <c r="H4" s="10"/>
      <c r="I4" s="10"/>
      <c r="J4" s="11"/>
    </row>
    <row r="5" spans="1:18" x14ac:dyDescent="0.3">
      <c r="A5" s="12"/>
      <c r="C5" s="14" t="s">
        <v>5</v>
      </c>
      <c r="D5" s="15"/>
      <c r="E5" s="15"/>
      <c r="F5" s="15"/>
      <c r="G5" s="15"/>
      <c r="H5" s="15"/>
      <c r="I5" s="15"/>
      <c r="J5" s="16"/>
    </row>
    <row r="6" spans="1:18" x14ac:dyDescent="0.3">
      <c r="A6" s="12"/>
      <c r="C6" s="14" t="s">
        <v>6</v>
      </c>
      <c r="D6" s="15"/>
      <c r="E6" s="15"/>
      <c r="F6" s="15"/>
      <c r="G6" s="15"/>
      <c r="H6" s="15"/>
      <c r="I6" s="15"/>
      <c r="J6" s="16"/>
    </row>
    <row r="7" spans="1:18" x14ac:dyDescent="0.3">
      <c r="A7" s="12"/>
      <c r="C7" s="17" t="s">
        <v>7</v>
      </c>
      <c r="D7" s="18"/>
      <c r="E7" s="18"/>
      <c r="F7" s="18"/>
      <c r="G7" s="18"/>
      <c r="H7" s="18"/>
      <c r="I7" s="18"/>
      <c r="J7" s="19"/>
    </row>
    <row r="8" spans="1:18" ht="13.8" thickBot="1" x14ac:dyDescent="0.3">
      <c r="A8" s="20"/>
      <c r="B8" s="21"/>
      <c r="C8" s="22"/>
      <c r="D8" s="22"/>
      <c r="E8" s="22"/>
      <c r="F8" s="3"/>
      <c r="G8" s="3"/>
      <c r="H8" s="3"/>
      <c r="I8" s="3"/>
      <c r="J8" s="3"/>
    </row>
    <row r="9" spans="1:18" ht="13.8" thickBot="1" x14ac:dyDescent="0.3">
      <c r="A9" s="23"/>
      <c r="B9" s="24"/>
      <c r="C9" s="25"/>
      <c r="D9" s="25"/>
      <c r="E9" s="26"/>
      <c r="F9" s="27" t="s">
        <v>8</v>
      </c>
      <c r="G9" s="28"/>
      <c r="H9" s="28"/>
      <c r="I9" s="28"/>
      <c r="J9" s="29"/>
      <c r="L9" s="30" t="s">
        <v>9</v>
      </c>
      <c r="M9" s="25"/>
      <c r="N9" s="26"/>
      <c r="O9" s="27" t="s">
        <v>8</v>
      </c>
      <c r="P9" s="28"/>
      <c r="Q9" s="28"/>
      <c r="R9" s="29"/>
    </row>
    <row r="10" spans="1:18" ht="13.2" x14ac:dyDescent="0.25">
      <c r="A10" s="23"/>
      <c r="B10" s="24"/>
      <c r="C10" s="31" t="s">
        <v>10</v>
      </c>
      <c r="D10" s="31" t="s">
        <v>10</v>
      </c>
      <c r="E10" s="32" t="s">
        <v>10</v>
      </c>
      <c r="F10" s="31" t="s">
        <v>10</v>
      </c>
      <c r="G10" s="31" t="s">
        <v>10</v>
      </c>
      <c r="H10" s="31" t="s">
        <v>10</v>
      </c>
      <c r="I10" s="31" t="s">
        <v>10</v>
      </c>
      <c r="J10" s="32" t="s">
        <v>10</v>
      </c>
      <c r="L10" s="31" t="str">
        <f t="shared" ref="L10:R10" si="0">+D11</f>
        <v>FY23</v>
      </c>
      <c r="M10" s="32" t="str">
        <f t="shared" si="0"/>
        <v>FY24</v>
      </c>
      <c r="N10" s="33" t="str">
        <f t="shared" si="0"/>
        <v>FY25</v>
      </c>
      <c r="O10" s="31" t="str">
        <f t="shared" si="0"/>
        <v>FY26</v>
      </c>
      <c r="P10" s="31" t="str">
        <f t="shared" si="0"/>
        <v>FY27</v>
      </c>
      <c r="Q10" s="31" t="str">
        <f t="shared" si="0"/>
        <v>FY28</v>
      </c>
      <c r="R10" s="32" t="str">
        <f t="shared" si="0"/>
        <v>FY29</v>
      </c>
    </row>
    <row r="11" spans="1:18" ht="13.8" thickBot="1" x14ac:dyDescent="0.3">
      <c r="A11" s="23"/>
      <c r="B11" s="24"/>
      <c r="C11" s="34" t="s">
        <v>11</v>
      </c>
      <c r="D11" s="34" t="s">
        <v>12</v>
      </c>
      <c r="E11" s="35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5" t="s">
        <v>18</v>
      </c>
      <c r="L11" s="34" t="str">
        <f>+C11</f>
        <v>FY22</v>
      </c>
      <c r="M11" s="35" t="str">
        <f t="shared" ref="M11:N11" si="1">+D11</f>
        <v>FY23</v>
      </c>
      <c r="N11" s="36" t="str">
        <f t="shared" si="1"/>
        <v>FY24</v>
      </c>
      <c r="O11" s="34" t="str">
        <f>+F11</f>
        <v>FY25</v>
      </c>
      <c r="P11" s="34" t="str">
        <f t="shared" ref="P11:R11" si="2">+G11</f>
        <v>FY26</v>
      </c>
      <c r="Q11" s="34" t="str">
        <f t="shared" si="2"/>
        <v>FY27</v>
      </c>
      <c r="R11" s="35" t="str">
        <f t="shared" si="2"/>
        <v>FY28</v>
      </c>
    </row>
    <row r="12" spans="1:18" ht="13.8" thickBot="1" x14ac:dyDescent="0.3">
      <c r="A12" s="37" t="s">
        <v>19</v>
      </c>
      <c r="B12" s="38"/>
      <c r="C12" s="39"/>
      <c r="D12" s="39"/>
      <c r="E12" s="39"/>
      <c r="F12" s="39"/>
      <c r="G12" s="39"/>
      <c r="H12" s="39"/>
      <c r="I12" s="39"/>
      <c r="J12" s="39"/>
    </row>
    <row r="13" spans="1:18" ht="13.2" x14ac:dyDescent="0.25">
      <c r="A13" s="40" t="s">
        <v>20</v>
      </c>
      <c r="B13" s="41"/>
      <c r="C13" s="42">
        <v>2130826.0799999996</v>
      </c>
      <c r="D13" s="43">
        <v>1752191</v>
      </c>
      <c r="E13" s="44">
        <v>2297888</v>
      </c>
      <c r="F13" s="45">
        <v>2763300.2353923204</v>
      </c>
      <c r="G13" s="46">
        <v>2901024.0979622495</v>
      </c>
      <c r="H13" s="46">
        <v>2926209.5568008889</v>
      </c>
      <c r="I13" s="46">
        <v>2951646.8702279143</v>
      </c>
      <c r="J13" s="47">
        <v>2977338.5567892101</v>
      </c>
      <c r="L13" s="48">
        <f t="shared" ref="L13:R13" si="3">+D13/C13-1</f>
        <v>-0.17769403310475707</v>
      </c>
      <c r="M13" s="49">
        <f t="shared" si="3"/>
        <v>0.31143693809636042</v>
      </c>
      <c r="N13" s="50">
        <f t="shared" si="3"/>
        <v>0.2025391295799972</v>
      </c>
      <c r="O13" s="48">
        <f t="shared" si="3"/>
        <v>4.9840354227876915E-2</v>
      </c>
      <c r="P13" s="48">
        <f t="shared" si="3"/>
        <v>8.681575191440194E-3</v>
      </c>
      <c r="Q13" s="48">
        <f t="shared" si="3"/>
        <v>8.6929226814620453E-3</v>
      </c>
      <c r="R13" s="49">
        <f t="shared" si="3"/>
        <v>8.7041870829596135E-3</v>
      </c>
    </row>
    <row r="14" spans="1:18" ht="13.2" x14ac:dyDescent="0.25">
      <c r="A14" s="40" t="s">
        <v>21</v>
      </c>
      <c r="B14" s="41"/>
      <c r="C14" s="51">
        <v>0</v>
      </c>
      <c r="D14" s="52">
        <v>0</v>
      </c>
      <c r="E14" s="53">
        <v>0</v>
      </c>
      <c r="F14" s="54">
        <v>0</v>
      </c>
      <c r="G14" s="55">
        <v>0</v>
      </c>
      <c r="H14" s="55">
        <v>0</v>
      </c>
      <c r="I14" s="55">
        <v>0</v>
      </c>
      <c r="J14" s="56">
        <v>0</v>
      </c>
      <c r="L14" s="57"/>
      <c r="M14" s="58"/>
      <c r="N14" s="59"/>
      <c r="O14" s="57"/>
      <c r="P14" s="57"/>
      <c r="Q14" s="57"/>
      <c r="R14" s="58"/>
    </row>
    <row r="15" spans="1:18" ht="13.2" x14ac:dyDescent="0.25">
      <c r="A15" s="40" t="s">
        <v>22</v>
      </c>
      <c r="B15" s="41"/>
      <c r="C15" s="51">
        <v>5566.1399999999994</v>
      </c>
      <c r="D15" s="52">
        <v>0</v>
      </c>
      <c r="E15" s="53">
        <v>0</v>
      </c>
      <c r="F15" s="54">
        <v>0</v>
      </c>
      <c r="G15" s="55">
        <v>0</v>
      </c>
      <c r="H15" s="55">
        <v>0</v>
      </c>
      <c r="I15" s="55">
        <v>0</v>
      </c>
      <c r="J15" s="56">
        <v>0</v>
      </c>
      <c r="L15" s="57"/>
      <c r="M15" s="58"/>
      <c r="N15" s="59"/>
      <c r="O15" s="57"/>
      <c r="P15" s="57"/>
      <c r="Q15" s="57"/>
      <c r="R15" s="58"/>
    </row>
    <row r="16" spans="1:18" ht="13.2" x14ac:dyDescent="0.25">
      <c r="A16" s="40" t="s">
        <v>23</v>
      </c>
      <c r="B16" s="41"/>
      <c r="C16" s="51">
        <v>305716.28999999992</v>
      </c>
      <c r="D16" s="52">
        <v>631552</v>
      </c>
      <c r="E16" s="53">
        <v>989065</v>
      </c>
      <c r="F16" s="54">
        <v>1419498.874791319</v>
      </c>
      <c r="G16" s="55">
        <v>459396.2574358625</v>
      </c>
      <c r="H16" s="55">
        <v>459396.2574358625</v>
      </c>
      <c r="I16" s="55">
        <v>459396.2574358625</v>
      </c>
      <c r="J16" s="56">
        <v>459396.2574358625</v>
      </c>
      <c r="L16" s="57">
        <f t="shared" ref="L16:R53" si="4">+D16/C16-1</f>
        <v>1.0658107554556553</v>
      </c>
      <c r="M16" s="58">
        <f t="shared" si="4"/>
        <v>0.56608640301986224</v>
      </c>
      <c r="N16" s="59">
        <f t="shared" si="4"/>
        <v>0.43519270704283231</v>
      </c>
      <c r="O16" s="57">
        <f t="shared" si="4"/>
        <v>-0.6763672972242416</v>
      </c>
      <c r="P16" s="57">
        <f t="shared" si="4"/>
        <v>0</v>
      </c>
      <c r="Q16" s="57">
        <f t="shared" si="4"/>
        <v>0</v>
      </c>
      <c r="R16" s="58">
        <f t="shared" si="4"/>
        <v>0</v>
      </c>
    </row>
    <row r="17" spans="1:18" ht="13.2" x14ac:dyDescent="0.25">
      <c r="A17" s="60" t="s">
        <v>24</v>
      </c>
      <c r="B17" s="61"/>
      <c r="C17" s="62">
        <v>2442108.5099999998</v>
      </c>
      <c r="D17" s="63">
        <v>2383743</v>
      </c>
      <c r="E17" s="64">
        <f>SUM(E13:E16)</f>
        <v>3286953</v>
      </c>
      <c r="F17" s="65">
        <f>SUM(F13:F16)</f>
        <v>4182799.1101836395</v>
      </c>
      <c r="G17" s="63">
        <f>SUM(G13:G16)</f>
        <v>3360420.355398112</v>
      </c>
      <c r="H17" s="63">
        <f t="shared" ref="H17:I17" si="5">SUM(H13:H16)</f>
        <v>3385605.8142367513</v>
      </c>
      <c r="I17" s="63">
        <f t="shared" si="5"/>
        <v>3411043.1276637767</v>
      </c>
      <c r="J17" s="64">
        <f>SUM(J13:J16)</f>
        <v>3436734.8142250725</v>
      </c>
      <c r="L17" s="66">
        <f t="shared" si="4"/>
        <v>-2.389963826791619E-2</v>
      </c>
      <c r="M17" s="67">
        <f t="shared" si="4"/>
        <v>0.3789041016586101</v>
      </c>
      <c r="N17" s="68">
        <f t="shared" si="4"/>
        <v>0.27254606627586075</v>
      </c>
      <c r="O17" s="66">
        <f t="shared" si="4"/>
        <v>-0.19660967049154365</v>
      </c>
      <c r="P17" s="66">
        <f t="shared" si="4"/>
        <v>7.4947346388323233E-3</v>
      </c>
      <c r="Q17" s="66">
        <f t="shared" si="4"/>
        <v>7.5133712613735248E-3</v>
      </c>
      <c r="R17" s="67">
        <f t="shared" si="4"/>
        <v>7.5319149010266706E-3</v>
      </c>
    </row>
    <row r="18" spans="1:18" ht="13.2" x14ac:dyDescent="0.25">
      <c r="A18" s="69"/>
      <c r="B18" s="61"/>
      <c r="C18" s="51"/>
      <c r="D18" s="70"/>
      <c r="E18" s="53"/>
      <c r="F18" s="54"/>
      <c r="G18" s="55"/>
      <c r="H18" s="55"/>
      <c r="I18" s="55"/>
      <c r="J18" s="56"/>
      <c r="L18" s="57"/>
      <c r="M18" s="58"/>
      <c r="N18" s="59"/>
      <c r="O18" s="57"/>
      <c r="P18" s="57"/>
      <c r="Q18" s="57"/>
      <c r="R18" s="58"/>
    </row>
    <row r="19" spans="1:18" ht="13.2" x14ac:dyDescent="0.25">
      <c r="A19" s="37" t="s">
        <v>25</v>
      </c>
      <c r="B19" s="71"/>
      <c r="C19" s="72"/>
      <c r="D19" s="73"/>
      <c r="E19" s="53"/>
      <c r="F19" s="54"/>
      <c r="G19" s="55"/>
      <c r="H19" s="55"/>
      <c r="I19" s="55"/>
      <c r="J19" s="56"/>
      <c r="L19" s="57"/>
      <c r="M19" s="58"/>
      <c r="N19" s="59"/>
      <c r="O19" s="57"/>
      <c r="P19" s="57"/>
      <c r="Q19" s="57"/>
      <c r="R19" s="58"/>
    </row>
    <row r="20" spans="1:18" ht="13.2" x14ac:dyDescent="0.25">
      <c r="A20" s="40" t="s">
        <v>26</v>
      </c>
      <c r="B20" s="41"/>
      <c r="C20" s="51">
        <v>1400942.4400000002</v>
      </c>
      <c r="D20" s="70">
        <v>1535735</v>
      </c>
      <c r="E20" s="53">
        <v>1551563</v>
      </c>
      <c r="F20" s="54">
        <v>2144936</v>
      </c>
      <c r="G20" s="55">
        <v>2228879.2500000005</v>
      </c>
      <c r="H20" s="55">
        <v>2250453.0425</v>
      </c>
      <c r="I20" s="55">
        <v>2272242.5729249995</v>
      </c>
      <c r="J20" s="56">
        <v>2294249.9986542496</v>
      </c>
      <c r="L20" s="57">
        <f t="shared" si="4"/>
        <v>9.6215630386641493E-2</v>
      </c>
      <c r="M20" s="58">
        <f t="shared" si="4"/>
        <v>1.0306465633719286E-2</v>
      </c>
      <c r="N20" s="59">
        <f t="shared" si="4"/>
        <v>0.38243564715064737</v>
      </c>
      <c r="O20" s="57">
        <f t="shared" si="4"/>
        <v>3.9135549965127359E-2</v>
      </c>
      <c r="P20" s="57">
        <f t="shared" si="4"/>
        <v>9.6792109756504985E-3</v>
      </c>
      <c r="Q20" s="57">
        <f t="shared" si="4"/>
        <v>9.6822861946028738E-3</v>
      </c>
      <c r="R20" s="58">
        <f t="shared" si="4"/>
        <v>9.6853328916024495E-3</v>
      </c>
    </row>
    <row r="21" spans="1:18" ht="13.2" x14ac:dyDescent="0.25">
      <c r="A21" s="40" t="s">
        <v>27</v>
      </c>
      <c r="B21" s="41"/>
      <c r="C21" s="51">
        <v>353911.82000000012</v>
      </c>
      <c r="D21" s="70">
        <v>370423</v>
      </c>
      <c r="E21" s="53">
        <v>485797</v>
      </c>
      <c r="F21" s="54">
        <v>537112.14599999995</v>
      </c>
      <c r="G21" s="55">
        <v>542483.26746</v>
      </c>
      <c r="H21" s="55">
        <v>547908.10013460007</v>
      </c>
      <c r="I21" s="55">
        <v>553387.18113594595</v>
      </c>
      <c r="J21" s="56">
        <v>558921.05294730549</v>
      </c>
      <c r="L21" s="57">
        <f t="shared" si="4"/>
        <v>4.665337258303448E-2</v>
      </c>
      <c r="M21" s="58">
        <f t="shared" si="4"/>
        <v>0.31146554074666</v>
      </c>
      <c r="N21" s="59">
        <f t="shared" si="4"/>
        <v>0.10563084168901815</v>
      </c>
      <c r="O21" s="57">
        <f t="shared" si="4"/>
        <v>1.0000000000000009E-2</v>
      </c>
      <c r="P21" s="57">
        <f t="shared" si="4"/>
        <v>1.0000000000000231E-2</v>
      </c>
      <c r="Q21" s="57">
        <f t="shared" si="4"/>
        <v>9.9999999999997868E-3</v>
      </c>
      <c r="R21" s="58">
        <f t="shared" si="4"/>
        <v>1.0000000000000231E-2</v>
      </c>
    </row>
    <row r="22" spans="1:18" ht="13.2" x14ac:dyDescent="0.25">
      <c r="A22" s="40" t="s">
        <v>28</v>
      </c>
      <c r="B22" s="41"/>
      <c r="C22" s="51">
        <v>946559.69</v>
      </c>
      <c r="D22" s="70">
        <v>970487</v>
      </c>
      <c r="E22" s="53">
        <v>1189423</v>
      </c>
      <c r="F22" s="54">
        <v>2002617</v>
      </c>
      <c r="G22" s="55">
        <v>1379450.24</v>
      </c>
      <c r="H22" s="55">
        <v>1405542.4047999992</v>
      </c>
      <c r="I22" s="55">
        <v>1432156.4128960005</v>
      </c>
      <c r="J22" s="56">
        <v>1459302.7011539198</v>
      </c>
      <c r="L22" s="57">
        <f t="shared" si="4"/>
        <v>2.5278183988587166E-2</v>
      </c>
      <c r="M22" s="58">
        <f t="shared" si="4"/>
        <v>0.22559395437548369</v>
      </c>
      <c r="N22" s="59">
        <f t="shared" si="4"/>
        <v>0.683687804927263</v>
      </c>
      <c r="O22" s="57">
        <f t="shared" si="4"/>
        <v>-0.31117620593453466</v>
      </c>
      <c r="P22" s="57">
        <f t="shared" si="4"/>
        <v>1.8914901055074873E-2</v>
      </c>
      <c r="Q22" s="57">
        <f t="shared" si="4"/>
        <v>1.8935044581446459E-2</v>
      </c>
      <c r="R22" s="58">
        <f t="shared" si="4"/>
        <v>1.8954834830523959E-2</v>
      </c>
    </row>
    <row r="23" spans="1:18" ht="13.2" x14ac:dyDescent="0.25">
      <c r="A23" s="40" t="s">
        <v>29</v>
      </c>
      <c r="B23" s="41"/>
      <c r="C23" s="51">
        <v>213366.43</v>
      </c>
      <c r="D23" s="70">
        <v>151988</v>
      </c>
      <c r="E23" s="53">
        <v>148925</v>
      </c>
      <c r="F23" s="54">
        <v>176861.17060000001</v>
      </c>
      <c r="G23" s="55">
        <v>195398.39401199998</v>
      </c>
      <c r="H23" s="55">
        <v>199306.36189224006</v>
      </c>
      <c r="I23" s="55">
        <v>203292.48913008484</v>
      </c>
      <c r="J23" s="56">
        <v>207358.33891268645</v>
      </c>
      <c r="L23" s="57">
        <f t="shared" si="4"/>
        <v>-0.28766676182377893</v>
      </c>
      <c r="M23" s="58">
        <f t="shared" si="4"/>
        <v>-2.0152906808432292E-2</v>
      </c>
      <c r="N23" s="59">
        <f t="shared" si="4"/>
        <v>0.18758550008393504</v>
      </c>
      <c r="O23" s="57">
        <f t="shared" si="4"/>
        <v>0.10481228496403472</v>
      </c>
      <c r="P23" s="57">
        <f t="shared" si="4"/>
        <v>2.0000000000000462E-2</v>
      </c>
      <c r="Q23" s="57">
        <f t="shared" si="4"/>
        <v>1.9999999999999796E-2</v>
      </c>
      <c r="R23" s="58">
        <f t="shared" si="4"/>
        <v>1.9999999999999574E-2</v>
      </c>
    </row>
    <row r="24" spans="1:18" ht="13.2" x14ac:dyDescent="0.25">
      <c r="A24" s="40" t="s">
        <v>30</v>
      </c>
      <c r="B24" s="41"/>
      <c r="C24" s="51">
        <v>0</v>
      </c>
      <c r="D24" s="70">
        <v>0</v>
      </c>
      <c r="E24" s="53">
        <v>0</v>
      </c>
      <c r="F24" s="54">
        <v>0</v>
      </c>
      <c r="G24" s="55">
        <v>0</v>
      </c>
      <c r="H24" s="55">
        <v>0</v>
      </c>
      <c r="I24" s="55">
        <v>0</v>
      </c>
      <c r="J24" s="56">
        <v>0</v>
      </c>
      <c r="L24" s="57"/>
      <c r="M24" s="58"/>
      <c r="N24" s="59"/>
      <c r="O24" s="57"/>
      <c r="P24" s="57"/>
      <c r="Q24" s="57"/>
      <c r="R24" s="58"/>
    </row>
    <row r="25" spans="1:18" ht="13.2" x14ac:dyDescent="0.25">
      <c r="A25" s="40" t="s">
        <v>31</v>
      </c>
      <c r="B25" s="41"/>
      <c r="C25" s="51">
        <v>0</v>
      </c>
      <c r="D25" s="70">
        <v>0</v>
      </c>
      <c r="E25" s="53">
        <v>0</v>
      </c>
      <c r="F25" s="54">
        <v>0</v>
      </c>
      <c r="G25" s="55">
        <v>0</v>
      </c>
      <c r="H25" s="55">
        <v>0</v>
      </c>
      <c r="I25" s="55">
        <v>0</v>
      </c>
      <c r="J25" s="56">
        <v>0</v>
      </c>
      <c r="L25" s="57"/>
      <c r="M25" s="58"/>
      <c r="N25" s="59"/>
      <c r="O25" s="57"/>
      <c r="P25" s="57"/>
      <c r="Q25" s="57"/>
      <c r="R25" s="58"/>
    </row>
    <row r="26" spans="1:18" ht="13.2" x14ac:dyDescent="0.25">
      <c r="A26" s="40" t="s">
        <v>32</v>
      </c>
      <c r="B26" s="41"/>
      <c r="C26" s="51">
        <v>43708.630000000005</v>
      </c>
      <c r="D26" s="70">
        <v>147819</v>
      </c>
      <c r="E26" s="53">
        <v>52309</v>
      </c>
      <c r="F26" s="54">
        <v>45258</v>
      </c>
      <c r="G26" s="55">
        <v>46163.16</v>
      </c>
      <c r="H26" s="55">
        <v>47086.423200000005</v>
      </c>
      <c r="I26" s="55">
        <v>48028.151664000005</v>
      </c>
      <c r="J26" s="56">
        <v>48988.714697280004</v>
      </c>
      <c r="L26" s="57">
        <f t="shared" si="4"/>
        <v>2.381917941605582</v>
      </c>
      <c r="M26" s="58">
        <f t="shared" si="4"/>
        <v>-0.64612803496167603</v>
      </c>
      <c r="N26" s="59">
        <f t="shared" si="4"/>
        <v>-0.13479515953277643</v>
      </c>
      <c r="O26" s="57">
        <f t="shared" si="4"/>
        <v>2.0000000000000018E-2</v>
      </c>
      <c r="P26" s="57">
        <f t="shared" si="4"/>
        <v>2.0000000000000018E-2</v>
      </c>
      <c r="Q26" s="57">
        <f t="shared" si="4"/>
        <v>2.0000000000000018E-2</v>
      </c>
      <c r="R26" s="58">
        <f t="shared" si="4"/>
        <v>2.0000000000000018E-2</v>
      </c>
    </row>
    <row r="27" spans="1:18" ht="13.2" x14ac:dyDescent="0.25">
      <c r="A27" s="40" t="s">
        <v>33</v>
      </c>
      <c r="B27" s="41"/>
      <c r="C27" s="51">
        <v>0</v>
      </c>
      <c r="D27" s="70"/>
      <c r="E27" s="53"/>
      <c r="F27" s="54"/>
      <c r="G27" s="55"/>
      <c r="H27" s="55"/>
      <c r="I27" s="55"/>
      <c r="J27" s="56"/>
      <c r="L27" s="57"/>
      <c r="M27" s="58"/>
      <c r="N27" s="59"/>
      <c r="O27" s="57"/>
      <c r="P27" s="57"/>
      <c r="Q27" s="57"/>
      <c r="R27" s="58"/>
    </row>
    <row r="28" spans="1:18" ht="13.2" x14ac:dyDescent="0.25">
      <c r="A28" s="60" t="s">
        <v>34</v>
      </c>
      <c r="B28" s="61"/>
      <c r="C28" s="62">
        <v>2958489.0100000002</v>
      </c>
      <c r="D28" s="63">
        <v>3176452</v>
      </c>
      <c r="E28" s="64">
        <f>SUM(E20:E27)</f>
        <v>3428017</v>
      </c>
      <c r="F28" s="65">
        <f>SUM(F20:F27)</f>
        <v>4906784.3165999996</v>
      </c>
      <c r="G28" s="63">
        <f>SUM(G20:G27)</f>
        <v>4392374.3114720015</v>
      </c>
      <c r="H28" s="63">
        <f t="shared" ref="H28:I28" si="6">SUM(H20:H27)</f>
        <v>4450296.3325268393</v>
      </c>
      <c r="I28" s="63">
        <f t="shared" si="6"/>
        <v>4509106.8077510307</v>
      </c>
      <c r="J28" s="64">
        <f>SUM(J20:J27)</f>
        <v>4568820.8063654415</v>
      </c>
      <c r="L28" s="66">
        <f t="shared" si="4"/>
        <v>7.3673753481342086E-2</v>
      </c>
      <c r="M28" s="67">
        <f t="shared" si="4"/>
        <v>7.9196852337135804E-2</v>
      </c>
      <c r="N28" s="68">
        <f t="shared" si="4"/>
        <v>0.43137689124645529</v>
      </c>
      <c r="O28" s="66">
        <f t="shared" si="4"/>
        <v>-0.10483648188645922</v>
      </c>
      <c r="P28" s="66">
        <f t="shared" si="4"/>
        <v>1.3186950143014187E-2</v>
      </c>
      <c r="Q28" s="66">
        <f t="shared" si="4"/>
        <v>1.3214957124169535E-2</v>
      </c>
      <c r="R28" s="67">
        <f t="shared" si="4"/>
        <v>1.3242977192681193E-2</v>
      </c>
    </row>
    <row r="29" spans="1:18" ht="13.2" x14ac:dyDescent="0.25">
      <c r="A29" s="40"/>
      <c r="B29" s="41"/>
      <c r="C29" s="51"/>
      <c r="D29" s="70"/>
      <c r="E29" s="53"/>
      <c r="F29" s="54"/>
      <c r="G29" s="55"/>
      <c r="H29" s="55"/>
      <c r="I29" s="55"/>
      <c r="J29" s="56"/>
      <c r="L29" s="57"/>
      <c r="M29" s="58"/>
      <c r="N29" s="59"/>
      <c r="O29" s="57"/>
      <c r="P29" s="57"/>
      <c r="Q29" s="57"/>
      <c r="R29" s="58"/>
    </row>
    <row r="30" spans="1:18" ht="13.2" x14ac:dyDescent="0.25">
      <c r="A30" s="40" t="s">
        <v>35</v>
      </c>
      <c r="B30" s="41"/>
      <c r="C30" s="51"/>
      <c r="D30" s="70"/>
      <c r="E30" s="53"/>
      <c r="F30" s="54"/>
      <c r="G30" s="55"/>
      <c r="H30" s="55"/>
      <c r="I30" s="55"/>
      <c r="J30" s="56"/>
      <c r="L30" s="57"/>
      <c r="M30" s="58"/>
      <c r="N30" s="59"/>
      <c r="O30" s="57"/>
      <c r="P30" s="57"/>
      <c r="Q30" s="57"/>
      <c r="R30" s="58"/>
    </row>
    <row r="31" spans="1:18" ht="13.2" x14ac:dyDescent="0.25">
      <c r="A31" s="74" t="s">
        <v>25</v>
      </c>
      <c r="B31" s="41"/>
      <c r="C31" s="75">
        <v>-516380.50000000047</v>
      </c>
      <c r="D31" s="76">
        <v>-792709</v>
      </c>
      <c r="E31" s="77">
        <f>+E17-E28</f>
        <v>-141064</v>
      </c>
      <c r="F31" s="78">
        <f t="shared" ref="F31:J31" si="7">+F17-F28</f>
        <v>-723985.2064163601</v>
      </c>
      <c r="G31" s="76">
        <f t="shared" si="7"/>
        <v>-1031953.9560738895</v>
      </c>
      <c r="H31" s="76">
        <f t="shared" si="7"/>
        <v>-1064690.518290088</v>
      </c>
      <c r="I31" s="76">
        <f t="shared" si="7"/>
        <v>-1098063.6800872539</v>
      </c>
      <c r="J31" s="77">
        <f t="shared" si="7"/>
        <v>-1132085.992140369</v>
      </c>
      <c r="L31" s="79">
        <f t="shared" si="4"/>
        <v>0.53512574545320613</v>
      </c>
      <c r="M31" s="80">
        <f t="shared" si="4"/>
        <v>-0.82204819170717125</v>
      </c>
      <c r="N31" s="81">
        <f t="shared" si="4"/>
        <v>4.1323172915581585</v>
      </c>
      <c r="O31" s="79">
        <f t="shared" si="4"/>
        <v>0.4253798930256294</v>
      </c>
      <c r="P31" s="79">
        <f t="shared" si="4"/>
        <v>3.1722890370754708E-2</v>
      </c>
      <c r="Q31" s="79">
        <f t="shared" si="4"/>
        <v>3.1345410918812044E-2</v>
      </c>
      <c r="R31" s="80">
        <f t="shared" si="4"/>
        <v>3.0983915295706321E-2</v>
      </c>
    </row>
    <row r="32" spans="1:18" ht="13.2" x14ac:dyDescent="0.25">
      <c r="A32" s="40"/>
      <c r="B32" s="41"/>
      <c r="C32" s="51"/>
      <c r="D32" s="70"/>
      <c r="E32" s="53"/>
      <c r="F32" s="54"/>
      <c r="G32" s="55"/>
      <c r="H32" s="55"/>
      <c r="I32" s="55"/>
      <c r="J32" s="56"/>
      <c r="L32" s="57"/>
      <c r="M32" s="58"/>
      <c r="N32" s="59"/>
      <c r="O32" s="57"/>
      <c r="P32" s="57"/>
      <c r="Q32" s="57"/>
      <c r="R32" s="58"/>
    </row>
    <row r="33" spans="1:18" ht="13.2" x14ac:dyDescent="0.25">
      <c r="A33" s="37" t="s">
        <v>36</v>
      </c>
      <c r="B33" s="71"/>
      <c r="C33" s="51"/>
      <c r="D33" s="70"/>
      <c r="E33" s="53"/>
      <c r="F33" s="54"/>
      <c r="G33" s="55"/>
      <c r="H33" s="55"/>
      <c r="I33" s="55"/>
      <c r="J33" s="56"/>
      <c r="L33" s="57"/>
      <c r="M33" s="58"/>
      <c r="N33" s="59"/>
      <c r="O33" s="57"/>
      <c r="P33" s="57"/>
      <c r="Q33" s="57"/>
      <c r="R33" s="58"/>
    </row>
    <row r="34" spans="1:18" ht="13.2" x14ac:dyDescent="0.25">
      <c r="A34" s="40" t="s">
        <v>37</v>
      </c>
      <c r="B34" s="41"/>
      <c r="C34" s="51">
        <v>865111.13</v>
      </c>
      <c r="D34" s="52">
        <v>1302704</v>
      </c>
      <c r="E34" s="53">
        <v>564811</v>
      </c>
      <c r="F34" s="54">
        <v>177111</v>
      </c>
      <c r="G34" s="55">
        <v>184340.02040816328</v>
      </c>
      <c r="H34" s="55">
        <v>184340.02040816328</v>
      </c>
      <c r="I34" s="55">
        <v>184340.02040816328</v>
      </c>
      <c r="J34" s="56">
        <v>184340.02040816328</v>
      </c>
      <c r="L34" s="57">
        <f t="shared" si="4"/>
        <v>0.50582272591961686</v>
      </c>
      <c r="M34" s="58">
        <f t="shared" si="4"/>
        <v>-0.5664318218106339</v>
      </c>
      <c r="N34" s="59">
        <f t="shared" si="4"/>
        <v>-0.68642430830844292</v>
      </c>
      <c r="O34" s="57">
        <f t="shared" si="4"/>
        <v>4.081632653061229E-2</v>
      </c>
      <c r="P34" s="57">
        <f t="shared" si="4"/>
        <v>0</v>
      </c>
      <c r="Q34" s="57">
        <f t="shared" si="4"/>
        <v>0</v>
      </c>
      <c r="R34" s="58">
        <f t="shared" si="4"/>
        <v>0</v>
      </c>
    </row>
    <row r="35" spans="1:18" ht="13.2" x14ac:dyDescent="0.25">
      <c r="A35" s="40" t="s">
        <v>38</v>
      </c>
      <c r="B35" s="41"/>
      <c r="C35" s="51">
        <v>2533.91</v>
      </c>
      <c r="D35" s="52">
        <v>0</v>
      </c>
      <c r="E35" s="53">
        <v>0</v>
      </c>
      <c r="F35" s="54">
        <v>0</v>
      </c>
      <c r="G35" s="55">
        <v>0</v>
      </c>
      <c r="H35" s="55">
        <v>0</v>
      </c>
      <c r="I35" s="55">
        <v>0</v>
      </c>
      <c r="J35" s="56">
        <v>0</v>
      </c>
      <c r="L35" s="57"/>
      <c r="M35" s="58"/>
      <c r="N35" s="59"/>
      <c r="O35" s="57"/>
      <c r="P35" s="57"/>
      <c r="Q35" s="57"/>
      <c r="R35" s="58"/>
    </row>
    <row r="36" spans="1:18" ht="13.2" x14ac:dyDescent="0.25">
      <c r="A36" s="40" t="s">
        <v>39</v>
      </c>
      <c r="B36" s="41"/>
      <c r="C36" s="51">
        <v>0</v>
      </c>
      <c r="D36" s="52">
        <v>0</v>
      </c>
      <c r="E36" s="53">
        <v>0</v>
      </c>
      <c r="F36" s="54">
        <v>0</v>
      </c>
      <c r="G36" s="55">
        <v>0</v>
      </c>
      <c r="H36" s="55">
        <v>0</v>
      </c>
      <c r="I36" s="55">
        <v>0</v>
      </c>
      <c r="J36" s="56">
        <v>0</v>
      </c>
      <c r="L36" s="57"/>
      <c r="M36" s="58"/>
      <c r="N36" s="59"/>
      <c r="O36" s="57"/>
      <c r="P36" s="57"/>
      <c r="Q36" s="57"/>
      <c r="R36" s="58"/>
    </row>
    <row r="37" spans="1:18" ht="13.2" x14ac:dyDescent="0.25">
      <c r="A37" s="40" t="s">
        <v>40</v>
      </c>
      <c r="B37" s="41"/>
      <c r="C37" s="51">
        <v>7391.89</v>
      </c>
      <c r="D37" s="52">
        <v>10269</v>
      </c>
      <c r="E37" s="53">
        <v>0</v>
      </c>
      <c r="F37" s="54">
        <v>0</v>
      </c>
      <c r="G37" s="55">
        <v>0</v>
      </c>
      <c r="H37" s="55">
        <v>0</v>
      </c>
      <c r="I37" s="55">
        <v>0</v>
      </c>
      <c r="J37" s="56">
        <v>0</v>
      </c>
      <c r="L37" s="57"/>
      <c r="M37" s="58"/>
      <c r="N37" s="59"/>
      <c r="O37" s="57"/>
      <c r="P37" s="57"/>
      <c r="Q37" s="57"/>
      <c r="R37" s="58"/>
    </row>
    <row r="38" spans="1:18" ht="13.2" x14ac:dyDescent="0.25">
      <c r="A38" s="40" t="s">
        <v>41</v>
      </c>
      <c r="B38" s="41"/>
      <c r="C38" s="51">
        <v>604.66999999999996</v>
      </c>
      <c r="D38" s="52">
        <v>48500</v>
      </c>
      <c r="E38" s="53">
        <v>0</v>
      </c>
      <c r="F38" s="54">
        <v>201786</v>
      </c>
      <c r="G38" s="55">
        <v>210022.16326530612</v>
      </c>
      <c r="H38" s="55">
        <v>210022.16326530612</v>
      </c>
      <c r="I38" s="55">
        <v>210022.16326530612</v>
      </c>
      <c r="J38" s="56">
        <v>210022.16326530612</v>
      </c>
      <c r="L38" s="57"/>
      <c r="M38" s="58"/>
      <c r="N38" s="59"/>
      <c r="O38" s="57"/>
      <c r="P38" s="57"/>
      <c r="Q38" s="57"/>
      <c r="R38" s="58"/>
    </row>
    <row r="39" spans="1:18" ht="13.2" x14ac:dyDescent="0.25">
      <c r="A39" s="40" t="s">
        <v>42</v>
      </c>
      <c r="B39" s="41"/>
      <c r="C39" s="51">
        <v>0</v>
      </c>
      <c r="D39" s="70">
        <v>0</v>
      </c>
      <c r="E39" s="53">
        <v>0</v>
      </c>
      <c r="F39" s="54">
        <v>0</v>
      </c>
      <c r="G39" s="55">
        <v>0</v>
      </c>
      <c r="H39" s="55">
        <v>0</v>
      </c>
      <c r="I39" s="55">
        <v>0</v>
      </c>
      <c r="J39" s="56">
        <v>0</v>
      </c>
      <c r="L39" s="57"/>
      <c r="M39" s="58"/>
      <c r="N39" s="59"/>
      <c r="O39" s="57"/>
      <c r="P39" s="57"/>
      <c r="Q39" s="57"/>
      <c r="R39" s="58"/>
    </row>
    <row r="40" spans="1:18" ht="13.2" x14ac:dyDescent="0.25">
      <c r="A40" s="40" t="s">
        <v>43</v>
      </c>
      <c r="B40" s="41"/>
      <c r="C40" s="51">
        <v>-31945.200000000001</v>
      </c>
      <c r="D40" s="70">
        <v>-37954</v>
      </c>
      <c r="E40" s="53">
        <v>0</v>
      </c>
      <c r="F40" s="54">
        <v>0</v>
      </c>
      <c r="G40" s="55">
        <v>0</v>
      </c>
      <c r="H40" s="55">
        <v>0</v>
      </c>
      <c r="I40" s="55">
        <v>0</v>
      </c>
      <c r="J40" s="56">
        <v>0</v>
      </c>
      <c r="L40" s="57"/>
      <c r="M40" s="58"/>
      <c r="N40" s="59"/>
      <c r="O40" s="57"/>
      <c r="P40" s="57"/>
      <c r="Q40" s="57"/>
      <c r="R40" s="58"/>
    </row>
    <row r="41" spans="1:18" ht="13.2" x14ac:dyDescent="0.25">
      <c r="A41" s="40" t="s">
        <v>44</v>
      </c>
      <c r="B41" s="41"/>
      <c r="C41" s="51">
        <v>-42896.520000000004</v>
      </c>
      <c r="D41" s="70">
        <v>-41496</v>
      </c>
      <c r="E41" s="53">
        <v>0</v>
      </c>
      <c r="F41" s="54">
        <v>0</v>
      </c>
      <c r="G41" s="55">
        <v>0</v>
      </c>
      <c r="H41" s="55">
        <v>0</v>
      </c>
      <c r="I41" s="55">
        <v>0</v>
      </c>
      <c r="J41" s="56">
        <v>0</v>
      </c>
      <c r="L41" s="57"/>
      <c r="M41" s="58"/>
      <c r="N41" s="59"/>
      <c r="O41" s="57"/>
      <c r="P41" s="57"/>
      <c r="Q41" s="57"/>
      <c r="R41" s="58"/>
    </row>
    <row r="42" spans="1:18" ht="13.2" x14ac:dyDescent="0.25">
      <c r="A42" s="40" t="s">
        <v>45</v>
      </c>
      <c r="B42" s="41"/>
      <c r="C42" s="51">
        <v>0</v>
      </c>
      <c r="D42" s="70">
        <v>0</v>
      </c>
      <c r="E42" s="53">
        <v>0</v>
      </c>
      <c r="F42" s="54">
        <v>0</v>
      </c>
      <c r="G42" s="55">
        <v>0</v>
      </c>
      <c r="H42" s="55">
        <v>0</v>
      </c>
      <c r="I42" s="55">
        <v>0</v>
      </c>
      <c r="J42" s="56">
        <v>0</v>
      </c>
      <c r="L42" s="57"/>
      <c r="M42" s="58"/>
      <c r="N42" s="59"/>
      <c r="O42" s="57"/>
      <c r="P42" s="57"/>
      <c r="Q42" s="57"/>
      <c r="R42" s="58"/>
    </row>
    <row r="43" spans="1:18" ht="13.2" x14ac:dyDescent="0.25">
      <c r="A43" s="40" t="s">
        <v>46</v>
      </c>
      <c r="B43" s="41"/>
      <c r="C43" s="51">
        <v>0</v>
      </c>
      <c r="D43" s="70">
        <v>0</v>
      </c>
      <c r="E43" s="53">
        <v>0</v>
      </c>
      <c r="F43" s="82">
        <v>0</v>
      </c>
      <c r="G43" s="83">
        <v>0</v>
      </c>
      <c r="H43" s="83">
        <v>0</v>
      </c>
      <c r="I43" s="83">
        <v>0</v>
      </c>
      <c r="J43" s="84">
        <v>0</v>
      </c>
      <c r="L43" s="57"/>
      <c r="M43" s="58"/>
      <c r="N43" s="59"/>
      <c r="O43" s="57"/>
      <c r="P43" s="57"/>
      <c r="Q43" s="57"/>
      <c r="R43" s="58"/>
    </row>
    <row r="44" spans="1:18" ht="13.2" x14ac:dyDescent="0.25">
      <c r="A44" s="60" t="s">
        <v>47</v>
      </c>
      <c r="B44" s="41"/>
      <c r="C44" s="62">
        <v>800799.88000000012</v>
      </c>
      <c r="D44" s="63">
        <v>1282023</v>
      </c>
      <c r="E44" s="64">
        <f>SUM(E34:E43)</f>
        <v>564811</v>
      </c>
      <c r="F44" s="65">
        <f>SUM(F34:F43)</f>
        <v>378897</v>
      </c>
      <c r="G44" s="63">
        <f>SUM(G34:G43)</f>
        <v>394362.18367346941</v>
      </c>
      <c r="H44" s="63">
        <f t="shared" ref="H44:I44" si="8">SUM(H34:H43)</f>
        <v>394362.18367346941</v>
      </c>
      <c r="I44" s="63">
        <f t="shared" si="8"/>
        <v>394362.18367346941</v>
      </c>
      <c r="J44" s="64">
        <f>SUM(J34:J43)</f>
        <v>394362.18367346941</v>
      </c>
      <c r="L44" s="66">
        <f t="shared" si="4"/>
        <v>0.60092806207713201</v>
      </c>
      <c r="M44" s="67">
        <f t="shared" si="4"/>
        <v>-0.55943770119568836</v>
      </c>
      <c r="N44" s="68">
        <f t="shared" si="4"/>
        <v>-0.32916143630347139</v>
      </c>
      <c r="O44" s="66">
        <f t="shared" si="4"/>
        <v>4.081632653061229E-2</v>
      </c>
      <c r="P44" s="66">
        <f t="shared" si="4"/>
        <v>0</v>
      </c>
      <c r="Q44" s="66">
        <f t="shared" si="4"/>
        <v>0</v>
      </c>
      <c r="R44" s="67">
        <f t="shared" si="4"/>
        <v>0</v>
      </c>
    </row>
    <row r="45" spans="1:18" ht="13.2" x14ac:dyDescent="0.25">
      <c r="A45" s="40"/>
      <c r="B45" s="41"/>
      <c r="C45" s="85"/>
      <c r="D45" s="86"/>
      <c r="E45" s="87"/>
      <c r="F45" s="88"/>
      <c r="G45" s="89"/>
      <c r="H45" s="89"/>
      <c r="I45" s="89"/>
      <c r="J45" s="90"/>
      <c r="L45" s="57"/>
      <c r="M45" s="58"/>
      <c r="N45" s="59"/>
      <c r="O45" s="57"/>
      <c r="P45" s="57"/>
      <c r="Q45" s="57"/>
      <c r="R45" s="58"/>
    </row>
    <row r="46" spans="1:18" ht="13.2" x14ac:dyDescent="0.25">
      <c r="A46" s="40"/>
      <c r="B46" s="41"/>
      <c r="C46" s="85"/>
      <c r="D46" s="86"/>
      <c r="E46" s="87"/>
      <c r="F46" s="91"/>
      <c r="G46" s="92"/>
      <c r="H46" s="92"/>
      <c r="I46" s="92"/>
      <c r="J46" s="93"/>
      <c r="L46" s="57"/>
      <c r="M46" s="58"/>
      <c r="N46" s="59"/>
      <c r="O46" s="57"/>
      <c r="P46" s="57"/>
      <c r="Q46" s="57"/>
      <c r="R46" s="58"/>
    </row>
    <row r="47" spans="1:18" ht="13.2" x14ac:dyDescent="0.25">
      <c r="A47" s="40" t="s">
        <v>48</v>
      </c>
      <c r="B47" s="41"/>
      <c r="C47" s="85"/>
      <c r="D47" s="86"/>
      <c r="E47" s="87"/>
      <c r="F47" s="91"/>
      <c r="G47" s="92"/>
      <c r="H47" s="92"/>
      <c r="I47" s="92"/>
      <c r="J47" s="93"/>
      <c r="L47" s="57"/>
      <c r="M47" s="58"/>
      <c r="N47" s="59"/>
      <c r="O47" s="57"/>
      <c r="P47" s="57"/>
      <c r="Q47" s="57"/>
      <c r="R47" s="58"/>
    </row>
    <row r="48" spans="1:18" ht="13.2" x14ac:dyDescent="0.25">
      <c r="A48" s="40" t="s">
        <v>49</v>
      </c>
      <c r="B48" s="41"/>
      <c r="C48" s="85"/>
      <c r="D48" s="86"/>
      <c r="E48" s="87"/>
      <c r="F48" s="91"/>
      <c r="G48" s="92"/>
      <c r="H48" s="92"/>
      <c r="I48" s="92"/>
      <c r="J48" s="93"/>
      <c r="L48" s="57"/>
      <c r="M48" s="58"/>
      <c r="N48" s="59"/>
      <c r="O48" s="57"/>
      <c r="P48" s="57"/>
      <c r="Q48" s="57"/>
      <c r="R48" s="58"/>
    </row>
    <row r="49" spans="1:18" ht="13.2" x14ac:dyDescent="0.25">
      <c r="A49" s="94" t="s">
        <v>50</v>
      </c>
      <c r="B49" s="41"/>
      <c r="C49" s="75">
        <v>284419.37999999966</v>
      </c>
      <c r="D49" s="76">
        <v>489314</v>
      </c>
      <c r="E49" s="77">
        <f>+E31+E44</f>
        <v>423747</v>
      </c>
      <c r="F49" s="78">
        <f>+F31+F44</f>
        <v>-345088.2064163601</v>
      </c>
      <c r="G49" s="76">
        <f t="shared" ref="G49:H49" si="9">+G31+G44</f>
        <v>-637591.77240042016</v>
      </c>
      <c r="H49" s="76">
        <f t="shared" si="9"/>
        <v>-670328.3346166187</v>
      </c>
      <c r="I49" s="76">
        <f>+I31+I44</f>
        <v>-703701.49641378457</v>
      </c>
      <c r="J49" s="77">
        <f>+J31+J44</f>
        <v>-737723.80846689967</v>
      </c>
      <c r="L49" s="57">
        <f t="shared" si="4"/>
        <v>0.72039612771816253</v>
      </c>
      <c r="M49" s="58">
        <f t="shared" si="4"/>
        <v>-0.13399780100303693</v>
      </c>
      <c r="N49" s="59">
        <f t="shared" si="4"/>
        <v>-1.8143732142442546</v>
      </c>
      <c r="O49" s="57">
        <f t="shared" si="4"/>
        <v>0.84761971155613769</v>
      </c>
      <c r="P49" s="57">
        <f t="shared" si="4"/>
        <v>5.1344078818569505E-2</v>
      </c>
      <c r="Q49" s="57">
        <f t="shared" si="4"/>
        <v>4.9786291394429805E-2</v>
      </c>
      <c r="R49" s="58">
        <f t="shared" si="4"/>
        <v>4.8347647726344478E-2</v>
      </c>
    </row>
    <row r="50" spans="1:18" ht="13.2" x14ac:dyDescent="0.25">
      <c r="A50" s="40"/>
      <c r="B50" s="41"/>
      <c r="C50" s="85"/>
      <c r="D50" s="86"/>
      <c r="E50" s="87"/>
      <c r="F50" s="91"/>
      <c r="G50" s="92"/>
      <c r="H50" s="92"/>
      <c r="I50" s="92"/>
      <c r="J50" s="93"/>
      <c r="L50" s="57"/>
      <c r="M50" s="58"/>
      <c r="N50" s="59"/>
      <c r="O50" s="57"/>
      <c r="P50" s="57"/>
      <c r="Q50" s="57"/>
      <c r="R50" s="58"/>
    </row>
    <row r="51" spans="1:18" ht="13.2" x14ac:dyDescent="0.25">
      <c r="A51" s="40" t="s">
        <v>51</v>
      </c>
      <c r="B51" s="41"/>
      <c r="C51" s="85">
        <v>1233224.6399999992</v>
      </c>
      <c r="D51" s="86">
        <v>1517644.0199999989</v>
      </c>
      <c r="E51" s="87">
        <v>2006958</v>
      </c>
      <c r="F51" s="91">
        <v>4485339</v>
      </c>
      <c r="G51" s="92">
        <f>+F53</f>
        <v>4140250.7935836399</v>
      </c>
      <c r="H51" s="92">
        <f>+G53</f>
        <v>3502659.0211832197</v>
      </c>
      <c r="I51" s="92">
        <f>+H53</f>
        <v>2832330.686566601</v>
      </c>
      <c r="J51" s="93">
        <f>+I53</f>
        <v>2128629.1901528165</v>
      </c>
      <c r="L51" s="57">
        <f t="shared" si="4"/>
        <v>0.23063063352350777</v>
      </c>
      <c r="M51" s="58">
        <f t="shared" si="4"/>
        <v>0.32241683395556842</v>
      </c>
      <c r="N51" s="59">
        <f t="shared" si="4"/>
        <v>1.2348943027208343</v>
      </c>
      <c r="O51" s="57">
        <f t="shared" si="4"/>
        <v>-7.6936928605922605E-2</v>
      </c>
      <c r="P51" s="57">
        <f t="shared" si="4"/>
        <v>-0.15399834555639214</v>
      </c>
      <c r="Q51" s="57">
        <f t="shared" si="4"/>
        <v>-0.19137698832876338</v>
      </c>
      <c r="R51" s="58">
        <f t="shared" si="4"/>
        <v>-0.24845315547063584</v>
      </c>
    </row>
    <row r="52" spans="1:18" ht="13.8" thickBot="1" x14ac:dyDescent="0.3">
      <c r="A52" s="40"/>
      <c r="B52" s="41"/>
      <c r="C52" s="95"/>
      <c r="D52" s="96"/>
      <c r="E52" s="97"/>
      <c r="F52" s="98"/>
      <c r="G52" s="99"/>
      <c r="H52" s="99"/>
      <c r="I52" s="99"/>
      <c r="J52" s="100"/>
      <c r="L52" s="57"/>
      <c r="M52" s="58"/>
      <c r="N52" s="59"/>
      <c r="O52" s="57"/>
      <c r="P52" s="57"/>
      <c r="Q52" s="57"/>
      <c r="R52" s="58"/>
    </row>
    <row r="53" spans="1:18" ht="13.8" thickBot="1" x14ac:dyDescent="0.3">
      <c r="A53" s="60" t="s">
        <v>52</v>
      </c>
      <c r="B53" s="41"/>
      <c r="C53" s="101">
        <f>+C49+C51</f>
        <v>1517644.0199999989</v>
      </c>
      <c r="D53" s="102">
        <f>+D49+D51</f>
        <v>2006958.0199999989</v>
      </c>
      <c r="E53" s="103">
        <f>+E49+E51</f>
        <v>2430705</v>
      </c>
      <c r="F53" s="104">
        <f t="shared" ref="F53:J53" si="10">+F49+F51</f>
        <v>4140250.7935836399</v>
      </c>
      <c r="G53" s="102">
        <f t="shared" si="10"/>
        <v>3502659.0211832197</v>
      </c>
      <c r="H53" s="102">
        <f t="shared" si="10"/>
        <v>2832330.686566601</v>
      </c>
      <c r="I53" s="102">
        <f t="shared" si="10"/>
        <v>2128629.1901528165</v>
      </c>
      <c r="J53" s="103">
        <f t="shared" si="10"/>
        <v>1390905.3816859168</v>
      </c>
      <c r="L53" s="105">
        <f t="shared" si="4"/>
        <v>0.32241684713388863</v>
      </c>
      <c r="M53" s="106">
        <f t="shared" si="4"/>
        <v>0.21113893553189578</v>
      </c>
      <c r="N53" s="107">
        <f t="shared" si="4"/>
        <v>0.70331273995965771</v>
      </c>
      <c r="O53" s="105">
        <f t="shared" si="4"/>
        <v>-0.15399834555639214</v>
      </c>
      <c r="P53" s="105">
        <f t="shared" si="4"/>
        <v>-0.19137698832876338</v>
      </c>
      <c r="Q53" s="105">
        <f t="shared" si="4"/>
        <v>-0.24845315547063584</v>
      </c>
      <c r="R53" s="106">
        <f t="shared" si="4"/>
        <v>-0.34657225029124861</v>
      </c>
    </row>
    <row r="54" spans="1:18" ht="13.2" x14ac:dyDescent="0.25">
      <c r="A54" s="23"/>
      <c r="B54" s="108"/>
      <c r="C54" s="109"/>
      <c r="D54" s="109"/>
      <c r="E54" s="109"/>
      <c r="F54" s="110"/>
      <c r="G54" s="110"/>
      <c r="H54" s="110"/>
      <c r="I54" s="110"/>
      <c r="J54" s="110"/>
    </row>
    <row r="55" spans="1:18" ht="13.35" hidden="1" customHeight="1" x14ac:dyDescent="0.25">
      <c r="A55" s="111" t="s">
        <v>53</v>
      </c>
      <c r="B55" s="38"/>
      <c r="C55" s="112">
        <v>0</v>
      </c>
      <c r="D55" s="112">
        <v>0</v>
      </c>
      <c r="E55" s="112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</row>
    <row r="56" spans="1:18" ht="13.35" hidden="1" customHeight="1" x14ac:dyDescent="0.25">
      <c r="A56" s="111"/>
      <c r="B56" s="38"/>
      <c r="C56" s="112">
        <v>0</v>
      </c>
      <c r="D56" s="112">
        <v>0</v>
      </c>
      <c r="E56" s="112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</row>
    <row r="57" spans="1:18" ht="13.35" hidden="1" customHeight="1" x14ac:dyDescent="0.25">
      <c r="A57" s="23" t="s">
        <v>54</v>
      </c>
      <c r="B57" s="24"/>
      <c r="C57" s="112">
        <v>0</v>
      </c>
      <c r="D57" s="112">
        <v>0</v>
      </c>
      <c r="E57" s="112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</row>
    <row r="58" spans="1:18" ht="13.35" hidden="1" customHeight="1" x14ac:dyDescent="0.25">
      <c r="A58" s="23" t="s">
        <v>55</v>
      </c>
      <c r="B58" s="24"/>
      <c r="C58" s="112">
        <v>0</v>
      </c>
      <c r="D58" s="112">
        <v>0</v>
      </c>
      <c r="E58" s="112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</row>
    <row r="59" spans="1:18" ht="13.35" hidden="1" customHeight="1" x14ac:dyDescent="0.25">
      <c r="A59" s="23" t="s">
        <v>56</v>
      </c>
      <c r="B59" s="24"/>
      <c r="C59" s="112">
        <v>0</v>
      </c>
      <c r="D59" s="112">
        <v>0</v>
      </c>
      <c r="E59" s="112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</row>
    <row r="60" spans="1:18" ht="13.35" hidden="1" customHeight="1" x14ac:dyDescent="0.25">
      <c r="A60" s="23" t="s">
        <v>57</v>
      </c>
      <c r="B60" s="24"/>
      <c r="C60" s="112">
        <v>0</v>
      </c>
      <c r="D60" s="112">
        <v>0</v>
      </c>
      <c r="E60" s="112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</row>
    <row r="61" spans="1:18" ht="13.35" hidden="1" customHeight="1" x14ac:dyDescent="0.25">
      <c r="A61" s="23" t="s">
        <v>58</v>
      </c>
      <c r="B61" s="24"/>
      <c r="C61" s="112">
        <v>0</v>
      </c>
      <c r="D61" s="112">
        <v>0</v>
      </c>
      <c r="E61" s="112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</row>
    <row r="62" spans="1:18" ht="13.35" hidden="1" customHeight="1" x14ac:dyDescent="0.25">
      <c r="A62" s="23" t="s">
        <v>59</v>
      </c>
      <c r="B62" s="24"/>
      <c r="C62" s="112">
        <v>0</v>
      </c>
      <c r="D62" s="112">
        <v>0</v>
      </c>
      <c r="E62" s="112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</row>
    <row r="63" spans="1:18" ht="13.2" x14ac:dyDescent="0.25">
      <c r="A63" s="23"/>
      <c r="B63" s="24"/>
      <c r="C63" s="114"/>
      <c r="D63" s="114"/>
      <c r="E63" s="114"/>
      <c r="F63" s="115"/>
      <c r="G63" s="115"/>
      <c r="H63" s="115"/>
      <c r="I63" s="115"/>
      <c r="J63" s="115"/>
    </row>
    <row r="64" spans="1:18" ht="13.8" thickBot="1" x14ac:dyDescent="0.3">
      <c r="A64" s="37" t="s">
        <v>60</v>
      </c>
      <c r="B64" s="38"/>
      <c r="C64" s="116"/>
      <c r="D64" s="116"/>
      <c r="E64" s="116"/>
      <c r="F64" s="117"/>
      <c r="G64" s="117"/>
      <c r="H64" s="117"/>
      <c r="I64" s="117"/>
      <c r="J64" s="117"/>
    </row>
    <row r="65" spans="1:18" ht="13.2" x14ac:dyDescent="0.25">
      <c r="A65" s="40" t="s">
        <v>61</v>
      </c>
      <c r="B65" s="24"/>
      <c r="C65" s="118">
        <v>258.06</v>
      </c>
      <c r="D65" s="118">
        <v>232.16</v>
      </c>
      <c r="E65" s="118">
        <v>210</v>
      </c>
      <c r="F65" s="45">
        <v>245</v>
      </c>
      <c r="G65" s="46">
        <v>255</v>
      </c>
      <c r="H65" s="46">
        <v>255</v>
      </c>
      <c r="I65" s="46">
        <v>255</v>
      </c>
      <c r="J65" s="47">
        <v>255</v>
      </c>
      <c r="L65" s="119">
        <f t="shared" ref="L65:R67" si="11">+D65/C65-1</f>
        <v>-0.10036425637448654</v>
      </c>
      <c r="M65" s="120">
        <f t="shared" si="11"/>
        <v>-9.5451412818745696E-2</v>
      </c>
      <c r="N65" s="119">
        <f t="shared" si="11"/>
        <v>0.16666666666666674</v>
      </c>
      <c r="O65" s="121">
        <f t="shared" si="11"/>
        <v>4.081632653061229E-2</v>
      </c>
      <c r="P65" s="121">
        <f t="shared" si="11"/>
        <v>0</v>
      </c>
      <c r="Q65" s="121">
        <f t="shared" si="11"/>
        <v>0</v>
      </c>
      <c r="R65" s="120">
        <f t="shared" si="11"/>
        <v>0</v>
      </c>
    </row>
    <row r="66" spans="1:18" ht="13.2" x14ac:dyDescent="0.25">
      <c r="A66" s="40" t="s">
        <v>62</v>
      </c>
      <c r="B66" s="24"/>
      <c r="C66" s="70">
        <v>23</v>
      </c>
      <c r="D66" s="70">
        <v>25</v>
      </c>
      <c r="E66" s="70">
        <v>22</v>
      </c>
      <c r="F66" s="122">
        <v>22</v>
      </c>
      <c r="G66" s="55">
        <v>24</v>
      </c>
      <c r="H66" s="55">
        <v>24</v>
      </c>
      <c r="I66" s="55">
        <v>24</v>
      </c>
      <c r="J66" s="56">
        <v>24</v>
      </c>
      <c r="L66" s="123">
        <f t="shared" si="11"/>
        <v>8.6956521739130377E-2</v>
      </c>
      <c r="M66" s="124">
        <f t="shared" si="11"/>
        <v>-0.12</v>
      </c>
      <c r="N66" s="123">
        <f t="shared" si="11"/>
        <v>0</v>
      </c>
      <c r="O66" s="125">
        <f t="shared" si="11"/>
        <v>9.0909090909090828E-2</v>
      </c>
      <c r="P66" s="125">
        <f t="shared" si="11"/>
        <v>0</v>
      </c>
      <c r="Q66" s="125">
        <f t="shared" si="11"/>
        <v>0</v>
      </c>
      <c r="R66" s="124">
        <f t="shared" si="11"/>
        <v>0</v>
      </c>
    </row>
    <row r="67" spans="1:18" ht="13.2" x14ac:dyDescent="0.25">
      <c r="A67" s="40" t="s">
        <v>63</v>
      </c>
      <c r="B67" s="24"/>
      <c r="C67" s="70">
        <v>11</v>
      </c>
      <c r="D67" s="70">
        <v>14</v>
      </c>
      <c r="E67" s="70">
        <v>11</v>
      </c>
      <c r="F67" s="122">
        <v>11</v>
      </c>
      <c r="G67" s="55">
        <v>12</v>
      </c>
      <c r="H67" s="55">
        <v>12</v>
      </c>
      <c r="I67" s="55">
        <v>12</v>
      </c>
      <c r="J67" s="56">
        <v>12</v>
      </c>
      <c r="L67" s="123">
        <f t="shared" si="11"/>
        <v>0.27272727272727271</v>
      </c>
      <c r="M67" s="124">
        <f t="shared" si="11"/>
        <v>-0.2142857142857143</v>
      </c>
      <c r="N67" s="123">
        <f t="shared" si="11"/>
        <v>0</v>
      </c>
      <c r="O67" s="125">
        <f t="shared" si="11"/>
        <v>9.0909090909090828E-2</v>
      </c>
      <c r="P67" s="125">
        <f t="shared" si="11"/>
        <v>0</v>
      </c>
      <c r="Q67" s="125">
        <f t="shared" si="11"/>
        <v>0</v>
      </c>
      <c r="R67" s="124">
        <f t="shared" si="11"/>
        <v>0</v>
      </c>
    </row>
    <row r="68" spans="1:18" ht="13.8" thickBot="1" x14ac:dyDescent="0.3">
      <c r="A68" s="40" t="s">
        <v>64</v>
      </c>
      <c r="B68" s="24"/>
      <c r="C68" s="126">
        <v>0</v>
      </c>
      <c r="D68" s="126">
        <v>0</v>
      </c>
      <c r="E68" s="126">
        <v>0</v>
      </c>
      <c r="F68" s="127">
        <v>0</v>
      </c>
      <c r="G68" s="128">
        <v>0</v>
      </c>
      <c r="H68" s="128">
        <v>0</v>
      </c>
      <c r="I68" s="128">
        <v>0</v>
      </c>
      <c r="J68" s="129">
        <v>0</v>
      </c>
      <c r="L68" s="130"/>
      <c r="M68" s="131"/>
      <c r="N68" s="130"/>
      <c r="O68" s="132"/>
      <c r="P68" s="132"/>
      <c r="Q68" s="132"/>
      <c r="R68" s="131"/>
    </row>
    <row r="69" spans="1:18" ht="13.2" x14ac:dyDescent="0.25">
      <c r="A69" s="23"/>
      <c r="B69" s="108"/>
      <c r="C69" s="114"/>
      <c r="D69" s="114"/>
      <c r="E69" s="114"/>
      <c r="F69" s="133"/>
      <c r="G69" s="134"/>
      <c r="H69" s="134"/>
      <c r="I69" s="134"/>
      <c r="J69" s="115"/>
    </row>
    <row r="70" spans="1:18" ht="13.2" x14ac:dyDescent="0.25">
      <c r="A70" s="23"/>
      <c r="B70" s="24"/>
      <c r="C70" s="135"/>
      <c r="D70" s="135"/>
      <c r="E70" s="135"/>
      <c r="F70" s="133"/>
      <c r="G70" s="134"/>
      <c r="H70" s="134"/>
      <c r="I70" s="134"/>
      <c r="J70" s="115"/>
    </row>
    <row r="71" spans="1:18" ht="13.8" thickBot="1" x14ac:dyDescent="0.3">
      <c r="A71" s="111" t="s">
        <v>65</v>
      </c>
      <c r="B71" s="38"/>
      <c r="C71" s="136"/>
      <c r="D71" s="136"/>
      <c r="E71" s="136"/>
      <c r="F71" s="137"/>
      <c r="G71" s="134"/>
      <c r="H71" s="134"/>
      <c r="I71" s="134"/>
      <c r="J71" s="138"/>
    </row>
    <row r="72" spans="1:18" ht="13.2" x14ac:dyDescent="0.25">
      <c r="A72" s="40" t="s">
        <v>66</v>
      </c>
      <c r="B72" s="24"/>
      <c r="C72" s="43">
        <v>173950.68</v>
      </c>
      <c r="D72" s="43">
        <v>0</v>
      </c>
      <c r="E72" s="44">
        <v>74842</v>
      </c>
      <c r="F72" s="139">
        <v>294842</v>
      </c>
      <c r="G72" s="140">
        <v>74842</v>
      </c>
      <c r="H72" s="140">
        <v>74842</v>
      </c>
      <c r="I72" s="140">
        <v>74842</v>
      </c>
      <c r="J72" s="141">
        <v>74842</v>
      </c>
      <c r="L72" s="119">
        <f t="shared" ref="L72:R92" si="12">+D72/C72-1</f>
        <v>-1</v>
      </c>
      <c r="M72" s="120" t="e">
        <f t="shared" si="12"/>
        <v>#DIV/0!</v>
      </c>
      <c r="N72" s="119">
        <f t="shared" si="12"/>
        <v>2.9395259346356326</v>
      </c>
      <c r="O72" s="121">
        <f t="shared" si="12"/>
        <v>-0.74616235136106801</v>
      </c>
      <c r="P72" s="121">
        <f t="shared" si="12"/>
        <v>0</v>
      </c>
      <c r="Q72" s="121">
        <f t="shared" si="12"/>
        <v>0</v>
      </c>
      <c r="R72" s="120">
        <f t="shared" si="12"/>
        <v>0</v>
      </c>
    </row>
    <row r="73" spans="1:18" ht="13.2" x14ac:dyDescent="0.25">
      <c r="A73" s="40" t="s">
        <v>67</v>
      </c>
      <c r="B73" s="24"/>
      <c r="C73" s="52">
        <v>46764.766199999998</v>
      </c>
      <c r="D73" s="52">
        <v>63925.73</v>
      </c>
      <c r="E73" s="53">
        <v>56327</v>
      </c>
      <c r="F73" s="122">
        <v>94650</v>
      </c>
      <c r="G73" s="142">
        <v>65000</v>
      </c>
      <c r="H73" s="142">
        <v>66300</v>
      </c>
      <c r="I73" s="142">
        <v>67626</v>
      </c>
      <c r="J73" s="143">
        <v>68978.52</v>
      </c>
      <c r="L73" s="123">
        <f t="shared" si="12"/>
        <v>0.36696353247244518</v>
      </c>
      <c r="M73" s="124">
        <f t="shared" si="12"/>
        <v>-0.1188680989642199</v>
      </c>
      <c r="N73" s="123">
        <f t="shared" si="12"/>
        <v>0.68036643172901101</v>
      </c>
      <c r="O73" s="125">
        <f t="shared" si="12"/>
        <v>-0.31325937665081882</v>
      </c>
      <c r="P73" s="125">
        <f t="shared" si="12"/>
        <v>2.0000000000000018E-2</v>
      </c>
      <c r="Q73" s="125">
        <f t="shared" si="12"/>
        <v>2.0000000000000018E-2</v>
      </c>
      <c r="R73" s="124">
        <f t="shared" si="12"/>
        <v>2.0000000000000018E-2</v>
      </c>
    </row>
    <row r="74" spans="1:18" ht="13.2" x14ac:dyDescent="0.25">
      <c r="A74" s="40" t="s">
        <v>68</v>
      </c>
      <c r="B74" s="24"/>
      <c r="C74" s="52">
        <v>228854</v>
      </c>
      <c r="D74" s="52">
        <v>242953.14</v>
      </c>
      <c r="E74" s="53">
        <v>258581</v>
      </c>
      <c r="F74" s="122">
        <v>334435</v>
      </c>
      <c r="G74" s="142">
        <v>292014</v>
      </c>
      <c r="H74" s="142">
        <v>297854.28000000003</v>
      </c>
      <c r="I74" s="142">
        <v>303811.36560000002</v>
      </c>
      <c r="J74" s="143">
        <v>309887.59291200008</v>
      </c>
      <c r="L74" s="123">
        <f t="shared" si="12"/>
        <v>6.1607575135239179E-2</v>
      </c>
      <c r="M74" s="124">
        <f t="shared" si="12"/>
        <v>6.4324585391240419E-2</v>
      </c>
      <c r="N74" s="123">
        <f t="shared" si="12"/>
        <v>0.29334715234297959</v>
      </c>
      <c r="O74" s="125">
        <f t="shared" si="12"/>
        <v>-0.12684378130279428</v>
      </c>
      <c r="P74" s="125">
        <f t="shared" si="12"/>
        <v>2.0000000000000018E-2</v>
      </c>
      <c r="Q74" s="125">
        <f t="shared" si="12"/>
        <v>2.0000000000000018E-2</v>
      </c>
      <c r="R74" s="124">
        <f t="shared" si="12"/>
        <v>2.000000000000024E-2</v>
      </c>
    </row>
    <row r="75" spans="1:18" ht="13.2" x14ac:dyDescent="0.25">
      <c r="A75" s="40" t="s">
        <v>69</v>
      </c>
      <c r="B75" s="24"/>
      <c r="C75" s="52">
        <v>0</v>
      </c>
      <c r="D75" s="52">
        <v>0</v>
      </c>
      <c r="E75" s="53">
        <v>0</v>
      </c>
      <c r="F75" s="122">
        <v>0</v>
      </c>
      <c r="G75" s="142">
        <v>0</v>
      </c>
      <c r="H75" s="142">
        <v>0</v>
      </c>
      <c r="I75" s="142">
        <v>0</v>
      </c>
      <c r="J75" s="143">
        <v>0</v>
      </c>
      <c r="L75" s="123"/>
      <c r="M75" s="124"/>
      <c r="N75" s="123"/>
      <c r="O75" s="125"/>
      <c r="P75" s="125"/>
      <c r="Q75" s="125"/>
      <c r="R75" s="124"/>
    </row>
    <row r="76" spans="1:18" ht="13.2" x14ac:dyDescent="0.25">
      <c r="A76" s="40" t="s">
        <v>70</v>
      </c>
      <c r="B76" s="24"/>
      <c r="C76" s="52">
        <v>13671.619999999999</v>
      </c>
      <c r="D76" s="52">
        <v>22200</v>
      </c>
      <c r="E76" s="53">
        <v>45542</v>
      </c>
      <c r="F76" s="122">
        <v>26508</v>
      </c>
      <c r="G76" s="142">
        <v>27038.16</v>
      </c>
      <c r="H76" s="142">
        <v>27578.923200000001</v>
      </c>
      <c r="I76" s="142">
        <v>28130.501664000003</v>
      </c>
      <c r="J76" s="143">
        <v>28693.111697280005</v>
      </c>
      <c r="L76" s="123">
        <v>0</v>
      </c>
      <c r="M76" s="124">
        <f t="shared" si="12"/>
        <v>1.0514414414414412</v>
      </c>
      <c r="N76" s="123">
        <f t="shared" si="12"/>
        <v>-0.41794387598260951</v>
      </c>
      <c r="O76" s="125">
        <f t="shared" si="12"/>
        <v>2.0000000000000018E-2</v>
      </c>
      <c r="P76" s="125">
        <f t="shared" si="12"/>
        <v>2.0000000000000018E-2</v>
      </c>
      <c r="Q76" s="125">
        <f t="shared" si="12"/>
        <v>2.0000000000000018E-2</v>
      </c>
      <c r="R76" s="124">
        <f t="shared" si="12"/>
        <v>2.0000000000000018E-2</v>
      </c>
    </row>
    <row r="77" spans="1:18" ht="13.2" x14ac:dyDescent="0.25">
      <c r="A77" s="40" t="s">
        <v>71</v>
      </c>
      <c r="B77" s="24"/>
      <c r="C77" s="52">
        <v>0</v>
      </c>
      <c r="D77" s="52">
        <v>0</v>
      </c>
      <c r="E77" s="53">
        <v>0</v>
      </c>
      <c r="F77" s="122">
        <v>0</v>
      </c>
      <c r="G77" s="142">
        <v>0</v>
      </c>
      <c r="H77" s="142">
        <v>0</v>
      </c>
      <c r="I77" s="142">
        <v>0</v>
      </c>
      <c r="J77" s="143">
        <v>0</v>
      </c>
      <c r="L77" s="123"/>
      <c r="M77" s="124"/>
      <c r="N77" s="123"/>
      <c r="O77" s="125"/>
      <c r="P77" s="125"/>
      <c r="Q77" s="125"/>
      <c r="R77" s="124"/>
    </row>
    <row r="78" spans="1:18" ht="13.2" x14ac:dyDescent="0.25">
      <c r="A78" s="40" t="s">
        <v>72</v>
      </c>
      <c r="B78" s="24"/>
      <c r="C78" s="52">
        <v>53989.350037836171</v>
      </c>
      <c r="D78" s="52">
        <v>51763.54</v>
      </c>
      <c r="E78" s="53">
        <v>56530</v>
      </c>
      <c r="F78" s="122">
        <v>68826</v>
      </c>
      <c r="G78" s="142">
        <v>70202.52</v>
      </c>
      <c r="H78" s="142">
        <v>71606.570400000011</v>
      </c>
      <c r="I78" s="142">
        <v>73038.701808000013</v>
      </c>
      <c r="J78" s="143">
        <v>74499.475844160013</v>
      </c>
      <c r="L78" s="123">
        <f t="shared" si="12"/>
        <v>-4.1226835223545089E-2</v>
      </c>
      <c r="M78" s="124">
        <f t="shared" si="12"/>
        <v>9.208141483368415E-2</v>
      </c>
      <c r="N78" s="123">
        <f t="shared" si="12"/>
        <v>0.21751282504864666</v>
      </c>
      <c r="O78" s="125">
        <f t="shared" si="12"/>
        <v>2.0000000000000018E-2</v>
      </c>
      <c r="P78" s="125">
        <f t="shared" si="12"/>
        <v>2.0000000000000018E-2</v>
      </c>
      <c r="Q78" s="125">
        <f t="shared" si="12"/>
        <v>2.0000000000000018E-2</v>
      </c>
      <c r="R78" s="124">
        <f t="shared" si="12"/>
        <v>2.0000000000000018E-2</v>
      </c>
    </row>
    <row r="79" spans="1:18" ht="13.2" x14ac:dyDescent="0.25">
      <c r="A79" s="40" t="s">
        <v>73</v>
      </c>
      <c r="B79" s="24"/>
      <c r="C79" s="52">
        <v>0</v>
      </c>
      <c r="D79" s="52">
        <v>0</v>
      </c>
      <c r="E79" s="53">
        <v>0</v>
      </c>
      <c r="F79" s="122">
        <v>0</v>
      </c>
      <c r="G79" s="142">
        <v>0</v>
      </c>
      <c r="H79" s="142">
        <v>0</v>
      </c>
      <c r="I79" s="142">
        <v>0</v>
      </c>
      <c r="J79" s="143">
        <v>0</v>
      </c>
      <c r="L79" s="123"/>
      <c r="M79" s="124"/>
      <c r="N79" s="123"/>
      <c r="O79" s="125"/>
      <c r="P79" s="125"/>
      <c r="Q79" s="125"/>
      <c r="R79" s="124"/>
    </row>
    <row r="80" spans="1:18" ht="13.2" x14ac:dyDescent="0.25">
      <c r="A80" s="40" t="s">
        <v>74</v>
      </c>
      <c r="B80" s="24"/>
      <c r="C80" s="52">
        <v>10115</v>
      </c>
      <c r="D80" s="52">
        <v>11474.2</v>
      </c>
      <c r="E80" s="53">
        <v>11476</v>
      </c>
      <c r="F80" s="122">
        <v>10000</v>
      </c>
      <c r="G80" s="142">
        <v>10200</v>
      </c>
      <c r="H80" s="142">
        <v>10404</v>
      </c>
      <c r="I80" s="142">
        <v>10612.08</v>
      </c>
      <c r="J80" s="143">
        <v>10824.321599999999</v>
      </c>
      <c r="L80" s="123">
        <f t="shared" si="12"/>
        <v>0.13437469105289179</v>
      </c>
      <c r="M80" s="124">
        <f t="shared" si="12"/>
        <v>1.5687368182515371E-4</v>
      </c>
      <c r="N80" s="123">
        <f t="shared" si="12"/>
        <v>-0.12861624259323812</v>
      </c>
      <c r="O80" s="125">
        <f t="shared" si="12"/>
        <v>2.0000000000000018E-2</v>
      </c>
      <c r="P80" s="125">
        <f t="shared" si="12"/>
        <v>2.0000000000000018E-2</v>
      </c>
      <c r="Q80" s="125">
        <f t="shared" si="12"/>
        <v>2.0000000000000018E-2</v>
      </c>
      <c r="R80" s="124">
        <f t="shared" si="12"/>
        <v>2.0000000000000018E-2</v>
      </c>
    </row>
    <row r="81" spans="1:18" ht="13.2" x14ac:dyDescent="0.25">
      <c r="A81" s="40" t="s">
        <v>75</v>
      </c>
      <c r="B81" s="24"/>
      <c r="C81" s="52">
        <v>0</v>
      </c>
      <c r="D81" s="52">
        <v>0</v>
      </c>
      <c r="E81" s="53">
        <v>0</v>
      </c>
      <c r="F81" s="122">
        <v>0</v>
      </c>
      <c r="G81" s="142">
        <v>0</v>
      </c>
      <c r="H81" s="142">
        <v>0</v>
      </c>
      <c r="I81" s="142">
        <v>0</v>
      </c>
      <c r="J81" s="143">
        <v>0</v>
      </c>
      <c r="L81" s="123"/>
      <c r="M81" s="124"/>
      <c r="N81" s="123"/>
      <c r="O81" s="125"/>
      <c r="P81" s="125"/>
      <c r="Q81" s="125"/>
      <c r="R81" s="124"/>
    </row>
    <row r="82" spans="1:18" ht="13.2" x14ac:dyDescent="0.25">
      <c r="A82" s="40" t="s">
        <v>76</v>
      </c>
      <c r="B82" s="24"/>
      <c r="C82" s="52">
        <v>0</v>
      </c>
      <c r="D82" s="52">
        <v>1940</v>
      </c>
      <c r="E82" s="53">
        <v>7805</v>
      </c>
      <c r="F82" s="122">
        <v>92250</v>
      </c>
      <c r="G82" s="142">
        <v>59415</v>
      </c>
      <c r="H82" s="142">
        <v>60603.3</v>
      </c>
      <c r="I82" s="142">
        <v>61815.366000000002</v>
      </c>
      <c r="J82" s="143">
        <v>63051.673320000002</v>
      </c>
      <c r="L82" s="144">
        <v>0</v>
      </c>
      <c r="M82" s="124">
        <f t="shared" si="12"/>
        <v>3.0231958762886597</v>
      </c>
      <c r="N82" s="123">
        <f t="shared" si="12"/>
        <v>10.819346572709801</v>
      </c>
      <c r="O82" s="125">
        <f t="shared" si="12"/>
        <v>-0.35593495934959352</v>
      </c>
      <c r="P82" s="125">
        <f t="shared" si="12"/>
        <v>2.0000000000000018E-2</v>
      </c>
      <c r="Q82" s="125">
        <f t="shared" si="12"/>
        <v>2.0000000000000018E-2</v>
      </c>
      <c r="R82" s="124">
        <f t="shared" si="12"/>
        <v>2.0000000000000018E-2</v>
      </c>
    </row>
    <row r="83" spans="1:18" ht="13.2" x14ac:dyDescent="0.25">
      <c r="A83" s="40" t="s">
        <v>77</v>
      </c>
      <c r="B83" s="24"/>
      <c r="C83" s="52">
        <v>8801</v>
      </c>
      <c r="D83" s="52">
        <v>26782.84</v>
      </c>
      <c r="E83" s="53">
        <v>9842</v>
      </c>
      <c r="F83" s="122">
        <v>22000</v>
      </c>
      <c r="G83" s="142">
        <v>7500</v>
      </c>
      <c r="H83" s="142">
        <v>7650</v>
      </c>
      <c r="I83" s="142">
        <v>7803</v>
      </c>
      <c r="J83" s="143">
        <v>7959.06</v>
      </c>
      <c r="L83" s="123">
        <f t="shared" si="12"/>
        <v>2.043158731962277</v>
      </c>
      <c r="M83" s="124">
        <f t="shared" si="12"/>
        <v>-0.63252590091267391</v>
      </c>
      <c r="N83" s="123">
        <f t="shared" si="12"/>
        <v>1.235318024791709</v>
      </c>
      <c r="O83" s="125">
        <f t="shared" si="12"/>
        <v>-0.65909090909090917</v>
      </c>
      <c r="P83" s="125">
        <f t="shared" si="12"/>
        <v>2.0000000000000018E-2</v>
      </c>
      <c r="Q83" s="125">
        <f t="shared" si="12"/>
        <v>2.0000000000000018E-2</v>
      </c>
      <c r="R83" s="124">
        <f t="shared" si="12"/>
        <v>2.0000000000000018E-2</v>
      </c>
    </row>
    <row r="84" spans="1:18" ht="13.2" x14ac:dyDescent="0.25">
      <c r="A84" s="40" t="s">
        <v>78</v>
      </c>
      <c r="B84" s="24"/>
      <c r="C84" s="52">
        <v>18323.589466666668</v>
      </c>
      <c r="D84" s="52">
        <v>19362.892</v>
      </c>
      <c r="E84" s="53">
        <v>20788</v>
      </c>
      <c r="F84" s="122">
        <v>76832</v>
      </c>
      <c r="G84" s="142">
        <v>29650</v>
      </c>
      <c r="H84" s="142">
        <v>30243</v>
      </c>
      <c r="I84" s="142">
        <v>30847.86</v>
      </c>
      <c r="J84" s="143">
        <v>31464.817200000001</v>
      </c>
      <c r="L84" s="123">
        <f t="shared" si="12"/>
        <v>5.6719374510326048E-2</v>
      </c>
      <c r="M84" s="124">
        <f t="shared" si="12"/>
        <v>7.359995603962477E-2</v>
      </c>
      <c r="N84" s="123">
        <f t="shared" si="12"/>
        <v>2.6959784491052532</v>
      </c>
      <c r="O84" s="125">
        <f t="shared" si="12"/>
        <v>-0.61409308621407743</v>
      </c>
      <c r="P84" s="125">
        <f t="shared" si="12"/>
        <v>2.0000000000000018E-2</v>
      </c>
      <c r="Q84" s="125">
        <f t="shared" si="12"/>
        <v>2.0000000000000018E-2</v>
      </c>
      <c r="R84" s="124">
        <f t="shared" si="12"/>
        <v>2.0000000000000018E-2</v>
      </c>
    </row>
    <row r="85" spans="1:18" ht="13.2" x14ac:dyDescent="0.25">
      <c r="A85" s="40" t="s">
        <v>79</v>
      </c>
      <c r="B85" s="24"/>
      <c r="C85" s="52">
        <v>161797.28</v>
      </c>
      <c r="D85" s="52">
        <v>189159.17</v>
      </c>
      <c r="E85" s="53">
        <v>247522</v>
      </c>
      <c r="F85" s="122">
        <v>43950</v>
      </c>
      <c r="G85" s="142">
        <v>1071</v>
      </c>
      <c r="H85" s="142">
        <v>1092.42</v>
      </c>
      <c r="I85" s="142">
        <v>1114.2684000000002</v>
      </c>
      <c r="J85" s="143">
        <v>1136.5537680000002</v>
      </c>
      <c r="L85" s="123">
        <f t="shared" si="12"/>
        <v>0.1691121754333571</v>
      </c>
      <c r="M85" s="124">
        <f t="shared" si="12"/>
        <v>0.30853820092359241</v>
      </c>
      <c r="N85" s="123">
        <f t="shared" si="12"/>
        <v>-0.82244002553308393</v>
      </c>
      <c r="O85" s="125">
        <f t="shared" si="12"/>
        <v>-0.97563139931740617</v>
      </c>
      <c r="P85" s="125">
        <f t="shared" si="12"/>
        <v>2.0000000000000018E-2</v>
      </c>
      <c r="Q85" s="125">
        <f t="shared" si="12"/>
        <v>2.0000000000000018E-2</v>
      </c>
      <c r="R85" s="124">
        <f t="shared" si="12"/>
        <v>2.0000000000000018E-2</v>
      </c>
    </row>
    <row r="86" spans="1:18" ht="13.2" x14ac:dyDescent="0.25">
      <c r="A86" s="40" t="s">
        <v>80</v>
      </c>
      <c r="B86" s="24"/>
      <c r="C86" s="52">
        <v>0</v>
      </c>
      <c r="D86" s="52">
        <v>0</v>
      </c>
      <c r="E86" s="53">
        <v>0</v>
      </c>
      <c r="F86" s="122">
        <v>0</v>
      </c>
      <c r="G86" s="142">
        <v>0</v>
      </c>
      <c r="H86" s="142">
        <v>0</v>
      </c>
      <c r="I86" s="142">
        <v>0</v>
      </c>
      <c r="J86" s="143">
        <v>0</v>
      </c>
      <c r="L86" s="123"/>
      <c r="M86" s="124"/>
      <c r="N86" s="123"/>
      <c r="O86" s="125"/>
      <c r="P86" s="125"/>
      <c r="Q86" s="125"/>
      <c r="R86" s="124"/>
    </row>
    <row r="87" spans="1:18" ht="13.2" x14ac:dyDescent="0.25">
      <c r="A87" s="40" t="s">
        <v>81</v>
      </c>
      <c r="B87" s="24"/>
      <c r="C87" s="52">
        <v>0</v>
      </c>
      <c r="D87" s="52">
        <v>0</v>
      </c>
      <c r="E87" s="53">
        <v>0</v>
      </c>
      <c r="F87" s="122">
        <v>0</v>
      </c>
      <c r="G87" s="142">
        <v>0</v>
      </c>
      <c r="H87" s="142">
        <v>0</v>
      </c>
      <c r="I87" s="142">
        <v>0</v>
      </c>
      <c r="J87" s="143">
        <v>0</v>
      </c>
      <c r="L87" s="123"/>
      <c r="M87" s="124"/>
      <c r="N87" s="123"/>
      <c r="O87" s="125"/>
      <c r="P87" s="125"/>
      <c r="Q87" s="125"/>
      <c r="R87" s="124"/>
    </row>
    <row r="88" spans="1:18" ht="13.2" x14ac:dyDescent="0.25">
      <c r="A88" s="40" t="s">
        <v>82</v>
      </c>
      <c r="B88" s="24"/>
      <c r="C88" s="52">
        <v>95450.947199999995</v>
      </c>
      <c r="D88" s="52">
        <v>115886.19</v>
      </c>
      <c r="E88" s="53">
        <v>74452</v>
      </c>
      <c r="F88" s="122">
        <v>293000</v>
      </c>
      <c r="G88" s="142">
        <v>203460</v>
      </c>
      <c r="H88" s="142">
        <v>207529.2</v>
      </c>
      <c r="I88" s="142">
        <v>211679.78400000001</v>
      </c>
      <c r="J88" s="143">
        <v>215913.37968000001</v>
      </c>
      <c r="L88" s="123">
        <f t="shared" si="12"/>
        <v>0.21409156639568705</v>
      </c>
      <c r="M88" s="124">
        <f t="shared" si="12"/>
        <v>-0.357542085040504</v>
      </c>
      <c r="N88" s="123">
        <f t="shared" si="12"/>
        <v>2.9354214796110245</v>
      </c>
      <c r="O88" s="125">
        <f t="shared" si="12"/>
        <v>-0.30559726962457334</v>
      </c>
      <c r="P88" s="125">
        <f t="shared" si="12"/>
        <v>2.0000000000000018E-2</v>
      </c>
      <c r="Q88" s="125">
        <f t="shared" si="12"/>
        <v>2.0000000000000018E-2</v>
      </c>
      <c r="R88" s="124">
        <f t="shared" si="12"/>
        <v>2.0000000000000018E-2</v>
      </c>
    </row>
    <row r="89" spans="1:18" ht="13.2" x14ac:dyDescent="0.25">
      <c r="A89" s="40" t="s">
        <v>83</v>
      </c>
      <c r="B89" s="24"/>
      <c r="C89" s="52">
        <v>93952.17</v>
      </c>
      <c r="D89" s="52">
        <v>82611.070000000007</v>
      </c>
      <c r="E89" s="53">
        <f>62616+168</f>
        <v>62784</v>
      </c>
      <c r="F89" s="122">
        <v>163725</v>
      </c>
      <c r="G89" s="142">
        <v>154479.5</v>
      </c>
      <c r="H89" s="142">
        <v>157569.09</v>
      </c>
      <c r="I89" s="142">
        <v>160720.4718</v>
      </c>
      <c r="J89" s="143">
        <v>163934.88123600002</v>
      </c>
      <c r="L89" s="123">
        <f t="shared" si="12"/>
        <v>-0.12071142156695258</v>
      </c>
      <c r="M89" s="124">
        <f t="shared" si="12"/>
        <v>-0.24000500175097605</v>
      </c>
      <c r="N89" s="123">
        <f t="shared" si="12"/>
        <v>1.607750382262997</v>
      </c>
      <c r="O89" s="125">
        <f t="shared" si="12"/>
        <v>-5.6469690029012032E-2</v>
      </c>
      <c r="P89" s="125">
        <f t="shared" si="12"/>
        <v>2.0000000000000018E-2</v>
      </c>
      <c r="Q89" s="125">
        <f t="shared" si="12"/>
        <v>2.0000000000000018E-2</v>
      </c>
      <c r="R89" s="124">
        <f t="shared" si="12"/>
        <v>2.0000000000000018E-2</v>
      </c>
    </row>
    <row r="90" spans="1:18" ht="13.2" x14ac:dyDescent="0.25">
      <c r="A90" s="40" t="s">
        <v>84</v>
      </c>
      <c r="B90" s="24"/>
      <c r="C90" s="52">
        <f>44633.11+866</f>
        <v>45499.11</v>
      </c>
      <c r="D90" s="52">
        <f>151816.5+359</f>
        <v>152175.5</v>
      </c>
      <c r="E90" s="53">
        <f>139423+281</f>
        <v>139704</v>
      </c>
      <c r="F90" s="122">
        <v>140000</v>
      </c>
      <c r="G90" s="142">
        <v>142800</v>
      </c>
      <c r="H90" s="142">
        <v>145656</v>
      </c>
      <c r="I90" s="142">
        <v>148569.12</v>
      </c>
      <c r="J90" s="143">
        <v>151540.5024</v>
      </c>
      <c r="L90" s="123">
        <f t="shared" si="12"/>
        <v>2.3445819050086913</v>
      </c>
      <c r="M90" s="124">
        <f t="shared" si="12"/>
        <v>-8.1954716757953849E-2</v>
      </c>
      <c r="N90" s="123">
        <f t="shared" si="12"/>
        <v>2.1187653896810321E-3</v>
      </c>
      <c r="O90" s="125">
        <f t="shared" si="12"/>
        <v>2.0000000000000018E-2</v>
      </c>
      <c r="P90" s="125">
        <f t="shared" si="12"/>
        <v>2.0000000000000018E-2</v>
      </c>
      <c r="Q90" s="125">
        <f t="shared" si="12"/>
        <v>2.0000000000000018E-2</v>
      </c>
      <c r="R90" s="124">
        <f t="shared" si="12"/>
        <v>2.0000000000000018E-2</v>
      </c>
    </row>
    <row r="91" spans="1:18" ht="13.8" thickBot="1" x14ac:dyDescent="0.3">
      <c r="A91" s="40" t="s">
        <v>85</v>
      </c>
      <c r="B91" s="24"/>
      <c r="C91" s="52">
        <v>0</v>
      </c>
      <c r="D91" s="52">
        <v>0</v>
      </c>
      <c r="E91" s="53">
        <v>0</v>
      </c>
      <c r="F91" s="54">
        <v>0</v>
      </c>
      <c r="G91" s="142">
        <v>0</v>
      </c>
      <c r="H91" s="142">
        <v>0</v>
      </c>
      <c r="I91" s="142">
        <v>0</v>
      </c>
      <c r="J91" s="143">
        <v>0</v>
      </c>
      <c r="L91" s="123"/>
      <c r="M91" s="124"/>
      <c r="N91" s="123"/>
      <c r="O91" s="125"/>
      <c r="P91" s="125"/>
      <c r="Q91" s="125"/>
      <c r="R91" s="124"/>
    </row>
    <row r="92" spans="1:18" ht="13.8" thickBot="1" x14ac:dyDescent="0.3">
      <c r="A92" s="60" t="s">
        <v>86</v>
      </c>
      <c r="B92" s="24"/>
      <c r="C92" s="102">
        <f t="shared" ref="C92:D92" si="13">SUM(C72:C91)</f>
        <v>951169.51290450292</v>
      </c>
      <c r="D92" s="102">
        <f t="shared" si="13"/>
        <v>980234.27200000011</v>
      </c>
      <c r="E92" s="103">
        <f>SUM(E72:E91)</f>
        <v>1066195</v>
      </c>
      <c r="F92" s="104">
        <v>1504743.47</v>
      </c>
      <c r="G92" s="102">
        <f>SUM(G72:G91)</f>
        <v>1137672.18</v>
      </c>
      <c r="H92" s="102">
        <f t="shared" ref="H92:I92" si="14">SUM(H72:H91)</f>
        <v>1158928.7836000002</v>
      </c>
      <c r="I92" s="102">
        <f t="shared" si="14"/>
        <v>1180610.5192720001</v>
      </c>
      <c r="J92" s="103">
        <f>SUM(J72:J91)</f>
        <v>1202725.8896574401</v>
      </c>
      <c r="L92" s="145">
        <f t="shared" si="12"/>
        <v>3.0556865733369243E-2</v>
      </c>
      <c r="M92" s="146">
        <f t="shared" si="12"/>
        <v>8.7694065036730162E-2</v>
      </c>
      <c r="N92" s="145">
        <f t="shared" si="12"/>
        <v>0.41132107166137533</v>
      </c>
      <c r="O92" s="147">
        <f t="shared" si="12"/>
        <v>-0.24394276985963592</v>
      </c>
      <c r="P92" s="147">
        <f t="shared" si="12"/>
        <v>1.8684295857529287E-2</v>
      </c>
      <c r="Q92" s="147">
        <f t="shared" si="12"/>
        <v>1.8708427971432018E-2</v>
      </c>
      <c r="R92" s="146">
        <f t="shared" si="12"/>
        <v>1.873214749863239E-2</v>
      </c>
    </row>
    <row r="93" spans="1:18" ht="13.2" x14ac:dyDescent="0.25">
      <c r="A93" s="148"/>
      <c r="B93" s="24"/>
      <c r="C93" s="114"/>
      <c r="D93" s="114"/>
      <c r="E93" s="149"/>
      <c r="F93" s="115"/>
      <c r="G93" s="115"/>
      <c r="H93" s="115"/>
      <c r="I93" s="115"/>
      <c r="J93" s="115"/>
      <c r="L93" s="150"/>
      <c r="M93" s="150"/>
      <c r="N93" s="150"/>
      <c r="O93" s="150"/>
      <c r="P93" s="150"/>
      <c r="Q93" s="150"/>
      <c r="R93" s="150"/>
    </row>
    <row r="94" spans="1:18" ht="13.2" x14ac:dyDescent="0.25">
      <c r="A94" s="148"/>
      <c r="B94" s="24"/>
      <c r="C94" s="114"/>
      <c r="D94" s="114"/>
      <c r="E94" s="149"/>
      <c r="F94" s="115"/>
      <c r="G94" s="115"/>
      <c r="H94" s="115"/>
      <c r="I94" s="115"/>
      <c r="J94" s="115"/>
    </row>
    <row r="95" spans="1:18" ht="13.8" thickBot="1" x14ac:dyDescent="0.3">
      <c r="A95" s="111" t="s">
        <v>87</v>
      </c>
      <c r="B95" s="108"/>
      <c r="C95" s="3"/>
      <c r="D95" s="3"/>
      <c r="E95" s="6"/>
    </row>
    <row r="96" spans="1:18" ht="13.2" x14ac:dyDescent="0.25">
      <c r="A96" s="23" t="s">
        <v>88</v>
      </c>
      <c r="B96" s="108"/>
      <c r="C96" s="151">
        <f t="shared" ref="C96:E96" si="15">+C28/C65</f>
        <v>11464.345539796946</v>
      </c>
      <c r="D96" s="151">
        <f t="shared" si="15"/>
        <v>13682.167470709855</v>
      </c>
      <c r="E96" s="152">
        <f t="shared" si="15"/>
        <v>16323.890476190476</v>
      </c>
      <c r="F96" s="153">
        <f>+F28/F65</f>
        <v>20027.691088163265</v>
      </c>
      <c r="G96" s="151">
        <f>+G28/G65</f>
        <v>17224.997299890201</v>
      </c>
      <c r="H96" s="151">
        <f>+H28/H65</f>
        <v>17452.142480497409</v>
      </c>
      <c r="I96" s="151">
        <f>+I28/I65</f>
        <v>17682.771795102082</v>
      </c>
      <c r="J96" s="152">
        <f>+J28/J65</f>
        <v>17916.944338688005</v>
      </c>
    </row>
    <row r="97" spans="1:10" ht="13.2" x14ac:dyDescent="0.25">
      <c r="A97" s="23" t="s">
        <v>89</v>
      </c>
      <c r="B97" s="38"/>
      <c r="C97" s="154">
        <f t="shared" ref="C97:J97" si="16">-(C41+C42)</f>
        <v>42896.520000000004</v>
      </c>
      <c r="D97" s="154">
        <f t="shared" si="16"/>
        <v>41496</v>
      </c>
      <c r="E97" s="155">
        <f t="shared" si="16"/>
        <v>0</v>
      </c>
      <c r="F97" s="156">
        <f t="shared" si="16"/>
        <v>0</v>
      </c>
      <c r="G97" s="154">
        <f t="shared" si="16"/>
        <v>0</v>
      </c>
      <c r="H97" s="154">
        <f t="shared" si="16"/>
        <v>0</v>
      </c>
      <c r="I97" s="154">
        <f t="shared" si="16"/>
        <v>0</v>
      </c>
      <c r="J97" s="155">
        <f t="shared" si="16"/>
        <v>0</v>
      </c>
    </row>
    <row r="98" spans="1:10" ht="13.2" x14ac:dyDescent="0.25">
      <c r="A98" s="23" t="s">
        <v>90</v>
      </c>
      <c r="B98" s="24"/>
      <c r="C98" s="157">
        <f t="shared" ref="C98:J98" si="17">IFERROR((C32+SUM(C35:C39))/C97,0)</f>
        <v>0.24548541466766996</v>
      </c>
      <c r="D98" s="157">
        <f t="shared" si="17"/>
        <v>1.4162569886254097</v>
      </c>
      <c r="E98" s="158">
        <f t="shared" si="17"/>
        <v>0</v>
      </c>
      <c r="F98" s="159">
        <f t="shared" si="17"/>
        <v>0</v>
      </c>
      <c r="G98" s="157">
        <f t="shared" si="17"/>
        <v>0</v>
      </c>
      <c r="H98" s="157">
        <f t="shared" si="17"/>
        <v>0</v>
      </c>
      <c r="I98" s="157">
        <f t="shared" si="17"/>
        <v>0</v>
      </c>
      <c r="J98" s="158">
        <f t="shared" si="17"/>
        <v>0</v>
      </c>
    </row>
    <row r="99" spans="1:10" ht="13.2" x14ac:dyDescent="0.25">
      <c r="A99" s="23" t="s">
        <v>91</v>
      </c>
      <c r="B99" s="24"/>
      <c r="C99" s="160">
        <f>IFERROR((C65/#REF!)-1,0)</f>
        <v>0</v>
      </c>
      <c r="D99" s="160">
        <f t="shared" ref="D99:E99" si="18">IFERROR((D65/C65)-1,0)</f>
        <v>-0.10036425637448654</v>
      </c>
      <c r="E99" s="160">
        <f t="shared" si="18"/>
        <v>-9.5451412818745696E-2</v>
      </c>
      <c r="F99" s="160">
        <f>IFERROR((F65/E65)-1,0)</f>
        <v>0.16666666666666674</v>
      </c>
      <c r="G99" s="160">
        <f t="shared" ref="G99:J99" si="19">IFERROR((G65/F65)-1,0)</f>
        <v>4.081632653061229E-2</v>
      </c>
      <c r="H99" s="160">
        <f t="shared" si="19"/>
        <v>0</v>
      </c>
      <c r="I99" s="160">
        <f t="shared" si="19"/>
        <v>0</v>
      </c>
      <c r="J99" s="160">
        <f t="shared" si="19"/>
        <v>0</v>
      </c>
    </row>
    <row r="100" spans="1:10" ht="13.2" x14ac:dyDescent="0.25">
      <c r="A100" s="23" t="s">
        <v>92</v>
      </c>
      <c r="B100" s="24"/>
      <c r="C100" s="161">
        <f>IFERROR((C25/#REF!)-1,0)</f>
        <v>0</v>
      </c>
      <c r="D100" s="161">
        <f t="shared" ref="D100:J100" si="20">IFERROR((D25/C25)-1,0)</f>
        <v>0</v>
      </c>
      <c r="E100" s="162">
        <f t="shared" si="20"/>
        <v>0</v>
      </c>
      <c r="F100" s="160">
        <f t="shared" si="20"/>
        <v>0</v>
      </c>
      <c r="G100" s="161">
        <f t="shared" si="20"/>
        <v>0</v>
      </c>
      <c r="H100" s="161">
        <f t="shared" si="20"/>
        <v>0</v>
      </c>
      <c r="I100" s="161">
        <f t="shared" si="20"/>
        <v>0</v>
      </c>
      <c r="J100" s="162">
        <f t="shared" si="20"/>
        <v>0</v>
      </c>
    </row>
    <row r="101" spans="1:10" ht="13.2" x14ac:dyDescent="0.25">
      <c r="A101" s="23" t="s">
        <v>93</v>
      </c>
      <c r="B101" s="24"/>
      <c r="C101" s="160">
        <f>IFERROR((C17/#REF!)-1,0)</f>
        <v>0</v>
      </c>
      <c r="D101" s="160">
        <f t="shared" ref="D101:E101" si="21">IFERROR((D17/C17)-1,0)</f>
        <v>-2.389963826791619E-2</v>
      </c>
      <c r="E101" s="160">
        <f t="shared" si="21"/>
        <v>0.3789041016586101</v>
      </c>
      <c r="F101" s="160">
        <f>IFERROR((F17/E17)-1,0)</f>
        <v>0.27254606627586075</v>
      </c>
      <c r="G101" s="160">
        <f t="shared" ref="G101:J101" si="22">IFERROR((G17/F17)-1,0)</f>
        <v>-0.19660967049154365</v>
      </c>
      <c r="H101" s="160">
        <f t="shared" si="22"/>
        <v>7.4947346388323233E-3</v>
      </c>
      <c r="I101" s="160">
        <f t="shared" si="22"/>
        <v>7.5133712613735248E-3</v>
      </c>
      <c r="J101" s="160">
        <f t="shared" si="22"/>
        <v>7.5319149010266706E-3</v>
      </c>
    </row>
    <row r="102" spans="1:10" ht="13.2" x14ac:dyDescent="0.25">
      <c r="A102" s="23" t="s">
        <v>94</v>
      </c>
      <c r="B102" s="24"/>
      <c r="C102" s="160">
        <f>IFERROR((C44/#REF!)-1,0)</f>
        <v>0</v>
      </c>
      <c r="D102" s="160">
        <f t="shared" ref="D102:E102" si="23">IFERROR((D44/C44)-1,0)</f>
        <v>0.60092806207713201</v>
      </c>
      <c r="E102" s="160">
        <f t="shared" si="23"/>
        <v>-0.55943770119568836</v>
      </c>
      <c r="F102" s="160">
        <f>IFERROR((F44/E44)-1,0)</f>
        <v>-0.32916143630347139</v>
      </c>
      <c r="G102" s="160">
        <f t="shared" ref="G102:J102" si="24">IFERROR((G44/F44)-1,0)</f>
        <v>4.081632653061229E-2</v>
      </c>
      <c r="H102" s="160">
        <f t="shared" si="24"/>
        <v>0</v>
      </c>
      <c r="I102" s="160">
        <f t="shared" si="24"/>
        <v>0</v>
      </c>
      <c r="J102" s="160">
        <f t="shared" si="24"/>
        <v>0</v>
      </c>
    </row>
    <row r="103" spans="1:10" ht="13.8" thickBot="1" x14ac:dyDescent="0.3">
      <c r="A103" s="3" t="s">
        <v>95</v>
      </c>
      <c r="B103" s="24"/>
      <c r="C103" s="163">
        <f t="shared" ref="C103:J103" si="25">IFERROR(C52/(C29+SUM(C41:C42)/365),0)</f>
        <v>0</v>
      </c>
      <c r="D103" s="163">
        <f t="shared" si="25"/>
        <v>0</v>
      </c>
      <c r="E103" s="164">
        <f t="shared" si="25"/>
        <v>0</v>
      </c>
      <c r="F103" s="165">
        <f t="shared" si="25"/>
        <v>0</v>
      </c>
      <c r="G103" s="163">
        <f t="shared" si="25"/>
        <v>0</v>
      </c>
      <c r="H103" s="163">
        <f t="shared" si="25"/>
        <v>0</v>
      </c>
      <c r="I103" s="163">
        <f t="shared" si="25"/>
        <v>0</v>
      </c>
      <c r="J103" s="164">
        <f t="shared" si="25"/>
        <v>0</v>
      </c>
    </row>
    <row r="104" spans="1:10" ht="13.2" x14ac:dyDescent="0.25">
      <c r="A104" s="3"/>
      <c r="B104" s="24"/>
      <c r="C104" s="3"/>
      <c r="D104" s="3"/>
      <c r="E104" s="3"/>
      <c r="F104" s="3"/>
      <c r="G104" s="3"/>
      <c r="H104" s="3"/>
      <c r="I104" s="3"/>
      <c r="J104" s="166"/>
    </row>
    <row r="105" spans="1:10" ht="13.8" thickBot="1" x14ac:dyDescent="0.3">
      <c r="A105" s="38" t="s">
        <v>96</v>
      </c>
      <c r="B105" s="24"/>
      <c r="C105" s="3"/>
      <c r="D105" s="3"/>
      <c r="E105" s="3"/>
      <c r="F105" s="3"/>
      <c r="G105" s="3"/>
      <c r="H105" s="3"/>
      <c r="I105" s="3"/>
      <c r="J105" s="166"/>
    </row>
    <row r="106" spans="1:10" ht="13.2" x14ac:dyDescent="0.25">
      <c r="A106" s="24" t="s">
        <v>97</v>
      </c>
      <c r="B106" s="24"/>
      <c r="C106" s="167">
        <f t="shared" ref="C106:J106" si="26">C77/C$65</f>
        <v>0</v>
      </c>
      <c r="D106" s="167">
        <f t="shared" si="26"/>
        <v>0</v>
      </c>
      <c r="E106" s="168">
        <f t="shared" si="26"/>
        <v>0</v>
      </c>
      <c r="F106" s="169">
        <f t="shared" si="26"/>
        <v>0</v>
      </c>
      <c r="G106" s="167">
        <f t="shared" si="26"/>
        <v>0</v>
      </c>
      <c r="H106" s="167">
        <f t="shared" si="26"/>
        <v>0</v>
      </c>
      <c r="I106" s="167">
        <f t="shared" si="26"/>
        <v>0</v>
      </c>
      <c r="J106" s="168">
        <f t="shared" si="26"/>
        <v>0</v>
      </c>
    </row>
    <row r="107" spans="1:10" ht="13.2" x14ac:dyDescent="0.25">
      <c r="A107" s="24" t="s">
        <v>98</v>
      </c>
      <c r="B107" s="24"/>
      <c r="C107" s="170">
        <f t="shared" ref="C107:J107" si="27">+C$20/C$65</f>
        <v>5428.746958071767</v>
      </c>
      <c r="D107" s="170">
        <f t="shared" si="27"/>
        <v>6614.9853549276359</v>
      </c>
      <c r="E107" s="171">
        <f t="shared" si="27"/>
        <v>7388.3952380952378</v>
      </c>
      <c r="F107" s="172">
        <f t="shared" si="27"/>
        <v>8754.8408163265303</v>
      </c>
      <c r="G107" s="170">
        <f t="shared" si="27"/>
        <v>8740.7029411764725</v>
      </c>
      <c r="H107" s="170">
        <f t="shared" si="27"/>
        <v>8825.3060490196076</v>
      </c>
      <c r="I107" s="170">
        <f t="shared" si="27"/>
        <v>8910.7551879411749</v>
      </c>
      <c r="J107" s="171">
        <f t="shared" si="27"/>
        <v>8997.0588182519587</v>
      </c>
    </row>
    <row r="108" spans="1:10" x14ac:dyDescent="0.3">
      <c r="A108" s="24" t="s">
        <v>99</v>
      </c>
      <c r="C108" s="170">
        <f t="shared" ref="C108:J108" si="28">(C$77+C$20)/C$65</f>
        <v>5428.746958071767</v>
      </c>
      <c r="D108" s="170">
        <f t="shared" si="28"/>
        <v>6614.9853549276359</v>
      </c>
      <c r="E108" s="171">
        <f t="shared" si="28"/>
        <v>7388.3952380952378</v>
      </c>
      <c r="F108" s="172">
        <f t="shared" si="28"/>
        <v>8754.8408163265303</v>
      </c>
      <c r="G108" s="170">
        <f t="shared" si="28"/>
        <v>8740.7029411764725</v>
      </c>
      <c r="H108" s="170">
        <f t="shared" si="28"/>
        <v>8825.3060490196076</v>
      </c>
      <c r="I108" s="170">
        <f t="shared" si="28"/>
        <v>8910.7551879411749</v>
      </c>
      <c r="J108" s="171">
        <f t="shared" si="28"/>
        <v>8997.0588182519587</v>
      </c>
    </row>
    <row r="109" spans="1:10" x14ac:dyDescent="0.3">
      <c r="A109" s="24" t="s">
        <v>100</v>
      </c>
      <c r="C109" s="170">
        <f t="shared" ref="C109:J109" si="29">C20/SUM(C66:C68)</f>
        <v>41204.18941176471</v>
      </c>
      <c r="D109" s="170">
        <f t="shared" si="29"/>
        <v>39377.820512820515</v>
      </c>
      <c r="E109" s="171">
        <f t="shared" si="29"/>
        <v>47017.060606060608</v>
      </c>
      <c r="F109" s="172">
        <f t="shared" si="29"/>
        <v>64998.060606060608</v>
      </c>
      <c r="G109" s="170">
        <f t="shared" si="29"/>
        <v>61913.312500000015</v>
      </c>
      <c r="H109" s="170">
        <f t="shared" si="29"/>
        <v>62512.584513888891</v>
      </c>
      <c r="I109" s="170">
        <f t="shared" si="29"/>
        <v>63117.849247916653</v>
      </c>
      <c r="J109" s="171">
        <f t="shared" si="29"/>
        <v>63729.166629284708</v>
      </c>
    </row>
    <row r="110" spans="1:10" x14ac:dyDescent="0.3">
      <c r="A110" s="24" t="s">
        <v>101</v>
      </c>
      <c r="C110" s="170">
        <f t="shared" ref="C110:J110" si="30">+C$21/C$65</f>
        <v>1371.4323025652955</v>
      </c>
      <c r="D110" s="170">
        <f t="shared" si="30"/>
        <v>1595.5504824259133</v>
      </c>
      <c r="E110" s="171">
        <f t="shared" si="30"/>
        <v>2313.3190476190475</v>
      </c>
      <c r="F110" s="172">
        <f t="shared" si="30"/>
        <v>2192.2944734693874</v>
      </c>
      <c r="G110" s="170">
        <f t="shared" si="30"/>
        <v>2127.3853625882352</v>
      </c>
      <c r="H110" s="170">
        <f t="shared" si="30"/>
        <v>2148.6592162141178</v>
      </c>
      <c r="I110" s="170">
        <f t="shared" si="30"/>
        <v>2170.1458083762586</v>
      </c>
      <c r="J110" s="171">
        <f t="shared" si="30"/>
        <v>2191.8472664600217</v>
      </c>
    </row>
    <row r="111" spans="1:10" x14ac:dyDescent="0.3">
      <c r="A111" s="24" t="s">
        <v>102</v>
      </c>
      <c r="C111" s="170">
        <f t="shared" ref="C111:J111" si="31">+C$65/C$66</f>
        <v>11.22</v>
      </c>
      <c r="D111" s="170">
        <f t="shared" si="31"/>
        <v>9.2864000000000004</v>
      </c>
      <c r="E111" s="171">
        <f t="shared" si="31"/>
        <v>9.545454545454545</v>
      </c>
      <c r="F111" s="172">
        <f t="shared" si="31"/>
        <v>11.136363636363637</v>
      </c>
      <c r="G111" s="170">
        <f t="shared" si="31"/>
        <v>10.625</v>
      </c>
      <c r="H111" s="170">
        <f t="shared" si="31"/>
        <v>10.625</v>
      </c>
      <c r="I111" s="170">
        <f t="shared" si="31"/>
        <v>10.625</v>
      </c>
      <c r="J111" s="171">
        <f t="shared" si="31"/>
        <v>10.625</v>
      </c>
    </row>
    <row r="112" spans="1:10" x14ac:dyDescent="0.3">
      <c r="A112" s="24" t="s">
        <v>103</v>
      </c>
      <c r="C112" s="170">
        <f t="shared" ref="C112:J112" si="32">+C$65/SUM(C$66:C$68)</f>
        <v>7.59</v>
      </c>
      <c r="D112" s="170">
        <f t="shared" si="32"/>
        <v>5.9528205128205132</v>
      </c>
      <c r="E112" s="171">
        <f t="shared" si="32"/>
        <v>6.3636363636363633</v>
      </c>
      <c r="F112" s="172">
        <f t="shared" si="32"/>
        <v>7.4242424242424239</v>
      </c>
      <c r="G112" s="170">
        <f t="shared" si="32"/>
        <v>7.083333333333333</v>
      </c>
      <c r="H112" s="170">
        <f t="shared" si="32"/>
        <v>7.083333333333333</v>
      </c>
      <c r="I112" s="170">
        <f t="shared" si="32"/>
        <v>7.083333333333333</v>
      </c>
      <c r="J112" s="171">
        <f t="shared" si="32"/>
        <v>7.083333333333333</v>
      </c>
    </row>
    <row r="113" spans="1:10" x14ac:dyDescent="0.3">
      <c r="A113" s="24"/>
      <c r="C113" s="170"/>
      <c r="D113" s="170"/>
      <c r="E113" s="171"/>
      <c r="F113" s="172"/>
      <c r="G113" s="170"/>
      <c r="H113" s="170"/>
      <c r="I113" s="170"/>
      <c r="J113" s="171"/>
    </row>
    <row r="114" spans="1:10" x14ac:dyDescent="0.3">
      <c r="A114" s="3" t="s">
        <v>104</v>
      </c>
      <c r="C114" s="170">
        <f t="shared" ref="C114:J114" si="33">C17/C$65</f>
        <v>9463.3360846314808</v>
      </c>
      <c r="D114" s="170">
        <f t="shared" si="33"/>
        <v>10267.673156443832</v>
      </c>
      <c r="E114" s="171">
        <f t="shared" si="33"/>
        <v>15652.157142857142</v>
      </c>
      <c r="F114" s="172">
        <f t="shared" si="33"/>
        <v>17072.649429320976</v>
      </c>
      <c r="G114" s="170">
        <f t="shared" si="33"/>
        <v>13178.11904077691</v>
      </c>
      <c r="H114" s="170">
        <f t="shared" si="33"/>
        <v>13276.885546026475</v>
      </c>
      <c r="I114" s="170">
        <f t="shared" si="33"/>
        <v>13376.639716328536</v>
      </c>
      <c r="J114" s="171">
        <f t="shared" si="33"/>
        <v>13477.391428333618</v>
      </c>
    </row>
    <row r="115" spans="1:10" x14ac:dyDescent="0.3">
      <c r="A115" s="173" t="s">
        <v>105</v>
      </c>
      <c r="C115" s="170">
        <f t="shared" ref="C115:J115" si="34">C28/C$65</f>
        <v>11464.345539796946</v>
      </c>
      <c r="D115" s="170">
        <f t="shared" si="34"/>
        <v>13682.167470709855</v>
      </c>
      <c r="E115" s="171">
        <f t="shared" si="34"/>
        <v>16323.890476190476</v>
      </c>
      <c r="F115" s="172">
        <f t="shared" si="34"/>
        <v>20027.691088163265</v>
      </c>
      <c r="G115" s="170">
        <f t="shared" si="34"/>
        <v>17224.997299890201</v>
      </c>
      <c r="H115" s="170">
        <f t="shared" si="34"/>
        <v>17452.142480497409</v>
      </c>
      <c r="I115" s="170">
        <f t="shared" si="34"/>
        <v>17682.771795102082</v>
      </c>
      <c r="J115" s="171">
        <f t="shared" si="34"/>
        <v>17916.944338688005</v>
      </c>
    </row>
    <row r="116" spans="1:10" x14ac:dyDescent="0.3">
      <c r="A116" s="174" t="s">
        <v>106</v>
      </c>
      <c r="C116" s="175">
        <f t="shared" ref="C116:J116" si="35">+C114-C115</f>
        <v>-2001.0094551654656</v>
      </c>
      <c r="D116" s="175">
        <f t="shared" si="35"/>
        <v>-3414.4943142660231</v>
      </c>
      <c r="E116" s="176">
        <f t="shared" si="35"/>
        <v>-671.73333333333358</v>
      </c>
      <c r="F116" s="177">
        <f t="shared" si="35"/>
        <v>-2955.0416588422886</v>
      </c>
      <c r="G116" s="175">
        <f t="shared" si="35"/>
        <v>-4046.8782591132913</v>
      </c>
      <c r="H116" s="175">
        <f t="shared" si="35"/>
        <v>-4175.2569344709336</v>
      </c>
      <c r="I116" s="175">
        <f t="shared" si="35"/>
        <v>-4306.1320787735458</v>
      </c>
      <c r="J116" s="176">
        <f t="shared" si="35"/>
        <v>-4439.5529103543868</v>
      </c>
    </row>
    <row r="117" spans="1:10" x14ac:dyDescent="0.3">
      <c r="A117" s="24"/>
      <c r="C117" s="178"/>
      <c r="D117" s="178"/>
      <c r="E117" s="179"/>
      <c r="F117" s="180"/>
      <c r="G117" s="178"/>
      <c r="H117" s="178"/>
      <c r="I117" s="178"/>
      <c r="J117" s="179"/>
    </row>
    <row r="118" spans="1:10" x14ac:dyDescent="0.3">
      <c r="A118" s="3" t="s">
        <v>107</v>
      </c>
      <c r="C118" s="170">
        <f t="shared" ref="C118:J118" si="36">+SUM(C34:C39)/C65</f>
        <v>3393.170580485159</v>
      </c>
      <c r="D118" s="170">
        <f t="shared" si="36"/>
        <v>5864.3737077877331</v>
      </c>
      <c r="E118" s="171">
        <f t="shared" si="36"/>
        <v>2689.5761904761903</v>
      </c>
      <c r="F118" s="172">
        <f t="shared" si="36"/>
        <v>1546.5183673469387</v>
      </c>
      <c r="G118" s="170">
        <f t="shared" si="36"/>
        <v>1546.5183673469389</v>
      </c>
      <c r="H118" s="170">
        <f t="shared" si="36"/>
        <v>1546.5183673469389</v>
      </c>
      <c r="I118" s="170">
        <f t="shared" si="36"/>
        <v>1546.5183673469389</v>
      </c>
      <c r="J118" s="171">
        <f t="shared" si="36"/>
        <v>1546.5183673469389</v>
      </c>
    </row>
    <row r="119" spans="1:10" x14ac:dyDescent="0.3">
      <c r="A119" s="24" t="s">
        <v>108</v>
      </c>
      <c r="C119" s="170">
        <f t="shared" ref="C119:J119" si="37">+SUM(C40:C43)/C65*-1</f>
        <v>290.01674029295515</v>
      </c>
      <c r="D119" s="170">
        <f t="shared" si="37"/>
        <v>342.22088215024121</v>
      </c>
      <c r="E119" s="171">
        <f t="shared" si="37"/>
        <v>0</v>
      </c>
      <c r="F119" s="172">
        <f t="shared" si="37"/>
        <v>0</v>
      </c>
      <c r="G119" s="170">
        <f t="shared" si="37"/>
        <v>0</v>
      </c>
      <c r="H119" s="170">
        <f t="shared" si="37"/>
        <v>0</v>
      </c>
      <c r="I119" s="170">
        <f t="shared" si="37"/>
        <v>0</v>
      </c>
      <c r="J119" s="171">
        <f t="shared" si="37"/>
        <v>0</v>
      </c>
    </row>
    <row r="120" spans="1:10" x14ac:dyDescent="0.3">
      <c r="A120" s="174" t="s">
        <v>109</v>
      </c>
      <c r="C120" s="175">
        <f t="shared" ref="C120:J120" si="38">+C118-C119</f>
        <v>3103.1538401922039</v>
      </c>
      <c r="D120" s="175">
        <f t="shared" si="38"/>
        <v>5522.1528256374922</v>
      </c>
      <c r="E120" s="176">
        <f t="shared" si="38"/>
        <v>2689.5761904761903</v>
      </c>
      <c r="F120" s="177">
        <f t="shared" si="38"/>
        <v>1546.5183673469387</v>
      </c>
      <c r="G120" s="175">
        <f t="shared" si="38"/>
        <v>1546.5183673469389</v>
      </c>
      <c r="H120" s="175">
        <f t="shared" si="38"/>
        <v>1546.5183673469389</v>
      </c>
      <c r="I120" s="175">
        <f t="shared" si="38"/>
        <v>1546.5183673469389</v>
      </c>
      <c r="J120" s="176">
        <f t="shared" si="38"/>
        <v>1546.5183673469389</v>
      </c>
    </row>
    <row r="121" spans="1:10" ht="15" thickBot="1" x14ac:dyDescent="0.35">
      <c r="A121" s="148"/>
      <c r="C121" s="178"/>
      <c r="D121" s="178"/>
      <c r="E121" s="179"/>
      <c r="F121" s="180"/>
      <c r="G121" s="178"/>
      <c r="H121" s="178"/>
      <c r="I121" s="178"/>
      <c r="J121" s="179"/>
    </row>
    <row r="122" spans="1:10" ht="15" thickBot="1" x14ac:dyDescent="0.35">
      <c r="A122" s="174" t="s">
        <v>110</v>
      </c>
      <c r="C122" s="102">
        <f t="shared" ref="C122:J122" si="39">+C120+C116</f>
        <v>1102.1443850267383</v>
      </c>
      <c r="D122" s="102">
        <f t="shared" si="39"/>
        <v>2107.6585113714691</v>
      </c>
      <c r="E122" s="103">
        <f t="shared" si="39"/>
        <v>2017.8428571428567</v>
      </c>
      <c r="F122" s="181">
        <f t="shared" si="39"/>
        <v>-1408.5232914953499</v>
      </c>
      <c r="G122" s="102">
        <f t="shared" si="39"/>
        <v>-2500.3598917663521</v>
      </c>
      <c r="H122" s="102">
        <f t="shared" si="39"/>
        <v>-2628.7385671239945</v>
      </c>
      <c r="I122" s="102">
        <f t="shared" si="39"/>
        <v>-2759.6137114266066</v>
      </c>
      <c r="J122" s="103">
        <f t="shared" si="39"/>
        <v>-2893.0345430074476</v>
      </c>
    </row>
    <row r="125" spans="1:10" ht="15" thickBot="1" x14ac:dyDescent="0.35">
      <c r="A125" s="38" t="s">
        <v>111</v>
      </c>
      <c r="C125" s="24"/>
      <c r="D125" s="24"/>
      <c r="E125" s="24"/>
      <c r="F125" s="24"/>
    </row>
    <row r="126" spans="1:10" x14ac:dyDescent="0.3">
      <c r="A126" s="24"/>
      <c r="C126" s="182" t="s">
        <v>112</v>
      </c>
      <c r="D126" s="183"/>
      <c r="E126" s="183"/>
      <c r="F126" s="183"/>
      <c r="G126" s="183"/>
      <c r="H126" s="184"/>
    </row>
    <row r="127" spans="1:10" ht="15" thickBot="1" x14ac:dyDescent="0.35">
      <c r="A127" s="24"/>
      <c r="C127" s="185"/>
      <c r="D127" s="186"/>
      <c r="E127" s="186"/>
      <c r="F127" s="186"/>
      <c r="G127" s="186"/>
      <c r="H127" s="187"/>
    </row>
    <row r="128" spans="1:10" ht="28.8" x14ac:dyDescent="0.3">
      <c r="A128" s="24"/>
      <c r="C128" s="188" t="s">
        <v>113</v>
      </c>
      <c r="D128" s="189" t="s">
        <v>114</v>
      </c>
      <c r="E128" s="189" t="s">
        <v>115</v>
      </c>
      <c r="F128" s="189" t="s">
        <v>116</v>
      </c>
      <c r="G128" s="190" t="s">
        <v>117</v>
      </c>
      <c r="H128" s="191" t="s">
        <v>118</v>
      </c>
    </row>
    <row r="129" spans="1:9" x14ac:dyDescent="0.3">
      <c r="A129" s="24"/>
      <c r="C129" s="192" t="s">
        <v>119</v>
      </c>
      <c r="D129" s="193">
        <v>0</v>
      </c>
      <c r="E129" s="193">
        <v>0</v>
      </c>
      <c r="F129" s="193">
        <v>0</v>
      </c>
      <c r="G129" s="193">
        <v>0</v>
      </c>
      <c r="H129" s="194"/>
    </row>
    <row r="130" spans="1:9" x14ac:dyDescent="0.3">
      <c r="A130" s="24"/>
      <c r="C130" s="195" t="s">
        <v>120</v>
      </c>
      <c r="D130" s="196">
        <v>892382.77</v>
      </c>
      <c r="E130" s="196">
        <v>203638.33</v>
      </c>
      <c r="F130" s="196">
        <v>170570.27</v>
      </c>
      <c r="G130" s="196">
        <v>691795</v>
      </c>
      <c r="H130" s="197" t="s">
        <v>121</v>
      </c>
    </row>
    <row r="131" spans="1:9" x14ac:dyDescent="0.3">
      <c r="A131" s="24"/>
      <c r="C131" s="192" t="s">
        <v>122</v>
      </c>
      <c r="D131" s="193">
        <v>0</v>
      </c>
      <c r="E131" s="193">
        <v>0</v>
      </c>
      <c r="F131" s="193">
        <v>0</v>
      </c>
      <c r="G131" s="193">
        <v>0</v>
      </c>
      <c r="H131" s="198"/>
    </row>
    <row r="132" spans="1:9" x14ac:dyDescent="0.3">
      <c r="A132" s="24"/>
      <c r="C132" s="195" t="s">
        <v>123</v>
      </c>
      <c r="D132" s="196">
        <v>0</v>
      </c>
      <c r="E132" s="196">
        <v>0</v>
      </c>
      <c r="F132" s="196">
        <v>0</v>
      </c>
      <c r="G132" s="196">
        <v>0</v>
      </c>
      <c r="H132" s="197"/>
      <c r="I132" s="199"/>
    </row>
    <row r="133" spans="1:9" x14ac:dyDescent="0.3">
      <c r="A133" s="24"/>
      <c r="C133" s="192" t="s">
        <v>124</v>
      </c>
      <c r="D133" s="193">
        <v>0</v>
      </c>
      <c r="E133" s="193">
        <v>0</v>
      </c>
      <c r="F133" s="193">
        <v>0</v>
      </c>
      <c r="G133" s="193">
        <v>0</v>
      </c>
      <c r="H133" s="194"/>
    </row>
    <row r="134" spans="1:9" x14ac:dyDescent="0.3">
      <c r="A134" s="24"/>
      <c r="C134" s="195" t="s">
        <v>125</v>
      </c>
      <c r="D134" s="196">
        <v>0</v>
      </c>
      <c r="E134" s="196">
        <v>0</v>
      </c>
      <c r="F134" s="196">
        <v>0</v>
      </c>
      <c r="G134" s="196">
        <v>0</v>
      </c>
      <c r="H134" s="197"/>
    </row>
    <row r="135" spans="1:9" ht="27" thickBot="1" x14ac:dyDescent="0.35">
      <c r="A135" s="24"/>
      <c r="C135" s="200" t="s">
        <v>126</v>
      </c>
      <c r="D135" s="201">
        <v>0</v>
      </c>
      <c r="E135" s="201">
        <v>0</v>
      </c>
      <c r="F135" s="201">
        <v>0</v>
      </c>
      <c r="G135" s="201">
        <v>0</v>
      </c>
      <c r="H135" s="202"/>
    </row>
    <row r="136" spans="1:9" ht="15" thickBot="1" x14ac:dyDescent="0.35">
      <c r="A136" s="24"/>
      <c r="C136" s="203"/>
      <c r="D136" s="204"/>
      <c r="E136" s="204"/>
      <c r="F136" s="204"/>
      <c r="G136" s="204"/>
      <c r="H136" s="205"/>
    </row>
    <row r="137" spans="1:9" ht="15" thickBot="1" x14ac:dyDescent="0.35">
      <c r="A137" s="24"/>
      <c r="C137" s="206" t="s">
        <v>127</v>
      </c>
      <c r="D137" s="207">
        <v>892382.77</v>
      </c>
      <c r="E137" s="207">
        <v>203638.33</v>
      </c>
      <c r="F137" s="207">
        <v>170570.27</v>
      </c>
      <c r="G137" s="207">
        <v>691795</v>
      </c>
      <c r="H137" s="205"/>
    </row>
    <row r="138" spans="1:9" x14ac:dyDescent="0.3">
      <c r="A138" s="24"/>
      <c r="C138" s="208"/>
      <c r="D138" s="208"/>
      <c r="E138" s="208"/>
      <c r="F138" s="209"/>
    </row>
    <row r="139" spans="1:9" x14ac:dyDescent="0.3">
      <c r="A139" s="148" t="s">
        <v>128</v>
      </c>
      <c r="E139" s="199"/>
    </row>
    <row r="140" spans="1:9" x14ac:dyDescent="0.3">
      <c r="A140" s="24" t="s">
        <v>129</v>
      </c>
    </row>
    <row r="141" spans="1:9" x14ac:dyDescent="0.3">
      <c r="A141" s="24" t="s">
        <v>130</v>
      </c>
    </row>
    <row r="142" spans="1:9" x14ac:dyDescent="0.3">
      <c r="A142" s="24" t="s">
        <v>131</v>
      </c>
    </row>
    <row r="143" spans="1:9" x14ac:dyDescent="0.3">
      <c r="A143" s="24" t="s">
        <v>132</v>
      </c>
    </row>
    <row r="144" spans="1:9" x14ac:dyDescent="0.3">
      <c r="A144" s="24"/>
    </row>
    <row r="145" spans="1:7" x14ac:dyDescent="0.3">
      <c r="A145" s="148" t="s">
        <v>133</v>
      </c>
      <c r="C145" s="210" t="s">
        <v>134</v>
      </c>
      <c r="D145" s="210" t="s">
        <v>135</v>
      </c>
    </row>
    <row r="146" spans="1:7" x14ac:dyDescent="0.3">
      <c r="A146" s="211" t="s">
        <v>136</v>
      </c>
      <c r="C146" s="212">
        <v>0.16700000000000001</v>
      </c>
      <c r="D146" s="213" t="s">
        <v>137</v>
      </c>
    </row>
    <row r="147" spans="1:7" x14ac:dyDescent="0.3">
      <c r="A147" s="211" t="s">
        <v>138</v>
      </c>
      <c r="C147" s="214">
        <f>3576148/327</f>
        <v>10936.232415902141</v>
      </c>
      <c r="D147" s="213" t="s">
        <v>139</v>
      </c>
    </row>
    <row r="148" spans="1:7" x14ac:dyDescent="0.3">
      <c r="A148" s="211" t="s">
        <v>140</v>
      </c>
      <c r="C148" s="212">
        <v>0.04</v>
      </c>
      <c r="D148" s="213" t="s">
        <v>141</v>
      </c>
    </row>
    <row r="149" spans="1:7" x14ac:dyDescent="0.3">
      <c r="A149" s="211" t="s">
        <v>142</v>
      </c>
      <c r="C149" s="212">
        <v>0.02</v>
      </c>
      <c r="D149" s="213" t="s">
        <v>143</v>
      </c>
    </row>
    <row r="150" spans="1:7" x14ac:dyDescent="0.3">
      <c r="A150" s="211" t="s">
        <v>144</v>
      </c>
      <c r="C150" s="212">
        <v>0.01</v>
      </c>
      <c r="D150" s="213" t="s">
        <v>145</v>
      </c>
    </row>
    <row r="151" spans="1:7" x14ac:dyDescent="0.3">
      <c r="A151" s="211" t="s">
        <v>65</v>
      </c>
      <c r="C151" s="213"/>
      <c r="D151" s="213"/>
    </row>
    <row r="152" spans="1:7" x14ac:dyDescent="0.3">
      <c r="A152" s="211" t="s">
        <v>146</v>
      </c>
      <c r="C152" s="214">
        <v>0</v>
      </c>
      <c r="D152" s="213" t="s">
        <v>147</v>
      </c>
      <c r="G152" s="215"/>
    </row>
    <row r="153" spans="1:7" x14ac:dyDescent="0.3">
      <c r="A153" s="211" t="s">
        <v>148</v>
      </c>
      <c r="C153" s="214">
        <f>F73</f>
        <v>94650</v>
      </c>
      <c r="D153" s="213" t="s">
        <v>149</v>
      </c>
      <c r="G153" s="215"/>
    </row>
    <row r="154" spans="1:7" x14ac:dyDescent="0.3">
      <c r="A154" s="211" t="s">
        <v>150</v>
      </c>
      <c r="C154" s="214">
        <v>245111</v>
      </c>
      <c r="D154" s="213" t="s">
        <v>151</v>
      </c>
      <c r="G154" s="215"/>
    </row>
    <row r="155" spans="1:7" x14ac:dyDescent="0.3">
      <c r="A155" s="211" t="s">
        <v>69</v>
      </c>
      <c r="C155" s="214">
        <f>F76</f>
        <v>26508</v>
      </c>
      <c r="D155" s="213" t="s">
        <v>152</v>
      </c>
      <c r="G155" s="215"/>
    </row>
    <row r="156" spans="1:7" x14ac:dyDescent="0.3">
      <c r="A156" s="211" t="s">
        <v>71</v>
      </c>
      <c r="C156" s="214">
        <v>0</v>
      </c>
      <c r="D156" s="213" t="s">
        <v>153</v>
      </c>
      <c r="G156" s="215"/>
    </row>
    <row r="157" spans="1:7" x14ac:dyDescent="0.3">
      <c r="A157" s="211" t="s">
        <v>72</v>
      </c>
      <c r="C157" s="214">
        <f>F78</f>
        <v>68826</v>
      </c>
      <c r="D157" s="213" t="s">
        <v>154</v>
      </c>
      <c r="G157" s="215"/>
    </row>
    <row r="158" spans="1:7" x14ac:dyDescent="0.3">
      <c r="A158" s="211" t="s">
        <v>155</v>
      </c>
      <c r="C158" s="214">
        <f>F80</f>
        <v>10000</v>
      </c>
      <c r="D158" s="213" t="s">
        <v>156</v>
      </c>
      <c r="G158" s="215"/>
    </row>
    <row r="159" spans="1:7" x14ac:dyDescent="0.3">
      <c r="A159" s="211" t="s">
        <v>157</v>
      </c>
      <c r="C159" s="214">
        <v>140000</v>
      </c>
      <c r="D159" s="213" t="s">
        <v>158</v>
      </c>
    </row>
    <row r="160" spans="1:7" x14ac:dyDescent="0.3">
      <c r="A160" s="211" t="s">
        <v>159</v>
      </c>
      <c r="C160" s="214">
        <v>92250</v>
      </c>
      <c r="D160" s="213" t="s">
        <v>160</v>
      </c>
    </row>
    <row r="161" spans="1:12" x14ac:dyDescent="0.3">
      <c r="A161" s="211" t="s">
        <v>161</v>
      </c>
      <c r="C161" s="214">
        <v>22000</v>
      </c>
      <c r="D161" s="213" t="s">
        <v>162</v>
      </c>
    </row>
    <row r="162" spans="1:12" x14ac:dyDescent="0.3">
      <c r="A162" s="211" t="s">
        <v>163</v>
      </c>
      <c r="C162" s="214">
        <v>39800</v>
      </c>
      <c r="D162" s="213" t="s">
        <v>164</v>
      </c>
    </row>
    <row r="163" spans="1:12" x14ac:dyDescent="0.3">
      <c r="A163" s="211" t="s">
        <v>165</v>
      </c>
      <c r="C163" s="214">
        <v>188060.12363636366</v>
      </c>
      <c r="D163" s="213" t="s">
        <v>166</v>
      </c>
    </row>
    <row r="164" spans="1:12" x14ac:dyDescent="0.3">
      <c r="A164" s="216"/>
      <c r="C164" s="214"/>
      <c r="D164" s="213" t="s">
        <v>167</v>
      </c>
    </row>
    <row r="165" spans="1:12" x14ac:dyDescent="0.3">
      <c r="L165" s="215"/>
    </row>
    <row r="166" spans="1:12" x14ac:dyDescent="0.3">
      <c r="L166" s="215"/>
    </row>
  </sheetData>
  <mergeCells count="9">
    <mergeCell ref="L9:N9"/>
    <mergeCell ref="O9:R9"/>
    <mergeCell ref="C126:H127"/>
    <mergeCell ref="C4:J4"/>
    <mergeCell ref="C5:J5"/>
    <mergeCell ref="C6:J6"/>
    <mergeCell ref="C7:J7"/>
    <mergeCell ref="C9:E9"/>
    <mergeCell ref="F9:J9"/>
  </mergeCells>
  <pageMargins left="0.7" right="0.7" top="0.75" bottom="0.75" header="0.3" footer="0.3"/>
  <pageSetup scale="67" fitToHeight="0" orientation="landscape" r:id="rId1"/>
  <rowBreaks count="2" manualBreakCount="2">
    <brk id="63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ODE - TIS</vt:lpstr>
      <vt:lpstr>'ODE - TIS'!Print_Area</vt:lpstr>
      <vt:lpstr>'ODE - TIS'!Print_Titles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Karousis</dc:creator>
  <cp:lastModifiedBy>Davis Karousis</cp:lastModifiedBy>
  <dcterms:created xsi:type="dcterms:W3CDTF">2024-10-14T17:47:47Z</dcterms:created>
  <dcterms:modified xsi:type="dcterms:W3CDTF">2024-10-14T17:48:22Z</dcterms:modified>
</cp:coreProperties>
</file>