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olisma\Documents\"/>
    </mc:Choice>
  </mc:AlternateContent>
  <bookViews>
    <workbookView xWindow="0" yWindow="0" windowWidth="28800" windowHeight="10128"/>
  </bookViews>
  <sheets>
    <sheet name="FY 2023-24 Budget" sheetId="1" r:id="rId1"/>
    <sheet name="Stipend" sheetId="2" r:id="rId2"/>
    <sheet name="P&amp;L (QB)" sheetId="3" state="hidden" r:id="rId3"/>
    <sheet name="Personnel" sheetId="4" r:id="rId4"/>
    <sheet name="Taxes" sheetId="5" r:id="rId5"/>
    <sheet name="Benefits" sheetId="6" r:id="rId6"/>
    <sheet name="Capital" sheetId="7" r:id="rId7"/>
    <sheet name="Rent Schedule" sheetId="8" r:id="rId8"/>
  </sheets>
  <definedNames>
    <definedName name="__xlnm._FilterDatabase" localSheetId="5">#REF!</definedName>
    <definedName name="__xlnm._FilterDatabase" localSheetId="3">#REF!</definedName>
    <definedName name="__xlnm._FilterDatabase" localSheetId="7">#REF!</definedName>
    <definedName name="__xlnm._FilterDatabase" localSheetId="4">#REF!</definedName>
    <definedName name="__xlnm._FilterDatabase">#REF!</definedName>
    <definedName name="__xlnm._FilterDatabase_1">#REF!</definedName>
    <definedName name="__xlnm._FilterDatabase_1_1">#REF!</definedName>
    <definedName name="__xlnm._FilterDatabase_2">#REF!</definedName>
    <definedName name="__xlnm._FilterDatabase_2_1">#REF!</definedName>
    <definedName name="__xlnm._FilterDatabase_3">#REF!</definedName>
    <definedName name="__xlnm.Print_Area">#REF!</definedName>
    <definedName name="__xlnm.Print_Area_1">#REF!</definedName>
    <definedName name="__xlnm.Print_Area_2">#REF!</definedName>
    <definedName name="__xlnm.Print_Area_3" localSheetId="5">#REF!</definedName>
    <definedName name="__xlnm.Print_Area_3" localSheetId="3">#REF!</definedName>
    <definedName name="__xlnm.Print_Area_3" localSheetId="7">#REF!</definedName>
    <definedName name="__xlnm.Print_Area_3" localSheetId="4">#REF!</definedName>
    <definedName name="__xlnm.Print_Area_3">"#N/A"</definedName>
    <definedName name="__xlnm.Print_Titles" localSheetId="5">#REF!</definedName>
    <definedName name="__xlnm.Print_Titles" localSheetId="3">#REF!</definedName>
    <definedName name="__xlnm.Print_Titles" localSheetId="7">#REF!</definedName>
    <definedName name="__xlnm.Print_Titles" localSheetId="4">#REF!</definedName>
    <definedName name="__xlnm.Print_Titles">(#REF!,#REF!)</definedName>
    <definedName name="__xlnm.Print_Titles_1" localSheetId="5">#REF!</definedName>
    <definedName name="__xlnm.Print_Titles_1" localSheetId="3">#REF!</definedName>
    <definedName name="__xlnm.Print_Titles_1" localSheetId="7">#REF!</definedName>
    <definedName name="__xlnm.Print_Titles_1" localSheetId="4">#REF!</definedName>
    <definedName name="__xlnm.Print_Titles_1">(#REF!,#REF!)</definedName>
    <definedName name="__xlnm.Print_Titles_2" localSheetId="5">#REF!</definedName>
    <definedName name="__xlnm.Print_Titles_2" localSheetId="3">#REF!</definedName>
    <definedName name="__xlnm.Print_Titles_2" localSheetId="7">#REF!</definedName>
    <definedName name="__xlnm.Print_Titles_2" localSheetId="4">#REF!</definedName>
    <definedName name="__xlnm.Print_Titles_2">#REF!</definedName>
    <definedName name="__xlnm.Print_Titles_3" localSheetId="5">#REF!</definedName>
    <definedName name="__xlnm.Print_Titles_3" localSheetId="3">#REF!</definedName>
    <definedName name="__xlnm.Print_Titles_3" localSheetId="7">#REF!</definedName>
    <definedName name="__xlnm.Print_Titles_3" localSheetId="4">#REF!</definedName>
    <definedName name="__xlnm.Print_Titles_3">(#REF!,#REF!)</definedName>
    <definedName name="__xlnm.Print_Titles_4" localSheetId="5">#REF!</definedName>
    <definedName name="__xlnm.Print_Titles_4" localSheetId="3">#REF!</definedName>
    <definedName name="__xlnm.Print_Titles_4" localSheetId="7">#REF!</definedName>
    <definedName name="__xlnm.Print_Titles_4" localSheetId="4">#REF!</definedName>
    <definedName name="__xlnm.Print_Titles_4">#REF!</definedName>
    <definedName name="__xlnm.Print_Titles_5" localSheetId="5">#REF!</definedName>
    <definedName name="__xlnm.Print_Titles_5" localSheetId="3">#REF!</definedName>
    <definedName name="__xlnm.Print_Titles_5" localSheetId="7">#REF!</definedName>
    <definedName name="__xlnm.Print_Titles_5" localSheetId="4">#REF!</definedName>
    <definedName name="__xlnm.Print_Titles_5">#REF!</definedName>
    <definedName name="_Fill" localSheetId="5">#REF!</definedName>
    <definedName name="_Fill" localSheetId="3">#REF!</definedName>
    <definedName name="_Fill" localSheetId="7">#REF!</definedName>
    <definedName name="_Fill" localSheetId="4">#REF!</definedName>
    <definedName name="_Fill">#REF!</definedName>
    <definedName name="_Key1" localSheetId="5">#REF!</definedName>
    <definedName name="_Key1" localSheetId="3">#REF!</definedName>
    <definedName name="_Key1" localSheetId="7">#REF!</definedName>
    <definedName name="_Key1" localSheetId="4">#REF!</definedName>
    <definedName name="_Key1">#REF!</definedName>
    <definedName name="_Sort" localSheetId="5">#REF!</definedName>
    <definedName name="_Sort" localSheetId="3">#REF!</definedName>
    <definedName name="_Sort" localSheetId="7">#REF!</definedName>
    <definedName name="_Sort" localSheetId="4">#REF!</definedName>
    <definedName name="_Sort">#REF!</definedName>
    <definedName name="_Table1_In1" localSheetId="5">#REF!</definedName>
    <definedName name="_Table1_In1" localSheetId="3">#REF!</definedName>
    <definedName name="_Table1_In1" localSheetId="7">#REF!</definedName>
    <definedName name="_Table1_In1" localSheetId="4">#REF!</definedName>
    <definedName name="_Table1_In1">#REF!</definedName>
    <definedName name="_Table1_Out">#REF!</definedName>
    <definedName name="_Table2_In1">#REF!</definedName>
    <definedName name="_Table2_Out">#REF!</definedName>
    <definedName name="AAA">#REF!</definedName>
    <definedName name="ActMap" localSheetId="5">#REF!</definedName>
    <definedName name="ActMap" localSheetId="3">#REF!</definedName>
    <definedName name="ActMap" localSheetId="7">#REF!</definedName>
    <definedName name="ActMap" localSheetId="4">#REF!</definedName>
    <definedName name="ActMap">"#REF!"</definedName>
    <definedName name="ActMap_1" localSheetId="5">#REF!</definedName>
    <definedName name="ActMap_1" localSheetId="3">#REF!</definedName>
    <definedName name="ActMap_1" localSheetId="7">#REF!</definedName>
    <definedName name="ActMap_1" localSheetId="4">#REF!</definedName>
    <definedName name="ActMap_1">"#REF!"</definedName>
    <definedName name="ActMap_2" localSheetId="5">#REF!</definedName>
    <definedName name="ActMap_2" localSheetId="3">#REF!</definedName>
    <definedName name="ActMap_2" localSheetId="7">#REF!</definedName>
    <definedName name="ActMap_2" localSheetId="4">#REF!</definedName>
    <definedName name="ActMap_2">"#REF!"</definedName>
    <definedName name="ActMap_3" localSheetId="5">#REF!</definedName>
    <definedName name="ActMap_3" localSheetId="3">#REF!</definedName>
    <definedName name="ActMap_3" localSheetId="7">#REF!</definedName>
    <definedName name="ActMap_3" localSheetId="4">#REF!</definedName>
    <definedName name="ActMap_3">"#REF!"</definedName>
    <definedName name="Actual_ByMonth" localSheetId="5">#REF!</definedName>
    <definedName name="Actual_ByMonth" localSheetId="3">#REF!</definedName>
    <definedName name="Actual_ByMonth" localSheetId="7">#REF!</definedName>
    <definedName name="Actual_ByMonth" localSheetId="4">#REF!</definedName>
    <definedName name="Actual_ByMonth">#REF!</definedName>
    <definedName name="Actual_Ongoing" localSheetId="5">#REF!</definedName>
    <definedName name="Actual_Ongoing" localSheetId="3">#REF!</definedName>
    <definedName name="Actual_Ongoing" localSheetId="7">#REF!</definedName>
    <definedName name="Actual_Ongoing" localSheetId="4">#REF!</definedName>
    <definedName name="Actual_Ongoing">#REF!</definedName>
    <definedName name="AnnualBreakfasts" localSheetId="5">#REF!</definedName>
    <definedName name="AnnualBreakfasts" localSheetId="3">#REF!</definedName>
    <definedName name="AnnualBreakfasts" localSheetId="7">#REF!</definedName>
    <definedName name="AnnualBreakfasts" localSheetId="4">#REF!</definedName>
    <definedName name="AnnualBreakfasts">"#REF!"</definedName>
    <definedName name="AnnualBreakfasts_1" localSheetId="5">#REF!</definedName>
    <definedName name="AnnualBreakfasts_1" localSheetId="3">#REF!</definedName>
    <definedName name="AnnualBreakfasts_1" localSheetId="7">#REF!</definedName>
    <definedName name="AnnualBreakfasts_1" localSheetId="4">#REF!</definedName>
    <definedName name="AnnualBreakfasts_1">"#REF!"</definedName>
    <definedName name="AnnualBreakfasts_2" localSheetId="5">#REF!</definedName>
    <definedName name="AnnualBreakfasts_2" localSheetId="3">#REF!</definedName>
    <definedName name="AnnualBreakfasts_2" localSheetId="7">#REF!</definedName>
    <definedName name="AnnualBreakfasts_2" localSheetId="4">#REF!</definedName>
    <definedName name="AnnualBreakfasts_2">"#REF!"</definedName>
    <definedName name="AnnualBreakfasts_3" localSheetId="5">#REF!</definedName>
    <definedName name="AnnualBreakfasts_3" localSheetId="3">#REF!</definedName>
    <definedName name="AnnualBreakfasts_3" localSheetId="7">#REF!</definedName>
    <definedName name="AnnualBreakfasts_3" localSheetId="4">#REF!</definedName>
    <definedName name="AnnualBreakfasts_3">"#REF!"</definedName>
    <definedName name="AnnualLunches" localSheetId="5">#REF!</definedName>
    <definedName name="AnnualLunches" localSheetId="3">#REF!</definedName>
    <definedName name="AnnualLunches" localSheetId="7">#REF!</definedName>
    <definedName name="AnnualLunches" localSheetId="4">#REF!</definedName>
    <definedName name="AnnualLunches">"#REF!"</definedName>
    <definedName name="AnnualLunches_1" localSheetId="5">#REF!</definedName>
    <definedName name="AnnualLunches_1" localSheetId="3">#REF!</definedName>
    <definedName name="AnnualLunches_1" localSheetId="7">#REF!</definedName>
    <definedName name="AnnualLunches_1" localSheetId="4">#REF!</definedName>
    <definedName name="AnnualLunches_1">"#REF!"</definedName>
    <definedName name="AnnualLunches_2" localSheetId="5">#REF!</definedName>
    <definedName name="AnnualLunches_2" localSheetId="3">#REF!</definedName>
    <definedName name="AnnualLunches_2" localSheetId="7">#REF!</definedName>
    <definedName name="AnnualLunches_2" localSheetId="4">#REF!</definedName>
    <definedName name="AnnualLunches_2">"#REF!"</definedName>
    <definedName name="AnnualLunches_3" localSheetId="5">#REF!</definedName>
    <definedName name="AnnualLunches_3" localSheetId="3">#REF!</definedName>
    <definedName name="AnnualLunches_3" localSheetId="7">#REF!</definedName>
    <definedName name="AnnualLunches_3" localSheetId="4">#REF!</definedName>
    <definedName name="AnnualLunches_3">"#REF!"</definedName>
    <definedName name="BS_DATADUMP" localSheetId="5">#REF!</definedName>
    <definedName name="BS_DATADUMP" localSheetId="3">#REF!</definedName>
    <definedName name="BS_DATADUMP" localSheetId="7">#REF!</definedName>
    <definedName name="BS_DATADUMP" localSheetId="4">#REF!</definedName>
    <definedName name="BS_DATADUMP">#REF!</definedName>
    <definedName name="budget" localSheetId="5">#REF!</definedName>
    <definedName name="budget" localSheetId="3">#REF!</definedName>
    <definedName name="budget" localSheetId="7">#REF!</definedName>
    <definedName name="budget" localSheetId="4">#REF!</definedName>
    <definedName name="budget">"#REF!"</definedName>
    <definedName name="budget_1" localSheetId="5">#REF!</definedName>
    <definedName name="budget_1" localSheetId="3">#REF!</definedName>
    <definedName name="budget_1" localSheetId="7">#REF!</definedName>
    <definedName name="budget_1" localSheetId="4">#REF!</definedName>
    <definedName name="budget_1">"#REF!"</definedName>
    <definedName name="Budget_ByMonth" localSheetId="5">#REF!</definedName>
    <definedName name="Budget_ByMonth" localSheetId="3">#REF!</definedName>
    <definedName name="Budget_ByMonth" localSheetId="7">#REF!</definedName>
    <definedName name="Budget_ByMonth" localSheetId="4">#REF!</definedName>
    <definedName name="Budget_ByMonth">#REF!</definedName>
    <definedName name="Budget_Ongoing" localSheetId="5">#REF!</definedName>
    <definedName name="Budget_Ongoing" localSheetId="3">#REF!</definedName>
    <definedName name="Budget_Ongoing" localSheetId="7">#REF!</definedName>
    <definedName name="Budget_Ongoing" localSheetId="4">#REF!</definedName>
    <definedName name="Budget_Ongoing">#REF!</definedName>
    <definedName name="BudgetVersion" localSheetId="5">#REF!</definedName>
    <definedName name="BudgetVersion" localSheetId="3">#REF!</definedName>
    <definedName name="BudgetVersion" localSheetId="7">#REF!</definedName>
    <definedName name="BudgetVersion" localSheetId="4">#REF!</definedName>
    <definedName name="BudgetVersion">"#REF!"</definedName>
    <definedName name="BudgetVersion_1" localSheetId="5">#REF!</definedName>
    <definedName name="BudgetVersion_1" localSheetId="3">#REF!</definedName>
    <definedName name="BudgetVersion_1" localSheetId="7">#REF!</definedName>
    <definedName name="BudgetVersion_1" localSheetId="4">#REF!</definedName>
    <definedName name="BudgetVersion_1">"#REF!"</definedName>
    <definedName name="BudgetVersion_2" localSheetId="5">#REF!</definedName>
    <definedName name="BudgetVersion_2" localSheetId="3">#REF!</definedName>
    <definedName name="BudgetVersion_2" localSheetId="7">#REF!</definedName>
    <definedName name="BudgetVersion_2" localSheetId="4">#REF!</definedName>
    <definedName name="BudgetVersion_2">"#REF!"</definedName>
    <definedName name="BudgetVersion_3" localSheetId="5">#REF!</definedName>
    <definedName name="BudgetVersion_3" localSheetId="3">#REF!</definedName>
    <definedName name="BudgetVersion_3" localSheetId="7">#REF!</definedName>
    <definedName name="BudgetVersion_3" localSheetId="4">#REF!</definedName>
    <definedName name="BudgetVersion_3">"#REF!"</definedName>
    <definedName name="BudgetYears" localSheetId="5">#REF!</definedName>
    <definedName name="BudgetYears" localSheetId="3">#REF!</definedName>
    <definedName name="BudgetYears" localSheetId="7">#REF!</definedName>
    <definedName name="BudgetYears" localSheetId="4">#REF!</definedName>
    <definedName name="BudgetYears">"#REF!"</definedName>
    <definedName name="BudgetYears_1" localSheetId="5">#REF!</definedName>
    <definedName name="BudgetYears_1" localSheetId="3">#REF!</definedName>
    <definedName name="BudgetYears_1" localSheetId="7">#REF!</definedName>
    <definedName name="BudgetYears_1" localSheetId="4">#REF!</definedName>
    <definedName name="BudgetYears_1">"#REF!"</definedName>
    <definedName name="BudgetYears_2" localSheetId="5">#REF!</definedName>
    <definedName name="BudgetYears_2" localSheetId="3">#REF!</definedName>
    <definedName name="BudgetYears_2" localSheetId="7">#REF!</definedName>
    <definedName name="BudgetYears_2" localSheetId="4">#REF!</definedName>
    <definedName name="BudgetYears_2">"#REF!"</definedName>
    <definedName name="BudgetYears_3" localSheetId="5">#REF!</definedName>
    <definedName name="BudgetYears_3" localSheetId="3">#REF!</definedName>
    <definedName name="BudgetYears_3" localSheetId="7">#REF!</definedName>
    <definedName name="BudgetYears_3" localSheetId="4">#REF!</definedName>
    <definedName name="BudgetYears_3">"#REF!"</definedName>
    <definedName name="BvsA_DATADUMP" localSheetId="5">#REF!</definedName>
    <definedName name="BvsA_DATADUMP" localSheetId="3">#REF!</definedName>
    <definedName name="BvsA_DATADUMP" localSheetId="7">#REF!</definedName>
    <definedName name="BvsA_DATADUMP" localSheetId="4">#REF!</definedName>
    <definedName name="BvsA_DATADUMP">#REF!</definedName>
    <definedName name="CFT" localSheetId="5">#REF!</definedName>
    <definedName name="CFT" localSheetId="3">#REF!</definedName>
    <definedName name="CFT" localSheetId="7">#REF!</definedName>
    <definedName name="CFT" localSheetId="4">#REF!</definedName>
    <definedName name="CFT">"#REF!"</definedName>
    <definedName name="CFT_1" localSheetId="5">#REF!</definedName>
    <definedName name="CFT_1" localSheetId="3">#REF!</definedName>
    <definedName name="CFT_1" localSheetId="7">#REF!</definedName>
    <definedName name="CFT_1" localSheetId="4">#REF!</definedName>
    <definedName name="CFT_1">"#REF!"</definedName>
    <definedName name="CFT_2" localSheetId="5">#REF!</definedName>
    <definedName name="CFT_2" localSheetId="3">#REF!</definedName>
    <definedName name="CFT_2" localSheetId="7">#REF!</definedName>
    <definedName name="CFT_2" localSheetId="4">#REF!</definedName>
    <definedName name="CFT_2">"#REF!"</definedName>
    <definedName name="CFT_3" localSheetId="5">#REF!</definedName>
    <definedName name="CFT_3" localSheetId="3">#REF!</definedName>
    <definedName name="CFT_3" localSheetId="7">#REF!</definedName>
    <definedName name="CFT_3" localSheetId="4">#REF!</definedName>
    <definedName name="CFT_3">"#REF!"</definedName>
    <definedName name="ChosenFormula" localSheetId="5">#REF!</definedName>
    <definedName name="ChosenFormula" localSheetId="3">#REF!</definedName>
    <definedName name="ChosenFormula" localSheetId="7">#REF!</definedName>
    <definedName name="ChosenFormula" localSheetId="4">#REF!</definedName>
    <definedName name="ChosenFormula">#REF!</definedName>
    <definedName name="class" localSheetId="5">#REF!</definedName>
    <definedName name="class" localSheetId="3">#REF!</definedName>
    <definedName name="class" localSheetId="7">#REF!</definedName>
    <definedName name="class" localSheetId="4">#REF!</definedName>
    <definedName name="class">"#REF!"</definedName>
    <definedName name="class_1" localSheetId="5">#REF!</definedName>
    <definedName name="class_1" localSheetId="3">#REF!</definedName>
    <definedName name="class_1" localSheetId="7">#REF!</definedName>
    <definedName name="class_1" localSheetId="4">#REF!</definedName>
    <definedName name="class_1">"#REF!"</definedName>
    <definedName name="Classes" localSheetId="5">#REF!</definedName>
    <definedName name="Classes" localSheetId="3">#REF!</definedName>
    <definedName name="Classes" localSheetId="7">#REF!</definedName>
    <definedName name="Classes" localSheetId="4">#REF!</definedName>
    <definedName name="Classes">"#REF!"</definedName>
    <definedName name="Classes_1" localSheetId="5">#REF!</definedName>
    <definedName name="Classes_1" localSheetId="3">#REF!</definedName>
    <definedName name="Classes_1" localSheetId="7">#REF!</definedName>
    <definedName name="Classes_1" localSheetId="4">#REF!</definedName>
    <definedName name="Classes_1">"#REF!"</definedName>
    <definedName name="Classes_2" localSheetId="5">#REF!</definedName>
    <definedName name="Classes_2" localSheetId="3">#REF!</definedName>
    <definedName name="Classes_2" localSheetId="7">#REF!</definedName>
    <definedName name="Classes_2" localSheetId="4">#REF!</definedName>
    <definedName name="Classes_2">"#REF!"</definedName>
    <definedName name="Classes_3" localSheetId="5">#REF!</definedName>
    <definedName name="Classes_3" localSheetId="3">#REF!</definedName>
    <definedName name="Classes_3" localSheetId="7">#REF!</definedName>
    <definedName name="Classes_3" localSheetId="4">#REF!</definedName>
    <definedName name="Classes_3">"#REF!"</definedName>
    <definedName name="ClassMap" localSheetId="5">#REF!</definedName>
    <definedName name="ClassMap" localSheetId="3">#REF!</definedName>
    <definedName name="ClassMap" localSheetId="7">#REF!</definedName>
    <definedName name="ClassMap" localSheetId="4">#REF!</definedName>
    <definedName name="ClassMap">"#REF!"</definedName>
    <definedName name="ClassMap_1" localSheetId="5">#REF!</definedName>
    <definedName name="ClassMap_1" localSheetId="3">#REF!</definedName>
    <definedName name="ClassMap_1" localSheetId="7">#REF!</definedName>
    <definedName name="ClassMap_1" localSheetId="4">#REF!</definedName>
    <definedName name="ClassMap_1">"#REF!"</definedName>
    <definedName name="ClassMap_2" localSheetId="5">#REF!</definedName>
    <definedName name="ClassMap_2" localSheetId="3">#REF!</definedName>
    <definedName name="ClassMap_2" localSheetId="7">#REF!</definedName>
    <definedName name="ClassMap_2" localSheetId="4">#REF!</definedName>
    <definedName name="ClassMap_2">"#REF!"</definedName>
    <definedName name="ClassMap_3" localSheetId="5">#REF!</definedName>
    <definedName name="ClassMap_3" localSheetId="3">#REF!</definedName>
    <definedName name="ClassMap_3" localSheetId="7">#REF!</definedName>
    <definedName name="ClassMap_3" localSheetId="4">#REF!</definedName>
    <definedName name="ClassMap_3">"#REF!"</definedName>
    <definedName name="DATA_01" localSheetId="5">#REF!</definedName>
    <definedName name="DATA_01" localSheetId="3">#REF!</definedName>
    <definedName name="DATA_01" localSheetId="7">#REF!</definedName>
    <definedName name="DATA_01" localSheetId="4">#REF!</definedName>
    <definedName name="DATA_01">#REF!</definedName>
    <definedName name="DATA_08" localSheetId="5">#REF!</definedName>
    <definedName name="DATA_08" localSheetId="3">#REF!</definedName>
    <definedName name="DATA_08" localSheetId="7">#REF!</definedName>
    <definedName name="DATA_08" localSheetId="4">#REF!</definedName>
    <definedName name="DATA_08">#REF!</definedName>
    <definedName name="DefY1CF" localSheetId="5">#REF!</definedName>
    <definedName name="DefY1CF" localSheetId="3">#REF!</definedName>
    <definedName name="DefY1CF" localSheetId="7">#REF!</definedName>
    <definedName name="DefY1CF" localSheetId="4">#REF!</definedName>
    <definedName name="DefY1CF">"#REF!"</definedName>
    <definedName name="DefY1CF_1" localSheetId="5">#REF!</definedName>
    <definedName name="DefY1CF_1" localSheetId="3">#REF!</definedName>
    <definedName name="DefY1CF_1" localSheetId="7">#REF!</definedName>
    <definedName name="DefY1CF_1" localSheetId="4">#REF!</definedName>
    <definedName name="DefY1CF_1">"#REF!"</definedName>
    <definedName name="DefY1CF_2" localSheetId="5">#REF!</definedName>
    <definedName name="DefY1CF_2" localSheetId="3">#REF!</definedName>
    <definedName name="DefY1CF_2" localSheetId="7">#REF!</definedName>
    <definedName name="DefY1CF_2" localSheetId="4">#REF!</definedName>
    <definedName name="DefY1CF_2">"#REF!"</definedName>
    <definedName name="DefY1CF_3" localSheetId="5">#REF!</definedName>
    <definedName name="DefY1CF_3" localSheetId="3">#REF!</definedName>
    <definedName name="DefY1CF_3" localSheetId="7">#REF!</definedName>
    <definedName name="DefY1CF_3" localSheetId="4">#REF!</definedName>
    <definedName name="DefY1CF_3">"#REF!"</definedName>
    <definedName name="DefY2CF" localSheetId="5">#REF!</definedName>
    <definedName name="DefY2CF" localSheetId="3">#REF!</definedName>
    <definedName name="DefY2CF" localSheetId="7">#REF!</definedName>
    <definedName name="DefY2CF" localSheetId="4">#REF!</definedName>
    <definedName name="DefY2CF">"#REF!"</definedName>
    <definedName name="DefY2CF_1" localSheetId="5">#REF!</definedName>
    <definedName name="DefY2CF_1" localSheetId="3">#REF!</definedName>
    <definedName name="DefY2CF_1" localSheetId="7">#REF!</definedName>
    <definedName name="DefY2CF_1" localSheetId="4">#REF!</definedName>
    <definedName name="DefY2CF_1">"#REF!"</definedName>
    <definedName name="DefY2CF_2" localSheetId="5">#REF!</definedName>
    <definedName name="DefY2CF_2" localSheetId="3">#REF!</definedName>
    <definedName name="DefY2CF_2" localSheetId="7">#REF!</definedName>
    <definedName name="DefY2CF_2" localSheetId="4">#REF!</definedName>
    <definedName name="DefY2CF_2">"#REF!"</definedName>
    <definedName name="DefY2CF_3" localSheetId="5">#REF!</definedName>
    <definedName name="DefY2CF_3" localSheetId="3">#REF!</definedName>
    <definedName name="DefY2CF_3" localSheetId="7">#REF!</definedName>
    <definedName name="DefY2CF_3" localSheetId="4">#REF!</definedName>
    <definedName name="DefY2CF_3">"#REF!"</definedName>
    <definedName name="fs" localSheetId="5">#REF!</definedName>
    <definedName name="fs" localSheetId="3">#REF!</definedName>
    <definedName name="fs" localSheetId="7">#REF!</definedName>
    <definedName name="fs" localSheetId="4">#REF!</definedName>
    <definedName name="fs">"#REF!"</definedName>
    <definedName name="fs_1" localSheetId="5">#REF!</definedName>
    <definedName name="fs_1" localSheetId="3">#REF!</definedName>
    <definedName name="fs_1" localSheetId="7">#REF!</definedName>
    <definedName name="fs_1" localSheetId="4">#REF!</definedName>
    <definedName name="fs_1">"#REF!"</definedName>
    <definedName name="inf_admin" localSheetId="5">#REF!</definedName>
    <definedName name="inf_admin" localSheetId="3">#REF!</definedName>
    <definedName name="inf_admin" localSheetId="7">#REF!</definedName>
    <definedName name="inf_admin" localSheetId="4">#REF!</definedName>
    <definedName name="inf_admin">"#REF!"</definedName>
    <definedName name="inf_admin_1" localSheetId="5">#REF!</definedName>
    <definedName name="inf_admin_1" localSheetId="3">#REF!</definedName>
    <definedName name="inf_admin_1" localSheetId="7">#REF!</definedName>
    <definedName name="inf_admin_1" localSheetId="4">#REF!</definedName>
    <definedName name="inf_admin_1">"#REF!"</definedName>
    <definedName name="inf_admin_2" localSheetId="5">#REF!</definedName>
    <definedName name="inf_admin_2" localSheetId="3">#REF!</definedName>
    <definedName name="inf_admin_2" localSheetId="7">#REF!</definedName>
    <definedName name="inf_admin_2" localSheetId="4">#REF!</definedName>
    <definedName name="inf_admin_2">"#REF!"</definedName>
    <definedName name="inf_admin_3" localSheetId="5">#REF!</definedName>
    <definedName name="inf_admin_3" localSheetId="3">#REF!</definedName>
    <definedName name="inf_admin_3" localSheetId="7">#REF!</definedName>
    <definedName name="inf_admin_3" localSheetId="4">#REF!</definedName>
    <definedName name="inf_admin_3">"#REF!"</definedName>
    <definedName name="inf_class" localSheetId="5">#REF!</definedName>
    <definedName name="inf_class" localSheetId="3">#REF!</definedName>
    <definedName name="inf_class" localSheetId="7">#REF!</definedName>
    <definedName name="inf_class" localSheetId="4">#REF!</definedName>
    <definedName name="inf_class">"#REF!"</definedName>
    <definedName name="inf_class_1" localSheetId="5">#REF!</definedName>
    <definedName name="inf_class_1" localSheetId="3">#REF!</definedName>
    <definedName name="inf_class_1" localSheetId="7">#REF!</definedName>
    <definedName name="inf_class_1" localSheetId="4">#REF!</definedName>
    <definedName name="inf_class_1">"#REF!"</definedName>
    <definedName name="inf_class_2" localSheetId="5">#REF!</definedName>
    <definedName name="inf_class_2" localSheetId="3">#REF!</definedName>
    <definedName name="inf_class_2" localSheetId="7">#REF!</definedName>
    <definedName name="inf_class_2" localSheetId="4">#REF!</definedName>
    <definedName name="inf_class_2">"#REF!"</definedName>
    <definedName name="inf_class_3" localSheetId="5">#REF!</definedName>
    <definedName name="inf_class_3" localSheetId="3">#REF!</definedName>
    <definedName name="inf_class_3" localSheetId="7">#REF!</definedName>
    <definedName name="inf_class_3" localSheetId="4">#REF!</definedName>
    <definedName name="inf_class_3">"#REF!"</definedName>
    <definedName name="inf_revenue" localSheetId="5">#REF!</definedName>
    <definedName name="inf_revenue" localSheetId="3">#REF!</definedName>
    <definedName name="inf_revenue" localSheetId="7">#REF!</definedName>
    <definedName name="inf_revenue" localSheetId="4">#REF!</definedName>
    <definedName name="inf_revenue">"#REF!"</definedName>
    <definedName name="inf_revenue_1" localSheetId="5">#REF!</definedName>
    <definedName name="inf_revenue_1" localSheetId="3">#REF!</definedName>
    <definedName name="inf_revenue_1" localSheetId="7">#REF!</definedName>
    <definedName name="inf_revenue_1" localSheetId="4">#REF!</definedName>
    <definedName name="inf_revenue_1">"#REF!"</definedName>
    <definedName name="inf_revenue_2" localSheetId="5">#REF!</definedName>
    <definedName name="inf_revenue_2" localSheetId="3">#REF!</definedName>
    <definedName name="inf_revenue_2" localSheetId="7">#REF!</definedName>
    <definedName name="inf_revenue_2" localSheetId="4">#REF!</definedName>
    <definedName name="inf_revenue_2">"#REF!"</definedName>
    <definedName name="inf_revenue_3" localSheetId="5">#REF!</definedName>
    <definedName name="inf_revenue_3" localSheetId="3">#REF!</definedName>
    <definedName name="inf_revenue_3" localSheetId="7">#REF!</definedName>
    <definedName name="inf_revenue_3" localSheetId="4">#REF!</definedName>
    <definedName name="inf_revenue_3">"#REF!"</definedName>
    <definedName name="inf_salary" localSheetId="5">#REF!</definedName>
    <definedName name="inf_salary" localSheetId="3">#REF!</definedName>
    <definedName name="inf_salary" localSheetId="7">#REF!</definedName>
    <definedName name="inf_salary" localSheetId="4">#REF!</definedName>
    <definedName name="inf_salary">"#REF!"</definedName>
    <definedName name="inf_salary_1" localSheetId="5">#REF!</definedName>
    <definedName name="inf_salary_1" localSheetId="3">#REF!</definedName>
    <definedName name="inf_salary_1" localSheetId="7">#REF!</definedName>
    <definedName name="inf_salary_1" localSheetId="4">#REF!</definedName>
    <definedName name="inf_salary_1">"#REF!"</definedName>
    <definedName name="inf_salary_2" localSheetId="5">#REF!</definedName>
    <definedName name="inf_salary_2" localSheetId="3">#REF!</definedName>
    <definedName name="inf_salary_2" localSheetId="7">#REF!</definedName>
    <definedName name="inf_salary_2" localSheetId="4">#REF!</definedName>
    <definedName name="inf_salary_2">"#REF!"</definedName>
    <definedName name="inf_salary_3" localSheetId="5">#REF!</definedName>
    <definedName name="inf_salary_3" localSheetId="3">#REF!</definedName>
    <definedName name="inf_salary_3" localSheetId="7">#REF!</definedName>
    <definedName name="inf_salary_3" localSheetId="4">#REF!</definedName>
    <definedName name="inf_salary_3">"#REF!"</definedName>
    <definedName name="IntroPrintArea" localSheetId="5">#REF!</definedName>
    <definedName name="IntroPrintArea" localSheetId="3">#REF!</definedName>
    <definedName name="IntroPrintArea" localSheetId="7">#REF!</definedName>
    <definedName name="IntroPrintArea" localSheetId="4">#REF!</definedName>
    <definedName name="IntroPrintArea">#REF!</definedName>
    <definedName name="no" localSheetId="5">#REF!</definedName>
    <definedName name="no" localSheetId="3">#REF!</definedName>
    <definedName name="no" localSheetId="7">#REF!</definedName>
    <definedName name="no" localSheetId="4">#REF!</definedName>
    <definedName name="no">#REF!</definedName>
    <definedName name="QB_COLUMN_29" localSheetId="5">#REF!</definedName>
    <definedName name="QB_COLUMN_29" localSheetId="3">#REF!</definedName>
    <definedName name="QB_COLUMN_29" localSheetId="7">#REF!</definedName>
    <definedName name="QB_COLUMN_29" localSheetId="4">#REF!</definedName>
    <definedName name="QB_COLUMN_29">#REF!</definedName>
    <definedName name="QB_COLUMN_29_1" localSheetId="5">#REF!</definedName>
    <definedName name="QB_COLUMN_29_1" localSheetId="3">#REF!</definedName>
    <definedName name="QB_COLUMN_29_1" localSheetId="7">#REF!</definedName>
    <definedName name="QB_COLUMN_29_1" localSheetId="4">#REF!</definedName>
    <definedName name="QB_COLUMN_29_1">#REF!</definedName>
    <definedName name="QB_COLUMN_59200" localSheetId="5">#REF!</definedName>
    <definedName name="QB_COLUMN_59200" localSheetId="3">#REF!</definedName>
    <definedName name="QB_COLUMN_59200" localSheetId="7">#REF!</definedName>
    <definedName name="QB_COLUMN_59200" localSheetId="4">#REF!</definedName>
    <definedName name="QB_COLUMN_59200">#REF!</definedName>
    <definedName name="QB_COLUMN_59200_1">#REF!</definedName>
    <definedName name="QB_COLUMN_62210">#REF!</definedName>
    <definedName name="QB_COLUMN_76210">#REF!</definedName>
    <definedName name="QB_COLUMN_76210_1">#REF!</definedName>
    <definedName name="QB_DATA_0" localSheetId="5">#REF!</definedName>
    <definedName name="QB_DATA_0" localSheetId="3">#REF!</definedName>
    <definedName name="QB_DATA_0" localSheetId="7">#REF!</definedName>
    <definedName name="QB_DATA_0" localSheetId="4">#REF!</definedName>
    <definedName name="QB_DATA_0">(#REF!,#REF!,#REF!,#REF!,#REF!,#REF!,#REF!,#REF!,#REF!,#REF!)</definedName>
    <definedName name="QB_DATA_0_1" localSheetId="5">#REF!</definedName>
    <definedName name="QB_DATA_0_1" localSheetId="3">#REF!</definedName>
    <definedName name="QB_DATA_0_1" localSheetId="7">#REF!</definedName>
    <definedName name="QB_DATA_0_1" localSheetId="4">#REF!</definedName>
    <definedName name="QB_DATA_0_1">(#REF!,#REF!,#REF!,#REF!,#REF!,#REF!,#REF!,#REF!,#REF!,#REF!,#REF!,#REF!,#REF!,#REF!,#REF!)</definedName>
    <definedName name="QB_DATA_0_2" localSheetId="5">#REF!</definedName>
    <definedName name="QB_DATA_0_2" localSheetId="3">#REF!</definedName>
    <definedName name="QB_DATA_0_2" localSheetId="7">#REF!</definedName>
    <definedName name="QB_DATA_0_2" localSheetId="4">#REF!</definedName>
    <definedName name="QB_DATA_0_2">(#REF!,#REF!,#REF!,#REF!,#REF!,#REF!,#REF!,#REF!,#REF!,#REF!,#REF!,#REF!,#REF!,#REF!,#REF!,#REF!)</definedName>
    <definedName name="QB_DATA_1" localSheetId="5">#REF!</definedName>
    <definedName name="QB_DATA_1" localSheetId="3">#REF!</definedName>
    <definedName name="QB_DATA_1" localSheetId="7">#REF!</definedName>
    <definedName name="QB_DATA_1" localSheetId="4">#REF!</definedName>
    <definedName name="QB_DATA_1">(#REF!,#REF!,#REF!,#REF!,#REF!,#REF!,#REF!,#REF!,#REF!,#REF!,#REF!,#REF!,#REF!,#REF!,#REF!,#REF!)</definedName>
    <definedName name="QB_DATA_1_1" localSheetId="5">#REF!</definedName>
    <definedName name="QB_DATA_1_1" localSheetId="3">#REF!</definedName>
    <definedName name="QB_DATA_1_1" localSheetId="7">#REF!</definedName>
    <definedName name="QB_DATA_1_1" localSheetId="4">#REF!</definedName>
    <definedName name="QB_DATA_1_1">(#REF!,#REF!,#REF!,#REF!,#REF!,#REF!,#REF!,#REF!,#REF!,#REF!,#REF!,#REF!,#REF!,#REF!,#REF!,#REF!)</definedName>
    <definedName name="QB_DATA_2" localSheetId="5">#REF!</definedName>
    <definedName name="QB_DATA_2" localSheetId="3">#REF!</definedName>
    <definedName name="QB_DATA_2" localSheetId="7">#REF!</definedName>
    <definedName name="QB_DATA_2" localSheetId="4">#REF!</definedName>
    <definedName name="QB_DATA_2">(#REF!,#REF!,#REF!,#REF!,#REF!,#REF!,#REF!,#REF!,#REF!,#REF!,#REF!,#REF!,#REF!,#REF!,#REF!,#REF!)</definedName>
    <definedName name="QB_DATA_2_1" localSheetId="5">#REF!</definedName>
    <definedName name="QB_DATA_2_1" localSheetId="3">#REF!</definedName>
    <definedName name="QB_DATA_2_1" localSheetId="7">#REF!</definedName>
    <definedName name="QB_DATA_2_1" localSheetId="4">#REF!</definedName>
    <definedName name="QB_DATA_2_1">(#REF!,#REF!,#REF!,#REF!,#REF!,#REF!,#REF!,#REF!,#REF!,#REF!,#REF!,#REF!,#REF!,#REF!,#REF!,#REF!)</definedName>
    <definedName name="QB_DATA_3" localSheetId="5">#REF!</definedName>
    <definedName name="QB_DATA_3" localSheetId="3">#REF!</definedName>
    <definedName name="QB_DATA_3" localSheetId="7">#REF!</definedName>
    <definedName name="QB_DATA_3" localSheetId="4">#REF!</definedName>
    <definedName name="QB_DATA_3">(#REF!,#REF!,#REF!,#REF!)</definedName>
    <definedName name="QB_DATA_3_1" localSheetId="5">#REF!</definedName>
    <definedName name="QB_DATA_3_1" localSheetId="3">#REF!</definedName>
    <definedName name="QB_DATA_3_1" localSheetId="7">#REF!</definedName>
    <definedName name="QB_DATA_3_1" localSheetId="4">#REF!</definedName>
    <definedName name="QB_DATA_3_1">(#REF!,#REF!,#REF!,#REF!,#REF!,#REF!,#REF!,#REF!,#REF!,#REF!,#REF!,#REF!,#REF!,#REF!,#REF!,#REF!)</definedName>
    <definedName name="QB_DATA_4" localSheetId="5">#REF!</definedName>
    <definedName name="QB_DATA_4" localSheetId="3">#REF!</definedName>
    <definedName name="QB_DATA_4" localSheetId="7">#REF!</definedName>
    <definedName name="QB_DATA_4" localSheetId="4">#REF!</definedName>
    <definedName name="QB_DATA_4">(#REF!,#REF!,#REF!,#REF!,#REF!,#REF!,#REF!,#REF!,#REF!,#REF!,#REF!,#REF!,#REF!,#REF!,#REF!,#REF!)</definedName>
    <definedName name="QB_DATA_4_1" localSheetId="5">#REF!</definedName>
    <definedName name="QB_DATA_4_1" localSheetId="3">#REF!</definedName>
    <definedName name="QB_DATA_4_1" localSheetId="7">#REF!</definedName>
    <definedName name="QB_DATA_4_1" localSheetId="4">#REF!</definedName>
    <definedName name="QB_DATA_4_1">(#REF!,#REF!,#REF!,#REF!,#REF!,#REF!,#REF!,#REF!,#REF!,#REF!,#REF!,#REF!,#REF!,#REF!,#REF!,#REF!)</definedName>
    <definedName name="QB_DATA_5" localSheetId="5">#REF!</definedName>
    <definedName name="QB_DATA_5" localSheetId="3">#REF!</definedName>
    <definedName name="QB_DATA_5" localSheetId="7">#REF!</definedName>
    <definedName name="QB_DATA_5" localSheetId="4">#REF!</definedName>
    <definedName name="QB_DATA_5">(#REF!,#REF!,#REF!,#REF!,#REF!,#REF!,#REF!,#REF!,#REF!,#REF!,#REF!,#REF!,#REF!,#REF!,#REF!,#REF!)</definedName>
    <definedName name="QB_DATA_5_1" localSheetId="5">#REF!</definedName>
    <definedName name="QB_DATA_5_1" localSheetId="3">#REF!</definedName>
    <definedName name="QB_DATA_5_1" localSheetId="7">#REF!</definedName>
    <definedName name="QB_DATA_5_1" localSheetId="4">#REF!</definedName>
    <definedName name="QB_DATA_5_1">(#REF!,#REF!,#REF!,#REF!,#REF!,#REF!,#REF!,#REF!,#REF!,#REF!,#REF!,#REF!,#REF!,#REF!,#REF!,#REF!)</definedName>
    <definedName name="QB_DATA_6" localSheetId="5">#REF!</definedName>
    <definedName name="QB_DATA_6" localSheetId="3">#REF!</definedName>
    <definedName name="QB_DATA_6" localSheetId="7">#REF!</definedName>
    <definedName name="QB_DATA_6" localSheetId="4">#REF!</definedName>
    <definedName name="QB_DATA_6">(#REF!,#REF!,#REF!,#REF!,#REF!,#REF!,#REF!,#REF!,#REF!,#REF!,#REF!,#REF!,#REF!,#REF!,#REF!,#REF!)</definedName>
    <definedName name="QB_DATA_6_1" localSheetId="5">#REF!</definedName>
    <definedName name="QB_DATA_6_1" localSheetId="3">#REF!</definedName>
    <definedName name="QB_DATA_6_1" localSheetId="7">#REF!</definedName>
    <definedName name="QB_DATA_6_1" localSheetId="4">#REF!</definedName>
    <definedName name="QB_DATA_6_1">(#REF!,#REF!,#REF!,#REF!,#REF!,#REF!,#REF!,#REF!,#REF!,#REF!,#REF!,#REF!,#REF!,#REF!,#REF!,#REF!)</definedName>
    <definedName name="QB_DATA_7" localSheetId="5">#REF!</definedName>
    <definedName name="QB_DATA_7" localSheetId="3">#REF!</definedName>
    <definedName name="QB_DATA_7" localSheetId="7">#REF!</definedName>
    <definedName name="QB_DATA_7" localSheetId="4">#REF!</definedName>
    <definedName name="QB_DATA_7">(#REF!,#REF!)</definedName>
    <definedName name="QB_DATA_7_1" localSheetId="5">#REF!</definedName>
    <definedName name="QB_DATA_7_1" localSheetId="3">#REF!</definedName>
    <definedName name="QB_DATA_7_1" localSheetId="7">#REF!</definedName>
    <definedName name="QB_DATA_7_1" localSheetId="4">#REF!</definedName>
    <definedName name="QB_DATA_7_1">(#REF!,#REF!)</definedName>
    <definedName name="QB_FORMULA_0" localSheetId="5">#REF!</definedName>
    <definedName name="QB_FORMULA_0" localSheetId="3">#REF!</definedName>
    <definedName name="QB_FORMULA_0" localSheetId="7">#REF!</definedName>
    <definedName name="QB_FORMULA_0" localSheetId="4">#REF!</definedName>
    <definedName name="QB_FORMULA_0">(#REF!,#REF!,#REF!,#REF!,#REF!,#REF!,#REF!,#REF!,#REF!,#REF!,#REF!,#REF!)</definedName>
    <definedName name="QB_FORMULA_0_1" localSheetId="5">#REF!</definedName>
    <definedName name="QB_FORMULA_0_1" localSheetId="3">#REF!</definedName>
    <definedName name="QB_FORMULA_0_1" localSheetId="7">#REF!</definedName>
    <definedName name="QB_FORMULA_0_1" localSheetId="4">#REF!</definedName>
    <definedName name="QB_FORMULA_0_1">(#REF!,#REF!,#REF!,#REF!,#REF!,#REF!,#REF!,#REF!,#REF!,#REF!,#REF!,#REF!,#REF!,#REF!,#REF!)</definedName>
    <definedName name="QB_FORMULA_0_2" localSheetId="5">#REF!</definedName>
    <definedName name="QB_FORMULA_0_2" localSheetId="3">#REF!</definedName>
    <definedName name="QB_FORMULA_0_2" localSheetId="7">#REF!</definedName>
    <definedName name="QB_FORMULA_0_2" localSheetId="4">#REF!</definedName>
    <definedName name="QB_FORMULA_0_2">(#REF!,#REF!,#REF!,#REF!,#REF!,#REF!,#REF!,#REF!,#REF!,#REF!,#REF!,#REF!,#REF!,#REF!,#REF!,#REF!)</definedName>
    <definedName name="QB_FORMULA_1" localSheetId="5">#REF!</definedName>
    <definedName name="QB_FORMULA_1" localSheetId="3">#REF!</definedName>
    <definedName name="QB_FORMULA_1" localSheetId="7">#REF!</definedName>
    <definedName name="QB_FORMULA_1" localSheetId="4">#REF!</definedName>
    <definedName name="QB_FORMULA_1">(#REF!,#REF!,#REF!,#REF!,#REF!,#REF!,#REF!,#REF!,#REF!,#REF!,#REF!,#REF!,#REF!,#REF!,#REF!,#REF!)</definedName>
    <definedName name="QB_FORMULA_1_1" localSheetId="5">#REF!</definedName>
    <definedName name="QB_FORMULA_1_1" localSheetId="3">#REF!</definedName>
    <definedName name="QB_FORMULA_1_1" localSheetId="7">#REF!</definedName>
    <definedName name="QB_FORMULA_1_1" localSheetId="4">#REF!</definedName>
    <definedName name="QB_FORMULA_1_1">(#REF!,#REF!,#REF!,#REF!,#REF!,#REF!,#REF!,#REF!,#REF!,#REF!,#REF!,#REF!,#REF!,#REF!,#REF!,#REF!)</definedName>
    <definedName name="QB_FORMULA_2" localSheetId="5">#REF!</definedName>
    <definedName name="QB_FORMULA_2" localSheetId="3">#REF!</definedName>
    <definedName name="QB_FORMULA_2" localSheetId="7">#REF!</definedName>
    <definedName name="QB_FORMULA_2" localSheetId="4">#REF!</definedName>
    <definedName name="QB_FORMULA_2">(#REF!,#REF!,#REF!,#REF!,#REF!,#REF!,#REF!,#REF!,#REF!,#REF!)</definedName>
    <definedName name="QB_FORMULA_2_1" localSheetId="5">#REF!</definedName>
    <definedName name="QB_FORMULA_2_1" localSheetId="3">#REF!</definedName>
    <definedName name="QB_FORMULA_2_1" localSheetId="7">#REF!</definedName>
    <definedName name="QB_FORMULA_2_1" localSheetId="4">#REF!</definedName>
    <definedName name="QB_FORMULA_2_1">(#REF!,#REF!,#REF!,#REF!,#REF!,#REF!,#REF!,#REF!,#REF!,#REF!,#REF!)</definedName>
    <definedName name="QB_ROW_1" localSheetId="5">#REF!</definedName>
    <definedName name="QB_ROW_1" localSheetId="3">#REF!</definedName>
    <definedName name="QB_ROW_1" localSheetId="7">#REF!</definedName>
    <definedName name="QB_ROW_1" localSheetId="4">#REF!</definedName>
    <definedName name="QB_ROW_1">#REF!</definedName>
    <definedName name="QB_ROW_1_1" localSheetId="5">#REF!</definedName>
    <definedName name="QB_ROW_1_1" localSheetId="3">#REF!</definedName>
    <definedName name="QB_ROW_1_1" localSheetId="7">#REF!</definedName>
    <definedName name="QB_ROW_1_1" localSheetId="4">#REF!</definedName>
    <definedName name="QB_ROW_1_1">#REF!</definedName>
    <definedName name="QB_ROW_100250" localSheetId="5">#REF!</definedName>
    <definedName name="QB_ROW_100250" localSheetId="3">#REF!</definedName>
    <definedName name="QB_ROW_100250" localSheetId="7">#REF!</definedName>
    <definedName name="QB_ROW_100250" localSheetId="4">#REF!</definedName>
    <definedName name="QB_ROW_100250">#REF!</definedName>
    <definedName name="QB_ROW_100250_1">#REF!</definedName>
    <definedName name="QB_ROW_100260">#REF!</definedName>
    <definedName name="QB_ROW_10031">#REF!</definedName>
    <definedName name="QB_ROW_10031_1">#REF!</definedName>
    <definedName name="QB_ROW_101030">#REF!</definedName>
    <definedName name="QB_ROW_101030_1">#REF!</definedName>
    <definedName name="QB_ROW_101040">#REF!</definedName>
    <definedName name="QB_ROW_1011">#REF!</definedName>
    <definedName name="QB_ROW_1011_1">#REF!</definedName>
    <definedName name="QB_ROW_101240">#REF!</definedName>
    <definedName name="QB_ROW_101240_1">#REF!</definedName>
    <definedName name="QB_ROW_101330">#REF!</definedName>
    <definedName name="QB_ROW_101330_1">#REF!</definedName>
    <definedName name="QB_ROW_101340">#REF!</definedName>
    <definedName name="QB_ROW_102240">#REF!</definedName>
    <definedName name="QB_ROW_102240_1">#REF!</definedName>
    <definedName name="QB_ROW_102250">#REF!</definedName>
    <definedName name="QB_ROW_10240">#REF!</definedName>
    <definedName name="QB_ROW_10240_1">#REF!</definedName>
    <definedName name="QB_ROW_10250">#REF!</definedName>
    <definedName name="QB_ROW_103240">#REF!</definedName>
    <definedName name="QB_ROW_103240_1">#REF!</definedName>
    <definedName name="QB_ROW_103250">#REF!</definedName>
    <definedName name="QB_ROW_10331">#REF!</definedName>
    <definedName name="QB_ROW_10331_1">#REF!</definedName>
    <definedName name="QB_ROW_104040">#REF!</definedName>
    <definedName name="QB_ROW_104040_1">#REF!</definedName>
    <definedName name="QB_ROW_104050">#REF!</definedName>
    <definedName name="QB_ROW_104250">#REF!</definedName>
    <definedName name="QB_ROW_104250_1">#REF!</definedName>
    <definedName name="QB_ROW_104260">#REF!</definedName>
    <definedName name="QB_ROW_104340">#REF!</definedName>
    <definedName name="QB_ROW_104340_1">#REF!</definedName>
    <definedName name="QB_ROW_104350">#REF!</definedName>
    <definedName name="QB_ROW_105240">#REF!</definedName>
    <definedName name="QB_ROW_105240_1">#REF!</definedName>
    <definedName name="QB_ROW_105250">#REF!</definedName>
    <definedName name="QB_ROW_106240">#REF!</definedName>
    <definedName name="QB_ROW_106240_1">#REF!</definedName>
    <definedName name="QB_ROW_107240">#REF!</definedName>
    <definedName name="QB_ROW_107240_1">#REF!</definedName>
    <definedName name="QB_ROW_107250">#REF!</definedName>
    <definedName name="QB_ROW_108240">#REF!</definedName>
    <definedName name="QB_ROW_108240_1">#REF!</definedName>
    <definedName name="QB_ROW_109030">#REF!</definedName>
    <definedName name="QB_ROW_109030_1">#REF!</definedName>
    <definedName name="QB_ROW_109040">#REF!</definedName>
    <definedName name="QB_ROW_109240">#REF!</definedName>
    <definedName name="QB_ROW_109240_1">#REF!</definedName>
    <definedName name="QB_ROW_109250">#REF!</definedName>
    <definedName name="QB_ROW_109330">#REF!</definedName>
    <definedName name="QB_ROW_109330_1">#REF!</definedName>
    <definedName name="QB_ROW_109340">#REF!</definedName>
    <definedName name="QB_ROW_110240">#REF!</definedName>
    <definedName name="QB_ROW_110240_1">#REF!</definedName>
    <definedName name="QB_ROW_110250">#REF!</definedName>
    <definedName name="QB_ROW_11031">#REF!</definedName>
    <definedName name="QB_ROW_11031_1">#REF!</definedName>
    <definedName name="QB_ROW_111240">#REF!</definedName>
    <definedName name="QB_ROW_111240_1">#REF!</definedName>
    <definedName name="QB_ROW_111250">#REF!</definedName>
    <definedName name="QB_ROW_11240">#REF!</definedName>
    <definedName name="QB_ROW_11240_1">#REF!</definedName>
    <definedName name="QB_ROW_11331">#REF!</definedName>
    <definedName name="QB_ROW_11331_1">#REF!</definedName>
    <definedName name="QB_ROW_114030">#REF!</definedName>
    <definedName name="QB_ROW_114030_1">#REF!</definedName>
    <definedName name="QB_ROW_114040">#REF!</definedName>
    <definedName name="QB_ROW_114240">#REF!</definedName>
    <definedName name="QB_ROW_114240_1">#REF!</definedName>
    <definedName name="QB_ROW_114330">#REF!</definedName>
    <definedName name="QB_ROW_114330_1">#REF!</definedName>
    <definedName name="QB_ROW_114340">#REF!</definedName>
    <definedName name="QB_ROW_120030">#REF!</definedName>
    <definedName name="QB_ROW_120030_1">#REF!</definedName>
    <definedName name="QB_ROW_120240">#REF!</definedName>
    <definedName name="QB_ROW_120240_1">#REF!</definedName>
    <definedName name="QB_ROW_12031">#REF!</definedName>
    <definedName name="QB_ROW_12031_1">#REF!</definedName>
    <definedName name="QB_ROW_120330">#REF!</definedName>
    <definedName name="QB_ROW_120330_1">#REF!</definedName>
    <definedName name="QB_ROW_12040">#REF!</definedName>
    <definedName name="QB_ROW_12040_1">#REF!</definedName>
    <definedName name="QB_ROW_12250">#REF!</definedName>
    <definedName name="QB_ROW_12250_1">#REF!</definedName>
    <definedName name="QB_ROW_123220">#REF!</definedName>
    <definedName name="QB_ROW_123220_1">#REF!</definedName>
    <definedName name="QB_ROW_12331">#REF!</definedName>
    <definedName name="QB_ROW_12331_1">#REF!</definedName>
    <definedName name="QB_ROW_12340">#REF!</definedName>
    <definedName name="QB_ROW_12340_1">#REF!</definedName>
    <definedName name="QB_ROW_126250">#REF!</definedName>
    <definedName name="QB_ROW_126250_1">#REF!</definedName>
    <definedName name="QB_ROW_127250">#REF!</definedName>
    <definedName name="QB_ROW_127250_1">#REF!</definedName>
    <definedName name="QB_ROW_128240">#REF!</definedName>
    <definedName name="QB_ROW_128240_1">#REF!</definedName>
    <definedName name="QB_ROW_129030">#REF!</definedName>
    <definedName name="QB_ROW_129330">#REF!</definedName>
    <definedName name="QB_ROW_129330_1">#REF!</definedName>
    <definedName name="QB_ROW_130240">#REF!</definedName>
    <definedName name="QB_ROW_1311">#REF!</definedName>
    <definedName name="QB_ROW_1311_1">#REF!</definedName>
    <definedName name="QB_ROW_13250">#REF!</definedName>
    <definedName name="QB_ROW_13250_1">#REF!</definedName>
    <definedName name="QB_ROW_134240">#REF!</definedName>
    <definedName name="QB_ROW_134240_1">#REF!</definedName>
    <definedName name="QB_ROW_135240">#REF!</definedName>
    <definedName name="QB_ROW_135240_1">#REF!</definedName>
    <definedName name="QB_ROW_14011">#REF!</definedName>
    <definedName name="QB_ROW_14011_1">#REF!</definedName>
    <definedName name="QB_ROW_140250">#REF!</definedName>
    <definedName name="QB_ROW_140250_1">#REF!</definedName>
    <definedName name="QB_ROW_14030">#REF!</definedName>
    <definedName name="QB_ROW_14030_1">#REF!</definedName>
    <definedName name="QB_ROW_14040">#REF!</definedName>
    <definedName name="QB_ROW_142250">#REF!</definedName>
    <definedName name="QB_ROW_142250_1">#REF!</definedName>
    <definedName name="QB_ROW_142260">#REF!</definedName>
    <definedName name="QB_ROW_14240">#REF!</definedName>
    <definedName name="QB_ROW_14240_1">#REF!</definedName>
    <definedName name="QB_ROW_14311">#REF!</definedName>
    <definedName name="QB_ROW_14311_1">#REF!</definedName>
    <definedName name="QB_ROW_143250">#REF!</definedName>
    <definedName name="QB_ROW_143250_1">#REF!</definedName>
    <definedName name="QB_ROW_143260">#REF!</definedName>
    <definedName name="QB_ROW_14330">#REF!</definedName>
    <definedName name="QB_ROW_14330_1">#REF!</definedName>
    <definedName name="QB_ROW_14340">#REF!</definedName>
    <definedName name="QB_ROW_144250">#REF!</definedName>
    <definedName name="QB_ROW_144250_1">#REF!</definedName>
    <definedName name="QB_ROW_144260">#REF!</definedName>
    <definedName name="QB_ROW_145250">#REF!</definedName>
    <definedName name="QB_ROW_145250_1">#REF!</definedName>
    <definedName name="QB_ROW_146250">#REF!</definedName>
    <definedName name="QB_ROW_146250_1">#REF!</definedName>
    <definedName name="QB_ROW_147250">#REF!</definedName>
    <definedName name="QB_ROW_147250_1">#REF!</definedName>
    <definedName name="QB_ROW_148240">#REF!</definedName>
    <definedName name="QB_ROW_148240_1">#REF!</definedName>
    <definedName name="QB_ROW_149240">#REF!</definedName>
    <definedName name="QB_ROW_149240_1">#REF!</definedName>
    <definedName name="QB_ROW_149250">#REF!</definedName>
    <definedName name="QB_ROW_150240">#REF!</definedName>
    <definedName name="QB_ROW_150240_1">#REF!</definedName>
    <definedName name="QB_ROW_150250">#REF!</definedName>
    <definedName name="QB_ROW_151240">#REF!</definedName>
    <definedName name="QB_ROW_151240_1">#REF!</definedName>
    <definedName name="QB_ROW_151250">#REF!</definedName>
    <definedName name="QB_ROW_152240">#REF!</definedName>
    <definedName name="QB_ROW_152240_1">#REF!</definedName>
    <definedName name="QB_ROW_152250">#REF!</definedName>
    <definedName name="QB_ROW_15240">#REF!</definedName>
    <definedName name="QB_ROW_15240_1">#REF!</definedName>
    <definedName name="QB_ROW_153240">#REF!</definedName>
    <definedName name="QB_ROW_153240_1">#REF!</definedName>
    <definedName name="QB_ROW_153250">#REF!</definedName>
    <definedName name="QB_ROW_154240">#REF!</definedName>
    <definedName name="QB_ROW_154240_1">#REF!</definedName>
    <definedName name="QB_ROW_154250">#REF!</definedName>
    <definedName name="QB_ROW_155240">#REF!</definedName>
    <definedName name="QB_ROW_155240_1">#REF!</definedName>
    <definedName name="QB_ROW_155250">#REF!</definedName>
    <definedName name="QB_ROW_156240">#REF!</definedName>
    <definedName name="QB_ROW_156240_1">#REF!</definedName>
    <definedName name="QB_ROW_157240">#REF!</definedName>
    <definedName name="QB_ROW_157240_1">#REF!</definedName>
    <definedName name="QB_ROW_157250">#REF!</definedName>
    <definedName name="QB_ROW_158240">#REF!</definedName>
    <definedName name="QB_ROW_158240_1">#REF!</definedName>
    <definedName name="QB_ROW_158250">#REF!</definedName>
    <definedName name="QB_ROW_159240">#REF!</definedName>
    <definedName name="QB_ROW_159240_1">#REF!</definedName>
    <definedName name="QB_ROW_160240">#REF!</definedName>
    <definedName name="QB_ROW_160240_1">#REF!</definedName>
    <definedName name="QB_ROW_160250">#REF!</definedName>
    <definedName name="QB_ROW_161240">#REF!</definedName>
    <definedName name="QB_ROW_161240_1">#REF!</definedName>
    <definedName name="QB_ROW_161250">#REF!</definedName>
    <definedName name="QB_ROW_162240">#REF!</definedName>
    <definedName name="QB_ROW_162240_1">#REF!</definedName>
    <definedName name="QB_ROW_162250">#REF!</definedName>
    <definedName name="QB_ROW_16240">#REF!</definedName>
    <definedName name="QB_ROW_16240_1">#REF!</definedName>
    <definedName name="QB_ROW_163240">#REF!</definedName>
    <definedName name="QB_ROW_163240_1">#REF!</definedName>
    <definedName name="QB_ROW_163250">#REF!</definedName>
    <definedName name="QB_ROW_164240">#REF!</definedName>
    <definedName name="QB_ROW_164240_1">#REF!</definedName>
    <definedName name="QB_ROW_164250">#REF!</definedName>
    <definedName name="QB_ROW_165240">#REF!</definedName>
    <definedName name="QB_ROW_165240_1">#REF!</definedName>
    <definedName name="QB_ROW_165250">#REF!</definedName>
    <definedName name="QB_ROW_166240">#REF!</definedName>
    <definedName name="QB_ROW_166240_1">#REF!</definedName>
    <definedName name="QB_ROW_166250">#REF!</definedName>
    <definedName name="QB_ROW_167240">#REF!</definedName>
    <definedName name="QB_ROW_167240_1">#REF!</definedName>
    <definedName name="QB_ROW_167250">#REF!</definedName>
    <definedName name="QB_ROW_168240">#REF!</definedName>
    <definedName name="QB_ROW_168240_1">#REF!</definedName>
    <definedName name="QB_ROW_168250">#REF!</definedName>
    <definedName name="QB_ROW_169240">#REF!</definedName>
    <definedName name="QB_ROW_169240_1">#REF!</definedName>
    <definedName name="QB_ROW_169250">#REF!</definedName>
    <definedName name="QB_ROW_170050">#REF!</definedName>
    <definedName name="QB_ROW_170240">#REF!</definedName>
    <definedName name="QB_ROW_170240_1">#REF!</definedName>
    <definedName name="QB_ROW_170350">#REF!</definedName>
    <definedName name="QB_ROW_171240">#REF!</definedName>
    <definedName name="QB_ROW_171240_1">#REF!</definedName>
    <definedName name="QB_ROW_171250">#REF!</definedName>
    <definedName name="QB_ROW_17221">#REF!</definedName>
    <definedName name="QB_ROW_17221_1">#REF!</definedName>
    <definedName name="QB_ROW_172240">#REF!</definedName>
    <definedName name="QB_ROW_172240_1">#REF!</definedName>
    <definedName name="QB_ROW_172250">#REF!</definedName>
    <definedName name="QB_ROW_17240">#REF!</definedName>
    <definedName name="QB_ROW_17240_1">#REF!</definedName>
    <definedName name="QB_ROW_173240">#REF!</definedName>
    <definedName name="QB_ROW_173240_1">#REF!</definedName>
    <definedName name="QB_ROW_173250">#REF!</definedName>
    <definedName name="QB_ROW_174240">#REF!</definedName>
    <definedName name="QB_ROW_174240_1">#REF!</definedName>
    <definedName name="QB_ROW_174250">#REF!</definedName>
    <definedName name="QB_ROW_175240">#REF!</definedName>
    <definedName name="QB_ROW_175240_1">#REF!</definedName>
    <definedName name="QB_ROW_177240">#REF!</definedName>
    <definedName name="QB_ROW_177240_1">#REF!</definedName>
    <definedName name="QB_ROW_178260">#REF!</definedName>
    <definedName name="QB_ROW_180230">#REF!</definedName>
    <definedName name="QB_ROW_180230_1">#REF!</definedName>
    <definedName name="QB_ROW_18240">#REF!</definedName>
    <definedName name="QB_ROW_18240_1">#REF!</definedName>
    <definedName name="QB_ROW_18301">#REF!</definedName>
    <definedName name="QB_ROW_18301_1">#REF!</definedName>
    <definedName name="QB_ROW_184040">#REF!</definedName>
    <definedName name="QB_ROW_184340">#REF!</definedName>
    <definedName name="QB_ROW_184340_1">#REF!</definedName>
    <definedName name="QB_ROW_185240">#REF!</definedName>
    <definedName name="QB_ROW_186240">#REF!</definedName>
    <definedName name="QB_ROW_188240">#REF!</definedName>
    <definedName name="QB_ROW_189240">#REF!</definedName>
    <definedName name="QB_ROW_19011">#REF!</definedName>
    <definedName name="QB_ROW_19011_1">#REF!</definedName>
    <definedName name="QB_ROW_190240">#REF!</definedName>
    <definedName name="QB_ROW_190240_1">#REF!</definedName>
    <definedName name="QB_ROW_19040">#REF!</definedName>
    <definedName name="QB_ROW_19040_1">#REF!</definedName>
    <definedName name="QB_ROW_19050">#REF!</definedName>
    <definedName name="QB_ROW_19250">#REF!</definedName>
    <definedName name="QB_ROW_19250_1">#REF!</definedName>
    <definedName name="QB_ROW_19311">#REF!</definedName>
    <definedName name="QB_ROW_19311_1">#REF!</definedName>
    <definedName name="QB_ROW_19340">#REF!</definedName>
    <definedName name="QB_ROW_19340_1">#REF!</definedName>
    <definedName name="QB_ROW_19350">#REF!</definedName>
    <definedName name="QB_ROW_197250">#REF!</definedName>
    <definedName name="QB_ROW_198250">#REF!</definedName>
    <definedName name="QB_ROW_20021">#REF!</definedName>
    <definedName name="QB_ROW_20021_1">#REF!</definedName>
    <definedName name="QB_ROW_20031">#REF!</definedName>
    <definedName name="QB_ROW_2021">#REF!</definedName>
    <definedName name="QB_ROW_2021_1">#REF!</definedName>
    <definedName name="QB_ROW_20250">#REF!</definedName>
    <definedName name="QB_ROW_20250_1">#REF!</definedName>
    <definedName name="QB_ROW_20260">#REF!</definedName>
    <definedName name="QB_ROW_20321">#REF!</definedName>
    <definedName name="QB_ROW_20321_1">#REF!</definedName>
    <definedName name="QB_ROW_20331">#REF!</definedName>
    <definedName name="QB_ROW_205250">#REF!</definedName>
    <definedName name="QB_ROW_205250_1">#REF!</definedName>
    <definedName name="QB_ROW_206240">#REF!</definedName>
    <definedName name="QB_ROW_206240_1">#REF!</definedName>
    <definedName name="QB_ROW_209240">#REF!</definedName>
    <definedName name="QB_ROW_209240_1">#REF!</definedName>
    <definedName name="QB_ROW_21021">#REF!</definedName>
    <definedName name="QB_ROW_21021_1">#REF!</definedName>
    <definedName name="QB_ROW_21031">#REF!</definedName>
    <definedName name="QB_ROW_21250">#REF!</definedName>
    <definedName name="QB_ROW_21250_1">#REF!</definedName>
    <definedName name="QB_ROW_21321">#REF!</definedName>
    <definedName name="QB_ROW_21321_1">#REF!</definedName>
    <definedName name="QB_ROW_21331">#REF!</definedName>
    <definedName name="QB_ROW_22011">#REF!</definedName>
    <definedName name="QB_ROW_22011_1">#REF!</definedName>
    <definedName name="QB_ROW_22240">#REF!</definedName>
    <definedName name="QB_ROW_22240_1">#REF!</definedName>
    <definedName name="QB_ROW_22311">#REF!</definedName>
    <definedName name="QB_ROW_22311_1">#REF!</definedName>
    <definedName name="QB_ROW_23030">#REF!</definedName>
    <definedName name="QB_ROW_23030_1">#REF!</definedName>
    <definedName name="QB_ROW_23040">#REF!</definedName>
    <definedName name="QB_ROW_2321">#REF!</definedName>
    <definedName name="QB_ROW_2321_1">#REF!</definedName>
    <definedName name="QB_ROW_23221">#REF!</definedName>
    <definedName name="QB_ROW_23221_1">#REF!</definedName>
    <definedName name="QB_ROW_23240">#REF!</definedName>
    <definedName name="QB_ROW_23240_1">#REF!</definedName>
    <definedName name="QB_ROW_23330">#REF!</definedName>
    <definedName name="QB_ROW_23330_1">#REF!</definedName>
    <definedName name="QB_ROW_23340">#REF!</definedName>
    <definedName name="QB_ROW_24021">#REF!</definedName>
    <definedName name="QB_ROW_24021_1">#REF!</definedName>
    <definedName name="QB_ROW_24040">#REF!</definedName>
    <definedName name="QB_ROW_24040_1">#REF!</definedName>
    <definedName name="QB_ROW_24050">#REF!</definedName>
    <definedName name="QB_ROW_24250">#REF!</definedName>
    <definedName name="QB_ROW_24250_1">#REF!</definedName>
    <definedName name="QB_ROW_24321">#REF!</definedName>
    <definedName name="QB_ROW_24321_1">#REF!</definedName>
    <definedName name="QB_ROW_24340">#REF!</definedName>
    <definedName name="QB_ROW_24340_1">#REF!</definedName>
    <definedName name="QB_ROW_24350">#REF!</definedName>
    <definedName name="QB_ROW_25240">#REF!</definedName>
    <definedName name="QB_ROW_25240_1">#REF!</definedName>
    <definedName name="QB_ROW_26240">#REF!</definedName>
    <definedName name="QB_ROW_26240_1">#REF!</definedName>
    <definedName name="QB_ROW_27240">#REF!</definedName>
    <definedName name="QB_ROW_27240_1">#REF!</definedName>
    <definedName name="QB_ROW_28240">#REF!</definedName>
    <definedName name="QB_ROW_28240_1">#REF!</definedName>
    <definedName name="QB_ROW_29240">#REF!</definedName>
    <definedName name="QB_ROW_29240_1">#REF!</definedName>
    <definedName name="QB_ROW_29250">#REF!</definedName>
    <definedName name="QB_ROW_301">#REF!</definedName>
    <definedName name="QB_ROW_301_1">#REF!</definedName>
    <definedName name="QB_ROW_30250">#REF!</definedName>
    <definedName name="QB_ROW_30250_1">#REF!</definedName>
    <definedName name="QB_ROW_31250">#REF!</definedName>
    <definedName name="QB_ROW_31250_1">#REF!</definedName>
    <definedName name="QB_ROW_32250">#REF!</definedName>
    <definedName name="QB_ROW_32250_1">#REF!</definedName>
    <definedName name="QB_ROW_32260">#REF!</definedName>
    <definedName name="QB_ROW_33250">#REF!</definedName>
    <definedName name="QB_ROW_33250_1">#REF!</definedName>
    <definedName name="QB_ROW_33260">#REF!</definedName>
    <definedName name="QB_ROW_34240">#REF!</definedName>
    <definedName name="QB_ROW_34240_1">#REF!</definedName>
    <definedName name="QB_ROW_35240">#REF!</definedName>
    <definedName name="QB_ROW_35240_1">#REF!</definedName>
    <definedName name="QB_ROW_4021">#REF!</definedName>
    <definedName name="QB_ROW_4021_1">#REF!</definedName>
    <definedName name="QB_ROW_4321">#REF!</definedName>
    <definedName name="QB_ROW_4321_1">#REF!</definedName>
    <definedName name="QB_ROW_6011">#REF!</definedName>
    <definedName name="QB_ROW_6011_1">#REF!</definedName>
    <definedName name="QB_ROW_6311">#REF!</definedName>
    <definedName name="QB_ROW_6311_1">#REF!</definedName>
    <definedName name="QB_ROW_64250">#REF!</definedName>
    <definedName name="QB_ROW_64250_1">#REF!</definedName>
    <definedName name="QB_ROW_67030">#REF!</definedName>
    <definedName name="QB_ROW_67030_1">#REF!</definedName>
    <definedName name="QB_ROW_67040">#REF!</definedName>
    <definedName name="QB_ROW_67240">#REF!</definedName>
    <definedName name="QB_ROW_67240_1">#REF!</definedName>
    <definedName name="QB_ROW_67330">#REF!</definedName>
    <definedName name="QB_ROW_67330_1">#REF!</definedName>
    <definedName name="QB_ROW_67340">#REF!</definedName>
    <definedName name="QB_ROW_7001">#REF!</definedName>
    <definedName name="QB_ROW_7001_1">#REF!</definedName>
    <definedName name="QB_ROW_71040">#REF!</definedName>
    <definedName name="QB_ROW_71040_1">#REF!</definedName>
    <definedName name="QB_ROW_71050">#REF!</definedName>
    <definedName name="QB_ROW_71250">#REF!</definedName>
    <definedName name="QB_ROW_71250_1">#REF!</definedName>
    <definedName name="QB_ROW_71340">#REF!</definedName>
    <definedName name="QB_ROW_71340_1">#REF!</definedName>
    <definedName name="QB_ROW_71350">#REF!</definedName>
    <definedName name="QB_ROW_72040">#REF!</definedName>
    <definedName name="QB_ROW_72040_1">#REF!</definedName>
    <definedName name="QB_ROW_72050">#REF!</definedName>
    <definedName name="QB_ROW_7220">#REF!</definedName>
    <definedName name="QB_ROW_7220_1">#REF!</definedName>
    <definedName name="QB_ROW_72250">#REF!</definedName>
    <definedName name="QB_ROW_72250_1">#REF!</definedName>
    <definedName name="QB_ROW_72340">#REF!</definedName>
    <definedName name="QB_ROW_72340_1">#REF!</definedName>
    <definedName name="QB_ROW_72350">#REF!</definedName>
    <definedName name="QB_ROW_7301">#REF!</definedName>
    <definedName name="QB_ROW_7301_1">#REF!</definedName>
    <definedName name="QB_ROW_73250">#REF!</definedName>
    <definedName name="QB_ROW_73250_1">#REF!</definedName>
    <definedName name="QB_ROW_73260">#REF!</definedName>
    <definedName name="QB_ROW_74250">#REF!</definedName>
    <definedName name="QB_ROW_74250_1">#REF!</definedName>
    <definedName name="QB_ROW_75250">#REF!</definedName>
    <definedName name="QB_ROW_75250_1">#REF!</definedName>
    <definedName name="QB_ROW_75260">#REF!</definedName>
    <definedName name="QB_ROW_76250">#REF!</definedName>
    <definedName name="QB_ROW_76250_1">#REF!</definedName>
    <definedName name="QB_ROW_76260">#REF!</definedName>
    <definedName name="QB_ROW_77250">#REF!</definedName>
    <definedName name="QB_ROW_77250_1">#REF!</definedName>
    <definedName name="QB_ROW_78050">#REF!</definedName>
    <definedName name="QB_ROW_78050_1">#REF!</definedName>
    <definedName name="QB_ROW_78060">#REF!</definedName>
    <definedName name="QB_ROW_78260">#REF!</definedName>
    <definedName name="QB_ROW_78260_1">#REF!</definedName>
    <definedName name="QB_ROW_78350">#REF!</definedName>
    <definedName name="QB_ROW_78350_1">#REF!</definedName>
    <definedName name="QB_ROW_78360">#REF!</definedName>
    <definedName name="QB_ROW_79250">#REF!</definedName>
    <definedName name="QB_ROW_79250_1">#REF!</definedName>
    <definedName name="QB_ROW_7926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itzU3MZlJkz0Ww7O1kFSf8MKMIRQ=="/>
    </ext>
  </extLst>
</workbook>
</file>

<file path=xl/calcChain.xml><?xml version="1.0" encoding="utf-8"?>
<calcChain xmlns="http://schemas.openxmlformats.org/spreadsheetml/2006/main">
  <c r="C11" i="8" l="1"/>
  <c r="E10" i="8"/>
  <c r="E11" i="8" s="1"/>
  <c r="E12" i="8" s="1"/>
  <c r="E13" i="8" s="1"/>
  <c r="E14" i="8" s="1"/>
  <c r="E15" i="8" s="1"/>
  <c r="E16" i="8" s="1"/>
  <c r="E17" i="8" s="1"/>
  <c r="E18" i="8" s="1"/>
  <c r="E19" i="8" s="1"/>
  <c r="C10" i="8"/>
  <c r="F10" i="8" s="1"/>
  <c r="F9" i="8"/>
  <c r="F8" i="8"/>
  <c r="F7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F6" i="8"/>
  <c r="A6" i="8"/>
  <c r="F5" i="8"/>
  <c r="D34" i="7"/>
  <c r="C34" i="7"/>
  <c r="C30" i="7"/>
  <c r="D18" i="7"/>
  <c r="D30" i="7" s="1"/>
  <c r="D37" i="7" s="1"/>
  <c r="D16" i="7"/>
  <c r="C16" i="7"/>
  <c r="D12" i="7"/>
  <c r="C12" i="7"/>
  <c r="AA55" i="6"/>
  <c r="U55" i="6"/>
  <c r="F55" i="6"/>
  <c r="AB53" i="6"/>
  <c r="V53" i="6"/>
  <c r="P53" i="6"/>
  <c r="E53" i="6"/>
  <c r="D53" i="6"/>
  <c r="C53" i="6"/>
  <c r="B53" i="6"/>
  <c r="AB52" i="6"/>
  <c r="V52" i="6"/>
  <c r="P52" i="6"/>
  <c r="E52" i="6"/>
  <c r="D52" i="6"/>
  <c r="C52" i="6"/>
  <c r="B52" i="6"/>
  <c r="AB51" i="6"/>
  <c r="V51" i="6"/>
  <c r="P51" i="6"/>
  <c r="E51" i="6"/>
  <c r="D51" i="6"/>
  <c r="C51" i="6"/>
  <c r="B51" i="6"/>
  <c r="AB50" i="6"/>
  <c r="V50" i="6"/>
  <c r="P50" i="6"/>
  <c r="E50" i="6"/>
  <c r="D50" i="6"/>
  <c r="C50" i="6"/>
  <c r="B50" i="6"/>
  <c r="AB49" i="6"/>
  <c r="V49" i="6"/>
  <c r="P49" i="6"/>
  <c r="E49" i="6"/>
  <c r="D49" i="6"/>
  <c r="C49" i="6"/>
  <c r="B49" i="6"/>
  <c r="AB48" i="6"/>
  <c r="V48" i="6"/>
  <c r="P48" i="6"/>
  <c r="D48" i="6"/>
  <c r="C48" i="6"/>
  <c r="B48" i="6"/>
  <c r="AB47" i="6"/>
  <c r="Y47" i="6"/>
  <c r="S47" i="6"/>
  <c r="V47" i="6" s="1"/>
  <c r="M47" i="6"/>
  <c r="P47" i="6" s="1"/>
  <c r="D47" i="6"/>
  <c r="C47" i="6"/>
  <c r="B47" i="6"/>
  <c r="AB46" i="6"/>
  <c r="V46" i="6"/>
  <c r="P46" i="6"/>
  <c r="D46" i="6"/>
  <c r="C46" i="6"/>
  <c r="B46" i="6"/>
  <c r="AB45" i="6"/>
  <c r="Y45" i="6"/>
  <c r="S45" i="6"/>
  <c r="V45" i="6" s="1"/>
  <c r="M45" i="6"/>
  <c r="P45" i="6" s="1"/>
  <c r="I45" i="6"/>
  <c r="D45" i="6"/>
  <c r="C45" i="6"/>
  <c r="B45" i="6"/>
  <c r="Y44" i="6"/>
  <c r="AB44" i="6" s="1"/>
  <c r="S44" i="6"/>
  <c r="V44" i="6" s="1"/>
  <c r="P44" i="6"/>
  <c r="M44" i="6"/>
  <c r="I44" i="6"/>
  <c r="D44" i="6"/>
  <c r="C44" i="6"/>
  <c r="B44" i="6"/>
  <c r="AB43" i="6"/>
  <c r="Y43" i="6"/>
  <c r="S43" i="6"/>
  <c r="V43" i="6" s="1"/>
  <c r="M43" i="6"/>
  <c r="P43" i="6" s="1"/>
  <c r="D43" i="6"/>
  <c r="C43" i="6"/>
  <c r="B43" i="6"/>
  <c r="AB42" i="6"/>
  <c r="Y42" i="6"/>
  <c r="V42" i="6"/>
  <c r="S42" i="6"/>
  <c r="M42" i="6"/>
  <c r="P42" i="6" s="1"/>
  <c r="D42" i="6"/>
  <c r="C42" i="6"/>
  <c r="B42" i="6"/>
  <c r="Y41" i="6"/>
  <c r="AB41" i="6" s="1"/>
  <c r="V41" i="6"/>
  <c r="S41" i="6"/>
  <c r="M41" i="6"/>
  <c r="P41" i="6" s="1"/>
  <c r="D41" i="6"/>
  <c r="B41" i="6"/>
  <c r="AB40" i="6"/>
  <c r="Y40" i="6"/>
  <c r="S40" i="6"/>
  <c r="V40" i="6" s="1"/>
  <c r="M40" i="6"/>
  <c r="P40" i="6" s="1"/>
  <c r="D40" i="6"/>
  <c r="B40" i="6"/>
  <c r="Y39" i="6"/>
  <c r="AB39" i="6" s="1"/>
  <c r="S39" i="6"/>
  <c r="V39" i="6" s="1"/>
  <c r="M39" i="6"/>
  <c r="P39" i="6" s="1"/>
  <c r="J39" i="6"/>
  <c r="D39" i="6"/>
  <c r="C39" i="6"/>
  <c r="B39" i="6"/>
  <c r="Y38" i="6"/>
  <c r="AB38" i="6" s="1"/>
  <c r="V38" i="6"/>
  <c r="S38" i="6"/>
  <c r="N38" i="6"/>
  <c r="P38" i="6" s="1"/>
  <c r="M38" i="6"/>
  <c r="D38" i="6"/>
  <c r="C38" i="6"/>
  <c r="B38" i="6"/>
  <c r="AB37" i="6"/>
  <c r="V37" i="6"/>
  <c r="O37" i="6"/>
  <c r="P37" i="6" s="1"/>
  <c r="D37" i="6"/>
  <c r="C37" i="6"/>
  <c r="B37" i="6"/>
  <c r="AB36" i="6"/>
  <c r="V36" i="6"/>
  <c r="P36" i="6"/>
  <c r="E36" i="6"/>
  <c r="D36" i="6"/>
  <c r="C36" i="6"/>
  <c r="B36" i="6"/>
  <c r="AB35" i="6"/>
  <c r="Y35" i="6"/>
  <c r="V35" i="6"/>
  <c r="S35" i="6"/>
  <c r="N35" i="6"/>
  <c r="P35" i="6" s="1"/>
  <c r="M35" i="6"/>
  <c r="D35" i="6"/>
  <c r="C35" i="6"/>
  <c r="B35" i="6"/>
  <c r="Y34" i="6"/>
  <c r="AB34" i="6" s="1"/>
  <c r="S34" i="6"/>
  <c r="V34" i="6" s="1"/>
  <c r="N34" i="6"/>
  <c r="M34" i="6"/>
  <c r="P34" i="6" s="1"/>
  <c r="E34" i="6"/>
  <c r="D34" i="6"/>
  <c r="C34" i="6"/>
  <c r="B34" i="6"/>
  <c r="AB33" i="6"/>
  <c r="V33" i="6"/>
  <c r="P33" i="6"/>
  <c r="O33" i="6"/>
  <c r="D33" i="6"/>
  <c r="C33" i="6"/>
  <c r="B33" i="6"/>
  <c r="AB32" i="6"/>
  <c r="V32" i="6"/>
  <c r="O32" i="6"/>
  <c r="P32" i="6" s="1"/>
  <c r="D32" i="6"/>
  <c r="C32" i="6"/>
  <c r="B32" i="6"/>
  <c r="AB31" i="6"/>
  <c r="V31" i="6"/>
  <c r="O31" i="6"/>
  <c r="P31" i="6" s="1"/>
  <c r="D31" i="6"/>
  <c r="C31" i="6"/>
  <c r="B31" i="6"/>
  <c r="Y30" i="6"/>
  <c r="AB30" i="6" s="1"/>
  <c r="V30" i="6"/>
  <c r="S30" i="6"/>
  <c r="M30" i="6"/>
  <c r="P30" i="6" s="1"/>
  <c r="J30" i="6"/>
  <c r="D30" i="6"/>
  <c r="C30" i="6"/>
  <c r="B30" i="6"/>
  <c r="AB29" i="6"/>
  <c r="V29" i="6"/>
  <c r="O29" i="6"/>
  <c r="P29" i="6" s="1"/>
  <c r="I29" i="6"/>
  <c r="D29" i="6"/>
  <c r="C29" i="6"/>
  <c r="B29" i="6"/>
  <c r="Y28" i="6"/>
  <c r="AB28" i="6" s="1"/>
  <c r="S28" i="6"/>
  <c r="V28" i="6" s="1"/>
  <c r="P28" i="6"/>
  <c r="N28" i="6"/>
  <c r="M28" i="6"/>
  <c r="J28" i="6"/>
  <c r="D28" i="6"/>
  <c r="C28" i="6"/>
  <c r="B28" i="6"/>
  <c r="AB27" i="6"/>
  <c r="V27" i="6"/>
  <c r="P27" i="6"/>
  <c r="O27" i="6"/>
  <c r="I27" i="6"/>
  <c r="D27" i="6"/>
  <c r="C27" i="6"/>
  <c r="B27" i="6"/>
  <c r="Z26" i="6"/>
  <c r="Y26" i="6"/>
  <c r="AB26" i="6" s="1"/>
  <c r="T26" i="6"/>
  <c r="S26" i="6"/>
  <c r="V26" i="6" s="1"/>
  <c r="M26" i="6"/>
  <c r="P26" i="6" s="1"/>
  <c r="E26" i="6"/>
  <c r="D26" i="6"/>
  <c r="C26" i="6"/>
  <c r="B26" i="6"/>
  <c r="AB25" i="6"/>
  <c r="V25" i="6"/>
  <c r="O25" i="6"/>
  <c r="P25" i="6" s="1"/>
  <c r="J25" i="6"/>
  <c r="D25" i="6"/>
  <c r="C25" i="6"/>
  <c r="B25" i="6"/>
  <c r="AB24" i="6"/>
  <c r="V24" i="6"/>
  <c r="O24" i="6"/>
  <c r="P24" i="6" s="1"/>
  <c r="I24" i="6"/>
  <c r="D24" i="6"/>
  <c r="C24" i="6"/>
  <c r="B24" i="6"/>
  <c r="Y23" i="6"/>
  <c r="AB23" i="6" s="1"/>
  <c r="S23" i="6"/>
  <c r="V23" i="6" s="1"/>
  <c r="P23" i="6"/>
  <c r="N23" i="6"/>
  <c r="M23" i="6"/>
  <c r="J23" i="6"/>
  <c r="D23" i="6"/>
  <c r="C23" i="6"/>
  <c r="B23" i="6"/>
  <c r="Y22" i="6"/>
  <c r="AB22" i="6" s="1"/>
  <c r="V22" i="6"/>
  <c r="S22" i="6"/>
  <c r="P22" i="6"/>
  <c r="M22" i="6"/>
  <c r="J22" i="6"/>
  <c r="D22" i="6"/>
  <c r="C22" i="6"/>
  <c r="B22" i="6"/>
  <c r="AB21" i="6"/>
  <c r="Y21" i="6"/>
  <c r="S21" i="6"/>
  <c r="V21" i="6" s="1"/>
  <c r="O21" i="6"/>
  <c r="M21" i="6"/>
  <c r="P21" i="6" s="1"/>
  <c r="I21" i="6"/>
  <c r="E21" i="6"/>
  <c r="D21" i="6"/>
  <c r="C21" i="6"/>
  <c r="B21" i="6"/>
  <c r="Y20" i="6"/>
  <c r="AB20" i="6" s="1"/>
  <c r="S20" i="6"/>
  <c r="V20" i="6" s="1"/>
  <c r="N20" i="6"/>
  <c r="M20" i="6"/>
  <c r="P20" i="6" s="1"/>
  <c r="I20" i="6"/>
  <c r="D20" i="6"/>
  <c r="C20" i="6"/>
  <c r="B20" i="6"/>
  <c r="AB19" i="6"/>
  <c r="V19" i="6"/>
  <c r="P19" i="6"/>
  <c r="J19" i="6"/>
  <c r="D19" i="6"/>
  <c r="C19" i="6"/>
  <c r="B19" i="6"/>
  <c r="AB18" i="6"/>
  <c r="Y18" i="6"/>
  <c r="S18" i="6"/>
  <c r="V18" i="6" s="1"/>
  <c r="N18" i="6"/>
  <c r="M18" i="6"/>
  <c r="J18" i="6"/>
  <c r="D18" i="6"/>
  <c r="C18" i="6"/>
  <c r="B18" i="6"/>
  <c r="AB17" i="6"/>
  <c r="V17" i="6"/>
  <c r="O17" i="6"/>
  <c r="P17" i="6" s="1"/>
  <c r="J17" i="6"/>
  <c r="D17" i="6"/>
  <c r="C17" i="6"/>
  <c r="B17" i="6"/>
  <c r="AB16" i="6"/>
  <c r="V16" i="6"/>
  <c r="O16" i="6"/>
  <c r="P16" i="6" s="1"/>
  <c r="J16" i="6"/>
  <c r="D16" i="6"/>
  <c r="C16" i="6"/>
  <c r="B16" i="6"/>
  <c r="AB15" i="6"/>
  <c r="V15" i="6"/>
  <c r="P15" i="6"/>
  <c r="J15" i="6"/>
  <c r="D15" i="6"/>
  <c r="C15" i="6"/>
  <c r="B15" i="6"/>
  <c r="Y14" i="6"/>
  <c r="AB14" i="6" s="1"/>
  <c r="S14" i="6"/>
  <c r="V14" i="6" s="1"/>
  <c r="M14" i="6"/>
  <c r="P14" i="6" s="1"/>
  <c r="I14" i="6"/>
  <c r="I55" i="6" s="1"/>
  <c r="D14" i="6"/>
  <c r="C14" i="6"/>
  <c r="B14" i="6"/>
  <c r="AB13" i="6"/>
  <c r="V13" i="6"/>
  <c r="P13" i="6"/>
  <c r="C13" i="6"/>
  <c r="B13" i="6"/>
  <c r="AB12" i="6"/>
  <c r="V12" i="6"/>
  <c r="O12" i="6"/>
  <c r="P12" i="6" s="1"/>
  <c r="E12" i="6"/>
  <c r="D12" i="6"/>
  <c r="C12" i="6"/>
  <c r="B12" i="6"/>
  <c r="Y11" i="6"/>
  <c r="AB11" i="6" s="1"/>
  <c r="V11" i="6"/>
  <c r="S11" i="6"/>
  <c r="N11" i="6"/>
  <c r="M11" i="6"/>
  <c r="P11" i="6" s="1"/>
  <c r="E11" i="6"/>
  <c r="D11" i="6"/>
  <c r="C11" i="6"/>
  <c r="B11" i="6"/>
  <c r="Y10" i="6"/>
  <c r="AB10" i="6" s="1"/>
  <c r="S10" i="6"/>
  <c r="V10" i="6" s="1"/>
  <c r="M10" i="6"/>
  <c r="P10" i="6" s="1"/>
  <c r="D10" i="6"/>
  <c r="C10" i="6"/>
  <c r="B10" i="6"/>
  <c r="AB9" i="6"/>
  <c r="Y9" i="6"/>
  <c r="S9" i="6"/>
  <c r="V9" i="6" s="1"/>
  <c r="N9" i="6"/>
  <c r="M9" i="6"/>
  <c r="P9" i="6" s="1"/>
  <c r="E9" i="6"/>
  <c r="D9" i="6"/>
  <c r="C9" i="6"/>
  <c r="B9" i="6"/>
  <c r="Z8" i="6"/>
  <c r="Y8" i="6"/>
  <c r="AB8" i="6" s="1"/>
  <c r="T8" i="6"/>
  <c r="S8" i="6"/>
  <c r="V8" i="6" s="1"/>
  <c r="N8" i="6"/>
  <c r="P8" i="6" s="1"/>
  <c r="M8" i="6"/>
  <c r="D8" i="6"/>
  <c r="C8" i="6"/>
  <c r="B8" i="6"/>
  <c r="Y7" i="6"/>
  <c r="AB7" i="6" s="1"/>
  <c r="S7" i="6"/>
  <c r="V7" i="6" s="1"/>
  <c r="N7" i="6"/>
  <c r="M7" i="6"/>
  <c r="P7" i="6" s="1"/>
  <c r="J7" i="6"/>
  <c r="D7" i="6"/>
  <c r="C7" i="6"/>
  <c r="B7" i="6"/>
  <c r="AB6" i="6"/>
  <c r="V6" i="6"/>
  <c r="V55" i="6" s="1"/>
  <c r="P6" i="6"/>
  <c r="J6" i="6"/>
  <c r="J55" i="6" s="1"/>
  <c r="D6" i="6"/>
  <c r="C6" i="6"/>
  <c r="B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B5" i="6"/>
  <c r="Z5" i="6"/>
  <c r="Y5" i="6"/>
  <c r="V5" i="6"/>
  <c r="T5" i="6"/>
  <c r="S5" i="6"/>
  <c r="N5" i="6"/>
  <c r="M5" i="6"/>
  <c r="P5" i="6" s="1"/>
  <c r="D5" i="6"/>
  <c r="C5" i="6"/>
  <c r="B5" i="6"/>
  <c r="E53" i="5"/>
  <c r="D53" i="5"/>
  <c r="C53" i="5"/>
  <c r="B53" i="5"/>
  <c r="G52" i="5"/>
  <c r="E52" i="5"/>
  <c r="F52" i="5" s="1"/>
  <c r="D52" i="5"/>
  <c r="C52" i="5"/>
  <c r="B52" i="5"/>
  <c r="G51" i="5"/>
  <c r="F51" i="5"/>
  <c r="E51" i="5"/>
  <c r="D51" i="5"/>
  <c r="C51" i="5"/>
  <c r="B51" i="5"/>
  <c r="E50" i="5"/>
  <c r="G50" i="5" s="1"/>
  <c r="D50" i="5"/>
  <c r="C50" i="5"/>
  <c r="B50" i="5"/>
  <c r="E49" i="5"/>
  <c r="D49" i="5"/>
  <c r="C49" i="5"/>
  <c r="B49" i="5"/>
  <c r="D48" i="5"/>
  <c r="C48" i="5"/>
  <c r="B48" i="5"/>
  <c r="F47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I42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E37" i="5"/>
  <c r="D37" i="5"/>
  <c r="C37" i="5"/>
  <c r="B37" i="5"/>
  <c r="I36" i="5"/>
  <c r="K36" i="5" s="1"/>
  <c r="D36" i="5"/>
  <c r="C36" i="5"/>
  <c r="B36" i="5"/>
  <c r="D35" i="5"/>
  <c r="C35" i="5"/>
  <c r="B35" i="5"/>
  <c r="I34" i="5"/>
  <c r="D34" i="5"/>
  <c r="C34" i="5"/>
  <c r="B34" i="5"/>
  <c r="D33" i="5"/>
  <c r="C33" i="5"/>
  <c r="B33" i="5"/>
  <c r="G32" i="5"/>
  <c r="D32" i="5"/>
  <c r="C32" i="5"/>
  <c r="B32" i="5"/>
  <c r="D31" i="5"/>
  <c r="C31" i="5"/>
  <c r="B31" i="5"/>
  <c r="D30" i="5"/>
  <c r="C30" i="5"/>
  <c r="B30" i="5"/>
  <c r="E29" i="5"/>
  <c r="D29" i="5"/>
  <c r="C29" i="5"/>
  <c r="B29" i="5"/>
  <c r="D28" i="5"/>
  <c r="C28" i="5"/>
  <c r="B28" i="5"/>
  <c r="F27" i="5"/>
  <c r="D27" i="5"/>
  <c r="C27" i="5"/>
  <c r="B27" i="5"/>
  <c r="I26" i="5"/>
  <c r="D26" i="5"/>
  <c r="C26" i="5"/>
  <c r="B26" i="5"/>
  <c r="D25" i="5"/>
  <c r="C25" i="5"/>
  <c r="B25" i="5"/>
  <c r="D24" i="5"/>
  <c r="C24" i="5"/>
  <c r="B24" i="5"/>
  <c r="D23" i="5"/>
  <c r="C23" i="5"/>
  <c r="B23" i="5"/>
  <c r="I22" i="5"/>
  <c r="D22" i="5"/>
  <c r="C22" i="5"/>
  <c r="B22" i="5"/>
  <c r="K21" i="5"/>
  <c r="I21" i="5"/>
  <c r="J21" i="5" s="1"/>
  <c r="D21" i="5"/>
  <c r="C21" i="5"/>
  <c r="B21" i="5"/>
  <c r="D20" i="5"/>
  <c r="C20" i="5"/>
  <c r="B20" i="5"/>
  <c r="F19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I12" i="5"/>
  <c r="K12" i="5" s="1"/>
  <c r="D12" i="5"/>
  <c r="C12" i="5"/>
  <c r="B12" i="5"/>
  <c r="J11" i="5"/>
  <c r="I11" i="5"/>
  <c r="K11" i="5" s="1"/>
  <c r="D11" i="5"/>
  <c r="C11" i="5"/>
  <c r="B11" i="5"/>
  <c r="D10" i="5"/>
  <c r="C10" i="5"/>
  <c r="B10" i="5"/>
  <c r="K9" i="5"/>
  <c r="I9" i="5"/>
  <c r="J9" i="5" s="1"/>
  <c r="D9" i="5"/>
  <c r="C9" i="5"/>
  <c r="B9" i="5"/>
  <c r="D8" i="5"/>
  <c r="C8" i="5"/>
  <c r="B8" i="5"/>
  <c r="D7" i="5"/>
  <c r="C7" i="5"/>
  <c r="B7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D6" i="5"/>
  <c r="C6" i="5"/>
  <c r="B6" i="5"/>
  <c r="A6" i="5"/>
  <c r="D5" i="5"/>
  <c r="C5" i="5"/>
  <c r="B5" i="5"/>
  <c r="P55" i="4"/>
  <c r="K55" i="4"/>
  <c r="G55" i="4"/>
  <c r="Q54" i="4"/>
  <c r="O54" i="4"/>
  <c r="O53" i="4"/>
  <c r="Q53" i="4" s="1"/>
  <c r="I53" i="5" s="1"/>
  <c r="O52" i="4"/>
  <c r="Q52" i="4" s="1"/>
  <c r="I52" i="5" s="1"/>
  <c r="Q51" i="4"/>
  <c r="I51" i="5" s="1"/>
  <c r="K51" i="5" s="1"/>
  <c r="O51" i="4"/>
  <c r="O50" i="4"/>
  <c r="Q50" i="4" s="1"/>
  <c r="I50" i="5" s="1"/>
  <c r="Q49" i="4"/>
  <c r="I49" i="5" s="1"/>
  <c r="O49" i="4"/>
  <c r="O48" i="4"/>
  <c r="Q48" i="4" s="1"/>
  <c r="L48" i="4"/>
  <c r="E48" i="5" s="1"/>
  <c r="F48" i="5" s="1"/>
  <c r="J48" i="4"/>
  <c r="Q47" i="4"/>
  <c r="O47" i="4"/>
  <c r="L47" i="4"/>
  <c r="E47" i="5" s="1"/>
  <c r="G47" i="5" s="1"/>
  <c r="J47" i="4"/>
  <c r="O46" i="4"/>
  <c r="Q46" i="4" s="1"/>
  <c r="J46" i="4"/>
  <c r="L46" i="4" s="1"/>
  <c r="E46" i="5" s="1"/>
  <c r="Q45" i="4"/>
  <c r="E45" i="6" s="1"/>
  <c r="O45" i="4"/>
  <c r="J45" i="4"/>
  <c r="L45" i="4" s="1"/>
  <c r="E45" i="5" s="1"/>
  <c r="O44" i="4"/>
  <c r="Q44" i="4" s="1"/>
  <c r="L44" i="4"/>
  <c r="E44" i="5" s="1"/>
  <c r="F44" i="5" s="1"/>
  <c r="J44" i="4"/>
  <c r="O43" i="4"/>
  <c r="Q43" i="4" s="1"/>
  <c r="L43" i="4"/>
  <c r="E43" i="5" s="1"/>
  <c r="G43" i="5" s="1"/>
  <c r="J43" i="4"/>
  <c r="Q42" i="4"/>
  <c r="E42" i="6" s="1"/>
  <c r="O42" i="4"/>
  <c r="J42" i="4"/>
  <c r="L42" i="4" s="1"/>
  <c r="E42" i="5" s="1"/>
  <c r="Q41" i="4"/>
  <c r="O41" i="4"/>
  <c r="L41" i="4"/>
  <c r="E41" i="5" s="1"/>
  <c r="J41" i="4"/>
  <c r="O40" i="4"/>
  <c r="Q40" i="4" s="1"/>
  <c r="J40" i="4"/>
  <c r="L40" i="4" s="1"/>
  <c r="E40" i="5" s="1"/>
  <c r="O39" i="4"/>
  <c r="Q39" i="4" s="1"/>
  <c r="L39" i="4"/>
  <c r="E39" i="5" s="1"/>
  <c r="G39" i="5" s="1"/>
  <c r="J39" i="4"/>
  <c r="O38" i="4"/>
  <c r="Q38" i="4" s="1"/>
  <c r="J38" i="4"/>
  <c r="L38" i="4" s="1"/>
  <c r="E38" i="5" s="1"/>
  <c r="Q37" i="4"/>
  <c r="O37" i="4"/>
  <c r="J37" i="4"/>
  <c r="L37" i="4" s="1"/>
  <c r="O36" i="4"/>
  <c r="L36" i="4"/>
  <c r="E36" i="5" s="1"/>
  <c r="F36" i="5" s="1"/>
  <c r="J36" i="4"/>
  <c r="O35" i="4"/>
  <c r="Q35" i="4" s="1"/>
  <c r="L35" i="4"/>
  <c r="E35" i="5" s="1"/>
  <c r="G35" i="5" s="1"/>
  <c r="J35" i="4"/>
  <c r="O34" i="4"/>
  <c r="J34" i="4"/>
  <c r="L34" i="4" s="1"/>
  <c r="E34" i="5" s="1"/>
  <c r="Q33" i="4"/>
  <c r="O33" i="4"/>
  <c r="J33" i="4"/>
  <c r="L33" i="4" s="1"/>
  <c r="Q32" i="4"/>
  <c r="O32" i="4"/>
  <c r="J32" i="4"/>
  <c r="L32" i="4" s="1"/>
  <c r="E32" i="5" s="1"/>
  <c r="F32" i="5" s="1"/>
  <c r="O31" i="4"/>
  <c r="Q31" i="4" s="1"/>
  <c r="L31" i="4"/>
  <c r="E31" i="5" s="1"/>
  <c r="G31" i="5" s="1"/>
  <c r="J31" i="4"/>
  <c r="O30" i="4"/>
  <c r="Q30" i="4" s="1"/>
  <c r="L30" i="4"/>
  <c r="E30" i="5" s="1"/>
  <c r="J30" i="4"/>
  <c r="Q29" i="4"/>
  <c r="O29" i="4"/>
  <c r="L29" i="4"/>
  <c r="J29" i="4"/>
  <c r="Q28" i="4"/>
  <c r="O28" i="4"/>
  <c r="J28" i="4"/>
  <c r="L28" i="4" s="1"/>
  <c r="E28" i="5" s="1"/>
  <c r="Q27" i="4"/>
  <c r="O27" i="4"/>
  <c r="L27" i="4"/>
  <c r="E27" i="5" s="1"/>
  <c r="G27" i="5" s="1"/>
  <c r="J27" i="4"/>
  <c r="O26" i="4"/>
  <c r="L26" i="4"/>
  <c r="E26" i="5" s="1"/>
  <c r="J26" i="4"/>
  <c r="O25" i="4"/>
  <c r="Q25" i="4" s="1"/>
  <c r="L25" i="4"/>
  <c r="E25" i="5" s="1"/>
  <c r="J25" i="4"/>
  <c r="Q24" i="4"/>
  <c r="O24" i="4"/>
  <c r="L24" i="4"/>
  <c r="E24" i="5" s="1"/>
  <c r="F24" i="5" s="1"/>
  <c r="J24" i="4"/>
  <c r="Q23" i="4"/>
  <c r="O23" i="4"/>
  <c r="J23" i="4"/>
  <c r="L23" i="4" s="1"/>
  <c r="E23" i="5" s="1"/>
  <c r="Q22" i="4"/>
  <c r="E22" i="6" s="1"/>
  <c r="O22" i="4"/>
  <c r="L22" i="4"/>
  <c r="E22" i="5" s="1"/>
  <c r="J22" i="4"/>
  <c r="O21" i="4"/>
  <c r="L21" i="4"/>
  <c r="E21" i="5" s="1"/>
  <c r="J21" i="4"/>
  <c r="O20" i="4"/>
  <c r="Q20" i="4" s="1"/>
  <c r="L20" i="4"/>
  <c r="E20" i="5" s="1"/>
  <c r="F20" i="5" s="1"/>
  <c r="J20" i="4"/>
  <c r="Q19" i="4"/>
  <c r="O19" i="4"/>
  <c r="L19" i="4"/>
  <c r="E19" i="5" s="1"/>
  <c r="G19" i="5" s="1"/>
  <c r="J19" i="4"/>
  <c r="Q18" i="4"/>
  <c r="E18" i="6" s="1"/>
  <c r="O18" i="4"/>
  <c r="J18" i="4"/>
  <c r="L18" i="4" s="1"/>
  <c r="E18" i="5" s="1"/>
  <c r="Q17" i="4"/>
  <c r="O17" i="4"/>
  <c r="L17" i="4"/>
  <c r="E17" i="5" s="1"/>
  <c r="J17" i="4"/>
  <c r="O16" i="4"/>
  <c r="Q16" i="4" s="1"/>
  <c r="J16" i="4"/>
  <c r="L16" i="4" s="1"/>
  <c r="E16" i="5" s="1"/>
  <c r="Q15" i="4"/>
  <c r="I15" i="5" s="1"/>
  <c r="K15" i="5" s="1"/>
  <c r="O15" i="4"/>
  <c r="J15" i="4"/>
  <c r="L15" i="4" s="1"/>
  <c r="E15" i="5" s="1"/>
  <c r="O14" i="4"/>
  <c r="Q14" i="4" s="1"/>
  <c r="J14" i="4"/>
  <c r="L14" i="4" s="1"/>
  <c r="O13" i="4"/>
  <c r="Q13" i="4" s="1"/>
  <c r="L13" i="4"/>
  <c r="E13" i="5" s="1"/>
  <c r="J13" i="4"/>
  <c r="O12" i="4"/>
  <c r="L12" i="4"/>
  <c r="E12" i="5" s="1"/>
  <c r="F12" i="5" s="1"/>
  <c r="J12" i="4"/>
  <c r="O11" i="4"/>
  <c r="L11" i="4"/>
  <c r="E11" i="5" s="1"/>
  <c r="G11" i="5" s="1"/>
  <c r="J11" i="4"/>
  <c r="O10" i="4"/>
  <c r="Q10" i="4" s="1"/>
  <c r="L10" i="4"/>
  <c r="E10" i="5" s="1"/>
  <c r="J10" i="4"/>
  <c r="O9" i="4"/>
  <c r="J9" i="4"/>
  <c r="L9" i="4" s="1"/>
  <c r="Q8" i="4"/>
  <c r="O8" i="4"/>
  <c r="J8" i="4"/>
  <c r="L8" i="4" s="1"/>
  <c r="O7" i="4"/>
  <c r="Q7" i="4" s="1"/>
  <c r="J7" i="4"/>
  <c r="L7" i="4" s="1"/>
  <c r="O6" i="4"/>
  <c r="Q6" i="4" s="1"/>
  <c r="L6" i="4"/>
  <c r="E6" i="5" s="1"/>
  <c r="J6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O5" i="4"/>
  <c r="Q5" i="4" s="1"/>
  <c r="L5" i="4"/>
  <c r="E5" i="5" s="1"/>
  <c r="J5" i="4"/>
  <c r="J55" i="4" s="1"/>
  <c r="E289" i="3"/>
  <c r="E290" i="3" s="1"/>
  <c r="D289" i="3"/>
  <c r="D290" i="3" s="1"/>
  <c r="B289" i="3"/>
  <c r="B290" i="3" s="1"/>
  <c r="B287" i="3"/>
  <c r="E261" i="3"/>
  <c r="B261" i="3"/>
  <c r="D260" i="3"/>
  <c r="E258" i="3"/>
  <c r="D258" i="3"/>
  <c r="B258" i="3"/>
  <c r="B260" i="3" s="1"/>
  <c r="D256" i="3"/>
  <c r="E254" i="3"/>
  <c r="D254" i="3"/>
  <c r="B254" i="3"/>
  <c r="E253" i="3"/>
  <c r="D253" i="3"/>
  <c r="B253" i="3"/>
  <c r="E252" i="3"/>
  <c r="G235" i="1" s="1"/>
  <c r="D252" i="3"/>
  <c r="B252" i="3"/>
  <c r="E251" i="3"/>
  <c r="D251" i="3"/>
  <c r="B251" i="3"/>
  <c r="E250" i="3"/>
  <c r="D250" i="3"/>
  <c r="B250" i="3"/>
  <c r="B256" i="3" s="1"/>
  <c r="E249" i="3"/>
  <c r="D249" i="3"/>
  <c r="B249" i="3"/>
  <c r="E245" i="3"/>
  <c r="G228" i="1" s="1"/>
  <c r="G230" i="1" s="1"/>
  <c r="D245" i="3"/>
  <c r="E228" i="1" s="1"/>
  <c r="E230" i="1" s="1"/>
  <c r="B245" i="3"/>
  <c r="B247" i="3" s="1"/>
  <c r="B243" i="3"/>
  <c r="B240" i="3"/>
  <c r="B239" i="3"/>
  <c r="E238" i="3"/>
  <c r="E243" i="3" s="1"/>
  <c r="D238" i="3"/>
  <c r="E221" i="1" s="1"/>
  <c r="E226" i="1" s="1"/>
  <c r="B238" i="3"/>
  <c r="E236" i="3"/>
  <c r="B236" i="3"/>
  <c r="D235" i="3"/>
  <c r="D236" i="3" s="1"/>
  <c r="B235" i="3"/>
  <c r="E233" i="3"/>
  <c r="D233" i="3"/>
  <c r="E232" i="3"/>
  <c r="D232" i="3"/>
  <c r="B232" i="3"/>
  <c r="B231" i="3"/>
  <c r="B233" i="3" s="1"/>
  <c r="D229" i="3"/>
  <c r="B229" i="3"/>
  <c r="E228" i="3"/>
  <c r="E229" i="3" s="1"/>
  <c r="G211" i="1" s="1"/>
  <c r="G212" i="1" s="1"/>
  <c r="B228" i="3"/>
  <c r="E225" i="3"/>
  <c r="E226" i="3" s="1"/>
  <c r="G208" i="1" s="1"/>
  <c r="G209" i="1" s="1"/>
  <c r="D225" i="3"/>
  <c r="D226" i="3" s="1"/>
  <c r="B225" i="3"/>
  <c r="B226" i="3" s="1"/>
  <c r="D223" i="3"/>
  <c r="E222" i="3"/>
  <c r="E223" i="3" s="1"/>
  <c r="G205" i="1" s="1"/>
  <c r="G206" i="1" s="1"/>
  <c r="D222" i="3"/>
  <c r="B222" i="3"/>
  <c r="B223" i="3" s="1"/>
  <c r="E217" i="3"/>
  <c r="E219" i="3" s="1"/>
  <c r="D217" i="3"/>
  <c r="D219" i="3" s="1"/>
  <c r="B217" i="3"/>
  <c r="E216" i="3"/>
  <c r="E220" i="3" s="1"/>
  <c r="D216" i="3"/>
  <c r="E201" i="1" s="1"/>
  <c r="B216" i="3"/>
  <c r="E215" i="3"/>
  <c r="D215" i="3"/>
  <c r="B215" i="3"/>
  <c r="B220" i="3" s="1"/>
  <c r="B213" i="3"/>
  <c r="E212" i="3"/>
  <c r="E213" i="3" s="1"/>
  <c r="D212" i="3"/>
  <c r="B212" i="3"/>
  <c r="E211" i="3"/>
  <c r="D211" i="3"/>
  <c r="D213" i="3" s="1"/>
  <c r="B211" i="3"/>
  <c r="D209" i="3"/>
  <c r="B209" i="3"/>
  <c r="E206" i="3"/>
  <c r="E209" i="3" s="1"/>
  <c r="D206" i="3"/>
  <c r="B206" i="3"/>
  <c r="D204" i="3"/>
  <c r="B204" i="3"/>
  <c r="E202" i="3"/>
  <c r="E201" i="3"/>
  <c r="E204" i="3" s="1"/>
  <c r="D199" i="3"/>
  <c r="E198" i="3"/>
  <c r="E199" i="3" s="1"/>
  <c r="D198" i="3"/>
  <c r="B198" i="3"/>
  <c r="B199" i="3" s="1"/>
  <c r="B193" i="3"/>
  <c r="E192" i="3"/>
  <c r="D192" i="3"/>
  <c r="B192" i="3"/>
  <c r="E191" i="3"/>
  <c r="D191" i="3"/>
  <c r="B191" i="3"/>
  <c r="C181" i="1" s="1"/>
  <c r="E190" i="3"/>
  <c r="D190" i="3"/>
  <c r="B190" i="3"/>
  <c r="E189" i="3"/>
  <c r="D189" i="3"/>
  <c r="B189" i="3"/>
  <c r="E188" i="3"/>
  <c r="E196" i="3" s="1"/>
  <c r="D188" i="3"/>
  <c r="E178" i="1" s="1"/>
  <c r="E183" i="1" s="1"/>
  <c r="B188" i="3"/>
  <c r="B196" i="3" s="1"/>
  <c r="E186" i="3"/>
  <c r="E185" i="3"/>
  <c r="E184" i="3"/>
  <c r="D184" i="3"/>
  <c r="D186" i="3" s="1"/>
  <c r="B184" i="3"/>
  <c r="B186" i="3" s="1"/>
  <c r="E181" i="3"/>
  <c r="D181" i="3"/>
  <c r="E180" i="3"/>
  <c r="D180" i="3"/>
  <c r="B180" i="3"/>
  <c r="C170" i="1" s="1"/>
  <c r="E179" i="3"/>
  <c r="D179" i="3"/>
  <c r="B179" i="3"/>
  <c r="E178" i="3"/>
  <c r="D178" i="3"/>
  <c r="B178" i="3"/>
  <c r="E177" i="3"/>
  <c r="D177" i="3"/>
  <c r="E167" i="1" s="1"/>
  <c r="B177" i="3"/>
  <c r="E176" i="3"/>
  <c r="E182" i="3" s="1"/>
  <c r="D176" i="3"/>
  <c r="B176" i="3"/>
  <c r="B182" i="3" s="1"/>
  <c r="B174" i="3"/>
  <c r="E173" i="3"/>
  <c r="G163" i="1" s="1"/>
  <c r="D173" i="3"/>
  <c r="B173" i="3"/>
  <c r="B172" i="3"/>
  <c r="E171" i="3"/>
  <c r="E174" i="3" s="1"/>
  <c r="D171" i="3"/>
  <c r="D174" i="3" s="1"/>
  <c r="B171" i="3"/>
  <c r="D169" i="3"/>
  <c r="E167" i="3"/>
  <c r="D167" i="3"/>
  <c r="B167" i="3"/>
  <c r="E166" i="3"/>
  <c r="D166" i="3"/>
  <c r="E165" i="3"/>
  <c r="E169" i="3" s="1"/>
  <c r="B165" i="3"/>
  <c r="B169" i="3" s="1"/>
  <c r="D163" i="3"/>
  <c r="B163" i="3"/>
  <c r="E162" i="3"/>
  <c r="E163" i="3" s="1"/>
  <c r="D162" i="3"/>
  <c r="B158" i="3"/>
  <c r="B157" i="3"/>
  <c r="E156" i="3"/>
  <c r="D156" i="3"/>
  <c r="B156" i="3"/>
  <c r="E153" i="3"/>
  <c r="D153" i="3"/>
  <c r="D160" i="3" s="1"/>
  <c r="B153" i="3"/>
  <c r="C145" i="1" s="1"/>
  <c r="E152" i="3"/>
  <c r="D152" i="3"/>
  <c r="B152" i="3"/>
  <c r="E151" i="3"/>
  <c r="E160" i="3" s="1"/>
  <c r="D151" i="3"/>
  <c r="B151" i="3"/>
  <c r="E149" i="3"/>
  <c r="D149" i="3"/>
  <c r="E148" i="3"/>
  <c r="B148" i="3"/>
  <c r="E147" i="3"/>
  <c r="B147" i="3"/>
  <c r="B149" i="3" s="1"/>
  <c r="E144" i="3"/>
  <c r="D144" i="3"/>
  <c r="B144" i="3"/>
  <c r="E143" i="3"/>
  <c r="E141" i="3"/>
  <c r="D141" i="3"/>
  <c r="E140" i="3"/>
  <c r="E138" i="3"/>
  <c r="G130" i="1" s="1"/>
  <c r="D138" i="3"/>
  <c r="B138" i="3"/>
  <c r="E137" i="3"/>
  <c r="D137" i="3"/>
  <c r="B137" i="3"/>
  <c r="E134" i="3"/>
  <c r="B134" i="3"/>
  <c r="E133" i="3"/>
  <c r="D133" i="3"/>
  <c r="B133" i="3"/>
  <c r="E132" i="3"/>
  <c r="D132" i="3"/>
  <c r="B132" i="3"/>
  <c r="E131" i="3"/>
  <c r="E145" i="3" s="1"/>
  <c r="D131" i="3"/>
  <c r="D145" i="3" s="1"/>
  <c r="B131" i="3"/>
  <c r="C123" i="1" s="1"/>
  <c r="C137" i="1" s="1"/>
  <c r="E128" i="3"/>
  <c r="D128" i="3"/>
  <c r="B128" i="3"/>
  <c r="E123" i="3"/>
  <c r="B122" i="3"/>
  <c r="B121" i="3"/>
  <c r="B120" i="3"/>
  <c r="B119" i="3"/>
  <c r="D118" i="3"/>
  <c r="B118" i="3"/>
  <c r="D117" i="3"/>
  <c r="E111" i="1" s="1"/>
  <c r="B117" i="3"/>
  <c r="E114" i="3"/>
  <c r="D114" i="3"/>
  <c r="B114" i="3"/>
  <c r="E113" i="3"/>
  <c r="D113" i="3"/>
  <c r="B113" i="3"/>
  <c r="D112" i="3"/>
  <c r="E107" i="1" s="1"/>
  <c r="E115" i="1" s="1"/>
  <c r="B112" i="3"/>
  <c r="D111" i="3"/>
  <c r="B111" i="3"/>
  <c r="E110" i="3"/>
  <c r="D110" i="3"/>
  <c r="B110" i="3"/>
  <c r="B123" i="3" s="1"/>
  <c r="E108" i="3"/>
  <c r="D108" i="3"/>
  <c r="D107" i="3"/>
  <c r="B107" i="3"/>
  <c r="D105" i="3"/>
  <c r="B105" i="3"/>
  <c r="E99" i="3"/>
  <c r="D99" i="3"/>
  <c r="B99" i="3"/>
  <c r="C96" i="1" s="1"/>
  <c r="C105" i="1" s="1"/>
  <c r="E98" i="3"/>
  <c r="D98" i="3"/>
  <c r="B98" i="3"/>
  <c r="E97" i="3"/>
  <c r="D97" i="3"/>
  <c r="B97" i="3"/>
  <c r="B108" i="3" s="1"/>
  <c r="E94" i="3"/>
  <c r="D94" i="3"/>
  <c r="B94" i="3"/>
  <c r="E90" i="3"/>
  <c r="D90" i="3"/>
  <c r="B90" i="3"/>
  <c r="B91" i="3" s="1"/>
  <c r="E89" i="3"/>
  <c r="G86" i="1" s="1"/>
  <c r="D89" i="3"/>
  <c r="B89" i="3"/>
  <c r="E88" i="3"/>
  <c r="D88" i="3"/>
  <c r="B88" i="3"/>
  <c r="E86" i="3"/>
  <c r="D86" i="3"/>
  <c r="E83" i="3"/>
  <c r="E91" i="3" s="1"/>
  <c r="D83" i="3"/>
  <c r="B83" i="3"/>
  <c r="E80" i="3"/>
  <c r="D80" i="3"/>
  <c r="D91" i="3" s="1"/>
  <c r="B80" i="3"/>
  <c r="B74" i="3"/>
  <c r="B129" i="3" s="1"/>
  <c r="E73" i="3"/>
  <c r="B73" i="3"/>
  <c r="E70" i="3"/>
  <c r="E69" i="3"/>
  <c r="D69" i="3"/>
  <c r="B69" i="3"/>
  <c r="E67" i="3"/>
  <c r="E66" i="3"/>
  <c r="D66" i="3"/>
  <c r="B66" i="3"/>
  <c r="E65" i="3"/>
  <c r="D65" i="3"/>
  <c r="B65" i="3"/>
  <c r="E63" i="3"/>
  <c r="E61" i="3"/>
  <c r="E74" i="3" s="1"/>
  <c r="D61" i="3"/>
  <c r="D74" i="3" s="1"/>
  <c r="B61" i="3"/>
  <c r="E56" i="3"/>
  <c r="D56" i="3"/>
  <c r="B56" i="3"/>
  <c r="D46" i="3"/>
  <c r="B44" i="3"/>
  <c r="E42" i="3"/>
  <c r="E46" i="3" s="1"/>
  <c r="B42" i="3"/>
  <c r="B46" i="3" s="1"/>
  <c r="D40" i="3"/>
  <c r="B40" i="3"/>
  <c r="E39" i="3"/>
  <c r="E40" i="3" s="1"/>
  <c r="D39" i="3"/>
  <c r="B39" i="3"/>
  <c r="E37" i="3"/>
  <c r="D37" i="3"/>
  <c r="B37" i="3"/>
  <c r="E34" i="3"/>
  <c r="B32" i="3"/>
  <c r="E31" i="3"/>
  <c r="D31" i="3"/>
  <c r="D34" i="3" s="1"/>
  <c r="B31" i="3"/>
  <c r="B34" i="3" s="1"/>
  <c r="E26" i="3"/>
  <c r="D26" i="3"/>
  <c r="B25" i="3"/>
  <c r="E23" i="3"/>
  <c r="D23" i="3"/>
  <c r="B23" i="3"/>
  <c r="E22" i="3"/>
  <c r="D22" i="3"/>
  <c r="E21" i="3"/>
  <c r="D21" i="3"/>
  <c r="B21" i="3"/>
  <c r="E20" i="3"/>
  <c r="D20" i="3"/>
  <c r="D28" i="3" s="1"/>
  <c r="B20" i="3"/>
  <c r="E19" i="3"/>
  <c r="E28" i="3" s="1"/>
  <c r="D19" i="3"/>
  <c r="B19" i="3"/>
  <c r="B28" i="3" s="1"/>
  <c r="B16" i="3"/>
  <c r="B13" i="3"/>
  <c r="B12" i="3"/>
  <c r="E10" i="3"/>
  <c r="D10" i="3"/>
  <c r="B10" i="3"/>
  <c r="E9" i="3"/>
  <c r="D9" i="3"/>
  <c r="B9" i="3"/>
  <c r="B17" i="3" s="1"/>
  <c r="E8" i="3"/>
  <c r="E17" i="3" s="1"/>
  <c r="E51" i="3" s="1"/>
  <c r="E57" i="3" s="1"/>
  <c r="D8" i="3"/>
  <c r="D17" i="3" s="1"/>
  <c r="B8" i="3"/>
  <c r="I277" i="1"/>
  <c r="M276" i="1"/>
  <c r="K276" i="1"/>
  <c r="I275" i="1"/>
  <c r="M274" i="1"/>
  <c r="K274" i="1"/>
  <c r="I274" i="1"/>
  <c r="M273" i="1"/>
  <c r="K273" i="1"/>
  <c r="I273" i="1"/>
  <c r="M272" i="1"/>
  <c r="K272" i="1"/>
  <c r="I272" i="1"/>
  <c r="M271" i="1"/>
  <c r="K271" i="1"/>
  <c r="I271" i="1"/>
  <c r="M270" i="1"/>
  <c r="K270" i="1"/>
  <c r="I270" i="1"/>
  <c r="M269" i="1"/>
  <c r="K269" i="1"/>
  <c r="I269" i="1"/>
  <c r="M268" i="1"/>
  <c r="K268" i="1"/>
  <c r="I268" i="1"/>
  <c r="M267" i="1"/>
  <c r="K267" i="1"/>
  <c r="M266" i="1"/>
  <c r="K266" i="1"/>
  <c r="M265" i="1"/>
  <c r="K265" i="1"/>
  <c r="I265" i="1"/>
  <c r="M264" i="1"/>
  <c r="K264" i="1"/>
  <c r="M263" i="1"/>
  <c r="K263" i="1"/>
  <c r="I262" i="1"/>
  <c r="M261" i="1"/>
  <c r="K261" i="1"/>
  <c r="I261" i="1"/>
  <c r="M260" i="1"/>
  <c r="K260" i="1"/>
  <c r="I260" i="1"/>
  <c r="I259" i="1"/>
  <c r="E257" i="1"/>
  <c r="G255" i="1"/>
  <c r="E255" i="1"/>
  <c r="C255" i="1"/>
  <c r="G249" i="1"/>
  <c r="E249" i="1"/>
  <c r="C249" i="1"/>
  <c r="M242" i="1"/>
  <c r="K242" i="1"/>
  <c r="I242" i="1"/>
  <c r="G240" i="1"/>
  <c r="G242" i="1" s="1"/>
  <c r="E240" i="1"/>
  <c r="E250" i="1" s="1"/>
  <c r="G250" i="1" s="1"/>
  <c r="I250" i="1" s="1"/>
  <c r="C240" i="1"/>
  <c r="C250" i="1" s="1"/>
  <c r="C278" i="1" s="1"/>
  <c r="G237" i="1"/>
  <c r="G251" i="1" s="1"/>
  <c r="E237" i="1"/>
  <c r="C237" i="1"/>
  <c r="G236" i="1"/>
  <c r="E236" i="1"/>
  <c r="C236" i="1"/>
  <c r="I235" i="1"/>
  <c r="E235" i="1"/>
  <c r="C235" i="1"/>
  <c r="G234" i="1"/>
  <c r="E234" i="1"/>
  <c r="C234" i="1"/>
  <c r="G233" i="1"/>
  <c r="E233" i="1"/>
  <c r="M232" i="1"/>
  <c r="K232" i="1"/>
  <c r="I232" i="1"/>
  <c r="G232" i="1"/>
  <c r="G238" i="1" s="1"/>
  <c r="E232" i="1"/>
  <c r="E238" i="1" s="1"/>
  <c r="C232" i="1"/>
  <c r="M230" i="1"/>
  <c r="K230" i="1"/>
  <c r="I230" i="1"/>
  <c r="G229" i="1"/>
  <c r="E229" i="1"/>
  <c r="C229" i="1"/>
  <c r="C230" i="1" s="1"/>
  <c r="C228" i="1"/>
  <c r="M226" i="1"/>
  <c r="K226" i="1"/>
  <c r="I226" i="1"/>
  <c r="G225" i="1"/>
  <c r="G224" i="1"/>
  <c r="G223" i="1"/>
  <c r="G222" i="1"/>
  <c r="E222" i="1"/>
  <c r="C222" i="1"/>
  <c r="C226" i="1" s="1"/>
  <c r="G221" i="1"/>
  <c r="G226" i="1" s="1"/>
  <c r="C221" i="1"/>
  <c r="M219" i="1"/>
  <c r="K219" i="1"/>
  <c r="I219" i="1"/>
  <c r="G219" i="1"/>
  <c r="E219" i="1"/>
  <c r="C219" i="1"/>
  <c r="G218" i="1"/>
  <c r="E218" i="1"/>
  <c r="C218" i="1"/>
  <c r="M216" i="1"/>
  <c r="K216" i="1"/>
  <c r="I215" i="1"/>
  <c r="G215" i="1"/>
  <c r="E215" i="1"/>
  <c r="C215" i="1"/>
  <c r="I214" i="1"/>
  <c r="I216" i="1" s="1"/>
  <c r="G214" i="1"/>
  <c r="G216" i="1" s="1"/>
  <c r="E214" i="1"/>
  <c r="E216" i="1" s="1"/>
  <c r="C214" i="1"/>
  <c r="C216" i="1" s="1"/>
  <c r="M212" i="1"/>
  <c r="K212" i="1"/>
  <c r="C212" i="1"/>
  <c r="I211" i="1"/>
  <c r="I212" i="1" s="1"/>
  <c r="E211" i="1"/>
  <c r="E212" i="1" s="1"/>
  <c r="C211" i="1"/>
  <c r="M209" i="1"/>
  <c r="K209" i="1"/>
  <c r="E209" i="1"/>
  <c r="I208" i="1"/>
  <c r="I209" i="1" s="1"/>
  <c r="E208" i="1"/>
  <c r="M206" i="1"/>
  <c r="K206" i="1"/>
  <c r="I206" i="1"/>
  <c r="E206" i="1"/>
  <c r="I205" i="1"/>
  <c r="E205" i="1"/>
  <c r="C205" i="1"/>
  <c r="C206" i="1" s="1"/>
  <c r="M203" i="1"/>
  <c r="K203" i="1"/>
  <c r="G202" i="1"/>
  <c r="E202" i="1"/>
  <c r="C202" i="1"/>
  <c r="M201" i="1"/>
  <c r="I201" i="1"/>
  <c r="I203" i="1" s="1"/>
  <c r="G201" i="1"/>
  <c r="C201" i="1"/>
  <c r="G200" i="1"/>
  <c r="G203" i="1" s="1"/>
  <c r="E200" i="1"/>
  <c r="C200" i="1"/>
  <c r="C203" i="1" s="1"/>
  <c r="M198" i="1"/>
  <c r="K198" i="1"/>
  <c r="I197" i="1"/>
  <c r="G197" i="1"/>
  <c r="E197" i="1"/>
  <c r="C197" i="1"/>
  <c r="I196" i="1"/>
  <c r="I198" i="1" s="1"/>
  <c r="G196" i="1"/>
  <c r="G198" i="1" s="1"/>
  <c r="E196" i="1"/>
  <c r="E198" i="1" s="1"/>
  <c r="C196" i="1"/>
  <c r="C198" i="1" s="1"/>
  <c r="M194" i="1"/>
  <c r="K194" i="1"/>
  <c r="I194" i="1"/>
  <c r="G192" i="1"/>
  <c r="G194" i="1" s="1"/>
  <c r="E192" i="1"/>
  <c r="E194" i="1" s="1"/>
  <c r="C192" i="1"/>
  <c r="C194" i="1" s="1"/>
  <c r="M190" i="1"/>
  <c r="K190" i="1"/>
  <c r="I190" i="1"/>
  <c r="E189" i="1"/>
  <c r="C189" i="1"/>
  <c r="C190" i="1" s="1"/>
  <c r="G188" i="1"/>
  <c r="G190" i="1" s="1"/>
  <c r="E188" i="1"/>
  <c r="E190" i="1" s="1"/>
  <c r="C188" i="1"/>
  <c r="I186" i="1"/>
  <c r="E186" i="1"/>
  <c r="C186" i="1"/>
  <c r="M185" i="1"/>
  <c r="M186" i="1" s="1"/>
  <c r="K185" i="1"/>
  <c r="K186" i="1" s="1"/>
  <c r="G185" i="1"/>
  <c r="G186" i="1" s="1"/>
  <c r="E185" i="1"/>
  <c r="C185" i="1"/>
  <c r="M183" i="1"/>
  <c r="K183" i="1"/>
  <c r="I183" i="1"/>
  <c r="G182" i="1"/>
  <c r="E182" i="1"/>
  <c r="C182" i="1"/>
  <c r="G181" i="1"/>
  <c r="E181" i="1"/>
  <c r="G180" i="1"/>
  <c r="E180" i="1"/>
  <c r="C180" i="1"/>
  <c r="G179" i="1"/>
  <c r="E179" i="1"/>
  <c r="C179" i="1"/>
  <c r="G178" i="1"/>
  <c r="G183" i="1" s="1"/>
  <c r="C178" i="1"/>
  <c r="C183" i="1" s="1"/>
  <c r="M176" i="1"/>
  <c r="K176" i="1"/>
  <c r="I176" i="1"/>
  <c r="E176" i="1"/>
  <c r="G175" i="1"/>
  <c r="E175" i="1"/>
  <c r="C175" i="1"/>
  <c r="G174" i="1"/>
  <c r="G176" i="1" s="1"/>
  <c r="E174" i="1"/>
  <c r="M172" i="1"/>
  <c r="K172" i="1"/>
  <c r="I172" i="1"/>
  <c r="G171" i="1"/>
  <c r="E171" i="1"/>
  <c r="G170" i="1"/>
  <c r="E170" i="1"/>
  <c r="G169" i="1"/>
  <c r="E169" i="1"/>
  <c r="C169" i="1"/>
  <c r="G168" i="1"/>
  <c r="E168" i="1"/>
  <c r="C168" i="1"/>
  <c r="G167" i="1"/>
  <c r="G172" i="1" s="1"/>
  <c r="C167" i="1"/>
  <c r="G166" i="1"/>
  <c r="E166" i="1"/>
  <c r="E172" i="1" s="1"/>
  <c r="C166" i="1"/>
  <c r="C172" i="1" s="1"/>
  <c r="M164" i="1"/>
  <c r="K164" i="1"/>
  <c r="I164" i="1"/>
  <c r="E163" i="1"/>
  <c r="C163" i="1"/>
  <c r="G162" i="1"/>
  <c r="E162" i="1"/>
  <c r="E164" i="1" s="1"/>
  <c r="C162" i="1"/>
  <c r="G161" i="1"/>
  <c r="G164" i="1" s="1"/>
  <c r="E161" i="1"/>
  <c r="C161" i="1"/>
  <c r="C164" i="1" s="1"/>
  <c r="M159" i="1"/>
  <c r="K159" i="1"/>
  <c r="I159" i="1"/>
  <c r="G159" i="1"/>
  <c r="G158" i="1"/>
  <c r="E158" i="1"/>
  <c r="C158" i="1"/>
  <c r="G157" i="1"/>
  <c r="E157" i="1"/>
  <c r="C157" i="1"/>
  <c r="G156" i="1"/>
  <c r="E156" i="1"/>
  <c r="C156" i="1"/>
  <c r="G155" i="1"/>
  <c r="E155" i="1"/>
  <c r="E159" i="1" s="1"/>
  <c r="M153" i="1"/>
  <c r="K153" i="1"/>
  <c r="I153" i="1"/>
  <c r="G153" i="1"/>
  <c r="G152" i="1"/>
  <c r="E152" i="1"/>
  <c r="E153" i="1" s="1"/>
  <c r="C152" i="1"/>
  <c r="C153" i="1" s="1"/>
  <c r="M150" i="1"/>
  <c r="K150" i="1"/>
  <c r="I150" i="1"/>
  <c r="G149" i="1"/>
  <c r="E149" i="1"/>
  <c r="C149" i="1"/>
  <c r="G148" i="1"/>
  <c r="E148" i="1"/>
  <c r="C148" i="1"/>
  <c r="G147" i="1"/>
  <c r="E147" i="1"/>
  <c r="C147" i="1"/>
  <c r="G146" i="1"/>
  <c r="E146" i="1"/>
  <c r="C146" i="1"/>
  <c r="G145" i="1"/>
  <c r="E145" i="1"/>
  <c r="G144" i="1"/>
  <c r="E144" i="1"/>
  <c r="C144" i="1"/>
  <c r="G143" i="1"/>
  <c r="G150" i="1" s="1"/>
  <c r="E143" i="1"/>
  <c r="E150" i="1" s="1"/>
  <c r="C143" i="1"/>
  <c r="C150" i="1" s="1"/>
  <c r="M141" i="1"/>
  <c r="K141" i="1"/>
  <c r="I141" i="1"/>
  <c r="E141" i="1"/>
  <c r="C141" i="1"/>
  <c r="G140" i="1"/>
  <c r="E140" i="1"/>
  <c r="C140" i="1"/>
  <c r="G139" i="1"/>
  <c r="G141" i="1" s="1"/>
  <c r="E139" i="1"/>
  <c r="C139" i="1"/>
  <c r="M137" i="1"/>
  <c r="K137" i="1"/>
  <c r="I137" i="1"/>
  <c r="G136" i="1"/>
  <c r="E136" i="1"/>
  <c r="C136" i="1"/>
  <c r="G135" i="1"/>
  <c r="E135" i="1"/>
  <c r="C135" i="1"/>
  <c r="G134" i="1"/>
  <c r="E134" i="1"/>
  <c r="C134" i="1"/>
  <c r="M133" i="1"/>
  <c r="G133" i="1"/>
  <c r="E133" i="1"/>
  <c r="C133" i="1"/>
  <c r="M132" i="1"/>
  <c r="G132" i="1"/>
  <c r="E132" i="1"/>
  <c r="C132" i="1"/>
  <c r="G131" i="1"/>
  <c r="E131" i="1"/>
  <c r="C131" i="1"/>
  <c r="E130" i="1"/>
  <c r="C130" i="1"/>
  <c r="G129" i="1"/>
  <c r="E129" i="1"/>
  <c r="C129" i="1"/>
  <c r="G128" i="1"/>
  <c r="E128" i="1"/>
  <c r="C128" i="1"/>
  <c r="G127" i="1"/>
  <c r="E127" i="1"/>
  <c r="C127" i="1"/>
  <c r="G126" i="1"/>
  <c r="E126" i="1"/>
  <c r="C126" i="1"/>
  <c r="G125" i="1"/>
  <c r="E125" i="1"/>
  <c r="C125" i="1"/>
  <c r="M124" i="1"/>
  <c r="K124" i="1"/>
  <c r="G124" i="1"/>
  <c r="E124" i="1"/>
  <c r="C124" i="1"/>
  <c r="G123" i="1"/>
  <c r="G137" i="1" s="1"/>
  <c r="E123" i="1"/>
  <c r="E137" i="1" s="1"/>
  <c r="M120" i="1"/>
  <c r="K120" i="1"/>
  <c r="I120" i="1"/>
  <c r="G119" i="1"/>
  <c r="E119" i="1"/>
  <c r="C119" i="1"/>
  <c r="G118" i="1"/>
  <c r="E118" i="1"/>
  <c r="C118" i="1"/>
  <c r="G117" i="1"/>
  <c r="G120" i="1" s="1"/>
  <c r="E117" i="1"/>
  <c r="E120" i="1" s="1"/>
  <c r="C117" i="1"/>
  <c r="C120" i="1" s="1"/>
  <c r="I115" i="1"/>
  <c r="E114" i="1"/>
  <c r="C114" i="1"/>
  <c r="G113" i="1"/>
  <c r="E113" i="1"/>
  <c r="C113" i="1"/>
  <c r="G111" i="1"/>
  <c r="C111" i="1"/>
  <c r="G110" i="1"/>
  <c r="E110" i="1"/>
  <c r="C110" i="1"/>
  <c r="G107" i="1"/>
  <c r="G115" i="1" s="1"/>
  <c r="C107" i="1"/>
  <c r="C115" i="1" s="1"/>
  <c r="I105" i="1"/>
  <c r="G104" i="1"/>
  <c r="E104" i="1"/>
  <c r="C104" i="1"/>
  <c r="G102" i="1"/>
  <c r="E102" i="1"/>
  <c r="E105" i="1" s="1"/>
  <c r="C102" i="1"/>
  <c r="G96" i="1"/>
  <c r="E96" i="1"/>
  <c r="G95" i="1"/>
  <c r="E95" i="1"/>
  <c r="C95" i="1"/>
  <c r="G94" i="1"/>
  <c r="E94" i="1"/>
  <c r="C94" i="1"/>
  <c r="G93" i="1"/>
  <c r="G105" i="1" s="1"/>
  <c r="E93" i="1"/>
  <c r="C93" i="1"/>
  <c r="I91" i="1"/>
  <c r="E91" i="1"/>
  <c r="C91" i="1"/>
  <c r="M90" i="1"/>
  <c r="M91" i="1" s="1"/>
  <c r="K90" i="1"/>
  <c r="K91" i="1" s="1"/>
  <c r="G90" i="1"/>
  <c r="G91" i="1" s="1"/>
  <c r="E90" i="1"/>
  <c r="C90" i="1"/>
  <c r="I88" i="1"/>
  <c r="K87" i="1"/>
  <c r="G87" i="1"/>
  <c r="E87" i="1"/>
  <c r="C87" i="1"/>
  <c r="M86" i="1"/>
  <c r="K86" i="1"/>
  <c r="E86" i="1"/>
  <c r="C86" i="1"/>
  <c r="G85" i="1"/>
  <c r="E85" i="1"/>
  <c r="C85" i="1"/>
  <c r="M84" i="1"/>
  <c r="K84" i="1"/>
  <c r="G84" i="1"/>
  <c r="E84" i="1"/>
  <c r="C84" i="1"/>
  <c r="K83" i="1"/>
  <c r="G83" i="1"/>
  <c r="E83" i="1"/>
  <c r="E88" i="1" s="1"/>
  <c r="C83" i="1"/>
  <c r="M82" i="1"/>
  <c r="K82" i="1"/>
  <c r="G82" i="1"/>
  <c r="E82" i="1"/>
  <c r="C82" i="1"/>
  <c r="M80" i="1"/>
  <c r="K80" i="1"/>
  <c r="G80" i="1"/>
  <c r="G88" i="1" s="1"/>
  <c r="E80" i="1"/>
  <c r="C80" i="1"/>
  <c r="C88" i="1" s="1"/>
  <c r="I78" i="1"/>
  <c r="I121" i="1" s="1"/>
  <c r="G77" i="1"/>
  <c r="E77" i="1"/>
  <c r="C77" i="1"/>
  <c r="M76" i="1"/>
  <c r="K76" i="1"/>
  <c r="G76" i="1"/>
  <c r="E76" i="1"/>
  <c r="C76" i="1"/>
  <c r="M75" i="1"/>
  <c r="K75" i="1"/>
  <c r="G75" i="1"/>
  <c r="E75" i="1"/>
  <c r="C75" i="1"/>
  <c r="M74" i="1"/>
  <c r="K72" i="1"/>
  <c r="G72" i="1"/>
  <c r="E72" i="1"/>
  <c r="C72" i="1"/>
  <c r="M71" i="1"/>
  <c r="K71" i="1"/>
  <c r="G71" i="1"/>
  <c r="E71" i="1"/>
  <c r="C71" i="1"/>
  <c r="M70" i="1"/>
  <c r="K70" i="1"/>
  <c r="G70" i="1"/>
  <c r="E70" i="1"/>
  <c r="C70" i="1"/>
  <c r="M69" i="1"/>
  <c r="G69" i="1"/>
  <c r="E69" i="1"/>
  <c r="C69" i="1"/>
  <c r="M68" i="1"/>
  <c r="M67" i="1"/>
  <c r="K67" i="1"/>
  <c r="G67" i="1"/>
  <c r="E67" i="1"/>
  <c r="C67" i="1"/>
  <c r="M66" i="1"/>
  <c r="G65" i="1"/>
  <c r="E65" i="1"/>
  <c r="C65" i="1"/>
  <c r="M64" i="1"/>
  <c r="K64" i="1"/>
  <c r="K63" i="1"/>
  <c r="G63" i="1"/>
  <c r="G78" i="1" s="1"/>
  <c r="G121" i="1" s="1"/>
  <c r="G243" i="1" s="1"/>
  <c r="G17" i="1" s="1"/>
  <c r="E63" i="1"/>
  <c r="E78" i="1" s="1"/>
  <c r="C63" i="1"/>
  <c r="C78" i="1" s="1"/>
  <c r="M57" i="1"/>
  <c r="K57" i="1"/>
  <c r="I57" i="1"/>
  <c r="G55" i="1"/>
  <c r="E55" i="1"/>
  <c r="C55" i="1"/>
  <c r="C57" i="1" s="1"/>
  <c r="G54" i="1"/>
  <c r="G57" i="1" s="1"/>
  <c r="E54" i="1"/>
  <c r="C54" i="1"/>
  <c r="G53" i="1"/>
  <c r="E53" i="1"/>
  <c r="E57" i="1" s="1"/>
  <c r="C53" i="1"/>
  <c r="M51" i="1"/>
  <c r="K51" i="1"/>
  <c r="I51" i="1"/>
  <c r="G51" i="1"/>
  <c r="M50" i="1"/>
  <c r="G50" i="1"/>
  <c r="E50" i="1"/>
  <c r="E51" i="1" s="1"/>
  <c r="C50" i="1"/>
  <c r="C51" i="1" s="1"/>
  <c r="M48" i="1"/>
  <c r="K48" i="1"/>
  <c r="I48" i="1"/>
  <c r="G47" i="1"/>
  <c r="G48" i="1" s="1"/>
  <c r="E47" i="1"/>
  <c r="E48" i="1" s="1"/>
  <c r="C47" i="1"/>
  <c r="C48" i="1" s="1"/>
  <c r="M45" i="1"/>
  <c r="K45" i="1"/>
  <c r="I45" i="1"/>
  <c r="G44" i="1"/>
  <c r="G45" i="1" s="1"/>
  <c r="E44" i="1"/>
  <c r="C44" i="1"/>
  <c r="C45" i="1" s="1"/>
  <c r="G43" i="1"/>
  <c r="E43" i="1"/>
  <c r="E45" i="1" s="1"/>
  <c r="C43" i="1"/>
  <c r="K41" i="1"/>
  <c r="I41" i="1"/>
  <c r="M40" i="1"/>
  <c r="M41" i="1" s="1"/>
  <c r="G40" i="1"/>
  <c r="E40" i="1"/>
  <c r="G39" i="1"/>
  <c r="E39" i="1"/>
  <c r="C39" i="1"/>
  <c r="G38" i="1"/>
  <c r="E38" i="1"/>
  <c r="C38" i="1"/>
  <c r="G37" i="1"/>
  <c r="E37" i="1"/>
  <c r="C37" i="1"/>
  <c r="G36" i="1"/>
  <c r="E36" i="1"/>
  <c r="C36" i="1"/>
  <c r="G35" i="1"/>
  <c r="E35" i="1"/>
  <c r="C35" i="1"/>
  <c r="G34" i="1"/>
  <c r="E34" i="1"/>
  <c r="C34" i="1"/>
  <c r="G33" i="1"/>
  <c r="G41" i="1" s="1"/>
  <c r="E33" i="1"/>
  <c r="E41" i="1" s="1"/>
  <c r="C33" i="1"/>
  <c r="C41" i="1" s="1"/>
  <c r="I31" i="1"/>
  <c r="I58" i="1" s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E31" i="1" s="1"/>
  <c r="C25" i="1"/>
  <c r="G24" i="1"/>
  <c r="E24" i="1"/>
  <c r="C24" i="1"/>
  <c r="M23" i="1"/>
  <c r="K23" i="1"/>
  <c r="K31" i="1" s="1"/>
  <c r="K58" i="1" s="1"/>
  <c r="G23" i="1"/>
  <c r="E23" i="1"/>
  <c r="C23" i="1"/>
  <c r="M22" i="1"/>
  <c r="K22" i="1"/>
  <c r="G22" i="1"/>
  <c r="G31" i="1" s="1"/>
  <c r="E22" i="1"/>
  <c r="C22" i="1"/>
  <c r="C31" i="1" s="1"/>
  <c r="G41" i="5" l="1"/>
  <c r="F41" i="5"/>
  <c r="E46" i="6"/>
  <c r="I46" i="5"/>
  <c r="C58" i="1"/>
  <c r="K16" i="1"/>
  <c r="K59" i="1"/>
  <c r="B51" i="3"/>
  <c r="B57" i="3" s="1"/>
  <c r="E129" i="3"/>
  <c r="E6" i="6"/>
  <c r="I6" i="5"/>
  <c r="E20" i="6"/>
  <c r="I20" i="5"/>
  <c r="G23" i="5"/>
  <c r="F23" i="5"/>
  <c r="G25" i="5"/>
  <c r="F25" i="5"/>
  <c r="I38" i="5"/>
  <c r="M87" i="1"/>
  <c r="E38" i="6"/>
  <c r="G18" i="5"/>
  <c r="F18" i="5"/>
  <c r="E7" i="5"/>
  <c r="K65" i="1"/>
  <c r="K78" i="1" s="1"/>
  <c r="G58" i="1"/>
  <c r="E7" i="6"/>
  <c r="M65" i="1"/>
  <c r="I7" i="5"/>
  <c r="E10" i="6"/>
  <c r="I10" i="5"/>
  <c r="M72" i="1"/>
  <c r="G13" i="5"/>
  <c r="F13" i="5"/>
  <c r="E16" i="6"/>
  <c r="I16" i="5"/>
  <c r="M73" i="1"/>
  <c r="G21" i="5"/>
  <c r="F21" i="5"/>
  <c r="E30" i="6"/>
  <c r="I30" i="5"/>
  <c r="M83" i="1"/>
  <c r="I59" i="1"/>
  <c r="I16" i="1"/>
  <c r="F28" i="5"/>
  <c r="G28" i="5"/>
  <c r="E33" i="5"/>
  <c r="K85" i="1"/>
  <c r="G5" i="5"/>
  <c r="F5" i="5"/>
  <c r="E8" i="5"/>
  <c r="K66" i="1"/>
  <c r="E13" i="6"/>
  <c r="I13" i="5"/>
  <c r="M81" i="1"/>
  <c r="M88" i="1" s="1"/>
  <c r="E39" i="6"/>
  <c r="I39" i="5"/>
  <c r="G45" i="5"/>
  <c r="F45" i="5"/>
  <c r="M108" i="1"/>
  <c r="K108" i="1"/>
  <c r="I25" i="5"/>
  <c r="E25" i="6"/>
  <c r="J50" i="5"/>
  <c r="K50" i="5"/>
  <c r="I5" i="5"/>
  <c r="Q55" i="4"/>
  <c r="E5" i="6"/>
  <c r="M63" i="1"/>
  <c r="E14" i="5"/>
  <c r="K81" i="1"/>
  <c r="K88" i="1" s="1"/>
  <c r="G17" i="5"/>
  <c r="F17" i="5"/>
  <c r="G34" i="5"/>
  <c r="F34" i="5"/>
  <c r="F40" i="5"/>
  <c r="G40" i="5"/>
  <c r="E14" i="6"/>
  <c r="I14" i="5"/>
  <c r="E31" i="6"/>
  <c r="I31" i="5"/>
  <c r="M85" i="1"/>
  <c r="D129" i="3"/>
  <c r="F16" i="5"/>
  <c r="G16" i="5"/>
  <c r="C121" i="1"/>
  <c r="M250" i="1"/>
  <c r="K250" i="1"/>
  <c r="E58" i="1"/>
  <c r="E121" i="1"/>
  <c r="E243" i="1" s="1"/>
  <c r="E17" i="1" s="1"/>
  <c r="E203" i="1"/>
  <c r="D51" i="3"/>
  <c r="D57" i="3" s="1"/>
  <c r="E9" i="5"/>
  <c r="E55" i="5" s="1"/>
  <c r="K69" i="1"/>
  <c r="G15" i="5"/>
  <c r="F15" i="5"/>
  <c r="D123" i="3"/>
  <c r="B145" i="3"/>
  <c r="B284" i="3" s="1"/>
  <c r="B160" i="3"/>
  <c r="D196" i="3"/>
  <c r="D220" i="3"/>
  <c r="G6" i="5"/>
  <c r="F6" i="5"/>
  <c r="E19" i="6"/>
  <c r="I19" i="5"/>
  <c r="E24" i="6"/>
  <c r="I24" i="5"/>
  <c r="G26" i="5"/>
  <c r="F26" i="5"/>
  <c r="E29" i="6"/>
  <c r="I29" i="5"/>
  <c r="I41" i="5"/>
  <c r="E41" i="6"/>
  <c r="E43" i="6"/>
  <c r="I43" i="5"/>
  <c r="G46" i="5"/>
  <c r="F46" i="5"/>
  <c r="K52" i="5"/>
  <c r="J52" i="5"/>
  <c r="L55" i="4"/>
  <c r="J22" i="5"/>
  <c r="K22" i="5"/>
  <c r="G37" i="5"/>
  <c r="F37" i="5"/>
  <c r="J42" i="5"/>
  <c r="K42" i="5"/>
  <c r="E256" i="3"/>
  <c r="E35" i="6"/>
  <c r="I35" i="5"/>
  <c r="I37" i="5"/>
  <c r="E37" i="6"/>
  <c r="E48" i="6"/>
  <c r="I48" i="5"/>
  <c r="O55" i="4"/>
  <c r="F11" i="5"/>
  <c r="G29" i="5"/>
  <c r="F29" i="5"/>
  <c r="J34" i="5"/>
  <c r="K34" i="5"/>
  <c r="G49" i="5"/>
  <c r="F49" i="5"/>
  <c r="C12" i="8"/>
  <c r="F11" i="8"/>
  <c r="M24" i="1"/>
  <c r="M31" i="1" s="1"/>
  <c r="M58" i="1" s="1"/>
  <c r="C155" i="1"/>
  <c r="C159" i="1" s="1"/>
  <c r="C174" i="1"/>
  <c r="C176" i="1" s="1"/>
  <c r="K256" i="1"/>
  <c r="G42" i="5"/>
  <c r="F42" i="5"/>
  <c r="K53" i="5"/>
  <c r="J53" i="5"/>
  <c r="G24" i="5"/>
  <c r="F39" i="5"/>
  <c r="G44" i="5"/>
  <c r="AB55" i="6"/>
  <c r="C208" i="1"/>
  <c r="C209" i="1" s="1"/>
  <c r="C242" i="1"/>
  <c r="M256" i="1"/>
  <c r="D247" i="3"/>
  <c r="G10" i="5"/>
  <c r="F10" i="5"/>
  <c r="E23" i="6"/>
  <c r="I23" i="5"/>
  <c r="E28" i="6"/>
  <c r="I28" i="5"/>
  <c r="G30" i="5"/>
  <c r="F30" i="5"/>
  <c r="E33" i="6"/>
  <c r="I33" i="5"/>
  <c r="G38" i="5"/>
  <c r="F38" i="5"/>
  <c r="E44" i="6"/>
  <c r="I44" i="5"/>
  <c r="K49" i="5"/>
  <c r="J49" i="5"/>
  <c r="J26" i="5"/>
  <c r="K26" i="5"/>
  <c r="F31" i="5"/>
  <c r="G36" i="5"/>
  <c r="P55" i="6"/>
  <c r="P18" i="6"/>
  <c r="E242" i="1"/>
  <c r="E247" i="3"/>
  <c r="E8" i="6"/>
  <c r="I8" i="5"/>
  <c r="G22" i="5"/>
  <c r="F22" i="5"/>
  <c r="I40" i="5"/>
  <c r="E40" i="6"/>
  <c r="I18" i="5"/>
  <c r="E15" i="6"/>
  <c r="D243" i="3"/>
  <c r="F43" i="5"/>
  <c r="G48" i="5"/>
  <c r="J51" i="5"/>
  <c r="C37" i="7"/>
  <c r="D182" i="3"/>
  <c r="E17" i="6"/>
  <c r="I17" i="5"/>
  <c r="E27" i="6"/>
  <c r="I27" i="5"/>
  <c r="E32" i="6"/>
  <c r="I32" i="5"/>
  <c r="E47" i="6"/>
  <c r="I47" i="5"/>
  <c r="G20" i="5"/>
  <c r="F35" i="5"/>
  <c r="G53" i="5"/>
  <c r="F53" i="5"/>
  <c r="C233" i="1"/>
  <c r="C238" i="1" s="1"/>
  <c r="G12" i="5"/>
  <c r="J15" i="5"/>
  <c r="J12" i="5"/>
  <c r="J36" i="5"/>
  <c r="I45" i="5"/>
  <c r="F50" i="5"/>
  <c r="O55" i="6"/>
  <c r="M59" i="1" l="1"/>
  <c r="M16" i="1"/>
  <c r="L57" i="4"/>
  <c r="K94" i="1"/>
  <c r="K102" i="1"/>
  <c r="K110" i="1"/>
  <c r="K20" i="5"/>
  <c r="J20" i="5"/>
  <c r="J45" i="5"/>
  <c r="K45" i="5"/>
  <c r="K27" i="5"/>
  <c r="J27" i="5"/>
  <c r="J37" i="5"/>
  <c r="K37" i="5"/>
  <c r="K43" i="5"/>
  <c r="J43" i="5"/>
  <c r="K24" i="5"/>
  <c r="J24" i="5"/>
  <c r="G14" i="5"/>
  <c r="F14" i="5"/>
  <c r="M109" i="1"/>
  <c r="K109" i="1"/>
  <c r="J6" i="5"/>
  <c r="K6" i="5"/>
  <c r="C59" i="1"/>
  <c r="C16" i="1"/>
  <c r="D284" i="3"/>
  <c r="D285" i="3" s="1"/>
  <c r="D291" i="3" s="1"/>
  <c r="M78" i="1"/>
  <c r="J17" i="5"/>
  <c r="K17" i="5"/>
  <c r="K19" i="5"/>
  <c r="J19" i="5"/>
  <c r="E59" i="1"/>
  <c r="E244" i="1" s="1"/>
  <c r="E16" i="1"/>
  <c r="E18" i="1" s="1"/>
  <c r="E55" i="6"/>
  <c r="J25" i="5"/>
  <c r="K25" i="5"/>
  <c r="J13" i="5"/>
  <c r="K13" i="5"/>
  <c r="J30" i="5"/>
  <c r="K30" i="5"/>
  <c r="G59" i="1"/>
  <c r="G244" i="1" s="1"/>
  <c r="G16" i="1"/>
  <c r="G18" i="1" s="1"/>
  <c r="J38" i="5"/>
  <c r="K38" i="5"/>
  <c r="J46" i="5"/>
  <c r="K46" i="5"/>
  <c r="K23" i="5"/>
  <c r="J23" i="5"/>
  <c r="E284" i="3"/>
  <c r="E285" i="3" s="1"/>
  <c r="E291" i="3" s="1"/>
  <c r="E294" i="3" s="1"/>
  <c r="K16" i="5"/>
  <c r="J16" i="5"/>
  <c r="K8" i="5"/>
  <c r="J8" i="5"/>
  <c r="J33" i="5"/>
  <c r="K33" i="5"/>
  <c r="K31" i="5"/>
  <c r="J31" i="5"/>
  <c r="K47" i="5"/>
  <c r="J47" i="5"/>
  <c r="J18" i="5"/>
  <c r="K18" i="5"/>
  <c r="J29" i="5"/>
  <c r="K29" i="5"/>
  <c r="J5" i="5"/>
  <c r="I55" i="5"/>
  <c r="K5" i="5"/>
  <c r="K55" i="5" s="1"/>
  <c r="M96" i="1" s="1"/>
  <c r="G33" i="5"/>
  <c r="F33" i="5"/>
  <c r="J10" i="5"/>
  <c r="K10" i="5"/>
  <c r="G7" i="5"/>
  <c r="F7" i="5"/>
  <c r="B285" i="3"/>
  <c r="B291" i="3" s="1"/>
  <c r="K39" i="5"/>
  <c r="J39" i="5"/>
  <c r="K35" i="5"/>
  <c r="J35" i="5"/>
  <c r="C13" i="8"/>
  <c r="F12" i="8"/>
  <c r="K44" i="5"/>
  <c r="J44" i="5"/>
  <c r="K28" i="5"/>
  <c r="J28" i="5"/>
  <c r="K48" i="5"/>
  <c r="J48" i="5"/>
  <c r="J14" i="5"/>
  <c r="K14" i="5"/>
  <c r="G8" i="5"/>
  <c r="F8" i="5"/>
  <c r="F55" i="5" s="1"/>
  <c r="K95" i="1" s="1"/>
  <c r="G55" i="5"/>
  <c r="K96" i="1" s="1"/>
  <c r="J41" i="5"/>
  <c r="K41" i="5"/>
  <c r="K32" i="5"/>
  <c r="J32" i="5"/>
  <c r="K40" i="5"/>
  <c r="J40" i="5"/>
  <c r="M107" i="1"/>
  <c r="M115" i="1" s="1"/>
  <c r="K107" i="1"/>
  <c r="K115" i="1" s="1"/>
  <c r="G9" i="5"/>
  <c r="F9" i="5"/>
  <c r="C243" i="1"/>
  <c r="C17" i="1" s="1"/>
  <c r="K7" i="5"/>
  <c r="J7" i="5"/>
  <c r="J55" i="5" l="1"/>
  <c r="M95" i="1" s="1"/>
  <c r="C18" i="1"/>
  <c r="K105" i="1"/>
  <c r="K121" i="1" s="1"/>
  <c r="F13" i="8"/>
  <c r="C14" i="8"/>
  <c r="C244" i="1"/>
  <c r="Q57" i="4"/>
  <c r="M94" i="1"/>
  <c r="M105" i="1" s="1"/>
  <c r="M121" i="1" s="1"/>
  <c r="M102" i="1"/>
  <c r="F14" i="8" l="1"/>
  <c r="C15" i="8"/>
  <c r="C280" i="1"/>
  <c r="C19" i="1" s="1"/>
  <c r="E248" i="1"/>
  <c r="G248" i="1" l="1"/>
  <c r="E278" i="1"/>
  <c r="E280" i="1" s="1"/>
  <c r="E19" i="1" s="1"/>
  <c r="C16" i="8"/>
  <c r="F15" i="8"/>
  <c r="C17" i="8" l="1"/>
  <c r="F16" i="8"/>
  <c r="I248" i="1"/>
  <c r="G278" i="1"/>
  <c r="G280" i="1" s="1"/>
  <c r="G19" i="1" s="1"/>
  <c r="F17" i="8" l="1"/>
  <c r="C18" i="8"/>
  <c r="F18" i="8" l="1"/>
  <c r="C19" i="8"/>
  <c r="F19" i="8" s="1"/>
  <c r="C21" i="8"/>
  <c r="C22" i="8" s="1"/>
  <c r="G18" i="8" l="1"/>
  <c r="H18" i="8" s="1"/>
  <c r="G14" i="8"/>
  <c r="H14" i="8" s="1"/>
  <c r="G10" i="8"/>
  <c r="H10" i="8" s="1"/>
  <c r="G19" i="8"/>
  <c r="H19" i="8" s="1"/>
  <c r="G15" i="8"/>
  <c r="H15" i="8" s="1"/>
  <c r="G11" i="8"/>
  <c r="H11" i="8" s="1"/>
  <c r="G8" i="8"/>
  <c r="G6" i="8"/>
  <c r="H6" i="8" s="1"/>
  <c r="G16" i="8"/>
  <c r="H16" i="8" s="1"/>
  <c r="G12" i="8"/>
  <c r="H12" i="8" s="1"/>
  <c r="G17" i="8"/>
  <c r="H17" i="8" s="1"/>
  <c r="G13" i="8"/>
  <c r="H13" i="8" s="1"/>
  <c r="G9" i="8"/>
  <c r="G7" i="8"/>
  <c r="H7" i="8" s="1"/>
  <c r="G5" i="8"/>
  <c r="H5" i="8" s="1"/>
  <c r="H9" i="8" l="1"/>
  <c r="M237" i="1"/>
  <c r="M238" i="1" s="1"/>
  <c r="M243" i="1" s="1"/>
  <c r="K237" i="1"/>
  <c r="K238" i="1" s="1"/>
  <c r="K243" i="1" s="1"/>
  <c r="I237" i="1"/>
  <c r="H8" i="8"/>
  <c r="I238" i="1" l="1"/>
  <c r="I243" i="1" s="1"/>
  <c r="I251" i="1"/>
  <c r="K17" i="1"/>
  <c r="K18" i="1" s="1"/>
  <c r="K244" i="1"/>
  <c r="M17" i="1"/>
  <c r="M18" i="1" s="1"/>
  <c r="M244" i="1"/>
  <c r="M251" i="1" l="1"/>
  <c r="K251" i="1"/>
  <c r="I278" i="1"/>
  <c r="I17" i="1"/>
  <c r="I18" i="1" s="1"/>
  <c r="I244" i="1"/>
  <c r="I280" i="1" l="1"/>
  <c r="I19" i="1" s="1"/>
  <c r="M248" i="1"/>
  <c r="M278" i="1" s="1"/>
  <c r="M280" i="1" s="1"/>
  <c r="M19" i="1" s="1"/>
  <c r="K248" i="1"/>
  <c r="K278" i="1" s="1"/>
  <c r="K280" i="1" s="1"/>
  <c r="K19" i="1" s="1"/>
</calcChain>
</file>

<file path=xl/comments1.xml><?xml version="1.0" encoding="utf-8"?>
<comments xmlns="http://schemas.openxmlformats.org/spreadsheetml/2006/main">
  <authors>
    <author/>
  </authors>
  <commentList>
    <comment ref="N132" authorId="0" shapeId="0">
      <text>
        <r>
          <rPr>
            <sz val="11"/>
            <color rgb="FF000000"/>
            <rFont val="Calibri"/>
            <scheme val="minor"/>
          </rPr>
          <t>======
ID#AAAAp2_eWsU
Brandon Parker    (2023-02-13 17:41:50)
BP send quote request out, awaiting quote for line items.</t>
        </r>
      </text>
    </comment>
    <comment ref="K145" authorId="0" shapeId="0">
      <text>
        <r>
          <rPr>
            <sz val="11"/>
            <color rgb="FF000000"/>
            <rFont val="Calibri"/>
            <scheme val="minor"/>
          </rPr>
          <t>======
ID#AAAAp2_eWsk
Brandon Parker    (2023-02-13 17:50:32)
Can we get a rough draft of what science materials will be needed. Ex: State Test Kits, microscope etc @dgordon@ivyhillprep.org @acoleman@ivyhillprep.org
_Assigned to Annedrea Coleman_
------
ID#AAAAua9wjkY
Brandon Parker    (2023-04-03 17:59:02)
@dgordon@ivyhillprep.org
_Reassigned to Deborah-Ann Gordon_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Ln3LKbuPWKDddOP9fPMHpVPY10w=="/>
    </ext>
  </extLst>
</comments>
</file>

<file path=xl/sharedStrings.xml><?xml version="1.0" encoding="utf-8"?>
<sst xmlns="http://schemas.openxmlformats.org/spreadsheetml/2006/main" count="1130" uniqueCount="630">
  <si>
    <t>Ivy Hill Preparatory Charter School</t>
  </si>
  <si>
    <t>FY 2023-24 Budget</t>
  </si>
  <si>
    <t>For Discussions Purposes Only</t>
  </si>
  <si>
    <t>Scenario 1</t>
  </si>
  <si>
    <t>Proposed Budget</t>
  </si>
  <si>
    <t>Scenario 1: Best Scenario 2: Good</t>
  </si>
  <si>
    <t>Fiscal Year
2019-2020 (Year 1)</t>
  </si>
  <si>
    <t>Fiscal Year
2020-2021 (Year 2)</t>
  </si>
  <si>
    <t>Fiscal Year
2021-2022 (Year 3)</t>
  </si>
  <si>
    <t>Fiscal Year 2022-23
(Year 4)</t>
  </si>
  <si>
    <t>Fiscal Year 2023-24
(Year 5)</t>
  </si>
  <si>
    <t>Notes</t>
  </si>
  <si>
    <t>Actuals per Audit</t>
  </si>
  <si>
    <t>Budget Draft</t>
  </si>
  <si>
    <t>Staff Count</t>
  </si>
  <si>
    <t>See Staff Detail Tab</t>
  </si>
  <si>
    <t>Authorized Enrollment</t>
  </si>
  <si>
    <t>Based on IHP Y5 Charter</t>
  </si>
  <si>
    <t>Total Enrollment</t>
  </si>
  <si>
    <t>Assumes a 37.5% attrition</t>
  </si>
  <si>
    <t>SpEd Enrollment 
(20-60%)</t>
  </si>
  <si>
    <t>Assumes +5</t>
  </si>
  <si>
    <t>SpEd Enrollment 
(&gt;60%)</t>
  </si>
  <si>
    <t>Assumes +3</t>
  </si>
  <si>
    <t>FRPL%</t>
  </si>
  <si>
    <t>Per Pupil Allocation</t>
  </si>
  <si>
    <t>https://nycharters.net/tuition-calculator/</t>
  </si>
  <si>
    <t>Sped Allocation
(20-60%)</t>
  </si>
  <si>
    <t>Sped Allocation 
(&gt;60%)</t>
  </si>
  <si>
    <t xml:space="preserve">REVENUE </t>
  </si>
  <si>
    <t>EXPENSES</t>
  </si>
  <si>
    <t>NET INCOME/(DEFICIT)</t>
  </si>
  <si>
    <t>Net Operating Cash Position</t>
  </si>
  <si>
    <t>INCOME</t>
  </si>
  <si>
    <t xml:space="preserve">   4000 State Grants</t>
  </si>
  <si>
    <t xml:space="preserve">      4001 Per Pupil General Education</t>
  </si>
  <si>
    <t xml:space="preserve">      4002 Per Pupil Special Education</t>
  </si>
  <si>
    <t xml:space="preserve">      4003 Facility Assistance</t>
  </si>
  <si>
    <t>Lower of 30% of GenEd Revenue and Acutal Rent Expense</t>
  </si>
  <si>
    <t xml:space="preserve">      4004 NYSTL - Textbook Materials</t>
  </si>
  <si>
    <t xml:space="preserve">      4005 NYSSL - Software Materials</t>
  </si>
  <si>
    <t xml:space="preserve">      4006 NYSLIB - Library Materials</t>
  </si>
  <si>
    <t xml:space="preserve">      4007 Food Service - State Income</t>
  </si>
  <si>
    <t xml:space="preserve">      4008 State Grants DYCD</t>
  </si>
  <si>
    <t xml:space="preserve">      4009 NYS State Senate Grant Per Pupil Supplement</t>
  </si>
  <si>
    <t xml:space="preserve">   Total 4000 State Grants</t>
  </si>
  <si>
    <t xml:space="preserve">   4100 Federal Grants</t>
  </si>
  <si>
    <t xml:space="preserve">      4101 IDEA Special Needs</t>
  </si>
  <si>
    <t>Based on FY 2022-23 Actuals</t>
  </si>
  <si>
    <t xml:space="preserve">      4102 Title I</t>
  </si>
  <si>
    <t xml:space="preserve">      4103 Title IIA</t>
  </si>
  <si>
    <t xml:space="preserve">      4104 Title IV</t>
  </si>
  <si>
    <t xml:space="preserve">      4105 E-Rate</t>
  </si>
  <si>
    <t xml:space="preserve">      4106 Food Service - Federal Income</t>
  </si>
  <si>
    <t xml:space="preserve">      4107 CSP</t>
  </si>
  <si>
    <t xml:space="preserve">      4108 Cares Act.</t>
  </si>
  <si>
    <t>Based on budgeted expenditures</t>
  </si>
  <si>
    <t xml:space="preserve">   Total 4100 Federal Grants</t>
  </si>
  <si>
    <t xml:space="preserve">   4200 Contributions &amp; Donations</t>
  </si>
  <si>
    <t xml:space="preserve">      4202 Unrestricted Contributions</t>
  </si>
  <si>
    <t xml:space="preserve">      4203 Walton Foundation</t>
  </si>
  <si>
    <t xml:space="preserve">   Total 4200 Contributions &amp; Donations</t>
  </si>
  <si>
    <t xml:space="preserve">   4300 Fundraising</t>
  </si>
  <si>
    <t xml:space="preserve">      4301 Fundraising Events</t>
  </si>
  <si>
    <t xml:space="preserve">   Total 4300 Fundraising</t>
  </si>
  <si>
    <t xml:space="preserve">   4400 Interest Income</t>
  </si>
  <si>
    <t xml:space="preserve">      4401 Interest Income.</t>
  </si>
  <si>
    <t>ICS - half of 4.5% based on $2M deposit</t>
  </si>
  <si>
    <t xml:space="preserve">   Total 4400 Interest Income</t>
  </si>
  <si>
    <t xml:space="preserve">   4500 Other Revenue</t>
  </si>
  <si>
    <t xml:space="preserve">      4501 In Kind Donation</t>
  </si>
  <si>
    <t xml:space="preserve">      4502 In Kind Legal</t>
  </si>
  <si>
    <t xml:space="preserve">      4503 Misc</t>
  </si>
  <si>
    <t xml:space="preserve">      4504 Revenue Suspense</t>
  </si>
  <si>
    <t xml:space="preserve">   Total 4500 Other Revenue</t>
  </si>
  <si>
    <t>Total Income</t>
  </si>
  <si>
    <t>Gross Profit</t>
  </si>
  <si>
    <t>Expenses</t>
  </si>
  <si>
    <t>5000 Compensation</t>
  </si>
  <si>
    <t>5100 Administrative Staff</t>
  </si>
  <si>
    <t>5101 Head of School</t>
  </si>
  <si>
    <t>Please see Personnel Tab</t>
  </si>
  <si>
    <t>5102 Assistant Principal</t>
  </si>
  <si>
    <t>5105 Director of Curriculum &amp; Instructions</t>
  </si>
  <si>
    <t>5115 Dean of Culture</t>
  </si>
  <si>
    <t>5120 Dean of School Supports</t>
  </si>
  <si>
    <t>5122 Associate Dean of School Culture</t>
  </si>
  <si>
    <t>5125 Director of Operations</t>
  </si>
  <si>
    <t>5130 Director of Finance</t>
  </si>
  <si>
    <t>5135 Office Coordinator</t>
  </si>
  <si>
    <t>5140 Operations Fellow/Manager</t>
  </si>
  <si>
    <t>5142 Operations Associate</t>
  </si>
  <si>
    <t>Please see Personnel Tab - partially reimbursed by the ARP grant</t>
  </si>
  <si>
    <t>5143 SPED Coordinator</t>
  </si>
  <si>
    <t>5145 Office Assistant</t>
  </si>
  <si>
    <t>5150 Middle School and Alumni Coordinator</t>
  </si>
  <si>
    <t>5160 Bus Matrons</t>
  </si>
  <si>
    <t xml:space="preserve">      Total 5100 Administrative Staff</t>
  </si>
  <si>
    <t>5200 Instructional Staff</t>
  </si>
  <si>
    <t>5205 Lead Teachers</t>
  </si>
  <si>
    <t>5206 Regular Teachers</t>
  </si>
  <si>
    <t>5207 Co-Teachers</t>
  </si>
  <si>
    <t>5210 Special Ed Teachers</t>
  </si>
  <si>
    <t>5212 Founding Teachers</t>
  </si>
  <si>
    <t>5215 Elective Teachers</t>
  </si>
  <si>
    <t>5220 Teaching Fellow</t>
  </si>
  <si>
    <t>5225 Social Worker</t>
  </si>
  <si>
    <t xml:space="preserve">      Total 5200 Instructional Staff</t>
  </si>
  <si>
    <t>5300 Non-Instructional Staff</t>
  </si>
  <si>
    <t>5305 School Food Worker</t>
  </si>
  <si>
    <t xml:space="preserve">      Total 5300 Non-Instructional Staff</t>
  </si>
  <si>
    <t xml:space="preserve">      5400 Payroll Taxes</t>
  </si>
  <si>
    <t xml:space="preserve">         5401 Federal Unemployment Insurance</t>
  </si>
  <si>
    <t xml:space="preserve">         5402 NY State Unemployment Insurance</t>
  </si>
  <si>
    <t>Estimated 1.5% of Salaries Cost</t>
  </si>
  <si>
    <t xml:space="preserve">         5403 Social Security - ER</t>
  </si>
  <si>
    <t>Please see Taxes Tab</t>
  </si>
  <si>
    <t xml:space="preserve">         5404 Medicare - ER</t>
  </si>
  <si>
    <t xml:space="preserve">         5405 Social Security - EE Exchange</t>
  </si>
  <si>
    <t xml:space="preserve">         5406 Medicare - EE Exchange</t>
  </si>
  <si>
    <t xml:space="preserve">         5407 Federal Income Tax - Clearing</t>
  </si>
  <si>
    <t xml:space="preserve">         5408 State Income Tax - Clearing</t>
  </si>
  <si>
    <t xml:space="preserve">         5409 Local Income Tax - Clearing</t>
  </si>
  <si>
    <t xml:space="preserve">         5410 NY-Disability</t>
  </si>
  <si>
    <t>Estimated 0.2% of Salaries Cost</t>
  </si>
  <si>
    <t xml:space="preserve">         5411 Local Tax</t>
  </si>
  <si>
    <t xml:space="preserve">         5412 Paid Family Leave</t>
  </si>
  <si>
    <t xml:space="preserve">      Total 5400 Payroll Taxes</t>
  </si>
  <si>
    <t xml:space="preserve">      5500 Compensation Employee Benefits</t>
  </si>
  <si>
    <t xml:space="preserve">         5501 Medical, Dental and Vision Insurance</t>
  </si>
  <si>
    <t>Please see Benefits Tab</t>
  </si>
  <si>
    <t xml:space="preserve">         5505 Dental Insurance</t>
  </si>
  <si>
    <t xml:space="preserve">         5510 Vision Insurance</t>
  </si>
  <si>
    <t xml:space="preserve">         5515 Workers Compensation Expense</t>
  </si>
  <si>
    <t>Estimated 0.75% of Salaries Cost (BP adjusted from convo with Shawn B.)</t>
  </si>
  <si>
    <t xml:space="preserve">         5520 STD, LTD, Life Insur. and NYS Disability Insur., HSA and AD&amp;D</t>
  </si>
  <si>
    <t xml:space="preserve">         5525 Transit Check Fees</t>
  </si>
  <si>
    <t xml:space="preserve">         5530 FSA/Transit Check</t>
  </si>
  <si>
    <t xml:space="preserve">         5570 Other Employee Benefits</t>
  </si>
  <si>
    <t xml:space="preserve">      Total 5500 Compensation Employee Benefits</t>
  </si>
  <si>
    <t xml:space="preserve">      5600 Retirement &amp; Pension</t>
  </si>
  <si>
    <t xml:space="preserve">         5601 403(b) Expenses</t>
  </si>
  <si>
    <t xml:space="preserve">         5605 403(b) Matching</t>
  </si>
  <si>
    <t>May need to be revistied</t>
  </si>
  <si>
    <t xml:space="preserve">         5610 403(b) Contributions-Clearing</t>
  </si>
  <si>
    <t xml:space="preserve">      Total 5600 Retirement &amp; Pension</t>
  </si>
  <si>
    <t xml:space="preserve">   Total 5000 Compensation</t>
  </si>
  <si>
    <t xml:space="preserve">   6000 Professional Services/Contracted Expenses</t>
  </si>
  <si>
    <t xml:space="preserve">      6001 Accounting/Audit Services</t>
  </si>
  <si>
    <t xml:space="preserve">      6005 Payroll Services</t>
  </si>
  <si>
    <t>$12.5/employee/payroll + $5,000 year-end cost</t>
  </si>
  <si>
    <t xml:space="preserve">      6010 Financial Management Services</t>
  </si>
  <si>
    <t xml:space="preserve">      6015 Legal - Paid</t>
  </si>
  <si>
    <t xml:space="preserve">      6016 Legal - In Kind</t>
  </si>
  <si>
    <t xml:space="preserve">      6020 Food Service / School Lunch</t>
  </si>
  <si>
    <t xml:space="preserve">      6025 Titlement Services</t>
  </si>
  <si>
    <t>CSBM fees for the Consolidated Application</t>
  </si>
  <si>
    <t xml:space="preserve">      6026 ERate Consultants</t>
  </si>
  <si>
    <t>Fixed assumption</t>
  </si>
  <si>
    <t xml:space="preserve">      6030 Compliance Consulting</t>
  </si>
  <si>
    <t xml:space="preserve">      6035 Curriculum Services</t>
  </si>
  <si>
    <t>Characterstrong Llc ($2,400), Learning A-Z ($150) and UChicago Impact LLC ($10,000)</t>
  </si>
  <si>
    <t xml:space="preserve">      6037 Stipends</t>
  </si>
  <si>
    <t>After School Stipends: $66,420 + $4,500 (reimbursed by the ESSER II and  ARP grant) and See 'Stipends' tab for the other $60,000</t>
  </si>
  <si>
    <t xml:space="preserve">      6040 Special Ed Services</t>
  </si>
  <si>
    <t xml:space="preserve">      6045 Substitute Teaching Services</t>
  </si>
  <si>
    <t>Teachers covering: $333 x 180 days</t>
  </si>
  <si>
    <t xml:space="preserve">      6050 Other Purchased / Professional / Consulting</t>
  </si>
  <si>
    <t>Consulting Fees for Ashley - placeholder</t>
  </si>
  <si>
    <t xml:space="preserve">   Total 6000 Professional Services/Contracted Expenses</t>
  </si>
  <si>
    <t xml:space="preserve">   6100 Board Expenses</t>
  </si>
  <si>
    <t xml:space="preserve">      6101 Board Meetings</t>
  </si>
  <si>
    <t xml:space="preserve">      6105 Board Development</t>
  </si>
  <si>
    <t xml:space="preserve">Inquire about Ed Board Partners + other expenses </t>
  </si>
  <si>
    <t xml:space="preserve">   Total 6100 Board Expenses</t>
  </si>
  <si>
    <t xml:space="preserve">   6200 Classroom &amp; Teaching Supplies &amp; Materials</t>
  </si>
  <si>
    <t xml:space="preserve">      6205 Classroom Supplies &amp; Materials</t>
  </si>
  <si>
    <t xml:space="preserve">      6210 Math Supplies &amp; Materials</t>
  </si>
  <si>
    <t>ILT Needed</t>
  </si>
  <si>
    <t xml:space="preserve">      6215 Science Supplies &amp; Materials</t>
  </si>
  <si>
    <t xml:space="preserve">      6230 Physical Education Supplies &amp; Materials</t>
  </si>
  <si>
    <t xml:space="preserve">      6235 NYSSL Expense</t>
  </si>
  <si>
    <t xml:space="preserve">      6240 NYSLIB Expense</t>
  </si>
  <si>
    <t xml:space="preserve">      6245 In-Kind Expense</t>
  </si>
  <si>
    <t xml:space="preserve">   Total 6200 Classroom &amp; Teaching Supplies &amp; Materials</t>
  </si>
  <si>
    <t xml:space="preserve">   6300 Special Education Supplies &amp; Materials</t>
  </si>
  <si>
    <t xml:space="preserve">      6301 SPED- Supplies &amp; Materials</t>
  </si>
  <si>
    <t xml:space="preserve">   Total 6300 Special Education Supplies &amp; Materials</t>
  </si>
  <si>
    <t xml:space="preserve">   6400 Textbooks &amp; Workbooks</t>
  </si>
  <si>
    <t xml:space="preserve">      6405 Textbooks</t>
  </si>
  <si>
    <t xml:space="preserve">      6406 Library Books</t>
  </si>
  <si>
    <t xml:space="preserve">      6407 Curriculum</t>
  </si>
  <si>
    <t xml:space="preserve">      6410 NYSTL Expense</t>
  </si>
  <si>
    <t xml:space="preserve">Do we get NYSTL funds? </t>
  </si>
  <si>
    <t xml:space="preserve">   Total 6400 Textbooks &amp; Workbooks</t>
  </si>
  <si>
    <t xml:space="preserve">   6500 Supplies &amp; Materials Other</t>
  </si>
  <si>
    <t xml:space="preserve">      6515 Student Incentives</t>
  </si>
  <si>
    <t xml:space="preserve">      6520 Parent Outreach &amp; Education Programs</t>
  </si>
  <si>
    <t xml:space="preserve">      6525 Special Events</t>
  </si>
  <si>
    <t xml:space="preserve">   Total 6500 Supplies &amp; Materials Other</t>
  </si>
  <si>
    <t xml:space="preserve">   6600 Equipment &amp; Furniture (Non Asset)</t>
  </si>
  <si>
    <t xml:space="preserve">      6601 Copy Machine Lease</t>
  </si>
  <si>
    <t xml:space="preserve">      6605 Office Furniture</t>
  </si>
  <si>
    <t xml:space="preserve">      6606 Classroom Furniture</t>
  </si>
  <si>
    <t xml:space="preserve">      6610 Office Equipment</t>
  </si>
  <si>
    <t xml:space="preserve">      6611 Classroom Equipment</t>
  </si>
  <si>
    <t xml:space="preserve">      6612 COVID-19 Related Expenditures</t>
  </si>
  <si>
    <t xml:space="preserve">   Total 6600 Equipment &amp; Furniture (Non Asset)</t>
  </si>
  <si>
    <t xml:space="preserve">   6700 Telephone</t>
  </si>
  <si>
    <t xml:space="preserve">      6701 Telephone</t>
  </si>
  <si>
    <t xml:space="preserve">      6705 Mobile Phone</t>
  </si>
  <si>
    <t xml:space="preserve">   Total 6700 Telephone</t>
  </si>
  <si>
    <t xml:space="preserve">   6800 Technology</t>
  </si>
  <si>
    <t xml:space="preserve">      6801 Internet</t>
  </si>
  <si>
    <t xml:space="preserve">      6805 Technology Services</t>
  </si>
  <si>
    <t>CTS- change from EDIT</t>
  </si>
  <si>
    <t xml:space="preserve">      6810 Technology Supplies</t>
  </si>
  <si>
    <t xml:space="preserve">      6815 Software (non capitalized)</t>
  </si>
  <si>
    <t xml:space="preserve">      6820 Website Maintenance</t>
  </si>
  <si>
    <t xml:space="preserve">   Total 6800 Technology</t>
  </si>
  <si>
    <t xml:space="preserve">   6900 Student Testing &amp; Assessment</t>
  </si>
  <si>
    <t xml:space="preserve">      6901 Assessment Supplies and Materials</t>
  </si>
  <si>
    <t>MAP(3625), STEP (26,000) Iready (9600)</t>
  </si>
  <si>
    <t xml:space="preserve">   Total 6900 Student Testing &amp; Assessment</t>
  </si>
  <si>
    <t xml:space="preserve">   7000 Student Travel</t>
  </si>
  <si>
    <t xml:space="preserve">      7001 Field Trips</t>
  </si>
  <si>
    <t xml:space="preserve">including: Senior Trip </t>
  </si>
  <si>
    <t xml:space="preserve">      7005 Transportation</t>
  </si>
  <si>
    <t>including: Senior Trip + $200 for regular bussing</t>
  </si>
  <si>
    <t xml:space="preserve"> +</t>
  </si>
  <si>
    <t xml:space="preserve">   Total 7000 Student Travel</t>
  </si>
  <si>
    <t xml:space="preserve">   7100 Student Services</t>
  </si>
  <si>
    <t xml:space="preserve">      7101 Student Uniforms</t>
  </si>
  <si>
    <t>Reimbursed by the ARP grant</t>
  </si>
  <si>
    <t xml:space="preserve">      7103 After School Program</t>
  </si>
  <si>
    <t>Supplies and materials for the Afterschool program - reimbursed by the ARP grant</t>
  </si>
  <si>
    <t xml:space="preserve">   Total 7100 Student Services</t>
  </si>
  <si>
    <t xml:space="preserve">   7200 Office Expenses</t>
  </si>
  <si>
    <t xml:space="preserve">      7201 Office Supplies</t>
  </si>
  <si>
    <t xml:space="preserve">      7205 Postage &amp; Shipping</t>
  </si>
  <si>
    <t xml:space="preserve">   Total 7200 Office Expenses</t>
  </si>
  <si>
    <t xml:space="preserve">   7300 Staff Development</t>
  </si>
  <si>
    <t xml:space="preserve">      7301 Instructional Staff Development</t>
  </si>
  <si>
    <t>Diana R Williams LLC ($50K) reimbursed by the ARP grant</t>
  </si>
  <si>
    <t xml:space="preserve">      7305 Administrative Staff Development</t>
  </si>
  <si>
    <t>Coleman to look into - add $17K for Brandon's Certificate
Journey Therapy ($50K) reimbursed by the ARP grant</t>
  </si>
  <si>
    <t xml:space="preserve">      7310 Team Building &amp; Staff Appreciation</t>
  </si>
  <si>
    <t xml:space="preserve">   Total 7300 Staff Development</t>
  </si>
  <si>
    <t xml:space="preserve">   7400 Staff Recruitment</t>
  </si>
  <si>
    <t xml:space="preserve">      7401 Staff Recruitment.</t>
  </si>
  <si>
    <t xml:space="preserve">   Total 7400 Staff Recruitment</t>
  </si>
  <si>
    <t xml:space="preserve">   7500 Student Recruitment/Marketing</t>
  </si>
  <si>
    <t xml:space="preserve">      7501 Student Recruitment</t>
  </si>
  <si>
    <t xml:space="preserve">   Total 7500 Student Recruitment/Marketing</t>
  </si>
  <si>
    <t xml:space="preserve">   7600 School Meals/Lunches</t>
  </si>
  <si>
    <t xml:space="preserve">      7601 Meals &amp; Lunches</t>
  </si>
  <si>
    <t xml:space="preserve">   Total 7600 School Meals/Lunches</t>
  </si>
  <si>
    <t xml:space="preserve">   7700 Staff Travel</t>
  </si>
  <si>
    <t xml:space="preserve">      7701 Local Travel</t>
  </si>
  <si>
    <t xml:space="preserve">      7705 Travel, Meals &amp; Lodging (PD)</t>
  </si>
  <si>
    <t xml:space="preserve">   Total 7700 Staff Travel</t>
  </si>
  <si>
    <t xml:space="preserve">   7800 Fundraising Expense</t>
  </si>
  <si>
    <t xml:space="preserve">      7801 Fundraising Supplies &amp; Materials</t>
  </si>
  <si>
    <t xml:space="preserve">   Total 7800 Fundraising Expense</t>
  </si>
  <si>
    <t xml:space="preserve">   7900 Miscellaneous Expenses</t>
  </si>
  <si>
    <t xml:space="preserve">      7901 Bank Services Charges</t>
  </si>
  <si>
    <t xml:space="preserve">      7905 Dues &amp; Memberships</t>
  </si>
  <si>
    <t xml:space="preserve">      7910 Miscellaneous Fees</t>
  </si>
  <si>
    <t xml:space="preserve">      7920 Sales Tax</t>
  </si>
  <si>
    <t xml:space="preserve">      Loss at Disposal</t>
  </si>
  <si>
    <t xml:space="preserve">   Total 7900 Miscellaneous Expenses</t>
  </si>
  <si>
    <t xml:space="preserve">   8000 Insurance Expense</t>
  </si>
  <si>
    <t xml:space="preserve">      8001 General</t>
  </si>
  <si>
    <t>includes a 15% bump (reduced from BP convo with Shawn B.)</t>
  </si>
  <si>
    <t xml:space="preserve">      8005 ERISA</t>
  </si>
  <si>
    <t xml:space="preserve">   Total 8000 Insurance Expense</t>
  </si>
  <si>
    <t xml:space="preserve">   8100 Facility Operations &amp; Maintenance</t>
  </si>
  <si>
    <t xml:space="preserve">       8105 Rent or Lease of Buildings</t>
  </si>
  <si>
    <t>Based on the lease agreement</t>
  </si>
  <si>
    <t xml:space="preserve">       8110 Repairs &amp; Maintenance</t>
  </si>
  <si>
    <t xml:space="preserve">      8115 Security</t>
  </si>
  <si>
    <t xml:space="preserve">      8116 Pest Control </t>
  </si>
  <si>
    <t xml:space="preserve">      8117 Janitorial Service</t>
  </si>
  <si>
    <t xml:space="preserve">      8120 Deferred Rent</t>
  </si>
  <si>
    <t>Based on the deferred rent schedule</t>
  </si>
  <si>
    <t xml:space="preserve">   Total 8100 Facility Operations &amp; Maintenance</t>
  </si>
  <si>
    <t xml:space="preserve">   8200 Depreciation Expense &amp; Amortization</t>
  </si>
  <si>
    <t xml:space="preserve">      8201 Depreciation Expense</t>
  </si>
  <si>
    <t>Estimated</t>
  </si>
  <si>
    <t xml:space="preserve">      8202 Amortization Expense</t>
  </si>
  <si>
    <t xml:space="preserve">   Total 8200 Depreciation Expense &amp; Amortization</t>
  </si>
  <si>
    <t>Total Expenses</t>
  </si>
  <si>
    <t>Net Operating Income</t>
  </si>
  <si>
    <t>Reconciliation to Cash</t>
  </si>
  <si>
    <t xml:space="preserve">Add: </t>
  </si>
  <si>
    <t xml:space="preserve">     Net Assets without donor restrictions - beginning balance</t>
  </si>
  <si>
    <t xml:space="preserve">     Accounts Payable</t>
  </si>
  <si>
    <t xml:space="preserve">     Depreciation</t>
  </si>
  <si>
    <t xml:space="preserve">     Deferrent Rent</t>
  </si>
  <si>
    <t xml:space="preserve">     Deferred/Unearned Revenue</t>
  </si>
  <si>
    <t>Subtract:</t>
  </si>
  <si>
    <t xml:space="preserve">    Accounts Receivable</t>
  </si>
  <si>
    <t xml:space="preserve">    Security Deposit</t>
  </si>
  <si>
    <t xml:space="preserve">    Prepaid Expenses</t>
  </si>
  <si>
    <t xml:space="preserve">    Capital Expenses:</t>
  </si>
  <si>
    <t xml:space="preserve">       1501 Office Equipment</t>
  </si>
  <si>
    <t xml:space="preserve">       1502 Office Furniture &amp; Fixtures</t>
  </si>
  <si>
    <t xml:space="preserve">       1521 Classroom Equipment</t>
  </si>
  <si>
    <t xml:space="preserve">       1522 Classroom Furniture &amp; Fixtures</t>
  </si>
  <si>
    <t xml:space="preserve">       1541 Student Computers</t>
  </si>
  <si>
    <t>Budgeting an additional $20,160 for SY 2023-24</t>
  </si>
  <si>
    <t xml:space="preserve">       1542 Staff Computers</t>
  </si>
  <si>
    <t>Budgeting an additional $10K for SY 2023-24</t>
  </si>
  <si>
    <t xml:space="preserve">       1543 Printers</t>
  </si>
  <si>
    <t xml:space="preserve">       1544 Audio Visual - Classrooms</t>
  </si>
  <si>
    <t xml:space="preserve">       1545 Audio Visual - Cafeteria</t>
  </si>
  <si>
    <t xml:space="preserve">       1546 Software - Instructional</t>
  </si>
  <si>
    <t xml:space="preserve">       1547 Software - Non-Instructional</t>
  </si>
  <si>
    <t xml:space="preserve">       1548 Network Construction</t>
  </si>
  <si>
    <t xml:space="preserve">       1549 Security</t>
  </si>
  <si>
    <t>Budgeting an additional $75K for security door and cameras</t>
  </si>
  <si>
    <t xml:space="preserve">       1550 Website Development</t>
  </si>
  <si>
    <t xml:space="preserve">       1551 Student Information System</t>
  </si>
  <si>
    <t>Budgeted for SY 2023-24</t>
  </si>
  <si>
    <t xml:space="preserve">       1552 Whiteboards</t>
  </si>
  <si>
    <t xml:space="preserve">       1561 Construction</t>
  </si>
  <si>
    <t xml:space="preserve">       1552 Major Repairs</t>
  </si>
  <si>
    <t xml:space="preserve">    Escrow Reserve Funds</t>
  </si>
  <si>
    <t>TOTAL ADJUSTMENTS</t>
  </si>
  <si>
    <t>Role</t>
  </si>
  <si>
    <t>Staff Name</t>
  </si>
  <si>
    <t>Disbursement Frequency</t>
  </si>
  <si>
    <t>Amount</t>
  </si>
  <si>
    <t>Instructional Leader (K)</t>
  </si>
  <si>
    <t>Shanell Roberts</t>
  </si>
  <si>
    <t>Semi-Monthly</t>
  </si>
  <si>
    <t>Instructional Leader (1)</t>
  </si>
  <si>
    <t>Montana Durieux</t>
  </si>
  <si>
    <t>Instructional Leader (2)</t>
  </si>
  <si>
    <t>Nadia Yearwood</t>
  </si>
  <si>
    <t>Instructional Leader (3)</t>
  </si>
  <si>
    <t>Selmawit Thomas</t>
  </si>
  <si>
    <t>Instructional Leader (4)</t>
  </si>
  <si>
    <t>Christopher Chase</t>
  </si>
  <si>
    <t>Instructional Leader (5) + MS Coordinator</t>
  </si>
  <si>
    <t>Militade Delille</t>
  </si>
  <si>
    <t>Teacher Coverage</t>
  </si>
  <si>
    <t>TBD Tentative Hold</t>
  </si>
  <si>
    <t>Teachers providing coverage are reimbursed at a rate of $56/hr</t>
  </si>
  <si>
    <t>UPDATED STIPEND GUIDANCE</t>
  </si>
  <si>
    <t>Total Amount Budgeted:</t>
  </si>
  <si>
    <t>Profit and Loss</t>
  </si>
  <si>
    <t>FY 2019-20</t>
  </si>
  <si>
    <t>FY 2020-21</t>
  </si>
  <si>
    <t>FY 2021-22</t>
  </si>
  <si>
    <t>Income</t>
  </si>
  <si>
    <t xml:space="preserve">      4109 ECF Funding</t>
  </si>
  <si>
    <t xml:space="preserve">      4201 Restricted Contributions (deleted)</t>
  </si>
  <si>
    <t xml:space="preserve">      4203-1 Walton Foundation (deleted)</t>
  </si>
  <si>
    <t xml:space="preserve">   Billable Expense Income</t>
  </si>
  <si>
    <t xml:space="preserve">   Sales of Product Income</t>
  </si>
  <si>
    <t xml:space="preserve">   Services</t>
  </si>
  <si>
    <t xml:space="preserve">   Uncategorized Income</t>
  </si>
  <si>
    <t>Cost of Goods Sold</t>
  </si>
  <si>
    <t xml:space="preserve">   Cost of Goods Sold</t>
  </si>
  <si>
    <t xml:space="preserve">   Cost of Goods Sold (deleted)</t>
  </si>
  <si>
    <t xml:space="preserve">   Shipping</t>
  </si>
  <si>
    <t>Total Cost of Goods Sold</t>
  </si>
  <si>
    <t xml:space="preserve">   5000 Compensation</t>
  </si>
  <si>
    <t xml:space="preserve">      5100 Administrative Staff</t>
  </si>
  <si>
    <t xml:space="preserve">         5101 Head of School</t>
  </si>
  <si>
    <t xml:space="preserve">         5102 Assistant Principal</t>
  </si>
  <si>
    <t xml:space="preserve">         5105 Dean of Curriculum</t>
  </si>
  <si>
    <t xml:space="preserve">         5115 Dean of Students (Martial arts instructor)</t>
  </si>
  <si>
    <t xml:space="preserve">         5120 Dean of School Supports</t>
  </si>
  <si>
    <t xml:space="preserve">         5125 Director of Operations</t>
  </si>
  <si>
    <t xml:space="preserve">         5130 Director of Development</t>
  </si>
  <si>
    <t xml:space="preserve">         5135 College and Career Counselor (deleted)</t>
  </si>
  <si>
    <t xml:space="preserve">         5135 Office Coordinator</t>
  </si>
  <si>
    <t xml:space="preserve">         5140 Operations Fellow</t>
  </si>
  <si>
    <t xml:space="preserve">         5145 Office Assistant</t>
  </si>
  <si>
    <t xml:space="preserve">         5150 Middle School and Alumni Coordinator</t>
  </si>
  <si>
    <t xml:space="preserve">         5160 Bus Matrons</t>
  </si>
  <si>
    <t xml:space="preserve">      5200 Instructional Staff</t>
  </si>
  <si>
    <t xml:space="preserve">         5201 ELA Teachers (deleted)</t>
  </si>
  <si>
    <t xml:space="preserve">         5202 Math Teachers (deleted)</t>
  </si>
  <si>
    <t xml:space="preserve">         5203 History Teachers (deleted)</t>
  </si>
  <si>
    <t xml:space="preserve">         5204 Science Teachers (deleted)</t>
  </si>
  <si>
    <t xml:space="preserve">         5205 Lead Teachers</t>
  </si>
  <si>
    <t xml:space="preserve">         5207 Art Teachers (deleted)</t>
  </si>
  <si>
    <t xml:space="preserve">         5207 Co-Teachers</t>
  </si>
  <si>
    <t xml:space="preserve">         5208 Phys Ed Teachers (deleted)</t>
  </si>
  <si>
    <t xml:space="preserve">         5209 Teaching Assistants (deleted)</t>
  </si>
  <si>
    <t xml:space="preserve">         5210 Special Ed Teachers</t>
  </si>
  <si>
    <t xml:space="preserve">         5212 Founding Teacher</t>
  </si>
  <si>
    <t xml:space="preserve">         5215 Elective Teachers</t>
  </si>
  <si>
    <t xml:space="preserve">         5220 Teaching Fellow</t>
  </si>
  <si>
    <t xml:space="preserve">         5225 Social Worker</t>
  </si>
  <si>
    <t xml:space="preserve">      5300 Non-Instructional Staff</t>
  </si>
  <si>
    <t xml:space="preserve">         5305 School Food Worker</t>
  </si>
  <si>
    <t xml:space="preserve">         5501 Medical Insurance</t>
  </si>
  <si>
    <t xml:space="preserve">         5520 STD, LTD, Life and AD&amp;D and Others</t>
  </si>
  <si>
    <t xml:space="preserve">         5530 FSA, Transit Check, and HRA</t>
  </si>
  <si>
    <t xml:space="preserve">         5535 Group Term Life Insurance</t>
  </si>
  <si>
    <t xml:space="preserve">         5540 Health Savings Account</t>
  </si>
  <si>
    <t xml:space="preserve">         5545 Basic Employee Life and AD&amp;D</t>
  </si>
  <si>
    <t xml:space="preserve">         5550 Long Term Disability</t>
  </si>
  <si>
    <t xml:space="preserve">         5560 Short Term Disability</t>
  </si>
  <si>
    <t xml:space="preserve">         5601 401(k) Expenses</t>
  </si>
  <si>
    <t xml:space="preserve">         5605 401(k) Matching</t>
  </si>
  <si>
    <t xml:space="preserve">         5610 401(K) Contributions-Clearing</t>
  </si>
  <si>
    <t xml:space="preserve">      6220 Music Supplies &amp; Materials (deleted)</t>
  </si>
  <si>
    <t xml:space="preserve">      6225 Art Supplies (deleted)</t>
  </si>
  <si>
    <t xml:space="preserve">      6825 IT Equipment (Petty-Assets)</t>
  </si>
  <si>
    <t xml:space="preserve">      6830 IT Managed Services</t>
  </si>
  <si>
    <t xml:space="preserve">      6835 Email Hosting Fee</t>
  </si>
  <si>
    <t xml:space="preserve">      7010 Student Orientation (deleted)</t>
  </si>
  <si>
    <t xml:space="preserve">      7105 Summer School (deleted)</t>
  </si>
  <si>
    <t xml:space="preserve">         Staff development</t>
  </si>
  <si>
    <t xml:space="preserve">      Total 7310 Team Building &amp; Staff Appreciation</t>
  </si>
  <si>
    <t xml:space="preserve">      7925 Expense Suspense</t>
  </si>
  <si>
    <t xml:space="preserve">      8105 Rent or Lease of Buildings</t>
  </si>
  <si>
    <t xml:space="preserve">      8110 Repairs &amp; Maintenance</t>
  </si>
  <si>
    <t xml:space="preserve">      8116 Exterminator</t>
  </si>
  <si>
    <t xml:space="preserve">      8125 Renovation Expense (deleted)</t>
  </si>
  <si>
    <t xml:space="preserve">   8500 In-Kind Expenses</t>
  </si>
  <si>
    <t xml:space="preserve">   Advertising &amp; Marketing (deleted)</t>
  </si>
  <si>
    <t xml:space="preserve">   Ask My Accountant</t>
  </si>
  <si>
    <t xml:space="preserve">   Bank Charges &amp; Fees</t>
  </si>
  <si>
    <t xml:space="preserve">   Car &amp; Truck</t>
  </si>
  <si>
    <t xml:space="preserve">   Employee Benefits</t>
  </si>
  <si>
    <t xml:space="preserve">   Insurance</t>
  </si>
  <si>
    <t xml:space="preserve">   Interest Paid</t>
  </si>
  <si>
    <t xml:space="preserve">   Job Supplies</t>
  </si>
  <si>
    <t xml:space="preserve">   Legal &amp; Professional Services</t>
  </si>
  <si>
    <t xml:space="preserve">   Meals &amp; Entertainment</t>
  </si>
  <si>
    <t xml:space="preserve">   Office Supplies &amp; Software</t>
  </si>
  <si>
    <t xml:space="preserve">   Other Business Expenses</t>
  </si>
  <si>
    <t xml:space="preserve">   Purchases</t>
  </si>
  <si>
    <t xml:space="preserve">   Reimbursable Expenses</t>
  </si>
  <si>
    <t xml:space="preserve">   Rent &amp; Lease</t>
  </si>
  <si>
    <t xml:space="preserve">   Repairs &amp; Maintenance</t>
  </si>
  <si>
    <t xml:space="preserve">   Salaries &amp; Wages</t>
  </si>
  <si>
    <t xml:space="preserve">   Taxes &amp; Licenses</t>
  </si>
  <si>
    <t xml:space="preserve">   Travel</t>
  </si>
  <si>
    <t xml:space="preserve">   Unapplied Cash Bill Payment Expense</t>
  </si>
  <si>
    <t xml:space="preserve">   Uncategorized Expense</t>
  </si>
  <si>
    <t xml:space="preserve">   Utilities</t>
  </si>
  <si>
    <t>Other Expenses</t>
  </si>
  <si>
    <t xml:space="preserve">   Other Miscellaneous Expense</t>
  </si>
  <si>
    <t xml:space="preserve">   Reconciliation Discrepancies</t>
  </si>
  <si>
    <t>Total Other Expenses</t>
  </si>
  <si>
    <t>Net Other Income</t>
  </si>
  <si>
    <t>Net Income</t>
  </si>
  <si>
    <t>Salaries Worksheet - FY 2023-24</t>
  </si>
  <si>
    <t>Current</t>
  </si>
  <si>
    <t>FY 2023-24</t>
  </si>
  <si>
    <t>Name</t>
  </si>
  <si>
    <t>Title</t>
  </si>
  <si>
    <t>GL Code</t>
  </si>
  <si>
    <t>Hire Date</t>
  </si>
  <si>
    <t>Employment Status</t>
  </si>
  <si>
    <t>Annualized Salary</t>
  </si>
  <si>
    <t>Adj. %</t>
  </si>
  <si>
    <t>Adj. $</t>
  </si>
  <si>
    <t>New Position</t>
  </si>
  <si>
    <t>Budget</t>
  </si>
  <si>
    <t>Coleman,Annedrea</t>
  </si>
  <si>
    <t>Head of School/Principal</t>
  </si>
  <si>
    <t>Active</t>
  </si>
  <si>
    <t>Williams,Diana</t>
  </si>
  <si>
    <t>Assistant Head of School</t>
  </si>
  <si>
    <t>5102 Assistant Head of School</t>
  </si>
  <si>
    <t xml:space="preserve">AHOS Departure </t>
  </si>
  <si>
    <t>Gordon,Deborah-Ann</t>
  </si>
  <si>
    <t>Dean of Curriculum &amp; Instruction</t>
  </si>
  <si>
    <t>need to change title to Dean of Curriculum &amp; Instruction, that aligns with title for org chart (see column D)</t>
  </si>
  <si>
    <t>Payne,Ty-Quan</t>
  </si>
  <si>
    <t xml:space="preserve">Dean of School Culture </t>
  </si>
  <si>
    <t>need to change tittle to Dean of School Culture, that aligns with title for org chart</t>
  </si>
  <si>
    <t>Parker,Brandon</t>
  </si>
  <si>
    <t>Director of Operations</t>
  </si>
  <si>
    <t>Responsibilities increase, performance</t>
  </si>
  <si>
    <t>Kayode,Temitope</t>
  </si>
  <si>
    <t>Operations Manager</t>
  </si>
  <si>
    <t>Rosario,Mark</t>
  </si>
  <si>
    <t xml:space="preserve">Associate Dean of School Culture </t>
  </si>
  <si>
    <t>Dellile,Miltiade</t>
  </si>
  <si>
    <t>Regular Teacher</t>
  </si>
  <si>
    <t>Johnson , Daniel Benjamin</t>
  </si>
  <si>
    <t>Durieux,Montana</t>
  </si>
  <si>
    <t>Clarke,Onyx</t>
  </si>
  <si>
    <t>Roberts Jelicia</t>
  </si>
  <si>
    <t>Operations Associate</t>
  </si>
  <si>
    <t>New role (Ops associate)</t>
  </si>
  <si>
    <t>Campbell,Makayla</t>
  </si>
  <si>
    <t>Roberts, Shanell Ornella</t>
  </si>
  <si>
    <t>Feyrer,Mina</t>
  </si>
  <si>
    <t>Yearwood,Nadia Lisa</t>
  </si>
  <si>
    <t>Chase,Christopher</t>
  </si>
  <si>
    <t>Munjal,Manisha</t>
  </si>
  <si>
    <t>Kato,Jamilla</t>
  </si>
  <si>
    <t>Joseph,Chanell</t>
  </si>
  <si>
    <t>Brown Isalah</t>
  </si>
  <si>
    <t>Thomas,Selamawit</t>
  </si>
  <si>
    <t>Payen,Claire</t>
  </si>
  <si>
    <t>Kaufman Natalie</t>
  </si>
  <si>
    <t>Samuels,Sherifa</t>
  </si>
  <si>
    <t>SPED Teacher</t>
  </si>
  <si>
    <t>Rainone,Krystan</t>
  </si>
  <si>
    <t>Tompkins,Collette</t>
  </si>
  <si>
    <t>Elective Teacher</t>
  </si>
  <si>
    <t>Sterling,Yero</t>
  </si>
  <si>
    <t>Burrell Jr.,Johnny</t>
  </si>
  <si>
    <t>Davis,Amira</t>
  </si>
  <si>
    <t>Simon,Kiara Janette</t>
  </si>
  <si>
    <t>Teaching Fellow</t>
  </si>
  <si>
    <t>Zaman,Prianka</t>
  </si>
  <si>
    <t>Placeholder - Zaman isn't returning</t>
  </si>
  <si>
    <t>Peters,Zoya</t>
  </si>
  <si>
    <t>Thompson,Shantel</t>
  </si>
  <si>
    <t>Social Worker</t>
  </si>
  <si>
    <t>Kianna Odom</t>
  </si>
  <si>
    <t>New Role</t>
  </si>
  <si>
    <t>Mary Bleboudou</t>
  </si>
  <si>
    <t>Patricia Bell</t>
  </si>
  <si>
    <t>Jontra Dotson</t>
  </si>
  <si>
    <t>New</t>
  </si>
  <si>
    <t>Yanique Lewis</t>
  </si>
  <si>
    <t>Alessandro Lopes</t>
  </si>
  <si>
    <t>Zhiyon Mitchell</t>
  </si>
  <si>
    <t xml:space="preserve">Wanda Daughtry </t>
  </si>
  <si>
    <t>Bus Matron</t>
  </si>
  <si>
    <t>Vacant</t>
  </si>
  <si>
    <t>SPED Coordinator</t>
  </si>
  <si>
    <t>Check</t>
  </si>
  <si>
    <t>Employer Payroll Taxes Worksheet - FY 2023-24</t>
  </si>
  <si>
    <t>FY 2023-24 Budget 
Salary</t>
  </si>
  <si>
    <t>SS</t>
  </si>
  <si>
    <t>Medicare</t>
  </si>
  <si>
    <t>Zaman isn't returning - placeholder</t>
  </si>
  <si>
    <t>Benefits Worksheet - FY 2023-24</t>
  </si>
  <si>
    <t>FY 2021-22 Medical, Dental and Vision Cost</t>
  </si>
  <si>
    <t>FY 2023-24 Medical Cost (estimated)</t>
  </si>
  <si>
    <t>FY 2023-24 Dental Cost (estimated)</t>
  </si>
  <si>
    <t>FY 2023-24 Vision Cost (estimated)</t>
  </si>
  <si>
    <t>STD, LTD, AD&amp;D and Others</t>
  </si>
  <si>
    <t>Coverage Name</t>
  </si>
  <si>
    <t>Coverage Type</t>
  </si>
  <si>
    <t>Waiver Allowance</t>
  </si>
  <si>
    <t>Employer Cost</t>
  </si>
  <si>
    <t>Premium</t>
  </si>
  <si>
    <t>EE Contribution</t>
  </si>
  <si>
    <t>OA EPO</t>
  </si>
  <si>
    <t>Dental PPO</t>
  </si>
  <si>
    <t>Aetna Vision Preferred</t>
  </si>
  <si>
    <t>Current Participant</t>
  </si>
  <si>
    <t>Empire PPO 2000 BC</t>
  </si>
  <si>
    <t>Employee Only</t>
  </si>
  <si>
    <t>Not returning</t>
  </si>
  <si>
    <t>DMO</t>
  </si>
  <si>
    <t>inactive</t>
  </si>
  <si>
    <t>Coverage Waived</t>
  </si>
  <si>
    <t>Empire EPO HSA 3000 BA</t>
  </si>
  <si>
    <t>Terminated - Feb 2023</t>
  </si>
  <si>
    <t>Empire PPO Simplicity BC</t>
  </si>
  <si>
    <t>Empire EPO 4500 BA</t>
  </si>
  <si>
    <t>Employee + Children</t>
  </si>
  <si>
    <t>Empire EPO 3000 BA</t>
  </si>
  <si>
    <t>Aenta Vision Preferred</t>
  </si>
  <si>
    <t>Not Returning</t>
  </si>
  <si>
    <t>Empire EPO Simplicity BA</t>
  </si>
  <si>
    <t>Anticipated</t>
  </si>
  <si>
    <t xml:space="preserve">Regular Teacher </t>
  </si>
  <si>
    <t>Ivy Hill Charter School</t>
  </si>
  <si>
    <t>Capital Budget</t>
  </si>
  <si>
    <t>Fiscal Year 2023-24</t>
  </si>
  <si>
    <t xml:space="preserve">Current </t>
  </si>
  <si>
    <t>FY23-24</t>
  </si>
  <si>
    <t>New Account Group</t>
  </si>
  <si>
    <t>Sub-Category</t>
  </si>
  <si>
    <t>Balance</t>
  </si>
  <si>
    <t>Details</t>
  </si>
  <si>
    <t>Vendors for capital acquisitions</t>
  </si>
  <si>
    <t>1500 Office Equipment, Furniture &amp; Fixtures:</t>
  </si>
  <si>
    <t>1501 Office Equipment</t>
  </si>
  <si>
    <t>1502 Office Furniture &amp; Fixtures</t>
  </si>
  <si>
    <t>1520 Classroom Equipment, Furniture &amp; Fixtures:</t>
  </si>
  <si>
    <t>1521 Classroom Equipment</t>
  </si>
  <si>
    <t>1522 Classroom Furniture &amp; Fixtures</t>
  </si>
  <si>
    <t>1540 Technology (IT):</t>
  </si>
  <si>
    <t>1541 Student Computers</t>
  </si>
  <si>
    <t>1542 Staff Computers</t>
  </si>
  <si>
    <t>1543 Printers</t>
  </si>
  <si>
    <t>1544 Audio Visual - Classrooms</t>
  </si>
  <si>
    <t>1545 Audio Visual - Cafeteria</t>
  </si>
  <si>
    <t>1546 Software - Instructional</t>
  </si>
  <si>
    <t>1547 Software - Non-Instructional</t>
  </si>
  <si>
    <t>1548 Network Construction</t>
  </si>
  <si>
    <t>1549 Security</t>
  </si>
  <si>
    <t>New Main entrance doors, camera system buildout and key card access</t>
  </si>
  <si>
    <t>1550 Website Development</t>
  </si>
  <si>
    <t>1551 Student Information System</t>
  </si>
  <si>
    <t>1552 Whiteboards</t>
  </si>
  <si>
    <t>1560 Leasehold Improvements:</t>
  </si>
  <si>
    <t>1561 Construction</t>
  </si>
  <si>
    <t>1562 Major Repairs</t>
  </si>
  <si>
    <t>Deferred Rent Schedule</t>
  </si>
  <si>
    <t>Base Rent</t>
  </si>
  <si>
    <t>Nurse Office</t>
  </si>
  <si>
    <t>Additional Rent</t>
  </si>
  <si>
    <t>Total Rent</t>
  </si>
  <si>
    <t>Deferred Rent</t>
  </si>
  <si>
    <t>2019 - FY20</t>
  </si>
  <si>
    <t>2020 - FY21</t>
  </si>
  <si>
    <t>2021 - FY22</t>
  </si>
  <si>
    <t>2022 - FY23</t>
  </si>
  <si>
    <t>2023 - FY24</t>
  </si>
  <si>
    <t>2024 - FY25</t>
  </si>
  <si>
    <t>2025 - FY26</t>
  </si>
  <si>
    <t>2026 - FY27</t>
  </si>
  <si>
    <t>2027 - FY28</t>
  </si>
  <si>
    <t>2028 - FY29</t>
  </si>
  <si>
    <t>2029 - FY30</t>
  </si>
  <si>
    <t>2030 - FY31</t>
  </si>
  <si>
    <t>2031 - FY32</t>
  </si>
  <si>
    <t>2032 - FY33</t>
  </si>
  <si>
    <t>2033 - FY34</t>
  </si>
  <si>
    <t>Total</t>
  </si>
  <si>
    <t>Straight Line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</si>
</sst>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000000_);[Red]\(#,##0.000000000\)"/>
    <numFmt numFmtId="168" formatCode="&quot;$&quot;* #,##0\ _€"/>
    <numFmt numFmtId="169" formatCode="#,##0.00\ _€"/>
    <numFmt numFmtId="170" formatCode="&quot;$&quot;* #,##0.00\ _€"/>
    <numFmt numFmtId="171" formatCode="#,##0\ _€"/>
    <numFmt numFmtId="172" formatCode="0.0%"/>
  </numFmts>
  <fonts count="54">
    <font>
      <sz val="11"/>
      <color rgb="FF000000"/>
      <name val="Calibri"/>
      <scheme val="minor"/>
    </font>
    <font>
      <b/>
      <sz val="10"/>
      <color theme="1"/>
      <name val="Arial Narrow"/>
    </font>
    <font>
      <b/>
      <sz val="30"/>
      <color theme="1"/>
      <name val="Arial Narrow"/>
    </font>
    <font>
      <sz val="11"/>
      <color theme="1"/>
      <name val="Arial Narrow"/>
    </font>
    <font>
      <b/>
      <sz val="18"/>
      <color theme="1"/>
      <name val="Arial Narrow"/>
    </font>
    <font>
      <sz val="11"/>
      <color rgb="FF000000"/>
      <name val="Arial Narrow"/>
    </font>
    <font>
      <b/>
      <i/>
      <sz val="13"/>
      <color rgb="FFFF0000"/>
      <name val="Arial Narrow"/>
    </font>
    <font>
      <b/>
      <i/>
      <sz val="13"/>
      <color theme="1"/>
      <name val="Arial Narrow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b/>
      <sz val="11"/>
      <color theme="1"/>
      <name val="Arial Narrow"/>
    </font>
    <font>
      <b/>
      <sz val="11"/>
      <color rgb="FF000000"/>
      <name val="Arial Narrow"/>
    </font>
    <font>
      <b/>
      <sz val="11"/>
      <color theme="0"/>
      <name val="Arial Narrow"/>
    </font>
    <font>
      <b/>
      <sz val="11"/>
      <color rgb="FFFFFFFF"/>
      <name val="Arial Narrow"/>
    </font>
    <font>
      <b/>
      <sz val="11"/>
      <color theme="1"/>
      <name val="Calibri"/>
    </font>
    <font>
      <u/>
      <sz val="11"/>
      <color rgb="FF0000FF"/>
      <name val="Arial Narrow"/>
    </font>
    <font>
      <sz val="11"/>
      <color theme="0"/>
      <name val="Arial Narrow"/>
    </font>
    <font>
      <sz val="11"/>
      <color rgb="FFFFFFFF"/>
      <name val="Arial Narrow"/>
    </font>
    <font>
      <sz val="10"/>
      <color rgb="FF000000"/>
      <name val="Arial Narrow"/>
    </font>
    <font>
      <b/>
      <i/>
      <sz val="11"/>
      <color theme="0"/>
      <name val="Arial Narrow"/>
    </font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</font>
    <font>
      <u/>
      <sz val="11"/>
      <color rgb="FF0000FF"/>
      <name val="Calibri"/>
    </font>
    <font>
      <b/>
      <sz val="14"/>
      <color rgb="FF000000"/>
      <name val="Arial"/>
    </font>
    <font>
      <b/>
      <sz val="10"/>
      <color rgb="FF000000"/>
      <name val="Arial"/>
    </font>
    <font>
      <b/>
      <u/>
      <sz val="9"/>
      <color rgb="FF000000"/>
      <name val="Arial"/>
    </font>
    <font>
      <b/>
      <u/>
      <sz val="11"/>
      <color rgb="FF000000"/>
      <name val="Calibri"/>
    </font>
    <font>
      <b/>
      <sz val="8"/>
      <color rgb="FF000000"/>
      <name val="Arial"/>
    </font>
    <font>
      <sz val="8"/>
      <color rgb="FF000000"/>
      <name val="Arial"/>
    </font>
    <font>
      <sz val="15"/>
      <color theme="1"/>
      <name val="Arial Narrow"/>
    </font>
    <font>
      <b/>
      <u/>
      <sz val="11"/>
      <color theme="1"/>
      <name val="Arial Narrow"/>
    </font>
    <font>
      <b/>
      <u/>
      <sz val="11"/>
      <color theme="1"/>
      <name val="Arial Narrow"/>
    </font>
    <font>
      <b/>
      <u/>
      <sz val="11"/>
      <color theme="1"/>
      <name val="Arial Narrow"/>
    </font>
    <font>
      <b/>
      <u/>
      <sz val="11"/>
      <color theme="1"/>
      <name val="Arial Narrow"/>
    </font>
    <font>
      <b/>
      <u/>
      <sz val="11"/>
      <color rgb="FF000000"/>
      <name val="Arial Narrow"/>
    </font>
    <font>
      <strike/>
      <sz val="11"/>
      <color theme="1"/>
      <name val="Arial Narrow"/>
    </font>
    <font>
      <strike/>
      <sz val="11"/>
      <color rgb="FF000000"/>
      <name val="Arial Narrow"/>
    </font>
    <font>
      <b/>
      <u/>
      <sz val="11"/>
      <color theme="1"/>
      <name val="Arial Narrow"/>
    </font>
    <font>
      <b/>
      <u/>
      <sz val="11"/>
      <color rgb="FF000000"/>
      <name val="Arial Narrow"/>
    </font>
    <font>
      <b/>
      <u/>
      <sz val="11"/>
      <color theme="1"/>
      <name val="Arial Narrow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b/>
      <u/>
      <sz val="11"/>
      <color theme="1"/>
      <name val="Arial Narrow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b/>
      <u/>
      <sz val="11"/>
      <color theme="1"/>
      <name val="Arial Narrow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sz val="16"/>
      <color rgb="FF000000"/>
      <name val="Arial Narrow"/>
    </font>
    <font>
      <sz val="14"/>
      <color rgb="FF000000"/>
      <name val="Arial Narrow"/>
    </font>
  </fonts>
  <fills count="33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theme="1"/>
        <bgColor theme="1"/>
      </patternFill>
    </fill>
    <fill>
      <patternFill patternType="solid">
        <fgColor rgb="FFD0CECE"/>
        <bgColor rgb="FFD0CECE"/>
      </patternFill>
    </fill>
    <fill>
      <patternFill patternType="solid">
        <fgColor theme="7"/>
        <bgColor theme="7"/>
      </patternFill>
    </fill>
    <fill>
      <patternFill patternType="solid">
        <fgColor rgb="FF6D9EEB"/>
        <bgColor rgb="FF6D9EEB"/>
      </patternFill>
    </fill>
    <fill>
      <patternFill patternType="solid">
        <fgColor rgb="FFFFC000"/>
        <bgColor rgb="FFFFC000"/>
      </patternFill>
    </fill>
    <fill>
      <patternFill patternType="solid">
        <fgColor rgb="FF1F3864"/>
        <bgColor rgb="FF1F3864"/>
      </patternFill>
    </fill>
    <fill>
      <patternFill patternType="solid">
        <fgColor rgb="FFFF0000"/>
        <bgColor rgb="FFFF0000"/>
      </patternFill>
    </fill>
    <fill>
      <patternFill patternType="solid">
        <fgColor rgb="FF385623"/>
        <bgColor rgb="FF385623"/>
      </patternFill>
    </fill>
    <fill>
      <patternFill patternType="solid">
        <fgColor rgb="FF7F7F7F"/>
        <bgColor rgb="FF7F7F7F"/>
      </patternFill>
    </fill>
    <fill>
      <patternFill patternType="solid">
        <fgColor rgb="FF548135"/>
        <bgColor rgb="FF548135"/>
      </patternFill>
    </fill>
    <fill>
      <patternFill patternType="solid">
        <fgColor rgb="FF00FF00"/>
        <bgColor rgb="FF00FF00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  <fill>
      <patternFill patternType="solid">
        <fgColor rgb="FF93C47D"/>
        <bgColor rgb="FF93C47D"/>
      </patternFill>
    </fill>
    <fill>
      <patternFill patternType="solid">
        <fgColor rgb="FF073763"/>
        <bgColor rgb="FF073763"/>
      </patternFill>
    </fill>
    <fill>
      <patternFill patternType="solid">
        <fgColor rgb="FFFFD966"/>
        <bgColor rgb="FFFFD966"/>
      </patternFill>
    </fill>
    <fill>
      <patternFill patternType="solid">
        <fgColor rgb="FF2E75B5"/>
        <bgColor rgb="FF2E75B5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rgb="FFFEF2CB"/>
        <bgColor rgb="FFFEF2CB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E2EFD9"/>
        <bgColor rgb="FFE2EFD9"/>
      </patternFill>
    </fill>
    <fill>
      <patternFill patternType="solid">
        <fgColor rgb="FFFF9900"/>
        <bgColor rgb="FFFF9900"/>
      </patternFill>
    </fill>
    <fill>
      <patternFill patternType="solid">
        <fgColor rgb="FFDEEAF6"/>
        <bgColor rgb="FFDEEAF6"/>
      </patternFill>
    </fill>
    <fill>
      <patternFill patternType="solid">
        <fgColor rgb="FFD9E2F3"/>
        <bgColor rgb="FFD9E2F3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top"/>
    </xf>
    <xf numFmtId="0" fontId="3" fillId="0" borderId="0" xfId="0" applyFont="1"/>
    <xf numFmtId="14" fontId="4" fillId="0" borderId="0" xfId="0" applyNumberFormat="1" applyFont="1" applyAlignment="1">
      <alignment horizontal="center" vertical="top"/>
    </xf>
    <xf numFmtId="0" fontId="5" fillId="0" borderId="0" xfId="0" applyFont="1"/>
    <xf numFmtId="164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1" fillId="0" borderId="0" xfId="0" applyFont="1" applyAlignment="1">
      <alignment vertical="center" wrapText="1"/>
    </xf>
    <xf numFmtId="0" fontId="12" fillId="5" borderId="1" xfId="0" applyFont="1" applyFill="1" applyBorder="1" applyAlignment="1">
      <alignment horizontal="center" wrapText="1"/>
    </xf>
    <xf numFmtId="0" fontId="12" fillId="6" borderId="2" xfId="0" applyFont="1" applyFill="1" applyBorder="1" applyAlignment="1">
      <alignment horizontal="center" wrapText="1"/>
    </xf>
    <xf numFmtId="0" fontId="12" fillId="6" borderId="3" xfId="0" applyFont="1" applyFill="1" applyBorder="1" applyAlignment="1">
      <alignment horizontal="center" wrapText="1"/>
    </xf>
    <xf numFmtId="0" fontId="5" fillId="6" borderId="4" xfId="0" applyFont="1" applyFill="1" applyBorder="1"/>
    <xf numFmtId="0" fontId="11" fillId="7" borderId="5" xfId="0" applyFont="1" applyFill="1" applyBorder="1" applyAlignment="1">
      <alignment horizontal="center" wrapText="1"/>
    </xf>
    <xf numFmtId="0" fontId="5" fillId="6" borderId="2" xfId="0" applyFont="1" applyFill="1" applyBorder="1"/>
    <xf numFmtId="0" fontId="12" fillId="8" borderId="5" xfId="0" applyFont="1" applyFill="1" applyBorder="1" applyAlignment="1">
      <alignment horizontal="center" wrapText="1"/>
    </xf>
    <xf numFmtId="0" fontId="13" fillId="9" borderId="5" xfId="0" applyFont="1" applyFill="1" applyBorder="1" applyAlignment="1">
      <alignment horizontal="center" wrapText="1"/>
    </xf>
    <xf numFmtId="0" fontId="12" fillId="10" borderId="5" xfId="0" applyFont="1" applyFill="1" applyBorder="1" applyAlignment="1">
      <alignment horizontal="center"/>
    </xf>
    <xf numFmtId="41" fontId="11" fillId="5" borderId="6" xfId="0" applyNumberFormat="1" applyFont="1" applyFill="1" applyBorder="1" applyAlignment="1">
      <alignment horizontal="center" vertical="center" wrapText="1"/>
    </xf>
    <xf numFmtId="41" fontId="11" fillId="6" borderId="4" xfId="0" applyNumberFormat="1" applyFont="1" applyFill="1" applyBorder="1" applyAlignment="1">
      <alignment horizontal="center" vertical="center" wrapText="1"/>
    </xf>
    <xf numFmtId="41" fontId="11" fillId="6" borderId="7" xfId="0" applyNumberFormat="1" applyFont="1" applyFill="1" applyBorder="1" applyAlignment="1">
      <alignment horizontal="center" vertical="center" wrapText="1"/>
    </xf>
    <xf numFmtId="41" fontId="11" fillId="7" borderId="8" xfId="0" applyNumberFormat="1" applyFont="1" applyFill="1" applyBorder="1" applyAlignment="1">
      <alignment horizontal="center" vertical="center" wrapText="1"/>
    </xf>
    <xf numFmtId="41" fontId="13" fillId="11" borderId="8" xfId="0" applyNumberFormat="1" applyFont="1" applyFill="1" applyBorder="1" applyAlignment="1">
      <alignment horizontal="center" vertical="center" wrapText="1"/>
    </xf>
    <xf numFmtId="41" fontId="13" fillId="9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/>
    <xf numFmtId="41" fontId="11" fillId="0" borderId="0" xfId="0" applyNumberFormat="1" applyFont="1" applyAlignment="1">
      <alignment horizontal="right" vertical="center" wrapText="1"/>
    </xf>
    <xf numFmtId="165" fontId="11" fillId="5" borderId="1" xfId="0" applyNumberFormat="1" applyFont="1" applyFill="1" applyBorder="1" applyAlignment="1">
      <alignment horizontal="right" vertical="center" wrapText="1"/>
    </xf>
    <xf numFmtId="165" fontId="11" fillId="6" borderId="4" xfId="0" applyNumberFormat="1" applyFont="1" applyFill="1" applyBorder="1" applyAlignment="1">
      <alignment horizontal="right" vertical="center" wrapText="1"/>
    </xf>
    <xf numFmtId="165" fontId="11" fillId="6" borderId="3" xfId="0" applyNumberFormat="1" applyFont="1" applyFill="1" applyBorder="1" applyAlignment="1">
      <alignment horizontal="right" vertical="center" wrapText="1"/>
    </xf>
    <xf numFmtId="165" fontId="11" fillId="5" borderId="5" xfId="0" applyNumberFormat="1" applyFont="1" applyFill="1" applyBorder="1" applyAlignment="1">
      <alignment horizontal="center" vertical="center" wrapText="1"/>
    </xf>
    <xf numFmtId="165" fontId="11" fillId="7" borderId="5" xfId="0" applyNumberFormat="1" applyFont="1" applyFill="1" applyBorder="1" applyAlignment="1">
      <alignment horizontal="center" vertical="center" wrapText="1"/>
    </xf>
    <xf numFmtId="165" fontId="13" fillId="11" borderId="5" xfId="0" applyNumberFormat="1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wrapText="1"/>
    </xf>
    <xf numFmtId="165" fontId="14" fillId="11" borderId="5" xfId="0" applyNumberFormat="1" applyFont="1" applyFill="1" applyBorder="1" applyAlignment="1">
      <alignment horizontal="center" vertical="center" wrapText="1"/>
    </xf>
    <xf numFmtId="165" fontId="14" fillId="9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165" fontId="15" fillId="5" borderId="5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wrapText="1"/>
    </xf>
    <xf numFmtId="165" fontId="5" fillId="0" borderId="0" xfId="0" applyNumberFormat="1" applyFont="1"/>
    <xf numFmtId="0" fontId="5" fillId="0" borderId="9" xfId="0" applyFont="1" applyBorder="1" applyAlignment="1">
      <alignment wrapText="1"/>
    </xf>
    <xf numFmtId="9" fontId="5" fillId="0" borderId="0" xfId="0" applyNumberFormat="1" applyFont="1"/>
    <xf numFmtId="9" fontId="11" fillId="5" borderId="1" xfId="0" applyNumberFormat="1" applyFont="1" applyFill="1" applyBorder="1" applyAlignment="1">
      <alignment horizontal="right" vertical="center" wrapText="1"/>
    </xf>
    <xf numFmtId="9" fontId="11" fillId="6" borderId="4" xfId="0" applyNumberFormat="1" applyFont="1" applyFill="1" applyBorder="1" applyAlignment="1">
      <alignment horizontal="right" vertical="center" wrapText="1"/>
    </xf>
    <xf numFmtId="9" fontId="11" fillId="6" borderId="3" xfId="0" applyNumberFormat="1" applyFont="1" applyFill="1" applyBorder="1" applyAlignment="1">
      <alignment horizontal="right" vertical="center" wrapText="1"/>
    </xf>
    <xf numFmtId="9" fontId="11" fillId="5" borderId="5" xfId="0" applyNumberFormat="1" applyFont="1" applyFill="1" applyBorder="1" applyAlignment="1">
      <alignment horizontal="center" vertical="center" wrapText="1"/>
    </xf>
    <xf numFmtId="9" fontId="11" fillId="7" borderId="5" xfId="0" applyNumberFormat="1" applyFont="1" applyFill="1" applyBorder="1" applyAlignment="1">
      <alignment horizontal="center" vertical="center" wrapText="1"/>
    </xf>
    <xf numFmtId="9" fontId="13" fillId="11" borderId="5" xfId="0" applyNumberFormat="1" applyFont="1" applyFill="1" applyBorder="1" applyAlignment="1">
      <alignment horizontal="center" vertical="center" wrapText="1"/>
    </xf>
    <xf numFmtId="9" fontId="13" fillId="9" borderId="5" xfId="0" applyNumberFormat="1" applyFont="1" applyFill="1" applyBorder="1" applyAlignment="1">
      <alignment horizontal="center" vertical="center" wrapText="1"/>
    </xf>
    <xf numFmtId="165" fontId="11" fillId="5" borderId="5" xfId="0" applyNumberFormat="1" applyFont="1" applyFill="1" applyBorder="1" applyAlignment="1">
      <alignment vertical="center" wrapText="1"/>
    </xf>
    <xf numFmtId="165" fontId="11" fillId="7" borderId="5" xfId="0" applyNumberFormat="1" applyFont="1" applyFill="1" applyBorder="1" applyAlignment="1">
      <alignment vertical="center" wrapText="1"/>
    </xf>
    <xf numFmtId="165" fontId="14" fillId="13" borderId="5" xfId="0" applyNumberFormat="1" applyFont="1" applyFill="1" applyBorder="1" applyAlignment="1">
      <alignment vertical="center" wrapText="1"/>
    </xf>
    <xf numFmtId="165" fontId="14" fillId="9" borderId="5" xfId="0" applyNumberFormat="1" applyFont="1" applyFill="1" applyBorder="1" applyAlignment="1">
      <alignment vertical="center" wrapText="1"/>
    </xf>
    <xf numFmtId="0" fontId="16" fillId="0" borderId="9" xfId="0" applyFont="1" applyBorder="1"/>
    <xf numFmtId="165" fontId="13" fillId="11" borderId="5" xfId="0" applyNumberFormat="1" applyFont="1" applyFill="1" applyBorder="1" applyAlignment="1">
      <alignment vertical="center" wrapText="1"/>
    </xf>
    <xf numFmtId="165" fontId="13" fillId="9" borderId="5" xfId="0" applyNumberFormat="1" applyFont="1" applyFill="1" applyBorder="1" applyAlignment="1">
      <alignment vertical="center" wrapText="1"/>
    </xf>
    <xf numFmtId="0" fontId="13" fillId="14" borderId="8" xfId="0" applyFont="1" applyFill="1" applyBorder="1" applyAlignment="1">
      <alignment horizontal="center" vertical="center" wrapText="1"/>
    </xf>
    <xf numFmtId="166" fontId="13" fillId="14" borderId="1" xfId="0" applyNumberFormat="1" applyFont="1" applyFill="1" applyBorder="1"/>
    <xf numFmtId="166" fontId="13" fillId="6" borderId="4" xfId="0" applyNumberFormat="1" applyFont="1" applyFill="1" applyBorder="1"/>
    <xf numFmtId="166" fontId="13" fillId="6" borderId="3" xfId="0" applyNumberFormat="1" applyFont="1" applyFill="1" applyBorder="1"/>
    <xf numFmtId="166" fontId="13" fillId="14" borderId="5" xfId="0" applyNumberFormat="1" applyFont="1" applyFill="1" applyBorder="1"/>
    <xf numFmtId="166" fontId="17" fillId="6" borderId="4" xfId="0" applyNumberFormat="1" applyFont="1" applyFill="1" applyBorder="1"/>
    <xf numFmtId="0" fontId="13" fillId="14" borderId="11" xfId="0" applyFont="1" applyFill="1" applyBorder="1" applyAlignment="1">
      <alignment horizontal="center" vertical="center" wrapText="1"/>
    </xf>
    <xf numFmtId="41" fontId="13" fillId="14" borderId="12" xfId="0" applyNumberFormat="1" applyFont="1" applyFill="1" applyBorder="1"/>
    <xf numFmtId="41" fontId="13" fillId="6" borderId="4" xfId="0" applyNumberFormat="1" applyFont="1" applyFill="1" applyBorder="1"/>
    <xf numFmtId="41" fontId="13" fillId="6" borderId="2" xfId="0" applyNumberFormat="1" applyFont="1" applyFill="1" applyBorder="1"/>
    <xf numFmtId="165" fontId="13" fillId="14" borderId="11" xfId="0" applyNumberFormat="1" applyFont="1" applyFill="1" applyBorder="1"/>
    <xf numFmtId="0" fontId="17" fillId="6" borderId="4" xfId="0" applyFont="1" applyFill="1" applyBorder="1"/>
    <xf numFmtId="0" fontId="13" fillId="14" borderId="5" xfId="0" applyFont="1" applyFill="1" applyBorder="1" applyAlignment="1">
      <alignment horizontal="center" vertical="center" wrapText="1"/>
    </xf>
    <xf numFmtId="166" fontId="13" fillId="14" borderId="13" xfId="0" applyNumberFormat="1" applyFont="1" applyFill="1" applyBorder="1"/>
    <xf numFmtId="166" fontId="13" fillId="14" borderId="14" xfId="0" applyNumberFormat="1" applyFont="1" applyFill="1" applyBorder="1"/>
    <xf numFmtId="167" fontId="5" fillId="0" borderId="9" xfId="0" applyNumberFormat="1" applyFont="1" applyBorder="1"/>
    <xf numFmtId="0" fontId="13" fillId="15" borderId="15" xfId="0" applyFont="1" applyFill="1" applyBorder="1" applyAlignment="1">
      <alignment horizontal="center" vertical="center" wrapText="1"/>
    </xf>
    <xf numFmtId="41" fontId="13" fillId="15" borderId="16" xfId="0" applyNumberFormat="1" applyFont="1" applyFill="1" applyBorder="1"/>
    <xf numFmtId="165" fontId="13" fillId="15" borderId="15" xfId="0" applyNumberFormat="1" applyFont="1" applyFill="1" applyBorder="1"/>
    <xf numFmtId="0" fontId="12" fillId="0" borderId="5" xfId="0" applyFont="1" applyBorder="1" applyAlignment="1">
      <alignment horizontal="left" wrapText="1"/>
    </xf>
    <xf numFmtId="165" fontId="13" fillId="5" borderId="1" xfId="0" applyNumberFormat="1" applyFont="1" applyFill="1" applyBorder="1"/>
    <xf numFmtId="165" fontId="13" fillId="6" borderId="4" xfId="0" applyNumberFormat="1" applyFont="1" applyFill="1" applyBorder="1"/>
    <xf numFmtId="165" fontId="13" fillId="6" borderId="3" xfId="0" applyNumberFormat="1" applyFont="1" applyFill="1" applyBorder="1"/>
    <xf numFmtId="165" fontId="11" fillId="5" borderId="5" xfId="0" applyNumberFormat="1" applyFont="1" applyFill="1" applyBorder="1"/>
    <xf numFmtId="165" fontId="5" fillId="6" borderId="4" xfId="0" applyNumberFormat="1" applyFont="1" applyFill="1" applyBorder="1"/>
    <xf numFmtId="165" fontId="11" fillId="7" borderId="5" xfId="0" applyNumberFormat="1" applyFont="1" applyFill="1" applyBorder="1"/>
    <xf numFmtId="165" fontId="13" fillId="11" borderId="5" xfId="0" applyNumberFormat="1" applyFont="1" applyFill="1" applyBorder="1"/>
    <xf numFmtId="165" fontId="13" fillId="9" borderId="5" xfId="0" applyNumberFormat="1" applyFont="1" applyFill="1" applyBorder="1"/>
    <xf numFmtId="165" fontId="12" fillId="5" borderId="1" xfId="0" applyNumberFormat="1" applyFont="1" applyFill="1" applyBorder="1" applyAlignment="1">
      <alignment horizontal="left" wrapText="1"/>
    </xf>
    <xf numFmtId="165" fontId="12" fillId="6" borderId="4" xfId="0" applyNumberFormat="1" applyFont="1" applyFill="1" applyBorder="1" applyAlignment="1">
      <alignment horizontal="left" wrapText="1"/>
    </xf>
    <xf numFmtId="165" fontId="12" fillId="6" borderId="3" xfId="0" applyNumberFormat="1" applyFont="1" applyFill="1" applyBorder="1" applyAlignment="1">
      <alignment horizontal="left" wrapText="1"/>
    </xf>
    <xf numFmtId="165" fontId="3" fillId="5" borderId="5" xfId="0" applyNumberFormat="1" applyFont="1" applyFill="1" applyBorder="1" applyAlignment="1">
      <alignment wrapText="1"/>
    </xf>
    <xf numFmtId="165" fontId="3" fillId="7" borderId="5" xfId="0" applyNumberFormat="1" applyFont="1" applyFill="1" applyBorder="1" applyAlignment="1">
      <alignment wrapText="1"/>
    </xf>
    <xf numFmtId="165" fontId="17" fillId="11" borderId="5" xfId="0" applyNumberFormat="1" applyFont="1" applyFill="1" applyBorder="1" applyAlignment="1">
      <alignment wrapText="1"/>
    </xf>
    <xf numFmtId="165" fontId="17" fillId="9" borderId="5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horizontal="right" wrapText="1"/>
    </xf>
    <xf numFmtId="165" fontId="5" fillId="6" borderId="4" xfId="0" applyNumberFormat="1" applyFont="1" applyFill="1" applyBorder="1" applyAlignment="1">
      <alignment horizontal="right" wrapText="1"/>
    </xf>
    <xf numFmtId="165" fontId="5" fillId="6" borderId="3" xfId="0" applyNumberFormat="1" applyFont="1" applyFill="1" applyBorder="1" applyAlignment="1">
      <alignment horizontal="right" wrapText="1"/>
    </xf>
    <xf numFmtId="165" fontId="5" fillId="5" borderId="5" xfId="0" applyNumberFormat="1" applyFont="1" applyFill="1" applyBorder="1" applyAlignment="1">
      <alignment horizontal="right" wrapText="1"/>
    </xf>
    <xf numFmtId="165" fontId="3" fillId="7" borderId="5" xfId="0" applyNumberFormat="1" applyFont="1" applyFill="1" applyBorder="1" applyAlignment="1">
      <alignment horizontal="right" wrapText="1"/>
    </xf>
    <xf numFmtId="165" fontId="17" fillId="11" borderId="5" xfId="0" applyNumberFormat="1" applyFont="1" applyFill="1" applyBorder="1" applyAlignment="1">
      <alignment horizontal="right" wrapText="1"/>
    </xf>
    <xf numFmtId="165" fontId="17" fillId="9" borderId="5" xfId="0" applyNumberFormat="1" applyFont="1" applyFill="1" applyBorder="1" applyAlignment="1">
      <alignment horizontal="right" wrapText="1"/>
    </xf>
    <xf numFmtId="165" fontId="18" fillId="9" borderId="5" xfId="0" applyNumberFormat="1" applyFont="1" applyFill="1" applyBorder="1" applyAlignment="1">
      <alignment horizontal="right" wrapText="1"/>
    </xf>
    <xf numFmtId="0" fontId="19" fillId="0" borderId="9" xfId="0" applyFont="1" applyBorder="1" applyAlignment="1">
      <alignment wrapText="1"/>
    </xf>
    <xf numFmtId="0" fontId="17" fillId="0" borderId="0" xfId="0" applyFont="1"/>
    <xf numFmtId="0" fontId="13" fillId="14" borderId="5" xfId="0" applyFont="1" applyFill="1" applyBorder="1" applyAlignment="1">
      <alignment horizontal="left" wrapText="1"/>
    </xf>
    <xf numFmtId="168" fontId="13" fillId="14" borderId="1" xfId="0" applyNumberFormat="1" applyFont="1" applyFill="1" applyBorder="1" applyAlignment="1">
      <alignment horizontal="right" wrapText="1"/>
    </xf>
    <xf numFmtId="168" fontId="13" fillId="6" borderId="4" xfId="0" applyNumberFormat="1" applyFont="1" applyFill="1" applyBorder="1" applyAlignment="1">
      <alignment horizontal="right" wrapText="1"/>
    </xf>
    <xf numFmtId="168" fontId="13" fillId="6" borderId="1" xfId="0" applyNumberFormat="1" applyFont="1" applyFill="1" applyBorder="1" applyAlignment="1">
      <alignment horizontal="right" wrapText="1"/>
    </xf>
    <xf numFmtId="168" fontId="13" fillId="14" borderId="5" xfId="0" applyNumberFormat="1" applyFont="1" applyFill="1" applyBorder="1" applyAlignment="1">
      <alignment horizontal="right" wrapText="1"/>
    </xf>
    <xf numFmtId="0" fontId="17" fillId="0" borderId="9" xfId="0" applyFont="1" applyBorder="1"/>
    <xf numFmtId="165" fontId="5" fillId="5" borderId="1" xfId="0" applyNumberFormat="1" applyFont="1" applyFill="1" applyBorder="1" applyAlignment="1">
      <alignment wrapText="1"/>
    </xf>
    <xf numFmtId="165" fontId="5" fillId="6" borderId="4" xfId="0" applyNumberFormat="1" applyFont="1" applyFill="1" applyBorder="1" applyAlignment="1">
      <alignment wrapText="1"/>
    </xf>
    <xf numFmtId="165" fontId="5" fillId="6" borderId="3" xfId="0" applyNumberFormat="1" applyFont="1" applyFill="1" applyBorder="1" applyAlignment="1">
      <alignment wrapText="1"/>
    </xf>
    <xf numFmtId="165" fontId="5" fillId="5" borderId="5" xfId="0" applyNumberFormat="1" applyFont="1" applyFill="1" applyBorder="1" applyAlignment="1">
      <alignment wrapText="1"/>
    </xf>
    <xf numFmtId="165" fontId="18" fillId="11" borderId="5" xfId="0" applyNumberFormat="1" applyFont="1" applyFill="1" applyBorder="1" applyAlignment="1">
      <alignment wrapText="1"/>
    </xf>
    <xf numFmtId="165" fontId="18" fillId="9" borderId="5" xfId="0" applyNumberFormat="1" applyFont="1" applyFill="1" applyBorder="1" applyAlignment="1">
      <alignment wrapText="1"/>
    </xf>
    <xf numFmtId="0" fontId="19" fillId="16" borderId="9" xfId="0" applyFont="1" applyFill="1" applyBorder="1" applyAlignment="1">
      <alignment wrapText="1"/>
    </xf>
    <xf numFmtId="165" fontId="5" fillId="0" borderId="9" xfId="0" applyNumberFormat="1" applyFont="1" applyBorder="1"/>
    <xf numFmtId="165" fontId="18" fillId="11" borderId="5" xfId="0" applyNumberFormat="1" applyFont="1" applyFill="1" applyBorder="1" applyAlignment="1">
      <alignment horizontal="right" wrapText="1"/>
    </xf>
    <xf numFmtId="168" fontId="13" fillId="6" borderId="3" xfId="0" applyNumberFormat="1" applyFont="1" applyFill="1" applyBorder="1" applyAlignment="1">
      <alignment horizontal="right" wrapText="1"/>
    </xf>
    <xf numFmtId="168" fontId="12" fillId="5" borderId="1" xfId="0" applyNumberFormat="1" applyFont="1" applyFill="1" applyBorder="1" applyAlignment="1">
      <alignment horizontal="right" wrapText="1"/>
    </xf>
    <xf numFmtId="168" fontId="12" fillId="6" borderId="4" xfId="0" applyNumberFormat="1" applyFont="1" applyFill="1" applyBorder="1" applyAlignment="1">
      <alignment horizontal="right" wrapText="1"/>
    </xf>
    <xf numFmtId="168" fontId="12" fillId="6" borderId="1" xfId="0" applyNumberFormat="1" applyFont="1" applyFill="1" applyBorder="1" applyAlignment="1">
      <alignment horizontal="right" wrapText="1"/>
    </xf>
    <xf numFmtId="168" fontId="12" fillId="5" borderId="5" xfId="0" applyNumberFormat="1" applyFont="1" applyFill="1" applyBorder="1" applyAlignment="1">
      <alignment horizontal="right" wrapText="1"/>
    </xf>
    <xf numFmtId="168" fontId="11" fillId="7" borderId="5" xfId="0" applyNumberFormat="1" applyFont="1" applyFill="1" applyBorder="1" applyAlignment="1">
      <alignment horizontal="right" wrapText="1"/>
    </xf>
    <xf numFmtId="168" fontId="13" fillId="11" borderId="5" xfId="0" applyNumberFormat="1" applyFont="1" applyFill="1" applyBorder="1" applyAlignment="1">
      <alignment horizontal="right" wrapText="1"/>
    </xf>
    <xf numFmtId="168" fontId="13" fillId="9" borderId="5" xfId="0" applyNumberFormat="1" applyFont="1" applyFill="1" applyBorder="1" applyAlignment="1">
      <alignment horizontal="right" wrapText="1"/>
    </xf>
    <xf numFmtId="0" fontId="12" fillId="0" borderId="5" xfId="0" applyFont="1" applyBorder="1" applyAlignment="1">
      <alignment horizontal="left"/>
    </xf>
    <xf numFmtId="0" fontId="13" fillId="14" borderId="5" xfId="0" applyFont="1" applyFill="1" applyBorder="1" applyAlignment="1">
      <alignment horizontal="left"/>
    </xf>
    <xf numFmtId="0" fontId="11" fillId="0" borderId="5" xfId="0" applyFont="1" applyBorder="1" applyAlignment="1">
      <alignment horizontal="left"/>
    </xf>
    <xf numFmtId="165" fontId="3" fillId="5" borderId="1" xfId="0" applyNumberFormat="1" applyFont="1" applyFill="1" applyBorder="1" applyAlignment="1">
      <alignment horizontal="right" wrapText="1"/>
    </xf>
    <xf numFmtId="165" fontId="3" fillId="6" borderId="4" xfId="0" applyNumberFormat="1" applyFont="1" applyFill="1" applyBorder="1" applyAlignment="1">
      <alignment horizontal="right" wrapText="1"/>
    </xf>
    <xf numFmtId="165" fontId="3" fillId="6" borderId="3" xfId="0" applyNumberFormat="1" applyFont="1" applyFill="1" applyBorder="1" applyAlignment="1">
      <alignment horizontal="right" wrapText="1"/>
    </xf>
    <xf numFmtId="165" fontId="3" fillId="5" borderId="5" xfId="0" applyNumberFormat="1" applyFont="1" applyFill="1" applyBorder="1" applyAlignment="1">
      <alignment horizontal="right" wrapText="1"/>
    </xf>
    <xf numFmtId="165" fontId="3" fillId="6" borderId="4" xfId="0" applyNumberFormat="1" applyFont="1" applyFill="1" applyBorder="1"/>
    <xf numFmtId="0" fontId="3" fillId="6" borderId="4" xfId="0" applyFont="1" applyFill="1" applyBorder="1"/>
    <xf numFmtId="0" fontId="3" fillId="0" borderId="9" xfId="0" applyFont="1" applyBorder="1"/>
    <xf numFmtId="168" fontId="3" fillId="0" borderId="0" xfId="0" applyNumberFormat="1" applyFont="1"/>
    <xf numFmtId="168" fontId="5" fillId="0" borderId="9" xfId="0" applyNumberFormat="1" applyFont="1" applyBorder="1"/>
    <xf numFmtId="10" fontId="5" fillId="0" borderId="9" xfId="0" applyNumberFormat="1" applyFont="1" applyBorder="1" applyAlignment="1">
      <alignment wrapText="1"/>
    </xf>
    <xf numFmtId="0" fontId="5" fillId="16" borderId="9" xfId="0" applyFont="1" applyFill="1" applyBorder="1"/>
    <xf numFmtId="0" fontId="11" fillId="0" borderId="5" xfId="0" applyFont="1" applyBorder="1" applyAlignment="1">
      <alignment horizontal="left" wrapText="1"/>
    </xf>
    <xf numFmtId="0" fontId="5" fillId="17" borderId="9" xfId="0" applyFont="1" applyFill="1" applyBorder="1"/>
    <xf numFmtId="0" fontId="5" fillId="17" borderId="0" xfId="0" applyFont="1" applyFill="1"/>
    <xf numFmtId="0" fontId="12" fillId="18" borderId="5" xfId="0" applyFont="1" applyFill="1" applyBorder="1" applyAlignment="1">
      <alignment horizontal="left" wrapText="1"/>
    </xf>
    <xf numFmtId="165" fontId="5" fillId="6" borderId="17" xfId="0" applyNumberFormat="1" applyFont="1" applyFill="1" applyBorder="1" applyAlignment="1">
      <alignment wrapText="1"/>
    </xf>
    <xf numFmtId="165" fontId="5" fillId="19" borderId="5" xfId="0" applyNumberFormat="1" applyFont="1" applyFill="1" applyBorder="1" applyAlignment="1">
      <alignment wrapText="1"/>
    </xf>
    <xf numFmtId="165" fontId="5" fillId="3" borderId="18" xfId="0" applyNumberFormat="1" applyFont="1" applyFill="1" applyBorder="1" applyAlignment="1">
      <alignment wrapText="1"/>
    </xf>
    <xf numFmtId="165" fontId="5" fillId="3" borderId="5" xfId="0" applyNumberFormat="1" applyFont="1" applyFill="1" applyBorder="1" applyAlignment="1">
      <alignment wrapText="1"/>
    </xf>
    <xf numFmtId="165" fontId="5" fillId="3" borderId="17" xfId="0" applyNumberFormat="1" applyFont="1" applyFill="1" applyBorder="1"/>
    <xf numFmtId="165" fontId="18" fillId="20" borderId="5" xfId="0" applyNumberFormat="1" applyFont="1" applyFill="1" applyBorder="1" applyAlignment="1">
      <alignment wrapText="1"/>
    </xf>
    <xf numFmtId="0" fontId="5" fillId="21" borderId="4" xfId="0" applyFont="1" applyFill="1" applyBorder="1"/>
    <xf numFmtId="0" fontId="5" fillId="17" borderId="4" xfId="0" applyFont="1" applyFill="1" applyBorder="1"/>
    <xf numFmtId="165" fontId="17" fillId="22" borderId="5" xfId="0" applyNumberFormat="1" applyFont="1" applyFill="1" applyBorder="1" applyAlignment="1">
      <alignment wrapText="1"/>
    </xf>
    <xf numFmtId="165" fontId="5" fillId="5" borderId="4" xfId="0" applyNumberFormat="1" applyFont="1" applyFill="1" applyBorder="1" applyAlignment="1">
      <alignment wrapText="1"/>
    </xf>
    <xf numFmtId="165" fontId="5" fillId="5" borderId="3" xfId="0" applyNumberFormat="1" applyFont="1" applyFill="1" applyBorder="1" applyAlignment="1">
      <alignment wrapText="1"/>
    </xf>
    <xf numFmtId="165" fontId="5" fillId="3" borderId="4" xfId="0" applyNumberFormat="1" applyFont="1" applyFill="1" applyBorder="1"/>
    <xf numFmtId="165" fontId="18" fillId="22" borderId="5" xfId="0" applyNumberFormat="1" applyFont="1" applyFill="1" applyBorder="1" applyAlignment="1">
      <alignment wrapText="1"/>
    </xf>
    <xf numFmtId="0" fontId="5" fillId="2" borderId="4" xfId="0" applyFont="1" applyFill="1" applyBorder="1"/>
    <xf numFmtId="0" fontId="5" fillId="2" borderId="9" xfId="0" applyFont="1" applyFill="1" applyBorder="1"/>
    <xf numFmtId="0" fontId="5" fillId="2" borderId="0" xfId="0" applyFont="1" applyFill="1"/>
    <xf numFmtId="168" fontId="13" fillId="6" borderId="5" xfId="0" applyNumberFormat="1" applyFont="1" applyFill="1" applyBorder="1" applyAlignment="1">
      <alignment horizontal="right" wrapText="1"/>
    </xf>
    <xf numFmtId="0" fontId="12" fillId="0" borderId="5" xfId="0" applyFont="1" applyBorder="1" applyAlignment="1">
      <alignment horizontal="left" vertical="center" wrapText="1"/>
    </xf>
    <xf numFmtId="0" fontId="5" fillId="0" borderId="4" xfId="0" applyFont="1" applyBorder="1"/>
    <xf numFmtId="165" fontId="18" fillId="23" borderId="5" xfId="0" applyNumberFormat="1" applyFont="1" applyFill="1" applyBorder="1" applyAlignment="1">
      <alignment wrapText="1"/>
    </xf>
    <xf numFmtId="44" fontId="12" fillId="0" borderId="5" xfId="0" applyNumberFormat="1" applyFont="1" applyBorder="1" applyAlignment="1">
      <alignment horizontal="left" wrapText="1"/>
    </xf>
    <xf numFmtId="44" fontId="12" fillId="18" borderId="5" xfId="0" applyNumberFormat="1" applyFont="1" applyFill="1" applyBorder="1" applyAlignment="1">
      <alignment horizontal="left" wrapText="1"/>
    </xf>
    <xf numFmtId="0" fontId="20" fillId="24" borderId="5" xfId="0" applyFont="1" applyFill="1" applyBorder="1" applyAlignment="1">
      <alignment horizontal="left" wrapText="1"/>
    </xf>
    <xf numFmtId="6" fontId="13" fillId="24" borderId="1" xfId="0" applyNumberFormat="1" applyFont="1" applyFill="1" applyBorder="1" applyAlignment="1">
      <alignment horizontal="right" wrapText="1"/>
    </xf>
    <xf numFmtId="6" fontId="13" fillId="6" borderId="7" xfId="0" applyNumberFormat="1" applyFont="1" applyFill="1" applyBorder="1" applyAlignment="1">
      <alignment horizontal="right" wrapText="1"/>
    </xf>
    <xf numFmtId="6" fontId="13" fillId="6" borderId="1" xfId="0" applyNumberFormat="1" applyFont="1" applyFill="1" applyBorder="1" applyAlignment="1">
      <alignment horizontal="right" wrapText="1"/>
    </xf>
    <xf numFmtId="6" fontId="13" fillId="24" borderId="5" xfId="0" applyNumberFormat="1" applyFont="1" applyFill="1" applyBorder="1" applyAlignment="1">
      <alignment horizontal="right" wrapText="1"/>
    </xf>
    <xf numFmtId="0" fontId="5" fillId="6" borderId="7" xfId="0" applyFont="1" applyFill="1" applyBorder="1"/>
    <xf numFmtId="165" fontId="3" fillId="0" borderId="0" xfId="0" applyNumberFormat="1" applyFont="1"/>
    <xf numFmtId="165" fontId="17" fillId="0" borderId="0" xfId="0" applyNumberFormat="1" applyFont="1"/>
    <xf numFmtId="0" fontId="12" fillId="0" borderId="22" xfId="0" applyFont="1" applyBorder="1" applyAlignment="1">
      <alignment horizontal="left" wrapText="1"/>
    </xf>
    <xf numFmtId="165" fontId="5" fillId="5" borderId="6" xfId="0" applyNumberFormat="1" applyFont="1" applyFill="1" applyBorder="1"/>
    <xf numFmtId="165" fontId="5" fillId="6" borderId="7" xfId="0" applyNumberFormat="1" applyFont="1" applyFill="1" applyBorder="1"/>
    <xf numFmtId="165" fontId="3" fillId="5" borderId="8" xfId="0" applyNumberFormat="1" applyFont="1" applyFill="1" applyBorder="1"/>
    <xf numFmtId="165" fontId="3" fillId="7" borderId="8" xfId="0" applyNumberFormat="1" applyFont="1" applyFill="1" applyBorder="1"/>
    <xf numFmtId="165" fontId="17" fillId="11" borderId="10" xfId="0" applyNumberFormat="1" applyFont="1" applyFill="1" applyBorder="1"/>
    <xf numFmtId="0" fontId="5" fillId="6" borderId="23" xfId="0" applyFont="1" applyFill="1" applyBorder="1"/>
    <xf numFmtId="165" fontId="17" fillId="9" borderId="5" xfId="0" applyNumberFormat="1" applyFont="1" applyFill="1" applyBorder="1"/>
    <xf numFmtId="165" fontId="5" fillId="5" borderId="1" xfId="0" applyNumberFormat="1" applyFont="1" applyFill="1" applyBorder="1"/>
    <xf numFmtId="165" fontId="5" fillId="6" borderId="3" xfId="0" applyNumberFormat="1" applyFont="1" applyFill="1" applyBorder="1"/>
    <xf numFmtId="165" fontId="3" fillId="5" borderId="5" xfId="0" applyNumberFormat="1" applyFont="1" applyFill="1" applyBorder="1"/>
    <xf numFmtId="165" fontId="3" fillId="7" borderId="5" xfId="0" applyNumberFormat="1" applyFont="1" applyFill="1" applyBorder="1"/>
    <xf numFmtId="165" fontId="3" fillId="5" borderId="24" xfId="0" applyNumberFormat="1" applyFont="1" applyFill="1" applyBorder="1"/>
    <xf numFmtId="165" fontId="3" fillId="5" borderId="24" xfId="0" applyNumberFormat="1" applyFont="1" applyFill="1" applyBorder="1" applyAlignment="1">
      <alignment horizontal="right" wrapText="1"/>
    </xf>
    <xf numFmtId="165" fontId="13" fillId="14" borderId="5" xfId="0" applyNumberFormat="1" applyFont="1" applyFill="1" applyBorder="1" applyAlignment="1">
      <alignment horizontal="right" wrapText="1"/>
    </xf>
    <xf numFmtId="165" fontId="13" fillId="6" borderId="4" xfId="0" applyNumberFormat="1" applyFont="1" applyFill="1" applyBorder="1" applyAlignment="1">
      <alignment horizontal="right" wrapText="1"/>
    </xf>
    <xf numFmtId="165" fontId="13" fillId="6" borderId="3" xfId="0" applyNumberFormat="1" applyFont="1" applyFill="1" applyBorder="1" applyAlignment="1">
      <alignment horizontal="right" wrapText="1"/>
    </xf>
    <xf numFmtId="165" fontId="17" fillId="6" borderId="4" xfId="0" applyNumberFormat="1" applyFont="1" applyFill="1" applyBorder="1"/>
    <xf numFmtId="0" fontId="13" fillId="0" borderId="5" xfId="0" applyFont="1" applyBorder="1" applyAlignment="1">
      <alignment horizontal="left" wrapText="1"/>
    </xf>
    <xf numFmtId="165" fontId="13" fillId="0" borderId="19" xfId="0" applyNumberFormat="1" applyFont="1" applyBorder="1" applyAlignment="1">
      <alignment horizontal="right" wrapText="1"/>
    </xf>
    <xf numFmtId="165" fontId="13" fillId="0" borderId="5" xfId="0" applyNumberFormat="1" applyFont="1" applyBorder="1" applyAlignment="1">
      <alignment horizontal="right" wrapText="1"/>
    </xf>
    <xf numFmtId="0" fontId="13" fillId="24" borderId="5" xfId="0" applyFont="1" applyFill="1" applyBorder="1" applyAlignment="1">
      <alignment horizontal="right" wrapText="1"/>
    </xf>
    <xf numFmtId="6" fontId="13" fillId="6" borderId="3" xfId="0" applyNumberFormat="1" applyFont="1" applyFill="1" applyBorder="1" applyAlignment="1">
      <alignment horizontal="right" wrapText="1"/>
    </xf>
    <xf numFmtId="0" fontId="17" fillId="6" borderId="7" xfId="0" applyFont="1" applyFill="1" applyBorder="1"/>
    <xf numFmtId="0" fontId="17" fillId="0" borderId="25" xfId="0" applyFont="1" applyBorder="1"/>
    <xf numFmtId="0" fontId="22" fillId="26" borderId="5" xfId="0" applyFont="1" applyFill="1" applyBorder="1"/>
    <xf numFmtId="0" fontId="22" fillId="26" borderId="21" xfId="0" applyFont="1" applyFill="1" applyBorder="1"/>
    <xf numFmtId="0" fontId="22" fillId="27" borderId="0" xfId="0" applyFont="1" applyFill="1"/>
    <xf numFmtId="0" fontId="23" fillId="0" borderId="22" xfId="0" applyFont="1" applyBorder="1"/>
    <xf numFmtId="0" fontId="23" fillId="0" borderId="25" xfId="0" applyFont="1" applyBorder="1"/>
    <xf numFmtId="4" fontId="23" fillId="0" borderId="25" xfId="0" applyNumberFormat="1" applyFont="1" applyBorder="1" applyAlignment="1">
      <alignment horizontal="right"/>
    </xf>
    <xf numFmtId="0" fontId="23" fillId="27" borderId="0" xfId="0" applyFont="1" applyFill="1"/>
    <xf numFmtId="0" fontId="24" fillId="0" borderId="0" xfId="0" applyFont="1"/>
    <xf numFmtId="0" fontId="22" fillId="0" borderId="22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4" fontId="22" fillId="28" borderId="25" xfId="0" applyNumberFormat="1" applyFont="1" applyFill="1" applyBorder="1" applyAlignment="1">
      <alignment horizontal="right"/>
    </xf>
    <xf numFmtId="0" fontId="23" fillId="0" borderId="0" xfId="0" applyFont="1"/>
    <xf numFmtId="0" fontId="23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 wrapText="1"/>
    </xf>
    <xf numFmtId="169" fontId="30" fillId="0" borderId="0" xfId="0" applyNumberFormat="1" applyFont="1" applyAlignment="1">
      <alignment wrapText="1"/>
    </xf>
    <xf numFmtId="169" fontId="30" fillId="0" borderId="0" xfId="0" applyNumberFormat="1" applyFont="1" applyAlignment="1">
      <alignment horizontal="right" wrapText="1"/>
    </xf>
    <xf numFmtId="170" fontId="29" fillId="0" borderId="26" xfId="0" applyNumberFormat="1" applyFont="1" applyBorder="1" applyAlignment="1">
      <alignment horizontal="right" wrapText="1"/>
    </xf>
    <xf numFmtId="0" fontId="29" fillId="0" borderId="0" xfId="0" applyFont="1" applyAlignment="1">
      <alignment horizontal="left"/>
    </xf>
    <xf numFmtId="171" fontId="23" fillId="0" borderId="0" xfId="0" applyNumberFormat="1" applyFont="1"/>
    <xf numFmtId="6" fontId="23" fillId="0" borderId="0" xfId="0" applyNumberFormat="1" applyFont="1"/>
    <xf numFmtId="8" fontId="23" fillId="0" borderId="0" xfId="0" applyNumberFormat="1" applyFont="1"/>
    <xf numFmtId="0" fontId="31" fillId="0" borderId="0" xfId="0" applyFont="1"/>
    <xf numFmtId="0" fontId="5" fillId="0" borderId="0" xfId="0" applyFont="1" applyAlignment="1">
      <alignment wrapText="1"/>
    </xf>
    <xf numFmtId="0" fontId="5" fillId="3" borderId="0" xfId="0" applyFont="1" applyFill="1"/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4" fillId="29" borderId="4" xfId="0" applyFont="1" applyFill="1" applyBorder="1" applyAlignment="1">
      <alignment horizontal="center"/>
    </xf>
    <xf numFmtId="0" fontId="35" fillId="9" borderId="4" xfId="0" applyFont="1" applyFill="1" applyBorder="1" applyAlignment="1">
      <alignment horizontal="center"/>
    </xf>
    <xf numFmtId="0" fontId="36" fillId="0" borderId="0" xfId="0" applyFont="1" applyAlignment="1">
      <alignment horizontal="center" wrapText="1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9" fontId="3" fillId="29" borderId="4" xfId="0" applyNumberFormat="1" applyFont="1" applyFill="1" applyBorder="1"/>
    <xf numFmtId="165" fontId="3" fillId="29" borderId="4" xfId="0" applyNumberFormat="1" applyFont="1" applyFill="1" applyBorder="1"/>
    <xf numFmtId="10" fontId="5" fillId="9" borderId="0" xfId="0" applyNumberFormat="1" applyFont="1" applyFill="1"/>
    <xf numFmtId="3" fontId="5" fillId="9" borderId="0" xfId="0" applyNumberFormat="1" applyFont="1" applyFill="1"/>
    <xf numFmtId="0" fontId="37" fillId="0" borderId="0" xfId="0" applyFont="1"/>
    <xf numFmtId="14" fontId="37" fillId="0" borderId="0" xfId="0" applyNumberFormat="1" applyFont="1"/>
    <xf numFmtId="0" fontId="37" fillId="0" borderId="0" xfId="0" applyFont="1" applyAlignment="1">
      <alignment horizontal="center"/>
    </xf>
    <xf numFmtId="165" fontId="37" fillId="0" borderId="0" xfId="0" applyNumberFormat="1" applyFont="1"/>
    <xf numFmtId="0" fontId="38" fillId="6" borderId="4" xfId="0" applyFont="1" applyFill="1" applyBorder="1"/>
    <xf numFmtId="9" fontId="37" fillId="29" borderId="4" xfId="0" applyNumberFormat="1" applyFont="1" applyFill="1" applyBorder="1"/>
    <xf numFmtId="165" fontId="37" fillId="29" borderId="4" xfId="0" applyNumberFormat="1" applyFont="1" applyFill="1" applyBorder="1"/>
    <xf numFmtId="10" fontId="38" fillId="9" borderId="0" xfId="0" applyNumberFormat="1" applyFont="1" applyFill="1"/>
    <xf numFmtId="3" fontId="38" fillId="9" borderId="0" xfId="0" applyNumberFormat="1" applyFont="1" applyFill="1"/>
    <xf numFmtId="165" fontId="5" fillId="0" borderId="0" xfId="0" applyNumberFormat="1" applyFont="1" applyAlignment="1">
      <alignment wrapText="1"/>
    </xf>
    <xf numFmtId="10" fontId="5" fillId="0" borderId="0" xfId="0" applyNumberFormat="1" applyFont="1" applyAlignment="1">
      <alignment wrapText="1"/>
    </xf>
    <xf numFmtId="9" fontId="5" fillId="0" borderId="0" xfId="0" applyNumberFormat="1" applyFont="1" applyAlignment="1">
      <alignment wrapText="1"/>
    </xf>
    <xf numFmtId="0" fontId="37" fillId="6" borderId="4" xfId="0" applyFont="1" applyFill="1" applyBorder="1"/>
    <xf numFmtId="0" fontId="38" fillId="9" borderId="0" xfId="0" applyFont="1" applyFill="1"/>
    <xf numFmtId="3" fontId="3" fillId="9" borderId="0" xfId="0" applyNumberFormat="1" applyFont="1" applyFill="1"/>
    <xf numFmtId="0" fontId="3" fillId="0" borderId="0" xfId="0" applyFont="1" applyAlignment="1">
      <alignment wrapText="1"/>
    </xf>
    <xf numFmtId="0" fontId="5" fillId="30" borderId="0" xfId="0" applyFont="1" applyFill="1" applyAlignment="1">
      <alignment horizontal="center"/>
    </xf>
    <xf numFmtId="0" fontId="3" fillId="30" borderId="0" xfId="0" applyFont="1" applyFill="1"/>
    <xf numFmtId="0" fontId="3" fillId="30" borderId="0" xfId="0" applyFont="1" applyFill="1" applyAlignment="1">
      <alignment horizontal="center"/>
    </xf>
    <xf numFmtId="165" fontId="3" fillId="30" borderId="0" xfId="0" applyNumberFormat="1" applyFont="1" applyFill="1"/>
    <xf numFmtId="0" fontId="5" fillId="30" borderId="4" xfId="0" applyFont="1" applyFill="1" applyBorder="1"/>
    <xf numFmtId="9" fontId="3" fillId="30" borderId="4" xfId="0" applyNumberFormat="1" applyFont="1" applyFill="1" applyBorder="1"/>
    <xf numFmtId="165" fontId="3" fillId="30" borderId="4" xfId="0" applyNumberFormat="1" applyFont="1" applyFill="1" applyBorder="1"/>
    <xf numFmtId="10" fontId="5" fillId="30" borderId="0" xfId="0" applyNumberFormat="1" applyFont="1" applyFill="1"/>
    <xf numFmtId="3" fontId="5" fillId="30" borderId="0" xfId="0" applyNumberFormat="1" applyFont="1" applyFill="1"/>
    <xf numFmtId="0" fontId="5" fillId="30" borderId="0" xfId="0" applyFont="1" applyFill="1" applyAlignment="1">
      <alignment wrapText="1"/>
    </xf>
    <xf numFmtId="0" fontId="5" fillId="30" borderId="0" xfId="0" applyFont="1" applyFill="1"/>
    <xf numFmtId="14" fontId="3" fillId="30" borderId="0" xfId="0" applyNumberFormat="1" applyFont="1" applyFill="1"/>
    <xf numFmtId="0" fontId="3" fillId="30" borderId="4" xfId="0" applyFont="1" applyFill="1" applyBorder="1"/>
    <xf numFmtId="165" fontId="5" fillId="30" borderId="0" xfId="0" applyNumberFormat="1" applyFont="1" applyFill="1" applyAlignment="1">
      <alignment wrapText="1"/>
    </xf>
    <xf numFmtId="172" fontId="5" fillId="0" borderId="0" xfId="0" applyNumberFormat="1" applyFont="1" applyAlignment="1">
      <alignment wrapText="1"/>
    </xf>
    <xf numFmtId="9" fontId="3" fillId="29" borderId="7" xfId="0" applyNumberFormat="1" applyFont="1" applyFill="1" applyBorder="1"/>
    <xf numFmtId="165" fontId="3" fillId="29" borderId="7" xfId="0" applyNumberFormat="1" applyFont="1" applyFill="1" applyBorder="1"/>
    <xf numFmtId="0" fontId="5" fillId="9" borderId="28" xfId="0" applyFont="1" applyFill="1" applyBorder="1"/>
    <xf numFmtId="3" fontId="5" fillId="9" borderId="28" xfId="0" applyNumberFormat="1" applyFont="1" applyFill="1" applyBorder="1"/>
    <xf numFmtId="166" fontId="11" fillId="0" borderId="29" xfId="0" applyNumberFormat="1" applyFont="1" applyBorder="1"/>
    <xf numFmtId="166" fontId="12" fillId="0" borderId="0" xfId="0" applyNumberFormat="1" applyFont="1"/>
    <xf numFmtId="166" fontId="11" fillId="0" borderId="30" xfId="0" applyNumberFormat="1" applyFont="1" applyBorder="1"/>
    <xf numFmtId="0" fontId="12" fillId="0" borderId="0" xfId="0" applyFont="1"/>
    <xf numFmtId="166" fontId="12" fillId="29" borderId="4" xfId="0" applyNumberFormat="1" applyFont="1" applyFill="1" applyBorder="1"/>
    <xf numFmtId="168" fontId="12" fillId="0" borderId="0" xfId="0" applyNumberFormat="1" applyFont="1"/>
    <xf numFmtId="0" fontId="39" fillId="31" borderId="4" xfId="0" applyFont="1" applyFill="1" applyBorder="1" applyAlignment="1">
      <alignment horizontal="center" wrapText="1"/>
    </xf>
    <xf numFmtId="0" fontId="40" fillId="31" borderId="4" xfId="0" applyFont="1" applyFill="1" applyBorder="1" applyAlignment="1">
      <alignment horizontal="center"/>
    </xf>
    <xf numFmtId="0" fontId="41" fillId="19" borderId="4" xfId="0" applyFont="1" applyFill="1" applyBorder="1" applyAlignment="1">
      <alignment horizontal="center" wrapText="1"/>
    </xf>
    <xf numFmtId="0" fontId="42" fillId="19" borderId="4" xfId="0" applyFont="1" applyFill="1" applyBorder="1" applyAlignment="1">
      <alignment horizontal="center"/>
    </xf>
    <xf numFmtId="165" fontId="3" fillId="31" borderId="4" xfId="0" applyNumberFormat="1" applyFont="1" applyFill="1" applyBorder="1"/>
    <xf numFmtId="43" fontId="5" fillId="31" borderId="4" xfId="0" applyNumberFormat="1" applyFont="1" applyFill="1" applyBorder="1"/>
    <xf numFmtId="3" fontId="5" fillId="19" borderId="0" xfId="0" applyNumberFormat="1" applyFont="1" applyFill="1"/>
    <xf numFmtId="43" fontId="5" fillId="19" borderId="4" xfId="0" applyNumberFormat="1" applyFont="1" applyFill="1" applyBorder="1"/>
    <xf numFmtId="165" fontId="37" fillId="31" borderId="4" xfId="0" applyNumberFormat="1" applyFont="1" applyFill="1" applyBorder="1"/>
    <xf numFmtId="43" fontId="38" fillId="31" borderId="4" xfId="0" applyNumberFormat="1" applyFont="1" applyFill="1" applyBorder="1"/>
    <xf numFmtId="0" fontId="38" fillId="3" borderId="0" xfId="0" applyFont="1" applyFill="1"/>
    <xf numFmtId="3" fontId="38" fillId="19" borderId="0" xfId="0" applyNumberFormat="1" applyFont="1" applyFill="1"/>
    <xf numFmtId="43" fontId="38" fillId="19" borderId="4" xfId="0" applyNumberFormat="1" applyFont="1" applyFill="1" applyBorder="1"/>
    <xf numFmtId="0" fontId="3" fillId="31" borderId="7" xfId="0" applyFont="1" applyFill="1" applyBorder="1"/>
    <xf numFmtId="0" fontId="5" fillId="31" borderId="7" xfId="0" applyFont="1" applyFill="1" applyBorder="1"/>
    <xf numFmtId="0" fontId="5" fillId="19" borderId="7" xfId="0" applyFont="1" applyFill="1" applyBorder="1"/>
    <xf numFmtId="165" fontId="11" fillId="31" borderId="4" xfId="0" applyNumberFormat="1" applyFont="1" applyFill="1" applyBorder="1"/>
    <xf numFmtId="165" fontId="11" fillId="19" borderId="4" xfId="0" applyNumberFormat="1" applyFont="1" applyFill="1" applyBorder="1"/>
    <xf numFmtId="0" fontId="43" fillId="0" borderId="0" xfId="0" applyFont="1" applyAlignment="1">
      <alignment horizontal="center"/>
    </xf>
    <xf numFmtId="0" fontId="44" fillId="25" borderId="4" xfId="0" applyFont="1" applyFill="1" applyBorder="1" applyAlignment="1">
      <alignment horizontal="center"/>
    </xf>
    <xf numFmtId="0" fontId="45" fillId="25" borderId="4" xfId="0" applyFont="1" applyFill="1" applyBorder="1" applyAlignment="1">
      <alignment horizontal="center"/>
    </xf>
    <xf numFmtId="0" fontId="46" fillId="25" borderId="4" xfId="0" applyFont="1" applyFill="1" applyBorder="1" applyAlignment="1">
      <alignment horizontal="center"/>
    </xf>
    <xf numFmtId="0" fontId="47" fillId="29" borderId="4" xfId="0" applyFont="1" applyFill="1" applyBorder="1" applyAlignment="1">
      <alignment horizontal="center"/>
    </xf>
    <xf numFmtId="0" fontId="48" fillId="29" borderId="4" xfId="0" applyFont="1" applyFill="1" applyBorder="1" applyAlignment="1">
      <alignment horizontal="center"/>
    </xf>
    <xf numFmtId="0" fontId="49" fillId="32" borderId="4" xfId="0" applyFont="1" applyFill="1" applyBorder="1" applyAlignment="1">
      <alignment horizontal="center"/>
    </xf>
    <xf numFmtId="0" fontId="50" fillId="32" borderId="4" xfId="0" applyFont="1" applyFill="1" applyBorder="1" applyAlignment="1">
      <alignment horizontal="center"/>
    </xf>
    <xf numFmtId="0" fontId="51" fillId="32" borderId="4" xfId="0" applyFont="1" applyFill="1" applyBorder="1" applyAlignment="1">
      <alignment horizontal="center"/>
    </xf>
    <xf numFmtId="43" fontId="5" fillId="0" borderId="0" xfId="0" applyNumberFormat="1" applyFont="1"/>
    <xf numFmtId="0" fontId="5" fillId="25" borderId="4" xfId="0" applyFont="1" applyFill="1" applyBorder="1"/>
    <xf numFmtId="4" fontId="5" fillId="25" borderId="4" xfId="0" applyNumberFormat="1" applyFont="1" applyFill="1" applyBorder="1"/>
    <xf numFmtId="0" fontId="5" fillId="29" borderId="4" xfId="0" applyFont="1" applyFill="1" applyBorder="1"/>
    <xf numFmtId="4" fontId="5" fillId="29" borderId="4" xfId="0" applyNumberFormat="1" applyFont="1" applyFill="1" applyBorder="1"/>
    <xf numFmtId="0" fontId="5" fillId="32" borderId="4" xfId="0" applyFont="1" applyFill="1" applyBorder="1"/>
    <xf numFmtId="4" fontId="5" fillId="32" borderId="4" xfId="0" applyNumberFormat="1" applyFont="1" applyFill="1" applyBorder="1"/>
    <xf numFmtId="165" fontId="3" fillId="0" borderId="28" xfId="0" applyNumberFormat="1" applyFont="1" applyBorder="1"/>
    <xf numFmtId="0" fontId="5" fillId="0" borderId="28" xfId="0" applyFont="1" applyBorder="1"/>
    <xf numFmtId="4" fontId="5" fillId="25" borderId="7" xfId="0" applyNumberFormat="1" applyFont="1" applyFill="1" applyBorder="1"/>
    <xf numFmtId="43" fontId="5" fillId="29" borderId="7" xfId="0" applyNumberFormat="1" applyFont="1" applyFill="1" applyBorder="1"/>
    <xf numFmtId="43" fontId="5" fillId="32" borderId="7" xfId="0" applyNumberFormat="1" applyFont="1" applyFill="1" applyBorder="1"/>
    <xf numFmtId="165" fontId="11" fillId="0" borderId="0" xfId="0" applyNumberFormat="1" applyFont="1"/>
    <xf numFmtId="0" fontId="11" fillId="0" borderId="0" xfId="0" applyFont="1"/>
    <xf numFmtId="43" fontId="12" fillId="0" borderId="0" xfId="0" applyNumberFormat="1" applyFont="1"/>
    <xf numFmtId="0" fontId="52" fillId="0" borderId="0" xfId="0" applyFont="1"/>
    <xf numFmtId="0" fontId="12" fillId="0" borderId="0" xfId="0" applyFont="1" applyAlignment="1">
      <alignment horizontal="center"/>
    </xf>
    <xf numFmtId="165" fontId="5" fillId="0" borderId="28" xfId="0" applyNumberFormat="1" applyFont="1" applyBorder="1"/>
    <xf numFmtId="165" fontId="12" fillId="0" borderId="0" xfId="0" applyNumberFormat="1" applyFont="1"/>
    <xf numFmtId="165" fontId="12" fillId="0" borderId="30" xfId="0" applyNumberFormat="1" applyFont="1" applyBorder="1"/>
    <xf numFmtId="0" fontId="53" fillId="0" borderId="0" xfId="0" applyFont="1"/>
    <xf numFmtId="166" fontId="5" fillId="0" borderId="0" xfId="0" applyNumberFormat="1" applyFont="1"/>
    <xf numFmtId="44" fontId="5" fillId="0" borderId="0" xfId="0" applyNumberFormat="1" applyFont="1"/>
    <xf numFmtId="14" fontId="2" fillId="0" borderId="0" xfId="0" applyNumberFormat="1" applyFont="1" applyAlignment="1">
      <alignment horizontal="center" vertical="top"/>
    </xf>
    <xf numFmtId="0" fontId="0" fillId="0" borderId="0" xfId="0"/>
    <xf numFmtId="0" fontId="4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12" fillId="25" borderId="19" xfId="0" applyFont="1" applyFill="1" applyBorder="1" applyAlignment="1">
      <alignment horizontal="center"/>
    </xf>
    <xf numFmtId="0" fontId="21" fillId="0" borderId="20" xfId="0" applyFont="1" applyBorder="1"/>
    <xf numFmtId="0" fontId="21" fillId="0" borderId="21" xfId="0" applyFont="1" applyBorder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1" fillId="29" borderId="27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0" borderId="28" xfId="0" applyFont="1" applyBorder="1" applyAlignment="1">
      <alignment horizontal="center"/>
    </xf>
    <xf numFmtId="0" fontId="21" fillId="0" borderId="28" xfId="0" applyFont="1" applyBorder="1"/>
    <xf numFmtId="0" fontId="11" fillId="25" borderId="31" xfId="0" applyFont="1" applyFill="1" applyBorder="1" applyAlignment="1">
      <alignment horizontal="center"/>
    </xf>
    <xf numFmtId="0" fontId="21" fillId="0" borderId="32" xfId="0" applyFont="1" applyBorder="1"/>
    <xf numFmtId="0" fontId="21" fillId="0" borderId="33" xfId="0" applyFont="1" applyBorder="1"/>
    <xf numFmtId="0" fontId="11" fillId="29" borderId="31" xfId="0" applyFont="1" applyFill="1" applyBorder="1" applyAlignment="1">
      <alignment horizontal="center"/>
    </xf>
    <xf numFmtId="0" fontId="11" fillId="32" borderId="3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0</xdr:row>
      <xdr:rowOff>0</xdr:rowOff>
    </xdr:from>
    <xdr:ext cx="1581150" cy="13906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nycharters.net/tuition-calculato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u/1/d/11_MV9ksKXAF0ImnkyzzA3P_T-BJc7wdGFf3oKmUkmv4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2E75B5"/>
  </sheetPr>
  <dimension ref="A1:AB281"/>
  <sheetViews>
    <sheetView tabSelected="1" workbookViewId="0">
      <pane ySplit="5" topLeftCell="A6" activePane="bottomLeft" state="frozen"/>
      <selection pane="bottomLeft" activeCell="B7" sqref="B7"/>
    </sheetView>
  </sheetViews>
  <sheetFormatPr defaultColWidth="14.44140625" defaultRowHeight="15" customHeight="1" outlineLevelRow="1"/>
  <cols>
    <col min="1" max="1" width="1.44140625" customWidth="1"/>
    <col min="2" max="2" width="49.44140625" customWidth="1"/>
    <col min="3" max="3" width="15.5546875" customWidth="1"/>
    <col min="4" max="4" width="0.44140625" customWidth="1"/>
    <col min="5" max="5" width="15.5546875" customWidth="1"/>
    <col min="6" max="6" width="0.44140625" customWidth="1"/>
    <col min="7" max="7" width="15.5546875" customWidth="1"/>
    <col min="8" max="8" width="0.44140625" customWidth="1"/>
    <col min="9" max="9" width="20.5546875" customWidth="1"/>
    <col min="10" max="10" width="0.44140625" customWidth="1"/>
    <col min="11" max="11" width="21.5546875" hidden="1" customWidth="1"/>
    <col min="12" max="12" width="6.44140625" hidden="1" customWidth="1"/>
    <col min="13" max="13" width="23.44140625" customWidth="1"/>
    <col min="14" max="14" width="82.5546875" customWidth="1"/>
    <col min="15" max="15" width="1.44140625" customWidth="1"/>
    <col min="16" max="16" width="10.5546875" customWidth="1"/>
    <col min="17" max="28" width="8.77734375" customWidth="1"/>
  </cols>
  <sheetData>
    <row r="1" spans="1:28" ht="37.5" customHeight="1">
      <c r="A1" s="1"/>
      <c r="B1" s="327" t="s">
        <v>0</v>
      </c>
      <c r="C1" s="328"/>
      <c r="D1" s="328"/>
      <c r="E1" s="328"/>
      <c r="F1" s="328"/>
      <c r="G1" s="328"/>
      <c r="H1" s="328"/>
      <c r="I1" s="328"/>
      <c r="J1" s="328"/>
      <c r="K1" s="328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1" customHeight="1">
      <c r="A2" s="3"/>
      <c r="B2" s="329" t="s">
        <v>1</v>
      </c>
      <c r="C2" s="328"/>
      <c r="D2" s="328"/>
      <c r="E2" s="328"/>
      <c r="F2" s="328"/>
      <c r="G2" s="328"/>
      <c r="H2" s="328"/>
      <c r="I2" s="328"/>
      <c r="J2" s="328"/>
      <c r="K2" s="328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>
      <c r="A3" s="5"/>
      <c r="B3" s="330" t="s">
        <v>2</v>
      </c>
      <c r="C3" s="328"/>
      <c r="D3" s="328"/>
      <c r="E3" s="328"/>
      <c r="F3" s="328"/>
      <c r="G3" s="328"/>
      <c r="H3" s="328"/>
      <c r="I3" s="328"/>
      <c r="J3" s="328"/>
      <c r="K3" s="328"/>
      <c r="M3" s="6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3.5" customHeight="1">
      <c r="A4" s="5"/>
      <c r="B4" s="331"/>
      <c r="C4" s="328"/>
      <c r="D4" s="328"/>
      <c r="E4" s="328"/>
      <c r="F4" s="328"/>
      <c r="G4" s="328"/>
      <c r="H4" s="328"/>
      <c r="I4" s="328"/>
      <c r="J4" s="5"/>
      <c r="K4" s="8" t="s">
        <v>3</v>
      </c>
      <c r="L4" s="9"/>
      <c r="M4" s="10" t="s">
        <v>4</v>
      </c>
      <c r="N4" s="5" t="s">
        <v>5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3.5" customHeight="1">
      <c r="A5" s="5"/>
      <c r="B5" s="11"/>
      <c r="C5" s="12" t="s">
        <v>6</v>
      </c>
      <c r="D5" s="13"/>
      <c r="E5" s="12" t="s">
        <v>7</v>
      </c>
      <c r="F5" s="14"/>
      <c r="G5" s="12" t="s">
        <v>8</v>
      </c>
      <c r="H5" s="15"/>
      <c r="I5" s="16" t="s">
        <v>9</v>
      </c>
      <c r="J5" s="17"/>
      <c r="K5" s="18" t="s">
        <v>10</v>
      </c>
      <c r="L5" s="17"/>
      <c r="M5" s="19" t="s">
        <v>10</v>
      </c>
      <c r="N5" s="20" t="s">
        <v>11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3.5" customHeight="1">
      <c r="A6" s="5"/>
      <c r="B6" s="11"/>
      <c r="C6" s="21" t="s">
        <v>12</v>
      </c>
      <c r="D6" s="22"/>
      <c r="E6" s="21" t="s">
        <v>12</v>
      </c>
      <c r="F6" s="23"/>
      <c r="G6" s="21" t="s">
        <v>12</v>
      </c>
      <c r="H6" s="15"/>
      <c r="I6" s="24" t="s">
        <v>13</v>
      </c>
      <c r="J6" s="15"/>
      <c r="K6" s="25" t="s">
        <v>13</v>
      </c>
      <c r="L6" s="15"/>
      <c r="M6" s="26" t="s">
        <v>13</v>
      </c>
      <c r="N6" s="2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3.5" customHeight="1">
      <c r="A7" s="5"/>
      <c r="B7" s="28" t="s">
        <v>14</v>
      </c>
      <c r="C7" s="29">
        <v>17</v>
      </c>
      <c r="D7" s="30"/>
      <c r="E7" s="29">
        <v>19</v>
      </c>
      <c r="F7" s="31"/>
      <c r="G7" s="32">
        <v>28</v>
      </c>
      <c r="H7" s="15"/>
      <c r="I7" s="33">
        <v>41</v>
      </c>
      <c r="J7" s="15"/>
      <c r="K7" s="34">
        <v>41</v>
      </c>
      <c r="L7" s="15"/>
      <c r="M7" s="35">
        <v>41</v>
      </c>
      <c r="N7" s="27" t="s">
        <v>15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3.5" customHeight="1">
      <c r="A8" s="5"/>
      <c r="B8" s="28" t="s">
        <v>16</v>
      </c>
      <c r="C8" s="29">
        <v>120</v>
      </c>
      <c r="D8" s="30"/>
      <c r="E8" s="29">
        <v>180</v>
      </c>
      <c r="F8" s="31"/>
      <c r="G8" s="32">
        <v>240</v>
      </c>
      <c r="H8" s="15"/>
      <c r="I8" s="33">
        <v>294</v>
      </c>
      <c r="J8" s="15"/>
      <c r="K8" s="36">
        <v>360</v>
      </c>
      <c r="L8" s="15"/>
      <c r="M8" s="37">
        <v>360</v>
      </c>
      <c r="N8" s="27" t="s">
        <v>17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5" customHeight="1">
      <c r="A9" s="5"/>
      <c r="B9" s="38" t="s">
        <v>18</v>
      </c>
      <c r="C9" s="29">
        <v>113.3</v>
      </c>
      <c r="D9" s="30"/>
      <c r="E9" s="29">
        <v>174.85</v>
      </c>
      <c r="F9" s="31"/>
      <c r="G9" s="39">
        <v>226.803</v>
      </c>
      <c r="H9" s="15"/>
      <c r="I9" s="33">
        <v>258.72000000000003</v>
      </c>
      <c r="J9" s="15"/>
      <c r="K9" s="36">
        <v>250</v>
      </c>
      <c r="L9" s="15"/>
      <c r="M9" s="37">
        <v>225</v>
      </c>
      <c r="N9" s="40" t="s">
        <v>19</v>
      </c>
      <c r="O9" s="5"/>
      <c r="P9" s="41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3.5" customHeight="1">
      <c r="A10" s="5"/>
      <c r="B10" s="38" t="s">
        <v>20</v>
      </c>
      <c r="C10" s="29">
        <v>1</v>
      </c>
      <c r="D10" s="30"/>
      <c r="E10" s="29">
        <v>12.324999999999999</v>
      </c>
      <c r="F10" s="31"/>
      <c r="G10" s="39">
        <v>1.425</v>
      </c>
      <c r="H10" s="15"/>
      <c r="I10" s="33">
        <v>0</v>
      </c>
      <c r="J10" s="15"/>
      <c r="K10" s="36">
        <v>8</v>
      </c>
      <c r="L10" s="15"/>
      <c r="M10" s="37">
        <v>8</v>
      </c>
      <c r="N10" s="42" t="s">
        <v>21</v>
      </c>
      <c r="O10" s="5"/>
      <c r="P10" s="4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5" customHeight="1">
      <c r="A11" s="5"/>
      <c r="B11" s="38" t="s">
        <v>22</v>
      </c>
      <c r="C11" s="29">
        <v>10.875</v>
      </c>
      <c r="D11" s="30"/>
      <c r="E11" s="29">
        <v>3</v>
      </c>
      <c r="F11" s="31"/>
      <c r="G11" s="39">
        <v>16.408000000000001</v>
      </c>
      <c r="H11" s="15"/>
      <c r="I11" s="33">
        <v>17.600000000000001</v>
      </c>
      <c r="J11" s="15"/>
      <c r="K11" s="36">
        <v>26</v>
      </c>
      <c r="L11" s="15"/>
      <c r="M11" s="37">
        <v>26</v>
      </c>
      <c r="N11" s="42" t="s">
        <v>23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3.5" customHeight="1">
      <c r="A12" s="5"/>
      <c r="B12" s="38" t="s">
        <v>24</v>
      </c>
      <c r="C12" s="44">
        <v>0.8</v>
      </c>
      <c r="D12" s="45"/>
      <c r="E12" s="44">
        <v>0.8</v>
      </c>
      <c r="F12" s="46"/>
      <c r="G12" s="47">
        <v>0.8</v>
      </c>
      <c r="H12" s="15"/>
      <c r="I12" s="48">
        <v>0.8</v>
      </c>
      <c r="J12" s="15"/>
      <c r="K12" s="49">
        <v>0.8</v>
      </c>
      <c r="L12" s="15"/>
      <c r="M12" s="50">
        <v>0.8</v>
      </c>
      <c r="N12" s="27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3.5" customHeight="1">
      <c r="A13" s="5"/>
      <c r="B13" s="38" t="s">
        <v>25</v>
      </c>
      <c r="C13" s="29">
        <v>16150</v>
      </c>
      <c r="D13" s="30"/>
      <c r="E13" s="29">
        <v>16123</v>
      </c>
      <c r="F13" s="31"/>
      <c r="G13" s="51">
        <v>16844</v>
      </c>
      <c r="H13" s="15"/>
      <c r="I13" s="52">
        <v>17633</v>
      </c>
      <c r="J13" s="15"/>
      <c r="K13" s="53">
        <v>18221</v>
      </c>
      <c r="L13" s="15"/>
      <c r="M13" s="54">
        <v>18221</v>
      </c>
      <c r="N13" s="55" t="s">
        <v>26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3.5" customHeight="1">
      <c r="A14" s="5"/>
      <c r="B14" s="38" t="s">
        <v>27</v>
      </c>
      <c r="C14" s="29">
        <v>10390</v>
      </c>
      <c r="D14" s="30"/>
      <c r="E14" s="29">
        <v>10390</v>
      </c>
      <c r="F14" s="31"/>
      <c r="G14" s="51">
        <v>10390</v>
      </c>
      <c r="H14" s="15"/>
      <c r="I14" s="52">
        <v>10390</v>
      </c>
      <c r="J14" s="15"/>
      <c r="K14" s="56">
        <v>10390</v>
      </c>
      <c r="L14" s="15"/>
      <c r="M14" s="57">
        <v>10390</v>
      </c>
      <c r="N14" s="2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3.5" customHeight="1">
      <c r="A15" s="5"/>
      <c r="B15" s="38" t="s">
        <v>28</v>
      </c>
      <c r="C15" s="29">
        <v>19049</v>
      </c>
      <c r="D15" s="30"/>
      <c r="E15" s="29">
        <v>19049</v>
      </c>
      <c r="F15" s="31"/>
      <c r="G15" s="51">
        <v>19049</v>
      </c>
      <c r="H15" s="15"/>
      <c r="I15" s="52">
        <v>19049</v>
      </c>
      <c r="J15" s="15"/>
      <c r="K15" s="56">
        <v>19049</v>
      </c>
      <c r="L15" s="15"/>
      <c r="M15" s="57">
        <v>19049</v>
      </c>
      <c r="N15" s="2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3.5" customHeight="1">
      <c r="A16" s="5"/>
      <c r="B16" s="58" t="s">
        <v>29</v>
      </c>
      <c r="C16" s="59">
        <f>C58</f>
        <v>3128344.9699999997</v>
      </c>
      <c r="D16" s="60"/>
      <c r="E16" s="59">
        <f>E58</f>
        <v>3926712.53</v>
      </c>
      <c r="F16" s="61"/>
      <c r="G16" s="62">
        <f>G58</f>
        <v>5546500.9099999992</v>
      </c>
      <c r="H16" s="63"/>
      <c r="I16" s="62">
        <f>I58</f>
        <v>6300435.1600000011</v>
      </c>
      <c r="J16" s="15"/>
      <c r="K16" s="62">
        <f>K58</f>
        <v>6420744</v>
      </c>
      <c r="L16" s="15"/>
      <c r="M16" s="62">
        <f>M58</f>
        <v>6365506.5</v>
      </c>
      <c r="N16" s="4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3.5" customHeight="1">
      <c r="A17" s="5"/>
      <c r="B17" s="64" t="s">
        <v>30</v>
      </c>
      <c r="C17" s="65">
        <f>C243</f>
        <v>3299224.6100000003</v>
      </c>
      <c r="D17" s="66"/>
      <c r="E17" s="65">
        <f>E243</f>
        <v>3462464.34</v>
      </c>
      <c r="F17" s="67"/>
      <c r="G17" s="68">
        <f>G243</f>
        <v>4896062.0999999996</v>
      </c>
      <c r="H17" s="69"/>
      <c r="I17" s="68">
        <f>I243</f>
        <v>5994472.0949799279</v>
      </c>
      <c r="J17" s="15"/>
      <c r="K17" s="68">
        <f>K243</f>
        <v>5663668.3469475275</v>
      </c>
      <c r="L17" s="15"/>
      <c r="M17" s="68">
        <f>M243</f>
        <v>6318491.2073851274</v>
      </c>
      <c r="N17" s="2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3.5" customHeight="1">
      <c r="A18" s="5"/>
      <c r="B18" s="70" t="s">
        <v>31</v>
      </c>
      <c r="C18" s="71">
        <f>C16-C17</f>
        <v>-170879.6400000006</v>
      </c>
      <c r="D18" s="60"/>
      <c r="E18" s="71">
        <f>E16-E17</f>
        <v>464248.18999999994</v>
      </c>
      <c r="F18" s="61"/>
      <c r="G18" s="72">
        <f>G16-G17</f>
        <v>650438.80999999959</v>
      </c>
      <c r="H18" s="63"/>
      <c r="I18" s="72">
        <f>I16-I17</f>
        <v>305963.06502007321</v>
      </c>
      <c r="J18" s="15"/>
      <c r="K18" s="72">
        <f>K16-K17</f>
        <v>757075.65305247251</v>
      </c>
      <c r="L18" s="15"/>
      <c r="M18" s="72">
        <f>M16-M17</f>
        <v>47015.292614872567</v>
      </c>
      <c r="N18" s="7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 customHeight="1">
      <c r="A19" s="5"/>
      <c r="B19" s="74" t="s">
        <v>32</v>
      </c>
      <c r="C19" s="75">
        <f>C280</f>
        <v>764348.11999999941</v>
      </c>
      <c r="D19" s="66"/>
      <c r="E19" s="75">
        <f>E280</f>
        <v>1974272.899999999</v>
      </c>
      <c r="F19" s="66"/>
      <c r="G19" s="76">
        <f>G280</f>
        <v>3226912.419999999</v>
      </c>
      <c r="H19" s="69"/>
      <c r="I19" s="76">
        <f>I280</f>
        <v>3180795.8936600001</v>
      </c>
      <c r="J19" s="15"/>
      <c r="K19" s="76">
        <f>K280</f>
        <v>3812149.7553524007</v>
      </c>
      <c r="L19" s="15"/>
      <c r="M19" s="76">
        <f>M280</f>
        <v>3202089.3949148008</v>
      </c>
      <c r="N19" s="2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3.5" customHeight="1">
      <c r="A20" s="5"/>
      <c r="B20" s="77" t="s">
        <v>33</v>
      </c>
      <c r="C20" s="78"/>
      <c r="D20" s="79"/>
      <c r="E20" s="78"/>
      <c r="F20" s="80"/>
      <c r="G20" s="81"/>
      <c r="H20" s="82"/>
      <c r="I20" s="83"/>
      <c r="J20" s="15"/>
      <c r="K20" s="84"/>
      <c r="L20" s="15"/>
      <c r="M20" s="85"/>
      <c r="N20" s="2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3.5" customHeight="1">
      <c r="A21" s="5"/>
      <c r="B21" s="77" t="s">
        <v>34</v>
      </c>
      <c r="C21" s="86"/>
      <c r="D21" s="87"/>
      <c r="E21" s="86"/>
      <c r="F21" s="88"/>
      <c r="G21" s="89"/>
      <c r="H21" s="82"/>
      <c r="I21" s="90"/>
      <c r="J21" s="15"/>
      <c r="K21" s="91"/>
      <c r="L21" s="15"/>
      <c r="M21" s="92"/>
      <c r="N21" s="2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3.5" customHeight="1">
      <c r="A22" s="5"/>
      <c r="B22" s="77" t="s">
        <v>35</v>
      </c>
      <c r="C22" s="93">
        <f>'P&amp;L (QB)'!B8</f>
        <v>1829391.25</v>
      </c>
      <c r="D22" s="94"/>
      <c r="E22" s="93">
        <f>'P&amp;L (QB)'!D8</f>
        <v>2819106.55</v>
      </c>
      <c r="F22" s="95"/>
      <c r="G22" s="96">
        <f>'P&amp;L (QB)'!E8</f>
        <v>3837383.24</v>
      </c>
      <c r="H22" s="82"/>
      <c r="I22" s="97">
        <v>4562009.7600000007</v>
      </c>
      <c r="J22" s="15"/>
      <c r="K22" s="98">
        <f>K9*K13</f>
        <v>4555250</v>
      </c>
      <c r="L22" s="15"/>
      <c r="M22" s="99">
        <f>M9*M13</f>
        <v>4099725</v>
      </c>
      <c r="N22" s="4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5" customHeight="1">
      <c r="A23" s="5"/>
      <c r="B23" s="77" t="s">
        <v>36</v>
      </c>
      <c r="C23" s="93">
        <f>'P&amp;L (QB)'!B9</f>
        <v>217547.88</v>
      </c>
      <c r="D23" s="94"/>
      <c r="E23" s="93">
        <f>'P&amp;L (QB)'!D9</f>
        <v>185203.75</v>
      </c>
      <c r="F23" s="95"/>
      <c r="G23" s="96">
        <f>'P&amp;L (QB)'!E9</f>
        <v>343605.86</v>
      </c>
      <c r="H23" s="82"/>
      <c r="I23" s="97">
        <v>335262.40000000002</v>
      </c>
      <c r="J23" s="15"/>
      <c r="K23" s="98">
        <f>(K10*K14)+(K15*K11)</f>
        <v>578394</v>
      </c>
      <c r="L23" s="15"/>
      <c r="M23" s="99">
        <f>(M10*M14)+(M15*M11)</f>
        <v>578394</v>
      </c>
      <c r="N23" s="4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3.5" customHeight="1">
      <c r="A24" s="5"/>
      <c r="B24" s="77" t="s">
        <v>37</v>
      </c>
      <c r="C24" s="93">
        <f>'P&amp;L (QB)'!B10</f>
        <v>521828.34</v>
      </c>
      <c r="D24" s="94"/>
      <c r="E24" s="93">
        <f>'P&amp;L (QB)'!D10</f>
        <v>750000</v>
      </c>
      <c r="F24" s="95"/>
      <c r="G24" s="96">
        <f>'P&amp;L (QB)'!E10</f>
        <v>1000000</v>
      </c>
      <c r="H24" s="82"/>
      <c r="I24" s="97">
        <v>1250000</v>
      </c>
      <c r="J24" s="15"/>
      <c r="K24" s="98">
        <v>1125000</v>
      </c>
      <c r="L24" s="15"/>
      <c r="M24" s="100">
        <f>IF(M22*30%&gt;M232,M232,M22*30%)</f>
        <v>1229917.5</v>
      </c>
      <c r="N24" s="42" t="s">
        <v>38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3.5" customHeight="1">
      <c r="A25" s="5"/>
      <c r="B25" s="77" t="s">
        <v>39</v>
      </c>
      <c r="C25" s="93">
        <f>'P&amp;L (QB)'!B11</f>
        <v>0</v>
      </c>
      <c r="D25" s="94"/>
      <c r="E25" s="93">
        <f>'P&amp;L (QB)'!D11</f>
        <v>0</v>
      </c>
      <c r="F25" s="95"/>
      <c r="G25" s="96">
        <f>'P&amp;L (QB)'!E11</f>
        <v>0</v>
      </c>
      <c r="H25" s="82"/>
      <c r="I25" s="97"/>
      <c r="J25" s="15"/>
      <c r="K25" s="98"/>
      <c r="L25" s="15"/>
      <c r="M25" s="99"/>
      <c r="N25" s="101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5" customHeight="1">
      <c r="A26" s="5"/>
      <c r="B26" s="77" t="s">
        <v>40</v>
      </c>
      <c r="C26" s="93">
        <f>'P&amp;L (QB)'!B12</f>
        <v>4950</v>
      </c>
      <c r="D26" s="94"/>
      <c r="E26" s="93">
        <f>'P&amp;L (QB)'!D12</f>
        <v>0</v>
      </c>
      <c r="F26" s="95"/>
      <c r="G26" s="96">
        <f>'P&amp;L (QB)'!E12</f>
        <v>0</v>
      </c>
      <c r="H26" s="82"/>
      <c r="I26" s="97"/>
      <c r="J26" s="15"/>
      <c r="K26" s="98"/>
      <c r="L26" s="15"/>
      <c r="M26" s="99"/>
      <c r="N26" s="10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3.5" customHeight="1">
      <c r="A27" s="5"/>
      <c r="B27" s="77" t="s">
        <v>41</v>
      </c>
      <c r="C27" s="93">
        <f>'P&amp;L (QB)'!B13</f>
        <v>624</v>
      </c>
      <c r="D27" s="94"/>
      <c r="E27" s="93">
        <f>'P&amp;L (QB)'!D13</f>
        <v>0</v>
      </c>
      <c r="F27" s="95"/>
      <c r="G27" s="96">
        <f>'P&amp;L (QB)'!E13</f>
        <v>0</v>
      </c>
      <c r="H27" s="82"/>
      <c r="I27" s="97"/>
      <c r="J27" s="15"/>
      <c r="K27" s="98"/>
      <c r="L27" s="15"/>
      <c r="M27" s="99"/>
      <c r="N27" s="10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3.5" customHeight="1">
      <c r="A28" s="5"/>
      <c r="B28" s="77" t="s">
        <v>42</v>
      </c>
      <c r="C28" s="93">
        <f>'P&amp;L (QB)'!B14</f>
        <v>0</v>
      </c>
      <c r="D28" s="94"/>
      <c r="E28" s="93">
        <f>'P&amp;L (QB)'!D14</f>
        <v>0</v>
      </c>
      <c r="F28" s="95"/>
      <c r="G28" s="96">
        <f>'P&amp;L (QB)'!E14</f>
        <v>0</v>
      </c>
      <c r="H28" s="82"/>
      <c r="I28" s="97"/>
      <c r="J28" s="15"/>
      <c r="K28" s="98"/>
      <c r="L28" s="15"/>
      <c r="M28" s="99"/>
      <c r="N28" s="27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3.5" customHeight="1">
      <c r="A29" s="5"/>
      <c r="B29" s="77" t="s">
        <v>43</v>
      </c>
      <c r="C29" s="93">
        <f>'P&amp;L (QB)'!B15</f>
        <v>0</v>
      </c>
      <c r="D29" s="94"/>
      <c r="E29" s="93">
        <f>'P&amp;L (QB)'!D15</f>
        <v>0</v>
      </c>
      <c r="F29" s="95"/>
      <c r="G29" s="96">
        <f>'P&amp;L (QB)'!E15</f>
        <v>0</v>
      </c>
      <c r="H29" s="82"/>
      <c r="I29" s="97"/>
      <c r="J29" s="15"/>
      <c r="K29" s="98"/>
      <c r="L29" s="15"/>
      <c r="M29" s="99"/>
      <c r="N29" s="2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3.5" customHeight="1">
      <c r="A30" s="5"/>
      <c r="B30" s="77" t="s">
        <v>44</v>
      </c>
      <c r="C30" s="93">
        <f>'P&amp;L (QB)'!B16</f>
        <v>23257</v>
      </c>
      <c r="D30" s="94"/>
      <c r="E30" s="93">
        <f>'P&amp;L (QB)'!D16</f>
        <v>0</v>
      </c>
      <c r="F30" s="95"/>
      <c r="G30" s="96">
        <f>'P&amp;L (QB)'!E16</f>
        <v>0</v>
      </c>
      <c r="H30" s="82"/>
      <c r="I30" s="97"/>
      <c r="J30" s="15"/>
      <c r="K30" s="98"/>
      <c r="L30" s="15"/>
      <c r="M30" s="99"/>
      <c r="N30" s="4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3.5" customHeight="1">
      <c r="A31" s="102"/>
      <c r="B31" s="103" t="s">
        <v>45</v>
      </c>
      <c r="C31" s="104">
        <f>(((((((((C21)+(C22))+(C23))+(C24))+(C25))+(C26))+(C27))+(C28))+(C29))+(C30)</f>
        <v>2597598.4699999997</v>
      </c>
      <c r="D31" s="105"/>
      <c r="E31" s="104">
        <f>(((((((((E21)+(E22))+(E23))+(E24))+(E25))+(E26))+(E27))+(E28))+(E29))+(E30)</f>
        <v>3754310.3</v>
      </c>
      <c r="F31" s="106"/>
      <c r="G31" s="107">
        <f>(((((((((G21)+(G22))+(G23))+(G24))+(G25))+(G26))+(G27))+(G28))+(G29))+(G30)</f>
        <v>5180989.0999999996</v>
      </c>
      <c r="H31" s="69"/>
      <c r="I31" s="107">
        <f>SUM(I20:I30)</f>
        <v>6147272.1600000011</v>
      </c>
      <c r="J31" s="69"/>
      <c r="K31" s="107">
        <f>SUM(K20:K30)</f>
        <v>6258644</v>
      </c>
      <c r="L31" s="69"/>
      <c r="M31" s="107">
        <f>SUM(M20:M30)</f>
        <v>5908036.5</v>
      </c>
      <c r="N31" s="108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3.5" customHeight="1">
      <c r="A32" s="5"/>
      <c r="B32" s="77" t="s">
        <v>46</v>
      </c>
      <c r="C32" s="109"/>
      <c r="D32" s="110"/>
      <c r="E32" s="109"/>
      <c r="F32" s="111"/>
      <c r="G32" s="112"/>
      <c r="H32" s="82"/>
      <c r="I32" s="90"/>
      <c r="J32" s="15"/>
      <c r="K32" s="91"/>
      <c r="L32" s="15"/>
      <c r="M32" s="92"/>
      <c r="N32" s="2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 customHeight="1">
      <c r="A33" s="5"/>
      <c r="B33" s="77" t="s">
        <v>47</v>
      </c>
      <c r="C33" s="109">
        <f>'P&amp;L (QB)'!B19</f>
        <v>12884</v>
      </c>
      <c r="D33" s="110"/>
      <c r="E33" s="109">
        <f>'P&amp;L (QB)'!D19</f>
        <v>12911</v>
      </c>
      <c r="F33" s="111"/>
      <c r="G33" s="112">
        <f>'P&amp;L (QB)'!E19</f>
        <v>21021</v>
      </c>
      <c r="H33" s="82"/>
      <c r="I33" s="90">
        <v>20000</v>
      </c>
      <c r="J33" s="15"/>
      <c r="K33" s="113">
        <v>22000</v>
      </c>
      <c r="L33" s="15"/>
      <c r="M33" s="114">
        <v>22000</v>
      </c>
      <c r="N33" s="115" t="s">
        <v>48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3.5" customHeight="1">
      <c r="A34" s="5"/>
      <c r="B34" s="77" t="s">
        <v>49</v>
      </c>
      <c r="C34" s="109">
        <f>'P&amp;L (QB)'!B20</f>
        <v>48485</v>
      </c>
      <c r="D34" s="110"/>
      <c r="E34" s="109">
        <f>'P&amp;L (QB)'!D20</f>
        <v>75854.789999999994</v>
      </c>
      <c r="F34" s="111"/>
      <c r="G34" s="112">
        <f>'P&amp;L (QB)'!E20</f>
        <v>80329.81</v>
      </c>
      <c r="H34" s="82"/>
      <c r="I34" s="90">
        <v>77331</v>
      </c>
      <c r="J34" s="15"/>
      <c r="K34" s="113">
        <v>89000</v>
      </c>
      <c r="L34" s="15"/>
      <c r="M34" s="114">
        <v>89000</v>
      </c>
      <c r="N34" s="115" t="s">
        <v>48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5" customHeight="1">
      <c r="A35" s="5"/>
      <c r="B35" s="77" t="s">
        <v>50</v>
      </c>
      <c r="C35" s="109">
        <f>'P&amp;L (QB)'!B21</f>
        <v>7023</v>
      </c>
      <c r="D35" s="110"/>
      <c r="E35" s="109">
        <f>'P&amp;L (QB)'!D21</f>
        <v>12119.4</v>
      </c>
      <c r="F35" s="111"/>
      <c r="G35" s="112">
        <f>'P&amp;L (QB)'!E21</f>
        <v>11132</v>
      </c>
      <c r="H35" s="82"/>
      <c r="I35" s="90">
        <v>11132</v>
      </c>
      <c r="J35" s="15"/>
      <c r="K35" s="113">
        <v>10900</v>
      </c>
      <c r="L35" s="15"/>
      <c r="M35" s="114">
        <v>10900</v>
      </c>
      <c r="N35" s="115" t="s">
        <v>48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3.5" customHeight="1">
      <c r="A36" s="5"/>
      <c r="B36" s="77" t="s">
        <v>51</v>
      </c>
      <c r="C36" s="109">
        <f>'P&amp;L (QB)'!B22</f>
        <v>0</v>
      </c>
      <c r="D36" s="110"/>
      <c r="E36" s="109">
        <f>'P&amp;L (QB)'!D22</f>
        <v>10000</v>
      </c>
      <c r="F36" s="111"/>
      <c r="G36" s="112">
        <f>'P&amp;L (QB)'!E22</f>
        <v>10000</v>
      </c>
      <c r="H36" s="82"/>
      <c r="I36" s="90">
        <v>10000</v>
      </c>
      <c r="J36" s="15"/>
      <c r="K36" s="113">
        <v>10000</v>
      </c>
      <c r="L36" s="15"/>
      <c r="M36" s="114">
        <v>10000</v>
      </c>
      <c r="N36" s="115" t="s">
        <v>48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3.5" customHeight="1">
      <c r="A37" s="5"/>
      <c r="B37" s="77" t="s">
        <v>52</v>
      </c>
      <c r="C37" s="109">
        <f>'P&amp;L (QB)'!B23</f>
        <v>37524.29</v>
      </c>
      <c r="D37" s="110"/>
      <c r="E37" s="109">
        <f>'P&amp;L (QB)'!D23</f>
        <v>36533</v>
      </c>
      <c r="F37" s="111"/>
      <c r="G37" s="112">
        <f>'P&amp;L (QB)'!E23</f>
        <v>46928.5</v>
      </c>
      <c r="H37" s="82"/>
      <c r="I37" s="90">
        <v>30000</v>
      </c>
      <c r="J37" s="15"/>
      <c r="K37" s="113">
        <v>30000</v>
      </c>
      <c r="L37" s="15"/>
      <c r="M37" s="114">
        <v>30000</v>
      </c>
      <c r="N37" s="115" t="s">
        <v>48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3.5" customHeight="1">
      <c r="A38" s="5"/>
      <c r="B38" s="77" t="s">
        <v>53</v>
      </c>
      <c r="C38" s="109">
        <f>'P&amp;L (QB)'!B24</f>
        <v>0</v>
      </c>
      <c r="D38" s="110"/>
      <c r="E38" s="109">
        <f>'P&amp;L (QB)'!D24</f>
        <v>0</v>
      </c>
      <c r="F38" s="111"/>
      <c r="G38" s="112">
        <f>'P&amp;L (QB)'!E24</f>
        <v>0</v>
      </c>
      <c r="H38" s="82"/>
      <c r="I38" s="90">
        <v>0</v>
      </c>
      <c r="J38" s="15"/>
      <c r="K38" s="91"/>
      <c r="L38" s="15"/>
      <c r="M38" s="92"/>
      <c r="N38" s="27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3.5" customHeight="1">
      <c r="A39" s="5"/>
      <c r="B39" s="77" t="s">
        <v>54</v>
      </c>
      <c r="C39" s="109">
        <f>'P&amp;L (QB)'!B25</f>
        <v>373830.5</v>
      </c>
      <c r="D39" s="110"/>
      <c r="E39" s="109">
        <f>'P&amp;L (QB)'!D25</f>
        <v>0</v>
      </c>
      <c r="F39" s="111"/>
      <c r="G39" s="112">
        <f>'P&amp;L (QB)'!E25</f>
        <v>0</v>
      </c>
      <c r="H39" s="82"/>
      <c r="I39" s="90">
        <v>0</v>
      </c>
      <c r="J39" s="15"/>
      <c r="K39" s="91"/>
      <c r="L39" s="15"/>
      <c r="M39" s="92"/>
      <c r="N39" s="2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3.5" customHeight="1">
      <c r="A40" s="5"/>
      <c r="B40" s="77" t="s">
        <v>55</v>
      </c>
      <c r="C40" s="109"/>
      <c r="D40" s="110"/>
      <c r="E40" s="109">
        <f>'P&amp;L (QB)'!D26</f>
        <v>10937</v>
      </c>
      <c r="F40" s="111"/>
      <c r="G40" s="112">
        <f>'P&amp;L (QB)'!E26</f>
        <v>171244.57</v>
      </c>
      <c r="H40" s="82"/>
      <c r="I40" s="90">
        <v>0</v>
      </c>
      <c r="J40" s="15"/>
      <c r="K40" s="113">
        <v>0</v>
      </c>
      <c r="L40" s="15"/>
      <c r="M40" s="114">
        <f>4500+66420+14000+49990+50000+18000+7500+20160+10000+10000</f>
        <v>250570</v>
      </c>
      <c r="N40" s="115" t="s">
        <v>56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3.5" customHeight="1">
      <c r="A41" s="102"/>
      <c r="B41" s="103" t="s">
        <v>57</v>
      </c>
      <c r="C41" s="104">
        <f>SUM(C32:C40)</f>
        <v>479746.79000000004</v>
      </c>
      <c r="D41" s="105"/>
      <c r="E41" s="104">
        <f>SUM(E32:E40)</f>
        <v>158355.19</v>
      </c>
      <c r="F41" s="106"/>
      <c r="G41" s="104">
        <f>SUM(G32:G40)</f>
        <v>340655.88</v>
      </c>
      <c r="H41" s="82"/>
      <c r="I41" s="104">
        <f>SUM(I32:I40)</f>
        <v>148463</v>
      </c>
      <c r="J41" s="69"/>
      <c r="K41" s="104">
        <f>SUM(K32:K40)</f>
        <v>161900</v>
      </c>
      <c r="L41" s="69"/>
      <c r="M41" s="104">
        <f>SUM(M32:M40)</f>
        <v>412470</v>
      </c>
      <c r="N41" s="108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</row>
    <row r="42" spans="1:28" ht="13.5" customHeight="1">
      <c r="A42" s="5"/>
      <c r="B42" s="77" t="s">
        <v>58</v>
      </c>
      <c r="C42" s="109"/>
      <c r="D42" s="110"/>
      <c r="E42" s="109"/>
      <c r="F42" s="111"/>
      <c r="G42" s="112"/>
      <c r="H42" s="82"/>
      <c r="I42" s="90"/>
      <c r="J42" s="15"/>
      <c r="K42" s="91"/>
      <c r="L42" s="15"/>
      <c r="M42" s="92"/>
      <c r="N42" s="27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3.5" customHeight="1">
      <c r="A43" s="5"/>
      <c r="B43" s="77" t="s">
        <v>59</v>
      </c>
      <c r="C43" s="109">
        <f>'P&amp;L (QB)'!B31</f>
        <v>31135.73</v>
      </c>
      <c r="D43" s="110"/>
      <c r="E43" s="109">
        <f>'P&amp;L (QB)'!D31</f>
        <v>13685.95</v>
      </c>
      <c r="F43" s="111"/>
      <c r="G43" s="112">
        <f>'P&amp;L (QB)'!E31</f>
        <v>4649.3500000000004</v>
      </c>
      <c r="H43" s="82"/>
      <c r="I43" s="90">
        <v>4500</v>
      </c>
      <c r="J43" s="15"/>
      <c r="K43" s="113"/>
      <c r="L43" s="15"/>
      <c r="M43" s="114"/>
      <c r="N43" s="101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3.5" customHeight="1">
      <c r="A44" s="5"/>
      <c r="B44" s="77" t="s">
        <v>60</v>
      </c>
      <c r="C44" s="109">
        <f>'P&amp;L (QB)'!B32</f>
        <v>0</v>
      </c>
      <c r="D44" s="110"/>
      <c r="E44" s="109">
        <f>'P&amp;L (QB)'!D32</f>
        <v>0</v>
      </c>
      <c r="F44" s="111"/>
      <c r="G44" s="112">
        <f>'P&amp;L (QB)'!E32</f>
        <v>0</v>
      </c>
      <c r="H44" s="82"/>
      <c r="I44" s="90"/>
      <c r="J44" s="15"/>
      <c r="K44" s="91"/>
      <c r="L44" s="15"/>
      <c r="M44" s="92"/>
      <c r="N44" s="27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 customHeight="1">
      <c r="A45" s="102"/>
      <c r="B45" s="103" t="s">
        <v>61</v>
      </c>
      <c r="C45" s="104">
        <f>C43+C44</f>
        <v>31135.73</v>
      </c>
      <c r="D45" s="105"/>
      <c r="E45" s="104">
        <f>E43+E44</f>
        <v>13685.95</v>
      </c>
      <c r="F45" s="106"/>
      <c r="G45" s="107">
        <f>G43+G44</f>
        <v>4649.3500000000004</v>
      </c>
      <c r="H45" s="69"/>
      <c r="I45" s="107">
        <f>SUM(I42:I44)</f>
        <v>4500</v>
      </c>
      <c r="J45" s="69"/>
      <c r="K45" s="107">
        <f>SUM(K42:K44)</f>
        <v>0</v>
      </c>
      <c r="L45" s="69"/>
      <c r="M45" s="107">
        <f>SUM(M42:M44)</f>
        <v>0</v>
      </c>
      <c r="N45" s="108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</row>
    <row r="46" spans="1:28" ht="13.5" customHeight="1" outlineLevel="1">
      <c r="A46" s="5"/>
      <c r="B46" s="77" t="s">
        <v>62</v>
      </c>
      <c r="C46" s="109"/>
      <c r="D46" s="110"/>
      <c r="E46" s="109"/>
      <c r="F46" s="111"/>
      <c r="G46" s="112"/>
      <c r="H46" s="82"/>
      <c r="I46" s="90"/>
      <c r="J46" s="15"/>
      <c r="K46" s="91"/>
      <c r="L46" s="15"/>
      <c r="M46" s="92"/>
      <c r="N46" s="11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 customHeight="1" outlineLevel="1">
      <c r="A47" s="5"/>
      <c r="B47" s="77" t="s">
        <v>63</v>
      </c>
      <c r="C47" s="93">
        <f>'P&amp;L (QB)'!B36</f>
        <v>0</v>
      </c>
      <c r="D47" s="94"/>
      <c r="E47" s="93">
        <f>'P&amp;L (QB)'!D36</f>
        <v>0</v>
      </c>
      <c r="F47" s="95"/>
      <c r="G47" s="96">
        <f>'P&amp;L (QB)'!E36</f>
        <v>0</v>
      </c>
      <c r="H47" s="82"/>
      <c r="I47" s="97"/>
      <c r="J47" s="15"/>
      <c r="K47" s="117"/>
      <c r="L47" s="15"/>
      <c r="M47" s="100"/>
      <c r="N47" s="27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3.5" customHeight="1" outlineLevel="1">
      <c r="A48" s="102"/>
      <c r="B48" s="103" t="s">
        <v>64</v>
      </c>
      <c r="C48" s="104">
        <f>C47</f>
        <v>0</v>
      </c>
      <c r="D48" s="105"/>
      <c r="E48" s="104">
        <f>E47</f>
        <v>0</v>
      </c>
      <c r="F48" s="118"/>
      <c r="G48" s="107">
        <f>G47</f>
        <v>0</v>
      </c>
      <c r="H48" s="69"/>
      <c r="I48" s="107">
        <f>SUM(I46:I47)</f>
        <v>0</v>
      </c>
      <c r="J48" s="69"/>
      <c r="K48" s="107">
        <f>SUM(K46:K47)</f>
        <v>0</v>
      </c>
      <c r="L48" s="69"/>
      <c r="M48" s="107">
        <f>SUM(M46:M47)</f>
        <v>0</v>
      </c>
      <c r="N48" s="108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</row>
    <row r="49" spans="1:28" ht="13.5" customHeight="1" outlineLevel="1">
      <c r="A49" s="5"/>
      <c r="B49" s="77" t="s">
        <v>65</v>
      </c>
      <c r="C49" s="109"/>
      <c r="D49" s="110"/>
      <c r="E49" s="109"/>
      <c r="F49" s="111"/>
      <c r="G49" s="112"/>
      <c r="H49" s="82"/>
      <c r="I49" s="90"/>
      <c r="J49" s="15"/>
      <c r="K49" s="91"/>
      <c r="L49" s="15"/>
      <c r="M49" s="92"/>
      <c r="N49" s="27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3.5" customHeight="1" outlineLevel="1">
      <c r="A50" s="5"/>
      <c r="B50" s="77" t="s">
        <v>66</v>
      </c>
      <c r="C50" s="93">
        <f>'P&amp;L (QB)'!B39</f>
        <v>0.98</v>
      </c>
      <c r="D50" s="94"/>
      <c r="E50" s="93">
        <f>'P&amp;L (QB)'!D39</f>
        <v>361.09</v>
      </c>
      <c r="F50" s="95"/>
      <c r="G50" s="96">
        <f>'P&amp;L (QB)'!E39</f>
        <v>206.58</v>
      </c>
      <c r="H50" s="82"/>
      <c r="I50" s="90">
        <v>200</v>
      </c>
      <c r="J50" s="15"/>
      <c r="K50" s="113">
        <v>200</v>
      </c>
      <c r="L50" s="15"/>
      <c r="M50" s="114">
        <f>(2000000*4.5%)/2</f>
        <v>45000</v>
      </c>
      <c r="N50" s="101" t="s">
        <v>67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 customHeight="1" outlineLevel="1">
      <c r="A51" s="102"/>
      <c r="B51" s="103" t="s">
        <v>68</v>
      </c>
      <c r="C51" s="104">
        <f>C50</f>
        <v>0.98</v>
      </c>
      <c r="D51" s="105"/>
      <c r="E51" s="104">
        <f>E50</f>
        <v>361.09</v>
      </c>
      <c r="F51" s="106"/>
      <c r="G51" s="107">
        <f>G50</f>
        <v>206.58</v>
      </c>
      <c r="H51" s="69"/>
      <c r="I51" s="107">
        <f>SUM(I49:I50)</f>
        <v>200</v>
      </c>
      <c r="J51" s="69"/>
      <c r="K51" s="107">
        <f>SUM(K49:K50)</f>
        <v>200</v>
      </c>
      <c r="L51" s="69"/>
      <c r="M51" s="107">
        <f>SUM(M49:M50)</f>
        <v>45000</v>
      </c>
      <c r="N51" s="108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</row>
    <row r="52" spans="1:28" ht="13.5" customHeight="1" outlineLevel="1">
      <c r="A52" s="5"/>
      <c r="B52" s="77" t="s">
        <v>69</v>
      </c>
      <c r="C52" s="109"/>
      <c r="D52" s="110"/>
      <c r="E52" s="109"/>
      <c r="F52" s="111"/>
      <c r="G52" s="112"/>
      <c r="H52" s="82"/>
      <c r="I52" s="90"/>
      <c r="J52" s="15"/>
      <c r="K52" s="91"/>
      <c r="L52" s="15"/>
      <c r="M52" s="92"/>
      <c r="N52" s="27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3.5" customHeight="1" outlineLevel="1">
      <c r="A53" s="5"/>
      <c r="B53" s="77" t="s">
        <v>70</v>
      </c>
      <c r="C53" s="93">
        <f>'P&amp;L (QB)'!B42</f>
        <v>2363</v>
      </c>
      <c r="D53" s="94"/>
      <c r="E53" s="93">
        <f>'P&amp;L (QB)'!D42</f>
        <v>0</v>
      </c>
      <c r="F53" s="95"/>
      <c r="G53" s="96">
        <f>'P&amp;L (QB)'!E42</f>
        <v>20000</v>
      </c>
      <c r="H53" s="82"/>
      <c r="I53" s="97"/>
      <c r="J53" s="15"/>
      <c r="K53" s="117">
        <v>0</v>
      </c>
      <c r="L53" s="15"/>
      <c r="M53" s="100">
        <v>0</v>
      </c>
      <c r="N53" s="27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3.5" customHeight="1" outlineLevel="1">
      <c r="A54" s="5"/>
      <c r="B54" s="77" t="s">
        <v>71</v>
      </c>
      <c r="C54" s="93">
        <f>'P&amp;L (QB)'!B43</f>
        <v>0</v>
      </c>
      <c r="D54" s="94"/>
      <c r="E54" s="93">
        <f>'P&amp;L (QB)'!D43</f>
        <v>0</v>
      </c>
      <c r="F54" s="95"/>
      <c r="G54" s="96">
        <f>'P&amp;L (QB)'!E43</f>
        <v>0</v>
      </c>
      <c r="H54" s="82"/>
      <c r="I54" s="97"/>
      <c r="J54" s="15"/>
      <c r="K54" s="117">
        <v>0</v>
      </c>
      <c r="L54" s="15"/>
      <c r="M54" s="100">
        <v>0</v>
      </c>
      <c r="N54" s="27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3.5" customHeight="1" outlineLevel="1">
      <c r="A55" s="5"/>
      <c r="B55" s="77" t="s">
        <v>72</v>
      </c>
      <c r="C55" s="93">
        <f>'P&amp;L (QB)'!B44</f>
        <v>17500</v>
      </c>
      <c r="D55" s="94"/>
      <c r="E55" s="93">
        <f>'P&amp;L (QB)'!D44</f>
        <v>0</v>
      </c>
      <c r="F55" s="95"/>
      <c r="G55" s="96">
        <f>'P&amp;L (QB)'!E44</f>
        <v>0</v>
      </c>
      <c r="H55" s="82"/>
      <c r="I55" s="97">
        <v>0</v>
      </c>
      <c r="J55" s="15"/>
      <c r="K55" s="98">
        <v>0</v>
      </c>
      <c r="L55" s="15"/>
      <c r="M55" s="99">
        <v>0</v>
      </c>
      <c r="N55" s="27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3.5" customHeight="1" outlineLevel="1">
      <c r="A56" s="5"/>
      <c r="B56" s="77" t="s">
        <v>73</v>
      </c>
      <c r="C56" s="93">
        <v>0</v>
      </c>
      <c r="D56" s="94"/>
      <c r="E56" s="93">
        <v>0</v>
      </c>
      <c r="F56" s="95"/>
      <c r="G56" s="96">
        <v>0</v>
      </c>
      <c r="H56" s="82"/>
      <c r="I56" s="97"/>
      <c r="J56" s="15"/>
      <c r="K56" s="98"/>
      <c r="L56" s="15"/>
      <c r="M56" s="99"/>
      <c r="N56" s="27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3.5" customHeight="1" outlineLevel="1">
      <c r="A57" s="102"/>
      <c r="B57" s="103" t="s">
        <v>74</v>
      </c>
      <c r="C57" s="104">
        <f>((((C52)+(C53))+(C54))+(C55))+(C56)</f>
        <v>19863</v>
      </c>
      <c r="D57" s="105"/>
      <c r="E57" s="104">
        <f>((((E52)+(E53))+(E54))+(E55))+(E56)</f>
        <v>0</v>
      </c>
      <c r="F57" s="106"/>
      <c r="G57" s="107">
        <f>((((G52)+(G53))+(G54))+(G55))+(G56)</f>
        <v>20000</v>
      </c>
      <c r="H57" s="69"/>
      <c r="I57" s="107">
        <f>SUM(I52:I56)</f>
        <v>0</v>
      </c>
      <c r="J57" s="69"/>
      <c r="K57" s="107">
        <f>SUM(K52:K56)</f>
        <v>0</v>
      </c>
      <c r="L57" s="69"/>
      <c r="M57" s="107">
        <f>SUM(M52:M56)</f>
        <v>0</v>
      </c>
      <c r="N57" s="108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ht="13.5" customHeight="1">
      <c r="A58" s="102"/>
      <c r="B58" s="103" t="s">
        <v>75</v>
      </c>
      <c r="C58" s="104">
        <f>(((((C31)+(C41))+(C45))+(C48))+(C51))+(C57)</f>
        <v>3128344.9699999997</v>
      </c>
      <c r="D58" s="105"/>
      <c r="E58" s="104">
        <f>(((((E31)+(E41))+(E45))+(E48))+(E51))+(E57)</f>
        <v>3926712.53</v>
      </c>
      <c r="F58" s="106"/>
      <c r="G58" s="107">
        <f>(((((G31)+(G41))+(G45))+(G48))+(G51))+(G57)</f>
        <v>5546500.9099999992</v>
      </c>
      <c r="H58" s="69"/>
      <c r="I58" s="107">
        <f>(((((I31)+(I41))+(I45))+(I48))+(I51))+(I57)</f>
        <v>6300435.1600000011</v>
      </c>
      <c r="J58" s="69"/>
      <c r="K58" s="107">
        <f>(((((K31)+(K41))+(K45))+(K48))+(K51))+(K57)</f>
        <v>6420744</v>
      </c>
      <c r="L58" s="69"/>
      <c r="M58" s="107">
        <f>(((((M31)+(M41))+(M45))+(M48))+(M51))+(M57)</f>
        <v>6365506.5</v>
      </c>
      <c r="N58" s="108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ht="13.5" customHeight="1">
      <c r="A59" s="5"/>
      <c r="B59" s="77" t="s">
        <v>76</v>
      </c>
      <c r="C59" s="119">
        <f>(C58)-(0)</f>
        <v>3128344.9699999997</v>
      </c>
      <c r="D59" s="120"/>
      <c r="E59" s="119">
        <f>(E58)-(0)</f>
        <v>3926712.53</v>
      </c>
      <c r="F59" s="121"/>
      <c r="G59" s="122">
        <f>(G58)-(0)</f>
        <v>5546500.9099999992</v>
      </c>
      <c r="H59" s="15"/>
      <c r="I59" s="123">
        <f>(I58)-(0)</f>
        <v>6300435.1600000011</v>
      </c>
      <c r="J59" s="15"/>
      <c r="K59" s="124">
        <f>(K58)-(0)</f>
        <v>6420744</v>
      </c>
      <c r="L59" s="15"/>
      <c r="M59" s="125">
        <f>(M58)-(0)</f>
        <v>6365506.5</v>
      </c>
      <c r="N59" s="27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3.5" customHeight="1">
      <c r="A60" s="5"/>
      <c r="B60" s="77" t="s">
        <v>77</v>
      </c>
      <c r="C60" s="109"/>
      <c r="D60" s="110"/>
      <c r="E60" s="109"/>
      <c r="F60" s="111"/>
      <c r="G60" s="112"/>
      <c r="H60" s="82"/>
      <c r="I60" s="90"/>
      <c r="J60" s="15"/>
      <c r="K60" s="91"/>
      <c r="L60" s="15"/>
      <c r="M60" s="92"/>
      <c r="N60" s="27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3.5" customHeight="1">
      <c r="A61" s="5"/>
      <c r="B61" s="126" t="s">
        <v>78</v>
      </c>
      <c r="C61" s="109"/>
      <c r="D61" s="110"/>
      <c r="E61" s="109"/>
      <c r="F61" s="111"/>
      <c r="G61" s="112"/>
      <c r="H61" s="82"/>
      <c r="I61" s="90"/>
      <c r="J61" s="15"/>
      <c r="K61" s="91"/>
      <c r="L61" s="15"/>
      <c r="M61" s="92"/>
      <c r="N61" s="27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3.5" customHeight="1">
      <c r="A62" s="5"/>
      <c r="B62" s="126" t="s">
        <v>79</v>
      </c>
      <c r="C62" s="109"/>
      <c r="D62" s="110"/>
      <c r="E62" s="109"/>
      <c r="F62" s="111"/>
      <c r="G62" s="112"/>
      <c r="H62" s="82"/>
      <c r="I62" s="90"/>
      <c r="J62" s="15"/>
      <c r="K62" s="91"/>
      <c r="L62" s="15"/>
      <c r="M62" s="92"/>
      <c r="N62" s="27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3.5" customHeight="1">
      <c r="A63" s="5"/>
      <c r="B63" s="126" t="s">
        <v>80</v>
      </c>
      <c r="C63" s="93">
        <f>'P&amp;L (QB)'!B61</f>
        <v>133900.07999999999</v>
      </c>
      <c r="D63" s="94"/>
      <c r="E63" s="93">
        <f>'P&amp;L (QB)'!D61</f>
        <v>133900.07999999999</v>
      </c>
      <c r="F63" s="95"/>
      <c r="G63" s="96">
        <f>'P&amp;L (QB)'!E61</f>
        <v>150237.82999999999</v>
      </c>
      <c r="H63" s="82"/>
      <c r="I63" s="90">
        <v>143500</v>
      </c>
      <c r="J63" s="15"/>
      <c r="K63" s="91">
        <f>SUMIF(Personnel!D:D,B:B,Personnel!L:L)</f>
        <v>150864.91559999998</v>
      </c>
      <c r="L63" s="15"/>
      <c r="M63" s="92">
        <f>SUMIF(Personnel!D:D,B:B,Personnel!Q:Q)</f>
        <v>147289.91759999999</v>
      </c>
      <c r="N63" s="27" t="s">
        <v>81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3.5" customHeight="1">
      <c r="A64" s="5"/>
      <c r="B64" s="126" t="s">
        <v>82</v>
      </c>
      <c r="C64" s="93"/>
      <c r="D64" s="94"/>
      <c r="E64" s="93"/>
      <c r="F64" s="95"/>
      <c r="G64" s="96"/>
      <c r="H64" s="82"/>
      <c r="I64" s="90">
        <v>100000</v>
      </c>
      <c r="J64" s="15"/>
      <c r="K64" s="91">
        <f>SUMIF(Personnel!D:D,B:B,Personnel!L:L)</f>
        <v>0</v>
      </c>
      <c r="L64" s="15"/>
      <c r="M64" s="92">
        <f>SUMIF(Personnel!D:D,B:B,Personnel!Q:Q)</f>
        <v>0</v>
      </c>
      <c r="N64" s="27" t="s">
        <v>81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3.5" customHeight="1">
      <c r="A65" s="5"/>
      <c r="B65" s="126" t="s">
        <v>83</v>
      </c>
      <c r="C65" s="93">
        <f>'P&amp;L (QB)'!B63</f>
        <v>0</v>
      </c>
      <c r="D65" s="94"/>
      <c r="E65" s="93">
        <f>'P&amp;L (QB)'!D63</f>
        <v>0</v>
      </c>
      <c r="F65" s="95"/>
      <c r="G65" s="96">
        <f>'P&amp;L (QB)'!E63</f>
        <v>65683.8</v>
      </c>
      <c r="H65" s="82"/>
      <c r="I65" s="90">
        <v>82745.279999999999</v>
      </c>
      <c r="J65" s="15"/>
      <c r="K65" s="91">
        <f>SUMIF(Personnel!D:D,B:B,Personnel!L:L)</f>
        <v>168274.0416</v>
      </c>
      <c r="L65" s="15"/>
      <c r="M65" s="92">
        <f>SUMIF(Personnel!D:D,B:B,Personnel!Q:Q)</f>
        <v>167449.29120000001</v>
      </c>
      <c r="N65" s="27" t="s">
        <v>81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3.5" customHeight="1">
      <c r="A66" s="5"/>
      <c r="B66" s="126" t="s">
        <v>84</v>
      </c>
      <c r="C66" s="93"/>
      <c r="D66" s="94"/>
      <c r="E66" s="93"/>
      <c r="F66" s="95"/>
      <c r="G66" s="96"/>
      <c r="H66" s="82"/>
      <c r="I66" s="90">
        <v>95000</v>
      </c>
      <c r="J66" s="15"/>
      <c r="K66" s="91">
        <f>SUMIF(Personnel!D:D,B:B,Personnel!L:L)</f>
        <v>91519.833599999998</v>
      </c>
      <c r="L66" s="15"/>
      <c r="M66" s="92">
        <f>SUMIF(Personnel!D:D,B:B,Personnel!Q:Q)</f>
        <v>90639.835200000001</v>
      </c>
      <c r="N66" s="27" t="s">
        <v>81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 customHeight="1">
      <c r="A67" s="5"/>
      <c r="B67" s="126" t="s">
        <v>85</v>
      </c>
      <c r="C67" s="93">
        <f>'P&amp;L (QB)'!B65</f>
        <v>83640.94</v>
      </c>
      <c r="D67" s="94"/>
      <c r="E67" s="93">
        <f>'P&amp;L (QB)'!D65</f>
        <v>74613.41</v>
      </c>
      <c r="F67" s="95"/>
      <c r="G67" s="96">
        <f>'P&amp;L (QB)'!E65</f>
        <v>83718.48</v>
      </c>
      <c r="H67" s="82"/>
      <c r="I67" s="90">
        <v>0</v>
      </c>
      <c r="J67" s="15"/>
      <c r="K67" s="91">
        <f>SUMIF(Personnel!D:D,B:B,Personnel!L:L)</f>
        <v>0</v>
      </c>
      <c r="L67" s="15"/>
      <c r="M67" s="92">
        <f>SUMIF(Personnel!D:D,B:B,Personnel!Q:Q)</f>
        <v>0</v>
      </c>
      <c r="N67" s="27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3.5" customHeight="1">
      <c r="A68" s="5"/>
      <c r="B68" s="126" t="s">
        <v>86</v>
      </c>
      <c r="C68" s="93"/>
      <c r="D68" s="94"/>
      <c r="E68" s="93"/>
      <c r="F68" s="95"/>
      <c r="G68" s="96"/>
      <c r="H68" s="82"/>
      <c r="I68" s="90"/>
      <c r="J68" s="15"/>
      <c r="K68" s="91"/>
      <c r="L68" s="15"/>
      <c r="M68" s="92">
        <f>SUMIF(Personnel!D:D,B:B,Personnel!Q:Q)</f>
        <v>0</v>
      </c>
      <c r="N68" s="27" t="s">
        <v>81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3.5" customHeight="1">
      <c r="A69" s="5"/>
      <c r="B69" s="126" t="s">
        <v>87</v>
      </c>
      <c r="C69" s="93">
        <f>'P&amp;L (QB)'!B66</f>
        <v>79442.37</v>
      </c>
      <c r="D69" s="94"/>
      <c r="E69" s="93">
        <f>'P&amp;L (QB)'!D66</f>
        <v>76564.44</v>
      </c>
      <c r="F69" s="95"/>
      <c r="G69" s="96">
        <f>'P&amp;L (QB)'!E66</f>
        <v>42366.33</v>
      </c>
      <c r="H69" s="82"/>
      <c r="I69" s="90">
        <v>94812.5</v>
      </c>
      <c r="J69" s="15"/>
      <c r="K69" s="91">
        <f>SUMIF(Personnel!D:D,B:B,Personnel!L:L)</f>
        <v>120450</v>
      </c>
      <c r="L69" s="15"/>
      <c r="M69" s="92">
        <f>SUMIF(Personnel!D:D,B:B,Personnel!Q:Q)</f>
        <v>116500</v>
      </c>
      <c r="N69" s="27" t="s">
        <v>81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3.5" customHeight="1">
      <c r="A70" s="5"/>
      <c r="B70" s="126" t="s">
        <v>88</v>
      </c>
      <c r="C70" s="93">
        <f>'P&amp;L (QB)'!B67</f>
        <v>0</v>
      </c>
      <c r="D70" s="94"/>
      <c r="E70" s="93">
        <f>'P&amp;L (QB)'!D67</f>
        <v>0</v>
      </c>
      <c r="F70" s="95"/>
      <c r="G70" s="96">
        <f>'P&amp;L (QB)'!E67</f>
        <v>47468.31</v>
      </c>
      <c r="H70" s="82"/>
      <c r="I70" s="90">
        <v>112500</v>
      </c>
      <c r="J70" s="15"/>
      <c r="K70" s="91">
        <f>SUMIF(Personnel!D:D,B:B,Personnel!L:L)</f>
        <v>0</v>
      </c>
      <c r="L70" s="15"/>
      <c r="M70" s="92">
        <f>SUMIF(Personnel!D:D,B:B,Personnel!Q:Q)</f>
        <v>0</v>
      </c>
      <c r="N70" s="27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3.5" customHeight="1">
      <c r="A71" s="5"/>
      <c r="B71" s="126" t="s">
        <v>89</v>
      </c>
      <c r="C71" s="93">
        <f>'P&amp;L (QB)'!B69</f>
        <v>52650</v>
      </c>
      <c r="D71" s="94"/>
      <c r="E71" s="93">
        <f>'P&amp;L (QB)'!D69</f>
        <v>55487.19</v>
      </c>
      <c r="F71" s="95"/>
      <c r="G71" s="96">
        <f>'P&amp;L (QB)'!E69</f>
        <v>49944.51</v>
      </c>
      <c r="H71" s="82"/>
      <c r="I71" s="90">
        <v>62640</v>
      </c>
      <c r="J71" s="15"/>
      <c r="K71" s="91">
        <f>SUMIF(Personnel!D:D,B:B,Personnel!L:L)</f>
        <v>0</v>
      </c>
      <c r="L71" s="15"/>
      <c r="M71" s="92">
        <f>SUMIF(Personnel!D:D,B:B,Personnel!Q:Q)</f>
        <v>0</v>
      </c>
      <c r="N71" s="27" t="s">
        <v>81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3.5" customHeight="1">
      <c r="A72" s="5"/>
      <c r="B72" s="126" t="s">
        <v>90</v>
      </c>
      <c r="C72" s="93">
        <f>'P&amp;L (QB)'!B70</f>
        <v>0</v>
      </c>
      <c r="D72" s="94"/>
      <c r="E72" s="93">
        <f>'P&amp;L (QB)'!D70</f>
        <v>0</v>
      </c>
      <c r="F72" s="95"/>
      <c r="G72" s="96">
        <f>'P&amp;L (QB)'!E70</f>
        <v>57951.3</v>
      </c>
      <c r="H72" s="82"/>
      <c r="I72" s="90">
        <v>75000</v>
      </c>
      <c r="J72" s="15"/>
      <c r="K72" s="91">
        <f>SUMIF(Personnel!D:D,B:B,Personnel!L:L)</f>
        <v>68224.166400000002</v>
      </c>
      <c r="L72" s="15"/>
      <c r="M72" s="92">
        <f>SUMIF(Personnel!D:D,B:B,Personnel!Q:Q)</f>
        <v>67568.164799999999</v>
      </c>
      <c r="N72" s="27" t="s">
        <v>81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3.5" customHeight="1">
      <c r="A73" s="5"/>
      <c r="B73" s="126" t="s">
        <v>91</v>
      </c>
      <c r="C73" s="93"/>
      <c r="D73" s="94"/>
      <c r="E73" s="93"/>
      <c r="F73" s="95"/>
      <c r="G73" s="96"/>
      <c r="H73" s="82"/>
      <c r="I73" s="90"/>
      <c r="J73" s="15"/>
      <c r="K73" s="91"/>
      <c r="L73" s="15"/>
      <c r="M73" s="92">
        <f>SUMIF(Personnel!D:D,B:B,Personnel!Q:Q)</f>
        <v>46999.44</v>
      </c>
      <c r="N73" s="27" t="s">
        <v>92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3.5" customHeight="1">
      <c r="A74" s="5"/>
      <c r="B74" s="126" t="s">
        <v>93</v>
      </c>
      <c r="C74" s="93"/>
      <c r="D74" s="94"/>
      <c r="E74" s="93"/>
      <c r="F74" s="95"/>
      <c r="G74" s="96"/>
      <c r="H74" s="82"/>
      <c r="I74" s="90"/>
      <c r="J74" s="15"/>
      <c r="K74" s="91"/>
      <c r="L74" s="15"/>
      <c r="M74" s="92">
        <f>SUMIF(Personnel!D:D,B:B,Personnel!Q:Q)</f>
        <v>92000</v>
      </c>
      <c r="N74" s="27" t="s">
        <v>81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3.5" customHeight="1">
      <c r="A75" s="5"/>
      <c r="B75" s="126" t="s">
        <v>94</v>
      </c>
      <c r="C75" s="93">
        <f>'P&amp;L (QB)'!B71</f>
        <v>0</v>
      </c>
      <c r="D75" s="94"/>
      <c r="E75" s="93">
        <f>'P&amp;L (QB)'!D71</f>
        <v>0</v>
      </c>
      <c r="F75" s="95"/>
      <c r="G75" s="96">
        <f>'P&amp;L (QB)'!E71</f>
        <v>0</v>
      </c>
      <c r="H75" s="82"/>
      <c r="I75" s="90">
        <v>0</v>
      </c>
      <c r="J75" s="15"/>
      <c r="K75" s="91">
        <f>SUMIF(Personnel!D:D,B:B,Personnel!L:L)</f>
        <v>0</v>
      </c>
      <c r="L75" s="15"/>
      <c r="M75" s="92">
        <f>SUMIF(Personnel!D:D,B:B,Personnel!Q:Q)</f>
        <v>0</v>
      </c>
      <c r="N75" s="27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3.5" customHeight="1">
      <c r="A76" s="5"/>
      <c r="B76" s="126" t="s">
        <v>95</v>
      </c>
      <c r="C76" s="93">
        <f>'P&amp;L (QB)'!B72</f>
        <v>0</v>
      </c>
      <c r="D76" s="94"/>
      <c r="E76" s="93">
        <f>'P&amp;L (QB)'!D72</f>
        <v>0</v>
      </c>
      <c r="F76" s="95"/>
      <c r="G76" s="96">
        <f>'P&amp;L (QB)'!E72</f>
        <v>0</v>
      </c>
      <c r="H76" s="82"/>
      <c r="I76" s="90">
        <v>0</v>
      </c>
      <c r="J76" s="15"/>
      <c r="K76" s="91">
        <f>SUMIF(Personnel!D:D,B:B,Personnel!L:L)</f>
        <v>0</v>
      </c>
      <c r="L76" s="15"/>
      <c r="M76" s="92">
        <f>SUMIF(Personnel!D:D,B:B,Personnel!Q:Q)</f>
        <v>0</v>
      </c>
      <c r="N76" s="27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3.5" customHeight="1">
      <c r="A77" s="5"/>
      <c r="B77" s="126" t="s">
        <v>96</v>
      </c>
      <c r="C77" s="93">
        <f>'P&amp;L (QB)'!B73</f>
        <v>3210</v>
      </c>
      <c r="D77" s="94"/>
      <c r="E77" s="93">
        <f>'P&amp;L (QB)'!D73</f>
        <v>0</v>
      </c>
      <c r="F77" s="95"/>
      <c r="G77" s="96">
        <f>'P&amp;L (QB)'!E73</f>
        <v>4892.8599999999997</v>
      </c>
      <c r="H77" s="82"/>
      <c r="I77" s="90">
        <v>0</v>
      </c>
      <c r="J77" s="15"/>
      <c r="K77" s="113">
        <v>5000</v>
      </c>
      <c r="L77" s="15"/>
      <c r="M77" s="114">
        <v>5000</v>
      </c>
      <c r="N77" s="27" t="s">
        <v>81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3.5" customHeight="1">
      <c r="A78" s="102"/>
      <c r="B78" s="127" t="s">
        <v>97</v>
      </c>
      <c r="C78" s="104">
        <f>((((((((((C62)+(C63))+(C65))+(C66))+(C67))+(C69))+(C70))+(C71))+(C72))+(C75))+(C76)+C77</f>
        <v>352843.39</v>
      </c>
      <c r="D78" s="105"/>
      <c r="E78" s="104">
        <f>((((((((((E62)+(E63))+(E65))+(E66))+(E67))+(E69))+(E70))+(E71))+(E72))+(E75))+(E76)+E77</f>
        <v>340565.12</v>
      </c>
      <c r="F78" s="106"/>
      <c r="G78" s="107">
        <f>((((((((((G62)+(G63))+(G65))+(G66))+(G67))+(G69))+(G70))+(G71))+(G72))+(G75))+(G76)+G77</f>
        <v>502263.42</v>
      </c>
      <c r="H78" s="69"/>
      <c r="I78" s="107">
        <f>SUM(I60:I77)</f>
        <v>766197.78</v>
      </c>
      <c r="J78" s="69"/>
      <c r="K78" s="107">
        <f>SUM(K60:K77)</f>
        <v>604332.95719999995</v>
      </c>
      <c r="L78" s="69"/>
      <c r="M78" s="107">
        <f>SUM(M60:M77)</f>
        <v>733446.64880000008</v>
      </c>
      <c r="N78" s="108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</row>
    <row r="79" spans="1:28" ht="13.5" customHeight="1">
      <c r="A79" s="5"/>
      <c r="B79" s="126" t="s">
        <v>98</v>
      </c>
      <c r="C79" s="109"/>
      <c r="D79" s="110"/>
      <c r="E79" s="109"/>
      <c r="F79" s="111"/>
      <c r="G79" s="112"/>
      <c r="H79" s="82"/>
      <c r="I79" s="90"/>
      <c r="J79" s="15"/>
      <c r="K79" s="91"/>
      <c r="L79" s="15"/>
      <c r="M79" s="92"/>
      <c r="N79" s="27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3.5" customHeight="1">
      <c r="A80" s="5"/>
      <c r="B80" s="126" t="s">
        <v>99</v>
      </c>
      <c r="C80" s="93">
        <f>'P&amp;L (QB)'!B80</f>
        <v>272354.5</v>
      </c>
      <c r="D80" s="94"/>
      <c r="E80" s="93">
        <f>'P&amp;L (QB)'!D80</f>
        <v>274765.39</v>
      </c>
      <c r="F80" s="95"/>
      <c r="G80" s="96">
        <f>'P&amp;L (QB)'!E80</f>
        <v>411260.34</v>
      </c>
      <c r="H80" s="82"/>
      <c r="I80" s="90">
        <v>0</v>
      </c>
      <c r="J80" s="15"/>
      <c r="K80" s="91">
        <f>SUMIF(Personnel!D:D,B:B,Personnel!L:L)</f>
        <v>0</v>
      </c>
      <c r="L80" s="15"/>
      <c r="M80" s="92">
        <f>SUMIF(Personnel!D:D,B:B,Personnel!Q:Q)</f>
        <v>0</v>
      </c>
      <c r="N80" s="27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3.5" customHeight="1">
      <c r="A81" s="5"/>
      <c r="B81" s="126" t="s">
        <v>100</v>
      </c>
      <c r="C81" s="93"/>
      <c r="D81" s="94"/>
      <c r="E81" s="93"/>
      <c r="F81" s="95"/>
      <c r="G81" s="96"/>
      <c r="H81" s="82"/>
      <c r="I81" s="90">
        <v>1277826.96</v>
      </c>
      <c r="J81" s="15"/>
      <c r="K81" s="91">
        <f>SUMIF(Personnel!D:D,B:B,Personnel!L:L)</f>
        <v>1072634.0608000001</v>
      </c>
      <c r="L81" s="15"/>
      <c r="M81" s="92">
        <f>SUMIF(Personnel!D:D,B:B,Personnel!Q:Q)</f>
        <v>1322350.4255999997</v>
      </c>
      <c r="N81" s="27" t="s">
        <v>81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3.5" customHeight="1">
      <c r="A82" s="5"/>
      <c r="B82" s="126" t="s">
        <v>101</v>
      </c>
      <c r="C82" s="93">
        <f>'P&amp;L (QB)'!B83</f>
        <v>242490.79</v>
      </c>
      <c r="D82" s="94"/>
      <c r="E82" s="93">
        <f>'P&amp;L (QB)'!D83</f>
        <v>333908.88</v>
      </c>
      <c r="F82" s="95"/>
      <c r="G82" s="96">
        <f>'P&amp;L (QB)'!E83</f>
        <v>440994.09</v>
      </c>
      <c r="H82" s="82"/>
      <c r="I82" s="90">
        <v>0</v>
      </c>
      <c r="J82" s="15"/>
      <c r="K82" s="91">
        <f>SUMIF(Personnel!D:D,B:B,Personnel!L:L)</f>
        <v>0</v>
      </c>
      <c r="L82" s="15"/>
      <c r="M82" s="92">
        <f>SUMIF(Personnel!D:D,B:B,Personnel!Q:Q)</f>
        <v>0</v>
      </c>
      <c r="N82" s="27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3.5" customHeight="1">
      <c r="A83" s="5"/>
      <c r="B83" s="126" t="s">
        <v>102</v>
      </c>
      <c r="C83" s="93">
        <f>'P&amp;L (QB)'!B86</f>
        <v>0</v>
      </c>
      <c r="D83" s="94"/>
      <c r="E83" s="93">
        <f>'P&amp;L (QB)'!D86</f>
        <v>39375</v>
      </c>
      <c r="F83" s="95"/>
      <c r="G83" s="96">
        <f>'P&amp;L (QB)'!E86</f>
        <v>47039.87</v>
      </c>
      <c r="H83" s="82"/>
      <c r="I83" s="90">
        <v>212527.6</v>
      </c>
      <c r="J83" s="15"/>
      <c r="K83" s="91">
        <f>SUMIF(Personnel!D:D,B:B,Personnel!L:L)</f>
        <v>148751.11680000002</v>
      </c>
      <c r="L83" s="15"/>
      <c r="M83" s="92">
        <f>SUMIF(Personnel!D:D,B:B,Personnel!Q:Q)</f>
        <v>147320.81760000001</v>
      </c>
      <c r="N83" s="27" t="s">
        <v>81</v>
      </c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3.5" customHeight="1">
      <c r="A84" s="3"/>
      <c r="B84" s="128" t="s">
        <v>103</v>
      </c>
      <c r="C84" s="129">
        <f>'P&amp;L (QB)'!B87</f>
        <v>0</v>
      </c>
      <c r="D84" s="130"/>
      <c r="E84" s="129">
        <f>'P&amp;L (QB)'!D87</f>
        <v>0</v>
      </c>
      <c r="F84" s="131"/>
      <c r="G84" s="132">
        <f>'P&amp;L (QB)'!E87</f>
        <v>0</v>
      </c>
      <c r="H84" s="133"/>
      <c r="I84" s="90">
        <v>0</v>
      </c>
      <c r="J84" s="134"/>
      <c r="K84" s="91">
        <f>SUMIF(Personnel!D:D,B:B,Personnel!L:L)</f>
        <v>0</v>
      </c>
      <c r="L84" s="134"/>
      <c r="M84" s="92">
        <f>SUMIF(Personnel!D:D,B:B,Personnel!Q:Q)</f>
        <v>0</v>
      </c>
      <c r="N84" s="135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 customHeight="1">
      <c r="A85" s="5"/>
      <c r="B85" s="126" t="s">
        <v>104</v>
      </c>
      <c r="C85" s="93">
        <f>'P&amp;L (QB)'!B88</f>
        <v>55534.18</v>
      </c>
      <c r="D85" s="94"/>
      <c r="E85" s="93">
        <f>'P&amp;L (QB)'!D88</f>
        <v>67912.7</v>
      </c>
      <c r="F85" s="95"/>
      <c r="G85" s="96">
        <f>'P&amp;L (QB)'!E88</f>
        <v>160148.26</v>
      </c>
      <c r="H85" s="82"/>
      <c r="I85" s="90">
        <v>306800</v>
      </c>
      <c r="J85" s="15"/>
      <c r="K85" s="91">
        <f>SUMIF(Personnel!D:D,B:B,Personnel!L:L)</f>
        <v>263392.64639999997</v>
      </c>
      <c r="L85" s="15"/>
      <c r="M85" s="92">
        <f>SUMIF(Personnel!D:D,B:B,Personnel!Q:Q)</f>
        <v>266374.08240000001</v>
      </c>
      <c r="N85" s="27" t="s">
        <v>81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3.5" customHeight="1">
      <c r="A86" s="5"/>
      <c r="B86" s="126" t="s">
        <v>105</v>
      </c>
      <c r="C86" s="93">
        <f>'P&amp;L (QB)'!B89</f>
        <v>18132.189999999999</v>
      </c>
      <c r="D86" s="94"/>
      <c r="E86" s="93">
        <f>'P&amp;L (QB)'!D89</f>
        <v>30558</v>
      </c>
      <c r="F86" s="95"/>
      <c r="G86" s="96">
        <f>'P&amp;L (QB)'!E89</f>
        <v>241130.77</v>
      </c>
      <c r="H86" s="82"/>
      <c r="I86" s="90">
        <v>246400</v>
      </c>
      <c r="J86" s="15"/>
      <c r="K86" s="91">
        <f>SUMIF(Personnel!D:D,B:B,Personnel!L:L)</f>
        <v>128128.1664</v>
      </c>
      <c r="L86" s="15"/>
      <c r="M86" s="92">
        <f>SUMIF(Personnel!D:D,B:B,Personnel!Q:Q)</f>
        <v>188496.1648</v>
      </c>
      <c r="N86" s="27" t="s">
        <v>81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3.5" customHeight="1">
      <c r="A87" s="5"/>
      <c r="B87" s="126" t="s">
        <v>106</v>
      </c>
      <c r="C87" s="93">
        <f>'P&amp;L (QB)'!B90</f>
        <v>42654.3</v>
      </c>
      <c r="D87" s="94"/>
      <c r="E87" s="93">
        <f>'P&amp;L (QB)'!D90</f>
        <v>60000.05</v>
      </c>
      <c r="F87" s="95"/>
      <c r="G87" s="96">
        <f>'P&amp;L (QB)'!E90</f>
        <v>66175</v>
      </c>
      <c r="H87" s="82"/>
      <c r="I87" s="90">
        <v>78084</v>
      </c>
      <c r="J87" s="15"/>
      <c r="K87" s="91">
        <f>SUMIF(Personnel!D:D,B:B,Personnel!L:L)</f>
        <v>76695.839999999997</v>
      </c>
      <c r="L87" s="15"/>
      <c r="M87" s="92">
        <f>SUMIF(Personnel!D:D,B:B,Personnel!Q:Q)</f>
        <v>75958.38</v>
      </c>
      <c r="N87" s="27" t="s">
        <v>81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3.5" customHeight="1">
      <c r="A88" s="102"/>
      <c r="B88" s="127" t="s">
        <v>107</v>
      </c>
      <c r="C88" s="104">
        <f>((((((C79)+(C80))+(C82))+(C83))+C84+(C85))+(C86))+(C87)</f>
        <v>631165.96000000008</v>
      </c>
      <c r="D88" s="105"/>
      <c r="E88" s="104">
        <f>((((((E79)+(E80))+(E82))+(E83))+E84+(E85))+(E86))+(E87)</f>
        <v>806520.02</v>
      </c>
      <c r="F88" s="106"/>
      <c r="G88" s="107">
        <f>((((((G79)+(G80))+(G82))+(G83))+G84+(G85))+(G86))+(G87)</f>
        <v>1366748.33</v>
      </c>
      <c r="H88" s="69"/>
      <c r="I88" s="107">
        <f>SUM(I79:I87)</f>
        <v>2121638.56</v>
      </c>
      <c r="J88" s="69"/>
      <c r="K88" s="107">
        <f>SUM(K79:K87)</f>
        <v>1689601.8304000001</v>
      </c>
      <c r="L88" s="69"/>
      <c r="M88" s="107">
        <f>SUM(M79:M87)</f>
        <v>2000499.8703999994</v>
      </c>
      <c r="N88" s="108"/>
      <c r="O88" s="102"/>
      <c r="P88" s="136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</row>
    <row r="89" spans="1:28" ht="13.5" customHeight="1">
      <c r="A89" s="5"/>
      <c r="B89" s="126" t="s">
        <v>108</v>
      </c>
      <c r="C89" s="109"/>
      <c r="D89" s="110"/>
      <c r="E89" s="109"/>
      <c r="F89" s="111"/>
      <c r="G89" s="112"/>
      <c r="H89" s="82"/>
      <c r="I89" s="90"/>
      <c r="J89" s="15"/>
      <c r="K89" s="91"/>
      <c r="L89" s="15"/>
      <c r="M89" s="92"/>
      <c r="N89" s="27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3.5" customHeight="1">
      <c r="A90" s="5"/>
      <c r="B90" s="126" t="s">
        <v>109</v>
      </c>
      <c r="C90" s="93">
        <f>'P&amp;L (QB)'!B93</f>
        <v>0</v>
      </c>
      <c r="D90" s="94"/>
      <c r="E90" s="93">
        <f>'P&amp;L (QB)'!D93</f>
        <v>0</v>
      </c>
      <c r="F90" s="95"/>
      <c r="G90" s="96">
        <f>'P&amp;L (QB)'!E93</f>
        <v>0</v>
      </c>
      <c r="H90" s="82"/>
      <c r="I90" s="90">
        <v>0</v>
      </c>
      <c r="J90" s="15"/>
      <c r="K90" s="91">
        <f>SUMIF(Personnel!D:D,B:B,Personnel!L:L)</f>
        <v>0</v>
      </c>
      <c r="L90" s="15"/>
      <c r="M90" s="92">
        <f>SUMIF(Personnel!F:F,D:D,Personnel!S:S)</f>
        <v>0</v>
      </c>
      <c r="N90" s="27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3.5" customHeight="1">
      <c r="A91" s="102"/>
      <c r="B91" s="127" t="s">
        <v>110</v>
      </c>
      <c r="C91" s="104">
        <f>(C89)+(C90)</f>
        <v>0</v>
      </c>
      <c r="D91" s="105"/>
      <c r="E91" s="104">
        <f>(E89)+(E90)</f>
        <v>0</v>
      </c>
      <c r="F91" s="118"/>
      <c r="G91" s="107">
        <f>(G89)+(G90)</f>
        <v>0</v>
      </c>
      <c r="H91" s="69"/>
      <c r="I91" s="107">
        <f>SUM(I89:I90)</f>
        <v>0</v>
      </c>
      <c r="J91" s="69"/>
      <c r="K91" s="107">
        <f>SUM(K89:K90)</f>
        <v>0</v>
      </c>
      <c r="L91" s="69"/>
      <c r="M91" s="107">
        <f>SUM(M89:M90)</f>
        <v>0</v>
      </c>
      <c r="N91" s="108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</row>
    <row r="92" spans="1:28" ht="13.5" customHeight="1">
      <c r="A92" s="5"/>
      <c r="B92" s="77" t="s">
        <v>111</v>
      </c>
      <c r="C92" s="109"/>
      <c r="D92" s="110"/>
      <c r="E92" s="109"/>
      <c r="F92" s="111"/>
      <c r="G92" s="112"/>
      <c r="H92" s="82"/>
      <c r="I92" s="90"/>
      <c r="J92" s="15"/>
      <c r="K92" s="91"/>
      <c r="L92" s="15"/>
      <c r="M92" s="92"/>
      <c r="N92" s="27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3.5" customHeight="1">
      <c r="A93" s="5"/>
      <c r="B93" s="77" t="s">
        <v>112</v>
      </c>
      <c r="C93" s="109">
        <f>'P&amp;L (QB)'!B96</f>
        <v>0</v>
      </c>
      <c r="D93" s="110"/>
      <c r="E93" s="109">
        <f>'P&amp;L (QB)'!D96</f>
        <v>0</v>
      </c>
      <c r="F93" s="111"/>
      <c r="G93" s="112">
        <f>'P&amp;L (QB)'!E96</f>
        <v>0</v>
      </c>
      <c r="H93" s="82"/>
      <c r="I93" s="90"/>
      <c r="J93" s="15"/>
      <c r="K93" s="91"/>
      <c r="L93" s="15"/>
      <c r="M93" s="92"/>
      <c r="N93" s="137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3.5" customHeight="1">
      <c r="A94" s="5"/>
      <c r="B94" s="77" t="s">
        <v>113</v>
      </c>
      <c r="C94" s="93">
        <f>'P&amp;L (QB)'!B97</f>
        <v>12104.59</v>
      </c>
      <c r="D94" s="94"/>
      <c r="E94" s="93">
        <f>'P&amp;L (QB)'!D97</f>
        <v>12668.96</v>
      </c>
      <c r="F94" s="95"/>
      <c r="G94" s="96">
        <f>'P&amp;L (QB)'!E97</f>
        <v>30303.67</v>
      </c>
      <c r="H94" s="82"/>
      <c r="I94" s="90">
        <v>43317.545099999996</v>
      </c>
      <c r="J94" s="15"/>
      <c r="K94" s="91">
        <f>(K78+K88+K91)*1.5%</f>
        <v>34409.021814</v>
      </c>
      <c r="L94" s="15"/>
      <c r="M94" s="92">
        <f>(M78+M88+M91)*1.5%</f>
        <v>41009.19778799999</v>
      </c>
      <c r="N94" s="138" t="s">
        <v>114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3.5" customHeight="1">
      <c r="A95" s="5"/>
      <c r="B95" s="77" t="s">
        <v>115</v>
      </c>
      <c r="C95" s="93">
        <f>'P&amp;L (QB)'!B98</f>
        <v>60298.2</v>
      </c>
      <c r="D95" s="94"/>
      <c r="E95" s="93">
        <f>'P&amp;L (QB)'!D98</f>
        <v>79057.460000000006</v>
      </c>
      <c r="F95" s="95"/>
      <c r="G95" s="96">
        <f>'P&amp;L (QB)'!E98</f>
        <v>116932.95</v>
      </c>
      <c r="H95" s="82"/>
      <c r="I95" s="90">
        <v>179045.85308000006</v>
      </c>
      <c r="J95" s="15"/>
      <c r="K95" s="91">
        <f>Taxes!F55</f>
        <v>145137.92211120002</v>
      </c>
      <c r="L95" s="15"/>
      <c r="M95" s="92">
        <f>Taxes!J55</f>
        <v>169504.68419040009</v>
      </c>
      <c r="N95" s="42" t="s">
        <v>116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3.5" customHeight="1">
      <c r="A96" s="5"/>
      <c r="B96" s="77" t="s">
        <v>117</v>
      </c>
      <c r="C96" s="93">
        <f>'P&amp;L (QB)'!B99</f>
        <v>14102.01</v>
      </c>
      <c r="D96" s="94"/>
      <c r="E96" s="93">
        <f>'P&amp;L (QB)'!D99</f>
        <v>7924.14</v>
      </c>
      <c r="F96" s="95"/>
      <c r="G96" s="96">
        <f>'P&amp;L (QB)'!E99</f>
        <v>27347.21</v>
      </c>
      <c r="H96" s="82"/>
      <c r="I96" s="90">
        <v>41873.626929999991</v>
      </c>
      <c r="J96" s="15"/>
      <c r="K96" s="91">
        <f>Taxes!G55</f>
        <v>33943.546300200003</v>
      </c>
      <c r="L96" s="15"/>
      <c r="M96" s="92">
        <f>Taxes!K55</f>
        <v>39642.22452839998</v>
      </c>
      <c r="N96" s="42" t="s">
        <v>116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3.5" customHeight="1" outlineLevel="1">
      <c r="A97" s="5"/>
      <c r="B97" s="77" t="s">
        <v>118</v>
      </c>
      <c r="C97" s="93"/>
      <c r="D97" s="94"/>
      <c r="E97" s="93"/>
      <c r="F97" s="95"/>
      <c r="G97" s="96"/>
      <c r="H97" s="82"/>
      <c r="I97" s="90"/>
      <c r="J97" s="15"/>
      <c r="K97" s="91"/>
      <c r="L97" s="15"/>
      <c r="M97" s="92"/>
      <c r="N97" s="27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3.5" customHeight="1" outlineLevel="1">
      <c r="A98" s="5"/>
      <c r="B98" s="77" t="s">
        <v>119</v>
      </c>
      <c r="C98" s="93"/>
      <c r="D98" s="94"/>
      <c r="E98" s="93"/>
      <c r="F98" s="95"/>
      <c r="G98" s="96"/>
      <c r="H98" s="82"/>
      <c r="I98" s="90"/>
      <c r="J98" s="15"/>
      <c r="K98" s="91"/>
      <c r="L98" s="15"/>
      <c r="M98" s="92"/>
      <c r="N98" s="27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3.5" customHeight="1" outlineLevel="1">
      <c r="A99" s="5"/>
      <c r="B99" s="77" t="s">
        <v>120</v>
      </c>
      <c r="C99" s="93"/>
      <c r="D99" s="94"/>
      <c r="E99" s="93"/>
      <c r="F99" s="95"/>
      <c r="G99" s="96"/>
      <c r="H99" s="82"/>
      <c r="I99" s="90"/>
      <c r="J99" s="15"/>
      <c r="K99" s="91"/>
      <c r="L99" s="15"/>
      <c r="M99" s="92"/>
      <c r="N99" s="27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3.5" customHeight="1" outlineLevel="1">
      <c r="A100" s="5"/>
      <c r="B100" s="77" t="s">
        <v>121</v>
      </c>
      <c r="C100" s="93"/>
      <c r="D100" s="94"/>
      <c r="E100" s="93"/>
      <c r="F100" s="95"/>
      <c r="G100" s="96"/>
      <c r="H100" s="82"/>
      <c r="I100" s="90"/>
      <c r="J100" s="15"/>
      <c r="K100" s="91"/>
      <c r="L100" s="15"/>
      <c r="M100" s="92"/>
      <c r="N100" s="27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3.5" customHeight="1" outlineLevel="1">
      <c r="A101" s="5"/>
      <c r="B101" s="77" t="s">
        <v>122</v>
      </c>
      <c r="C101" s="93"/>
      <c r="D101" s="94"/>
      <c r="E101" s="93"/>
      <c r="F101" s="95"/>
      <c r="G101" s="96"/>
      <c r="H101" s="82"/>
      <c r="I101" s="90"/>
      <c r="J101" s="15"/>
      <c r="K101" s="91"/>
      <c r="L101" s="15"/>
      <c r="M101" s="92"/>
      <c r="N101" s="27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3.5" customHeight="1">
      <c r="A102" s="5"/>
      <c r="B102" s="77" t="s">
        <v>123</v>
      </c>
      <c r="C102" s="93">
        <f>'P&amp;L (QB)'!B105</f>
        <v>1194.1300000000001</v>
      </c>
      <c r="D102" s="94"/>
      <c r="E102" s="93">
        <f>'P&amp;L (QB)'!D105</f>
        <v>288.68</v>
      </c>
      <c r="F102" s="95"/>
      <c r="G102" s="96">
        <f>'P&amp;L (QB)'!E105</f>
        <v>0</v>
      </c>
      <c r="H102" s="82"/>
      <c r="I102" s="90">
        <v>5775.6726799999997</v>
      </c>
      <c r="J102" s="15"/>
      <c r="K102" s="91">
        <f>(K78+K88+K91)*0.2%</f>
        <v>4587.8695752000003</v>
      </c>
      <c r="L102" s="15"/>
      <c r="M102" s="92">
        <f>(M78+M88+M91)*0.2%</f>
        <v>5467.8930383999996</v>
      </c>
      <c r="N102" s="42" t="s">
        <v>124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3.5" customHeight="1">
      <c r="A103" s="5"/>
      <c r="B103" s="77" t="s">
        <v>125</v>
      </c>
      <c r="C103" s="109"/>
      <c r="D103" s="110"/>
      <c r="E103" s="109"/>
      <c r="F103" s="111"/>
      <c r="G103" s="112"/>
      <c r="H103" s="82"/>
      <c r="I103" s="90"/>
      <c r="J103" s="15"/>
      <c r="K103" s="91"/>
      <c r="L103" s="15"/>
      <c r="M103" s="92"/>
      <c r="N103" s="27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3.5" customHeight="1">
      <c r="A104" s="5"/>
      <c r="B104" s="77" t="s">
        <v>126</v>
      </c>
      <c r="C104" s="93">
        <f>'P&amp;L (QB)'!B107</f>
        <v>-364.68</v>
      </c>
      <c r="D104" s="94"/>
      <c r="E104" s="93">
        <f>'P&amp;L (QB)'!D107</f>
        <v>388.95</v>
      </c>
      <c r="F104" s="95"/>
      <c r="G104" s="96">
        <f>'P&amp;L (QB)'!E107</f>
        <v>0</v>
      </c>
      <c r="H104" s="82"/>
      <c r="I104" s="90"/>
      <c r="J104" s="15"/>
      <c r="K104" s="91"/>
      <c r="L104" s="15"/>
      <c r="M104" s="92"/>
      <c r="N104" s="27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3.5" customHeight="1">
      <c r="A105" s="102"/>
      <c r="B105" s="103" t="s">
        <v>127</v>
      </c>
      <c r="C105" s="104">
        <f>((((((((((((C92)+(C93))+(C94))+(C95))+(C96))+(C97))+(C98))+(C99))+(C100))+(C101))+(C102))+(C103))+(C104)</f>
        <v>87334.25</v>
      </c>
      <c r="D105" s="105"/>
      <c r="E105" s="104">
        <f>((((((((((((E92)+(E93))+(E94))+(E95))+(E96))+(E97))+(E98))+(E99))+(E100))+(E101))+(E102))+(E103))+(E104)</f>
        <v>100328.19</v>
      </c>
      <c r="F105" s="106"/>
      <c r="G105" s="107">
        <f>((((((((((((G92)+(G93))+(G94))+(G95))+(G96))+(G97))+(G98))+(G99))+(G100))+(G101))+(G102))+(G103))+(G104)</f>
        <v>174583.83</v>
      </c>
      <c r="H105" s="69"/>
      <c r="I105" s="107">
        <f>SUM(I92:I104)</f>
        <v>270012.69779000006</v>
      </c>
      <c r="J105" s="69"/>
      <c r="K105" s="107">
        <f>SUM(K92:K104)</f>
        <v>218078.35980060001</v>
      </c>
      <c r="L105" s="69"/>
      <c r="M105" s="107">
        <f>SUM(M92:M104)</f>
        <v>255623.99954520006</v>
      </c>
      <c r="N105" s="108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</row>
    <row r="106" spans="1:28" ht="13.5" customHeight="1">
      <c r="A106" s="5"/>
      <c r="B106" s="77" t="s">
        <v>128</v>
      </c>
      <c r="C106" s="109"/>
      <c r="D106" s="110"/>
      <c r="E106" s="109"/>
      <c r="F106" s="111"/>
      <c r="G106" s="112"/>
      <c r="H106" s="82"/>
      <c r="I106" s="90"/>
      <c r="J106" s="15"/>
      <c r="K106" s="91"/>
      <c r="L106" s="15"/>
      <c r="M106" s="92"/>
      <c r="N106" s="27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3.5" customHeight="1">
      <c r="A107" s="5"/>
      <c r="B107" s="77" t="s">
        <v>129</v>
      </c>
      <c r="C107" s="109">
        <f>'P&amp;L (QB)'!B110+'P&amp;L (QB)'!B111+'P&amp;L (QB)'!B112</f>
        <v>82132.38</v>
      </c>
      <c r="D107" s="110"/>
      <c r="E107" s="109">
        <f>'P&amp;L (QB)'!D110+'P&amp;L (QB)'!D111+'P&amp;L (QB)'!D112</f>
        <v>116916.35</v>
      </c>
      <c r="F107" s="111"/>
      <c r="G107" s="112">
        <f>'P&amp;L (QB)'!E110+'P&amp;L (QB)'!E111+'P&amp;L (QB)'!E112</f>
        <v>150821.93</v>
      </c>
      <c r="H107" s="82"/>
      <c r="I107" s="90">
        <v>303925.8</v>
      </c>
      <c r="J107" s="15"/>
      <c r="K107" s="91">
        <f>Benefits!P55</f>
        <v>277833.3</v>
      </c>
      <c r="L107" s="15"/>
      <c r="M107" s="92">
        <f>Benefits!P55</f>
        <v>277833.3</v>
      </c>
      <c r="N107" s="27" t="s">
        <v>130</v>
      </c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3.5" customHeight="1">
      <c r="A108" s="5"/>
      <c r="B108" s="77" t="s">
        <v>131</v>
      </c>
      <c r="C108" s="93"/>
      <c r="D108" s="94"/>
      <c r="E108" s="93"/>
      <c r="F108" s="95"/>
      <c r="G108" s="96"/>
      <c r="H108" s="82"/>
      <c r="I108" s="90"/>
      <c r="J108" s="15"/>
      <c r="K108" s="91">
        <f>Benefits!V55</f>
        <v>16410.959999999995</v>
      </c>
      <c r="L108" s="15"/>
      <c r="M108" s="92">
        <f>Benefits!V55</f>
        <v>16410.959999999995</v>
      </c>
      <c r="N108" s="27" t="s">
        <v>130</v>
      </c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3.5" customHeight="1">
      <c r="A109" s="5"/>
      <c r="B109" s="77" t="s">
        <v>132</v>
      </c>
      <c r="C109" s="109"/>
      <c r="D109" s="110"/>
      <c r="E109" s="109"/>
      <c r="F109" s="111"/>
      <c r="G109" s="112"/>
      <c r="H109" s="82"/>
      <c r="I109" s="90"/>
      <c r="J109" s="15"/>
      <c r="K109" s="91">
        <f>Benefits!AB55</f>
        <v>2543.2200000000003</v>
      </c>
      <c r="L109" s="15"/>
      <c r="M109" s="92">
        <f>Benefits!AB55</f>
        <v>2543.2200000000003</v>
      </c>
      <c r="N109" s="27" t="s">
        <v>130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3.5" customHeight="1">
      <c r="A110" s="5"/>
      <c r="B110" s="77" t="s">
        <v>133</v>
      </c>
      <c r="C110" s="93">
        <f>'P&amp;L (QB)'!B113</f>
        <v>11738.99</v>
      </c>
      <c r="D110" s="94"/>
      <c r="E110" s="109">
        <f>'P&amp;L (QB)'!D113</f>
        <v>11341.01</v>
      </c>
      <c r="F110" s="111"/>
      <c r="G110" s="96">
        <f>'P&amp;L (QB)'!E113</f>
        <v>6580</v>
      </c>
      <c r="H110" s="82"/>
      <c r="I110" s="90">
        <v>21658.772549999998</v>
      </c>
      <c r="J110" s="15"/>
      <c r="K110" s="91">
        <f>(K78+K88+K91)*0.75%</f>
        <v>17204.510907</v>
      </c>
      <c r="L110" s="15"/>
      <c r="M110" s="114">
        <v>16000</v>
      </c>
      <c r="N110" s="42" t="s">
        <v>134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3.5" customHeight="1">
      <c r="A111" s="5"/>
      <c r="B111" s="77" t="s">
        <v>135</v>
      </c>
      <c r="C111" s="109">
        <f>'P&amp;L (QB)'!B114+'P&amp;L (QB)'!B118+'P&amp;L (QB)'!B119+'P&amp;L (QB)'!B120+'P&amp;L (QB)'!B121</f>
        <v>8610</v>
      </c>
      <c r="D111" s="110"/>
      <c r="E111" s="109">
        <f>'P&amp;L (QB)'!D114+'P&amp;L (QB)'!D118+'P&amp;L (QB)'!D119+'P&amp;L (QB)'!D120+'P&amp;L (QB)'!D121+'P&amp;L (QB)'!D117</f>
        <v>11292.66</v>
      </c>
      <c r="F111" s="111"/>
      <c r="G111" s="112">
        <f>'P&amp;L (QB)'!E114+'P&amp;L (QB)'!E118+'P&amp;L (QB)'!E119+'P&amp;L (QB)'!E120+'P&amp;L (QB)'!E121+'P&amp;L (QB)'!E117</f>
        <v>15696.55</v>
      </c>
      <c r="H111" s="82"/>
      <c r="I111" s="90">
        <v>18938.075999999997</v>
      </c>
      <c r="J111" s="15"/>
      <c r="K111" s="113"/>
      <c r="L111" s="15"/>
      <c r="M111" s="114"/>
      <c r="N111" s="27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3.5" customHeight="1">
      <c r="A112" s="5"/>
      <c r="B112" s="77" t="s">
        <v>136</v>
      </c>
      <c r="C112" s="109"/>
      <c r="D112" s="110"/>
      <c r="E112" s="109"/>
      <c r="F112" s="111"/>
      <c r="G112" s="112"/>
      <c r="H112" s="82"/>
      <c r="I112" s="90"/>
      <c r="J112" s="15"/>
      <c r="K112" s="91"/>
      <c r="L112" s="15"/>
      <c r="M112" s="92"/>
      <c r="N112" s="27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3.5" customHeight="1">
      <c r="A113" s="5"/>
      <c r="B113" s="77" t="s">
        <v>137</v>
      </c>
      <c r="C113" s="109">
        <f>'P&amp;L (QB)'!B116</f>
        <v>0</v>
      </c>
      <c r="D113" s="110"/>
      <c r="E113" s="109">
        <f>'P&amp;L (QB)'!D116</f>
        <v>0</v>
      </c>
      <c r="F113" s="111"/>
      <c r="G113" s="112">
        <f>'P&amp;L (QB)'!E116</f>
        <v>0</v>
      </c>
      <c r="H113" s="82"/>
      <c r="I113" s="90"/>
      <c r="J113" s="15"/>
      <c r="K113" s="91"/>
      <c r="L113" s="15"/>
      <c r="M113" s="92"/>
      <c r="N113" s="27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3.5" customHeight="1">
      <c r="A114" s="5"/>
      <c r="B114" s="77" t="s">
        <v>138</v>
      </c>
      <c r="C114" s="109">
        <f>'P&amp;L (QB)'!B122</f>
        <v>3750</v>
      </c>
      <c r="D114" s="110"/>
      <c r="E114" s="109">
        <f>'P&amp;L (QB)'!D122</f>
        <v>0</v>
      </c>
      <c r="F114" s="111"/>
      <c r="G114" s="112"/>
      <c r="H114" s="82"/>
      <c r="I114" s="90"/>
      <c r="J114" s="15"/>
      <c r="K114" s="113"/>
      <c r="L114" s="15"/>
      <c r="M114" s="114"/>
      <c r="N114" s="27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3.5" customHeight="1">
      <c r="A115" s="102"/>
      <c r="B115" s="103" t="s">
        <v>139</v>
      </c>
      <c r="C115" s="104">
        <f>(((((((C106)+(C107))+(C108))+(C109))+(C110))+(C111))+(C112))+(C113)+(C114)</f>
        <v>106231.37000000001</v>
      </c>
      <c r="D115" s="105"/>
      <c r="E115" s="104">
        <f>(((((((E106)+(E107))+(E108))+(E109))+(E110))+(E111))+(E112))+(E113)+(E114)</f>
        <v>139550.01999999999</v>
      </c>
      <c r="F115" s="106"/>
      <c r="G115" s="107">
        <f>(((((((G106)+(G107))+(G108))+(G109))+(G110))+(G111))+(G112))+(G113)</f>
        <v>173098.47999999998</v>
      </c>
      <c r="H115" s="69"/>
      <c r="I115" s="107">
        <f>SUM(I106:I114)</f>
        <v>344522.64854999998</v>
      </c>
      <c r="J115" s="69"/>
      <c r="K115" s="107">
        <f>SUM(K106:K114)</f>
        <v>313991.99090699997</v>
      </c>
      <c r="L115" s="69"/>
      <c r="M115" s="107">
        <f>SUM(M106:M114)</f>
        <v>312787.48</v>
      </c>
      <c r="N115" s="108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</row>
    <row r="116" spans="1:28" ht="13.5" customHeight="1">
      <c r="A116" s="5"/>
      <c r="B116" s="77" t="s">
        <v>140</v>
      </c>
      <c r="C116" s="109"/>
      <c r="D116" s="110"/>
      <c r="E116" s="109"/>
      <c r="F116" s="111"/>
      <c r="G116" s="112"/>
      <c r="H116" s="82"/>
      <c r="I116" s="90"/>
      <c r="J116" s="15"/>
      <c r="K116" s="91"/>
      <c r="L116" s="15"/>
      <c r="M116" s="92"/>
      <c r="N116" s="27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3.5" customHeight="1">
      <c r="A117" s="5"/>
      <c r="B117" s="77" t="s">
        <v>141</v>
      </c>
      <c r="C117" s="109">
        <f>'P&amp;L (QB)'!B125</f>
        <v>0</v>
      </c>
      <c r="D117" s="110"/>
      <c r="E117" s="109">
        <f>'P&amp;L (QB)'!D125</f>
        <v>0</v>
      </c>
      <c r="F117" s="111"/>
      <c r="G117" s="112">
        <f>'P&amp;L (QB)'!E125</f>
        <v>0</v>
      </c>
      <c r="H117" s="82"/>
      <c r="I117" s="90"/>
      <c r="J117" s="15"/>
      <c r="K117" s="91"/>
      <c r="L117" s="15"/>
      <c r="M117" s="92"/>
      <c r="N117" s="27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3.5" customHeight="1">
      <c r="A118" s="5"/>
      <c r="B118" s="77" t="s">
        <v>142</v>
      </c>
      <c r="C118" s="109">
        <f>'P&amp;L (QB)'!B126</f>
        <v>0</v>
      </c>
      <c r="D118" s="110"/>
      <c r="E118" s="109">
        <f>'P&amp;L (QB)'!D126</f>
        <v>0</v>
      </c>
      <c r="F118" s="111"/>
      <c r="G118" s="112">
        <f>'P&amp;L (QB)'!E126</f>
        <v>0</v>
      </c>
      <c r="H118" s="82"/>
      <c r="I118" s="90"/>
      <c r="J118" s="15"/>
      <c r="K118" s="113">
        <v>24000</v>
      </c>
      <c r="L118" s="15"/>
      <c r="M118" s="114"/>
      <c r="N118" s="42" t="s">
        <v>143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3.5" customHeight="1">
      <c r="A119" s="5"/>
      <c r="B119" s="77" t="s">
        <v>144</v>
      </c>
      <c r="C119" s="109">
        <f>'P&amp;L (QB)'!B127</f>
        <v>0</v>
      </c>
      <c r="D119" s="110"/>
      <c r="E119" s="109">
        <f>'P&amp;L (QB)'!D127</f>
        <v>0</v>
      </c>
      <c r="F119" s="111"/>
      <c r="G119" s="112">
        <f>'P&amp;L (QB)'!E127</f>
        <v>0</v>
      </c>
      <c r="H119" s="82"/>
      <c r="I119" s="90"/>
      <c r="J119" s="15"/>
      <c r="K119" s="91"/>
      <c r="L119" s="15"/>
      <c r="M119" s="92"/>
      <c r="N119" s="27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3.5" customHeight="1">
      <c r="A120" s="102"/>
      <c r="B120" s="103" t="s">
        <v>145</v>
      </c>
      <c r="C120" s="104">
        <f>(((C116)+(C117))+(C118))+(C119)</f>
        <v>0</v>
      </c>
      <c r="D120" s="105"/>
      <c r="E120" s="104">
        <f>(((E116)+(E117))+(E118))+(E119)</f>
        <v>0</v>
      </c>
      <c r="F120" s="106"/>
      <c r="G120" s="107">
        <f>(((G116)+(G117))+(G118))+(G119)</f>
        <v>0</v>
      </c>
      <c r="H120" s="69"/>
      <c r="I120" s="107">
        <f>SUM(I116:I119)</f>
        <v>0</v>
      </c>
      <c r="J120" s="69"/>
      <c r="K120" s="107">
        <f>SUM(K116:K119)</f>
        <v>24000</v>
      </c>
      <c r="L120" s="69"/>
      <c r="M120" s="107">
        <f>SUM(M116:M119)</f>
        <v>0</v>
      </c>
      <c r="N120" s="108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</row>
    <row r="121" spans="1:28" ht="13.5" customHeight="1">
      <c r="A121" s="102"/>
      <c r="B121" s="103" t="s">
        <v>146</v>
      </c>
      <c r="C121" s="104">
        <f>((((((C61)+(C78))+(C88))+(C91))+(C105))+(C115))+(C120)</f>
        <v>1177574.9700000002</v>
      </c>
      <c r="D121" s="105"/>
      <c r="E121" s="104">
        <f>((((((E61)+(E78))+(E88))+(E91))+(E105))+(E115))+(E120)</f>
        <v>1386963.35</v>
      </c>
      <c r="F121" s="106"/>
      <c r="G121" s="107">
        <f>((((((G61)+(G78))+(G88))+(G91))+(G105))+(G115))+(G120)</f>
        <v>2216694.06</v>
      </c>
      <c r="H121" s="69"/>
      <c r="I121" s="107">
        <f>((((((I61)+(I78))+(I88))+(I91))+(I105))+(I115))+(I120)</f>
        <v>3502371.68634</v>
      </c>
      <c r="J121" s="69"/>
      <c r="K121" s="107">
        <f>((((((K61)+(K78))+(K88))+(K91))+(K105))+(K115))+(K120)</f>
        <v>2850005.1383075998</v>
      </c>
      <c r="L121" s="69"/>
      <c r="M121" s="107">
        <f>((((((M61)+(M78))+(M88))+(M91))+(M105))+(M115))+(M120)</f>
        <v>3302357.9987451998</v>
      </c>
      <c r="N121" s="108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</row>
    <row r="122" spans="1:28" ht="13.5" customHeight="1">
      <c r="A122" s="5"/>
      <c r="B122" s="77" t="s">
        <v>147</v>
      </c>
      <c r="C122" s="109"/>
      <c r="D122" s="110"/>
      <c r="E122" s="109"/>
      <c r="F122" s="111"/>
      <c r="G122" s="112"/>
      <c r="H122" s="82"/>
      <c r="I122" s="90"/>
      <c r="J122" s="15"/>
      <c r="K122" s="91"/>
      <c r="L122" s="15"/>
      <c r="M122" s="92"/>
      <c r="N122" s="27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3.5" customHeight="1">
      <c r="A123" s="5"/>
      <c r="B123" s="77" t="s">
        <v>148</v>
      </c>
      <c r="C123" s="109">
        <f>'P&amp;L (QB)'!B131</f>
        <v>23000</v>
      </c>
      <c r="D123" s="110"/>
      <c r="E123" s="109">
        <f>'P&amp;L (QB)'!D131</f>
        <v>28250</v>
      </c>
      <c r="F123" s="111"/>
      <c r="G123" s="112">
        <f>'P&amp;L (QB)'!E131</f>
        <v>26250</v>
      </c>
      <c r="H123" s="82"/>
      <c r="I123" s="90">
        <v>23000</v>
      </c>
      <c r="J123" s="15"/>
      <c r="K123" s="113">
        <v>25000</v>
      </c>
      <c r="L123" s="15"/>
      <c r="M123" s="114">
        <v>25000</v>
      </c>
      <c r="N123" s="27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3.5" customHeight="1">
      <c r="A124" s="5"/>
      <c r="B124" s="77" t="s">
        <v>149</v>
      </c>
      <c r="C124" s="109">
        <f>'P&amp;L (QB)'!B132</f>
        <v>18060</v>
      </c>
      <c r="D124" s="110"/>
      <c r="E124" s="109">
        <f>'P&amp;L (QB)'!D132</f>
        <v>17535</v>
      </c>
      <c r="F124" s="111"/>
      <c r="G124" s="112">
        <f>'P&amp;L (QB)'!E132</f>
        <v>34446.69</v>
      </c>
      <c r="H124" s="82"/>
      <c r="I124" s="90">
        <v>54120</v>
      </c>
      <c r="J124" s="15"/>
      <c r="K124" s="113">
        <f>(12.5*K7*24)+5000</f>
        <v>17300</v>
      </c>
      <c r="L124" s="15"/>
      <c r="M124" s="114">
        <f>(12.5*M7*24)+5000</f>
        <v>17300</v>
      </c>
      <c r="N124" s="139" t="s">
        <v>150</v>
      </c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3.5" customHeight="1">
      <c r="A125" s="5"/>
      <c r="B125" s="77" t="s">
        <v>151</v>
      </c>
      <c r="C125" s="109">
        <f>'P&amp;L (QB)'!B133</f>
        <v>68107.649999999994</v>
      </c>
      <c r="D125" s="110"/>
      <c r="E125" s="109">
        <f>'P&amp;L (QB)'!D133</f>
        <v>75699.5</v>
      </c>
      <c r="F125" s="111"/>
      <c r="G125" s="112">
        <f>'P&amp;L (QB)'!E133</f>
        <v>72072.3</v>
      </c>
      <c r="H125" s="82"/>
      <c r="I125" s="90">
        <v>80000</v>
      </c>
      <c r="J125" s="15"/>
      <c r="K125" s="113">
        <v>96000</v>
      </c>
      <c r="L125" s="15"/>
      <c r="M125" s="114">
        <v>96000</v>
      </c>
      <c r="N125" s="139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3.5" customHeight="1">
      <c r="A126" s="5"/>
      <c r="B126" s="140" t="s">
        <v>152</v>
      </c>
      <c r="C126" s="109">
        <f>'P&amp;L (QB)'!B134</f>
        <v>630</v>
      </c>
      <c r="D126" s="110"/>
      <c r="E126" s="109">
        <f>'P&amp;L (QB)'!D134</f>
        <v>0</v>
      </c>
      <c r="F126" s="111"/>
      <c r="G126" s="112">
        <f>'P&amp;L (QB)'!E134</f>
        <v>26519.14</v>
      </c>
      <c r="H126" s="82"/>
      <c r="I126" s="90">
        <v>10000</v>
      </c>
      <c r="J126" s="15"/>
      <c r="K126" s="91"/>
      <c r="L126" s="15"/>
      <c r="M126" s="114">
        <v>10000</v>
      </c>
      <c r="N126" s="27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3.5" customHeight="1">
      <c r="A127" s="5"/>
      <c r="B127" s="140" t="s">
        <v>153</v>
      </c>
      <c r="C127" s="109">
        <f>'P&amp;L (QB)'!B135</f>
        <v>0</v>
      </c>
      <c r="D127" s="110"/>
      <c r="E127" s="109">
        <f>'P&amp;L (QB)'!D135</f>
        <v>0</v>
      </c>
      <c r="F127" s="111"/>
      <c r="G127" s="112">
        <f>'P&amp;L (QB)'!E135</f>
        <v>0</v>
      </c>
      <c r="H127" s="82"/>
      <c r="I127" s="90"/>
      <c r="J127" s="15"/>
      <c r="K127" s="91"/>
      <c r="L127" s="15"/>
      <c r="M127" s="92"/>
      <c r="N127" s="27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3.5" customHeight="1">
      <c r="A128" s="5"/>
      <c r="B128" s="140" t="s">
        <v>154</v>
      </c>
      <c r="C128" s="109">
        <f>'P&amp;L (QB)'!B136</f>
        <v>0</v>
      </c>
      <c r="D128" s="110"/>
      <c r="E128" s="109">
        <f>'P&amp;L (QB)'!D136</f>
        <v>0</v>
      </c>
      <c r="F128" s="111"/>
      <c r="G128" s="112">
        <f>'P&amp;L (QB)'!E136</f>
        <v>0</v>
      </c>
      <c r="H128" s="82"/>
      <c r="I128" s="90"/>
      <c r="J128" s="15"/>
      <c r="K128" s="91"/>
      <c r="L128" s="15"/>
      <c r="M128" s="92"/>
      <c r="N128" s="27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3.5" customHeight="1">
      <c r="A129" s="5"/>
      <c r="B129" s="140" t="s">
        <v>155</v>
      </c>
      <c r="C129" s="109">
        <f>'P&amp;L (QB)'!B137</f>
        <v>2500</v>
      </c>
      <c r="D129" s="110"/>
      <c r="E129" s="109">
        <f>'P&amp;L (QB)'!D137</f>
        <v>6775</v>
      </c>
      <c r="F129" s="111"/>
      <c r="G129" s="112">
        <f>'P&amp;L (QB)'!E137</f>
        <v>7885</v>
      </c>
      <c r="H129" s="82"/>
      <c r="I129" s="90">
        <v>6500</v>
      </c>
      <c r="J129" s="15"/>
      <c r="K129" s="113">
        <v>6000</v>
      </c>
      <c r="L129" s="15"/>
      <c r="M129" s="114">
        <v>6000</v>
      </c>
      <c r="N129" s="27" t="s">
        <v>156</v>
      </c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3.5" customHeight="1">
      <c r="A130" s="5"/>
      <c r="B130" s="140" t="s">
        <v>157</v>
      </c>
      <c r="C130" s="109">
        <f>'P&amp;L (QB)'!B138</f>
        <v>3000</v>
      </c>
      <c r="D130" s="110"/>
      <c r="E130" s="109">
        <f>'P&amp;L (QB)'!D138</f>
        <v>6000</v>
      </c>
      <c r="F130" s="110"/>
      <c r="G130" s="112">
        <f>'P&amp;L (QB)'!E138</f>
        <v>4000</v>
      </c>
      <c r="H130" s="110"/>
      <c r="I130" s="90">
        <v>6000</v>
      </c>
      <c r="J130" s="110"/>
      <c r="K130" s="113">
        <v>6000</v>
      </c>
      <c r="L130" s="110"/>
      <c r="M130" s="114">
        <v>6000</v>
      </c>
      <c r="N130" s="27" t="s">
        <v>158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3.5" customHeight="1">
      <c r="A131" s="5"/>
      <c r="B131" s="140" t="s">
        <v>159</v>
      </c>
      <c r="C131" s="109">
        <f>'P&amp;L (QB)'!B139</f>
        <v>0</v>
      </c>
      <c r="D131" s="110"/>
      <c r="E131" s="109">
        <f>'P&amp;L (QB)'!D139</f>
        <v>0</v>
      </c>
      <c r="F131" s="110"/>
      <c r="G131" s="112">
        <f>'P&amp;L (QB)'!E139</f>
        <v>0</v>
      </c>
      <c r="H131" s="110"/>
      <c r="I131" s="90">
        <v>25000</v>
      </c>
      <c r="J131" s="110"/>
      <c r="K131" s="113">
        <v>30000</v>
      </c>
      <c r="L131" s="110"/>
      <c r="M131" s="114"/>
      <c r="N131" s="27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3.5" customHeight="1">
      <c r="A132" s="5"/>
      <c r="B132" s="140" t="s">
        <v>160</v>
      </c>
      <c r="C132" s="109">
        <f>'P&amp;L (QB)'!B140</f>
        <v>0</v>
      </c>
      <c r="D132" s="110"/>
      <c r="E132" s="109">
        <f>'P&amp;L (QB)'!D140</f>
        <v>0</v>
      </c>
      <c r="F132" s="110"/>
      <c r="G132" s="112">
        <f>'P&amp;L (QB)'!E140</f>
        <v>10064.469999999999</v>
      </c>
      <c r="H132" s="110"/>
      <c r="I132" s="90">
        <v>10000</v>
      </c>
      <c r="J132" s="110"/>
      <c r="K132" s="91"/>
      <c r="L132" s="110"/>
      <c r="M132" s="92">
        <f>2400+150+10000</f>
        <v>12550</v>
      </c>
      <c r="N132" s="141" t="s">
        <v>161</v>
      </c>
      <c r="O132" s="142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3.5" customHeight="1">
      <c r="A133" s="5"/>
      <c r="B133" s="140" t="s">
        <v>162</v>
      </c>
      <c r="C133" s="109">
        <f>'P&amp;L (QB)'!B141</f>
        <v>0</v>
      </c>
      <c r="D133" s="110"/>
      <c r="E133" s="109">
        <f>'P&amp;L (QB)'!D141</f>
        <v>4000</v>
      </c>
      <c r="F133" s="110"/>
      <c r="G133" s="112">
        <f>'P&amp;L (QB)'!E141</f>
        <v>102997.42</v>
      </c>
      <c r="H133" s="110"/>
      <c r="I133" s="90"/>
      <c r="J133" s="110"/>
      <c r="K133" s="113">
        <v>35000</v>
      </c>
      <c r="L133" s="110"/>
      <c r="M133" s="114">
        <f>Stipend!D10+66420+4500</f>
        <v>130920</v>
      </c>
      <c r="N133" s="141" t="s">
        <v>163</v>
      </c>
      <c r="O133" s="142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3.5" customHeight="1">
      <c r="A134" s="5"/>
      <c r="B134" s="140" t="s">
        <v>164</v>
      </c>
      <c r="C134" s="109">
        <f>'P&amp;L (QB)'!B142</f>
        <v>0</v>
      </c>
      <c r="D134" s="110"/>
      <c r="E134" s="109">
        <f>'P&amp;L (QB)'!D142</f>
        <v>0</v>
      </c>
      <c r="F134" s="111"/>
      <c r="G134" s="112">
        <f>'P&amp;L (QB)'!E142</f>
        <v>0</v>
      </c>
      <c r="H134" s="82"/>
      <c r="I134" s="90">
        <v>0</v>
      </c>
      <c r="J134" s="15"/>
      <c r="K134" s="91"/>
      <c r="L134" s="15"/>
      <c r="M134" s="92"/>
      <c r="N134" s="27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3.5" customHeight="1">
      <c r="A135" s="5"/>
      <c r="B135" s="140" t="s">
        <v>165</v>
      </c>
      <c r="C135" s="109">
        <f>'P&amp;L (QB)'!B143</f>
        <v>0</v>
      </c>
      <c r="D135" s="110"/>
      <c r="E135" s="109">
        <f>'P&amp;L (QB)'!D143</f>
        <v>0</v>
      </c>
      <c r="F135" s="111"/>
      <c r="G135" s="112">
        <f>'P&amp;L (QB)'!E143</f>
        <v>15625</v>
      </c>
      <c r="H135" s="82"/>
      <c r="I135" s="90">
        <v>10000</v>
      </c>
      <c r="J135" s="15"/>
      <c r="K135" s="113">
        <v>15000</v>
      </c>
      <c r="L135" s="15"/>
      <c r="M135" s="114">
        <v>60000</v>
      </c>
      <c r="N135" s="27" t="s">
        <v>166</v>
      </c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3.5" customHeight="1">
      <c r="A136" s="5"/>
      <c r="B136" s="143" t="s">
        <v>167</v>
      </c>
      <c r="C136" s="109">
        <f>'P&amp;L (QB)'!B144</f>
        <v>5380</v>
      </c>
      <c r="D136" s="110"/>
      <c r="E136" s="109">
        <f>'P&amp;L (QB)'!D144</f>
        <v>651.04</v>
      </c>
      <c r="F136" s="111"/>
      <c r="G136" s="112">
        <f>'P&amp;L (QB)'!E144</f>
        <v>22413.759999999998</v>
      </c>
      <c r="H136" s="82"/>
      <c r="I136" s="90">
        <v>10000</v>
      </c>
      <c r="J136" s="15"/>
      <c r="K136" s="91"/>
      <c r="L136" s="15"/>
      <c r="M136" s="114">
        <v>49000</v>
      </c>
      <c r="N136" s="27" t="s">
        <v>168</v>
      </c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3.5" customHeight="1">
      <c r="A137" s="102"/>
      <c r="B137" s="103" t="s">
        <v>169</v>
      </c>
      <c r="C137" s="104">
        <f>(((((((((((((C122)+(C123))+(C124))+(C125))+(C126))+(C127))+(C128))+(C129))+(C130))+(C131))+(C132))+C133+(C134))+(C135))+(C136)</f>
        <v>120677.65</v>
      </c>
      <c r="D137" s="105"/>
      <c r="E137" s="104">
        <f>(((((((((((((E122)+(E123))+(E124))+(E125))+(E126))+(E127))+(E128))+(E129))+(E130))+(E131))+(E132))+E133+(E134))+(E135))+(E136)</f>
        <v>138910.54</v>
      </c>
      <c r="F137" s="106"/>
      <c r="G137" s="107">
        <f>(((((((((((((G122)+(G123))+(G124))+(G125))+(G126))+(G127))+(G128))+(G129))+(G130))+(G131))+(G132))+G133+(G134))+(G135))+(G136)</f>
        <v>322273.78000000003</v>
      </c>
      <c r="H137" s="69"/>
      <c r="I137" s="107">
        <f>SUM(I122:I136)</f>
        <v>234620</v>
      </c>
      <c r="J137" s="69"/>
      <c r="K137" s="107">
        <f>SUM(K122:K136)</f>
        <v>230300</v>
      </c>
      <c r="L137" s="69"/>
      <c r="M137" s="107">
        <f>SUM(M122:M136)</f>
        <v>412770</v>
      </c>
      <c r="N137" s="108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</row>
    <row r="138" spans="1:28" ht="13.5" customHeight="1">
      <c r="A138" s="5"/>
      <c r="B138" s="77" t="s">
        <v>170</v>
      </c>
      <c r="C138" s="109"/>
      <c r="D138" s="110"/>
      <c r="E138" s="109"/>
      <c r="F138" s="111"/>
      <c r="G138" s="112"/>
      <c r="H138" s="82"/>
      <c r="I138" s="90"/>
      <c r="J138" s="15"/>
      <c r="K138" s="91"/>
      <c r="L138" s="15"/>
      <c r="M138" s="92"/>
      <c r="N138" s="27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3.5" customHeight="1">
      <c r="A139" s="5"/>
      <c r="B139" s="77" t="s">
        <v>171</v>
      </c>
      <c r="C139" s="109">
        <f>'P&amp;L (QB)'!B147</f>
        <v>414.99</v>
      </c>
      <c r="D139" s="110"/>
      <c r="E139" s="109">
        <f>'P&amp;L (QB)'!D147</f>
        <v>0</v>
      </c>
      <c r="F139" s="111"/>
      <c r="G139" s="112">
        <f>'P&amp;L (QB)'!E147</f>
        <v>669.42</v>
      </c>
      <c r="H139" s="82"/>
      <c r="I139" s="90">
        <v>1200</v>
      </c>
      <c r="J139" s="15"/>
      <c r="K139" s="113">
        <v>1200</v>
      </c>
      <c r="L139" s="15">
        <v>1</v>
      </c>
      <c r="M139" s="114">
        <v>1200</v>
      </c>
      <c r="N139" s="27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3.5" customHeight="1">
      <c r="A140" s="5"/>
      <c r="B140" s="77" t="s">
        <v>172</v>
      </c>
      <c r="C140" s="109">
        <f>'P&amp;L (QB)'!B148</f>
        <v>11187.5</v>
      </c>
      <c r="D140" s="110"/>
      <c r="E140" s="109">
        <f>'P&amp;L (QB)'!D148</f>
        <v>0</v>
      </c>
      <c r="F140" s="111"/>
      <c r="G140" s="112">
        <f>'P&amp;L (QB)'!E148</f>
        <v>18500</v>
      </c>
      <c r="H140" s="82"/>
      <c r="I140" s="90">
        <v>20000</v>
      </c>
      <c r="J140" s="15"/>
      <c r="K140" s="113">
        <v>10000</v>
      </c>
      <c r="L140" s="15"/>
      <c r="M140" s="114">
        <v>10000</v>
      </c>
      <c r="N140" s="27" t="s">
        <v>173</v>
      </c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3.5" customHeight="1">
      <c r="A141" s="102"/>
      <c r="B141" s="103" t="s">
        <v>174</v>
      </c>
      <c r="C141" s="104">
        <f>((C138)+(C139))+(C140)</f>
        <v>11602.49</v>
      </c>
      <c r="D141" s="105"/>
      <c r="E141" s="104">
        <f>((E138)+(E139))+(E140)</f>
        <v>0</v>
      </c>
      <c r="F141" s="106"/>
      <c r="G141" s="107">
        <f>((G138)+(G139))+(G140)</f>
        <v>19169.419999999998</v>
      </c>
      <c r="H141" s="69"/>
      <c r="I141" s="107">
        <f>SUM(I138:I140)</f>
        <v>21200</v>
      </c>
      <c r="J141" s="69"/>
      <c r="K141" s="107">
        <f>SUM(K138:K140)</f>
        <v>11200</v>
      </c>
      <c r="L141" s="69"/>
      <c r="M141" s="107">
        <f>SUM(M138:M140)</f>
        <v>11200</v>
      </c>
      <c r="N141" s="108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</row>
    <row r="142" spans="1:28" ht="13.5" customHeight="1">
      <c r="A142" s="5"/>
      <c r="B142" s="77" t="s">
        <v>175</v>
      </c>
      <c r="C142" s="109"/>
      <c r="D142" s="110"/>
      <c r="E142" s="109"/>
      <c r="F142" s="111"/>
      <c r="G142" s="112"/>
      <c r="H142" s="82"/>
      <c r="I142" s="90"/>
      <c r="J142" s="15"/>
      <c r="K142" s="91"/>
      <c r="L142" s="15"/>
      <c r="M142" s="92"/>
      <c r="N142" s="27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3.5" customHeight="1">
      <c r="A143" s="5"/>
      <c r="B143" s="77" t="s">
        <v>176</v>
      </c>
      <c r="C143" s="112">
        <f>'P&amp;L (QB)'!B151</f>
        <v>41823.18</v>
      </c>
      <c r="D143" s="144"/>
      <c r="E143" s="109">
        <f>'P&amp;L (QB)'!D151</f>
        <v>17783.04</v>
      </c>
      <c r="F143" s="111"/>
      <c r="G143" s="112">
        <f>'P&amp;L (QB)'!E151</f>
        <v>34558.22</v>
      </c>
      <c r="H143" s="82"/>
      <c r="I143" s="90">
        <v>54390</v>
      </c>
      <c r="J143" s="15"/>
      <c r="K143" s="113">
        <v>65000</v>
      </c>
      <c r="L143" s="15"/>
      <c r="M143" s="114">
        <v>65000</v>
      </c>
      <c r="N143" s="42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3.5" customHeight="1">
      <c r="A144" s="5"/>
      <c r="B144" s="77" t="s">
        <v>177</v>
      </c>
      <c r="C144" s="145">
        <f>'P&amp;L (QB)'!B152</f>
        <v>33.479999999999997</v>
      </c>
      <c r="D144" s="146"/>
      <c r="E144" s="145">
        <f>'P&amp;L (QB)'!D152</f>
        <v>44.5</v>
      </c>
      <c r="F144" s="147"/>
      <c r="G144" s="145">
        <f>'P&amp;L (QB)'!E152</f>
        <v>909.64</v>
      </c>
      <c r="H144" s="148"/>
      <c r="I144" s="90">
        <v>5200</v>
      </c>
      <c r="J144" s="15"/>
      <c r="K144" s="149">
        <v>6000</v>
      </c>
      <c r="L144" s="150"/>
      <c r="M144" s="114">
        <v>6000</v>
      </c>
      <c r="N144" s="27" t="s">
        <v>178</v>
      </c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3.5" customHeight="1">
      <c r="A145" s="5"/>
      <c r="B145" s="77" t="s">
        <v>179</v>
      </c>
      <c r="C145" s="145">
        <f>'P&amp;L (QB)'!B153</f>
        <v>513.38</v>
      </c>
      <c r="D145" s="146"/>
      <c r="E145" s="145">
        <f>'P&amp;L (QB)'!D153</f>
        <v>105.23</v>
      </c>
      <c r="F145" s="147"/>
      <c r="G145" s="145">
        <f>'P&amp;L (QB)'!E153</f>
        <v>120.49</v>
      </c>
      <c r="H145" s="148"/>
      <c r="I145" s="90">
        <v>5000</v>
      </c>
      <c r="J145" s="15"/>
      <c r="K145" s="149">
        <v>7500</v>
      </c>
      <c r="L145" s="151"/>
      <c r="M145" s="114">
        <v>7500</v>
      </c>
      <c r="N145" s="27" t="s">
        <v>178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3.5" customHeight="1">
      <c r="A146" s="5"/>
      <c r="B146" s="77" t="s">
        <v>180</v>
      </c>
      <c r="C146" s="109">
        <f>'P&amp;L (QB)'!B156</f>
        <v>385.06</v>
      </c>
      <c r="D146" s="110"/>
      <c r="E146" s="109">
        <f>'P&amp;L (QB)'!D156</f>
        <v>49.99</v>
      </c>
      <c r="F146" s="111"/>
      <c r="G146" s="112">
        <f>'P&amp;L (QB)'!E154</f>
        <v>0</v>
      </c>
      <c r="H146" s="82"/>
      <c r="I146" s="90">
        <v>8000</v>
      </c>
      <c r="J146" s="15"/>
      <c r="K146" s="113">
        <v>5000</v>
      </c>
      <c r="L146" s="15"/>
      <c r="M146" s="114">
        <v>5000</v>
      </c>
      <c r="N146" s="27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3.5" customHeight="1">
      <c r="A147" s="5"/>
      <c r="B147" s="77" t="s">
        <v>181</v>
      </c>
      <c r="C147" s="109">
        <f>'P&amp;L (QB)'!B157</f>
        <v>4950</v>
      </c>
      <c r="D147" s="110"/>
      <c r="E147" s="109">
        <f>'P&amp;L (QB)'!D157</f>
        <v>0</v>
      </c>
      <c r="F147" s="111"/>
      <c r="G147" s="112">
        <f>'P&amp;L (QB)'!E155</f>
        <v>0</v>
      </c>
      <c r="H147" s="82"/>
      <c r="I147" s="90">
        <v>0</v>
      </c>
      <c r="J147" s="15"/>
      <c r="K147" s="91"/>
      <c r="L147" s="15"/>
      <c r="M147" s="92"/>
      <c r="N147" s="101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3.5" customHeight="1">
      <c r="A148" s="5"/>
      <c r="B148" s="77" t="s">
        <v>182</v>
      </c>
      <c r="C148" s="109">
        <f>'P&amp;L (QB)'!B158</f>
        <v>624</v>
      </c>
      <c r="D148" s="110"/>
      <c r="E148" s="109">
        <f>'P&amp;L (QB)'!D158</f>
        <v>0</v>
      </c>
      <c r="F148" s="111"/>
      <c r="G148" s="112">
        <f>'P&amp;L (QB)'!E156</f>
        <v>16014.21</v>
      </c>
      <c r="H148" s="82"/>
      <c r="I148" s="90">
        <v>0</v>
      </c>
      <c r="J148" s="15"/>
      <c r="K148" s="91"/>
      <c r="L148" s="15"/>
      <c r="M148" s="92"/>
      <c r="N148" s="101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3.5" customHeight="1">
      <c r="A149" s="5"/>
      <c r="B149" s="77" t="s">
        <v>183</v>
      </c>
      <c r="C149" s="109">
        <f>'P&amp;L (QB)'!B261</f>
        <v>2363</v>
      </c>
      <c r="D149" s="110"/>
      <c r="E149" s="109">
        <f>'P&amp;L (QB)'!D261</f>
        <v>0</v>
      </c>
      <c r="F149" s="111"/>
      <c r="G149" s="112">
        <f>'P&amp;L (QB)'!E157</f>
        <v>0</v>
      </c>
      <c r="H149" s="82"/>
      <c r="I149" s="90"/>
      <c r="J149" s="15"/>
      <c r="K149" s="91"/>
      <c r="L149" s="15"/>
      <c r="M149" s="92"/>
      <c r="N149" s="27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3.5" customHeight="1">
      <c r="A150" s="102"/>
      <c r="B150" s="103" t="s">
        <v>184</v>
      </c>
      <c r="C150" s="104">
        <f>(((((((C142)+(C143))+(C144))+(C145))+(C146))+(C147))+(C148))+(C149)</f>
        <v>50692.1</v>
      </c>
      <c r="D150" s="105"/>
      <c r="E150" s="104">
        <f>(((((((E142)+(E143))+(E144))+(E145))+(E146))+(E147))+(E148))+(E149)</f>
        <v>17982.760000000002</v>
      </c>
      <c r="F150" s="106"/>
      <c r="G150" s="107">
        <f>(((((((G142)+(G143))+(G144))+(G145))+(G146))+(G147))+(G148))+(G149)</f>
        <v>51602.559999999998</v>
      </c>
      <c r="H150" s="69"/>
      <c r="I150" s="107">
        <f>SUM(I142:I149)</f>
        <v>72590</v>
      </c>
      <c r="J150" s="69"/>
      <c r="K150" s="107">
        <f>SUM(K142:K149)</f>
        <v>83500</v>
      </c>
      <c r="L150" s="69"/>
      <c r="M150" s="107">
        <f>SUM(M142:M149)</f>
        <v>83500</v>
      </c>
      <c r="N150" s="108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</row>
    <row r="151" spans="1:28" ht="13.5" customHeight="1">
      <c r="A151" s="5"/>
      <c r="B151" s="77" t="s">
        <v>185</v>
      </c>
      <c r="C151" s="109"/>
      <c r="D151" s="110"/>
      <c r="E151" s="109"/>
      <c r="F151" s="111"/>
      <c r="G151" s="112"/>
      <c r="H151" s="82"/>
      <c r="I151" s="90"/>
      <c r="J151" s="15"/>
      <c r="K151" s="91"/>
      <c r="L151" s="15"/>
      <c r="M151" s="152"/>
      <c r="N151" s="27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3.5" customHeight="1">
      <c r="A152" s="5"/>
      <c r="B152" s="77" t="s">
        <v>186</v>
      </c>
      <c r="C152" s="109">
        <f>'P&amp;L (QB)'!B162</f>
        <v>0</v>
      </c>
      <c r="D152" s="153"/>
      <c r="E152" s="109">
        <f>'P&amp;L (QB)'!D162</f>
        <v>100</v>
      </c>
      <c r="F152" s="154"/>
      <c r="G152" s="112">
        <f>'P&amp;L (QB)'!E162</f>
        <v>571.80999999999995</v>
      </c>
      <c r="H152" s="155"/>
      <c r="I152" s="90">
        <v>2000</v>
      </c>
      <c r="J152" s="15"/>
      <c r="K152" s="113">
        <v>5000</v>
      </c>
      <c r="L152" s="150"/>
      <c r="M152" s="156">
        <v>5000</v>
      </c>
      <c r="N152" s="27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3.5" customHeight="1">
      <c r="A153" s="102"/>
      <c r="B153" s="103" t="s">
        <v>187</v>
      </c>
      <c r="C153" s="104">
        <f>(C151)+(C152)</f>
        <v>0</v>
      </c>
      <c r="D153" s="105"/>
      <c r="E153" s="104">
        <f>(E151)+(E152)</f>
        <v>100</v>
      </c>
      <c r="F153" s="106"/>
      <c r="G153" s="107">
        <f>(G151)+(G152)</f>
        <v>571.80999999999995</v>
      </c>
      <c r="H153" s="69"/>
      <c r="I153" s="107">
        <f>SUM(I151:I152)</f>
        <v>2000</v>
      </c>
      <c r="J153" s="69"/>
      <c r="K153" s="107">
        <f>SUM(K151:K152)</f>
        <v>5000</v>
      </c>
      <c r="L153" s="69"/>
      <c r="M153" s="107">
        <f>SUM(M151:M152)</f>
        <v>5000</v>
      </c>
      <c r="N153" s="108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</row>
    <row r="154" spans="1:28" ht="13.5" customHeight="1">
      <c r="A154" s="5"/>
      <c r="B154" s="77" t="s">
        <v>188</v>
      </c>
      <c r="C154" s="109"/>
      <c r="D154" s="153"/>
      <c r="E154" s="109"/>
      <c r="F154" s="154"/>
      <c r="G154" s="112"/>
      <c r="H154" s="82"/>
      <c r="I154" s="90"/>
      <c r="J154" s="15"/>
      <c r="K154" s="91"/>
      <c r="L154" s="15"/>
      <c r="M154" s="92"/>
      <c r="N154" s="27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3.5" customHeight="1">
      <c r="A155" s="5"/>
      <c r="B155" s="77" t="s">
        <v>189</v>
      </c>
      <c r="C155" s="109">
        <f>'P&amp;L (QB)'!B165</f>
        <v>8706.3799999999992</v>
      </c>
      <c r="D155" s="153"/>
      <c r="E155" s="109">
        <f>'P&amp;L (QB)'!D165</f>
        <v>0</v>
      </c>
      <c r="F155" s="154"/>
      <c r="G155" s="112">
        <f>'P&amp;L (QB)'!E165</f>
        <v>876.52</v>
      </c>
      <c r="H155" s="155"/>
      <c r="I155" s="90">
        <v>1000</v>
      </c>
      <c r="J155" s="15"/>
      <c r="K155" s="113">
        <v>5000</v>
      </c>
      <c r="L155" s="151"/>
      <c r="M155" s="114">
        <v>5000</v>
      </c>
      <c r="N155" s="27" t="s">
        <v>178</v>
      </c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3.5" customHeight="1">
      <c r="A156" s="5"/>
      <c r="B156" s="77" t="s">
        <v>190</v>
      </c>
      <c r="C156" s="109">
        <f>'P&amp;L (QB)'!B166</f>
        <v>0</v>
      </c>
      <c r="D156" s="153"/>
      <c r="E156" s="109">
        <f>'P&amp;L (QB)'!D166</f>
        <v>2809.94</v>
      </c>
      <c r="F156" s="154"/>
      <c r="G156" s="112">
        <f>'P&amp;L (QB)'!E166</f>
        <v>10020.200000000001</v>
      </c>
      <c r="H156" s="155"/>
      <c r="I156" s="90">
        <v>13230</v>
      </c>
      <c r="J156" s="15"/>
      <c r="K156" s="113">
        <v>5000</v>
      </c>
      <c r="L156" s="151"/>
      <c r="M156" s="114">
        <v>5000</v>
      </c>
      <c r="N156" s="27" t="s">
        <v>178</v>
      </c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3.5" customHeight="1">
      <c r="A157" s="5"/>
      <c r="B157" s="77" t="s">
        <v>191</v>
      </c>
      <c r="C157" s="109">
        <f>'P&amp;L (QB)'!B167</f>
        <v>15528.21</v>
      </c>
      <c r="D157" s="153"/>
      <c r="E157" s="109">
        <f>'P&amp;L (QB)'!D167</f>
        <v>6079.46</v>
      </c>
      <c r="F157" s="154"/>
      <c r="G157" s="112">
        <f>'P&amp;L (QB)'!E167</f>
        <v>12820.74</v>
      </c>
      <c r="H157" s="155"/>
      <c r="I157" s="90">
        <v>15000</v>
      </c>
      <c r="J157" s="15"/>
      <c r="K157" s="113">
        <v>10000</v>
      </c>
      <c r="L157" s="151"/>
      <c r="M157" s="114">
        <v>10000</v>
      </c>
      <c r="N157" s="27" t="s">
        <v>178</v>
      </c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3.5" customHeight="1">
      <c r="A158" s="5"/>
      <c r="B158" s="77" t="s">
        <v>192</v>
      </c>
      <c r="C158" s="109">
        <f>'P&amp;L (QB)'!B168</f>
        <v>0</v>
      </c>
      <c r="D158" s="153"/>
      <c r="E158" s="109">
        <f>'P&amp;L (QB)'!D168</f>
        <v>0</v>
      </c>
      <c r="F158" s="154"/>
      <c r="G158" s="112">
        <f>'P&amp;L (QB)'!E168</f>
        <v>0</v>
      </c>
      <c r="H158" s="155"/>
      <c r="I158" s="90">
        <v>0</v>
      </c>
      <c r="J158" s="15"/>
      <c r="K158" s="91"/>
      <c r="L158" s="157"/>
      <c r="M158" s="92"/>
      <c r="N158" s="158" t="s">
        <v>193</v>
      </c>
      <c r="O158" s="159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3.5" customHeight="1">
      <c r="A159" s="102"/>
      <c r="B159" s="103" t="s">
        <v>194</v>
      </c>
      <c r="C159" s="104">
        <f>((((C154)+(C155))+(C156))+(C157))+(C158)</f>
        <v>24234.589999999997</v>
      </c>
      <c r="D159" s="105"/>
      <c r="E159" s="104">
        <f>((((E154)+(E155))+(E156))+(E157))+(E158)</f>
        <v>8889.4</v>
      </c>
      <c r="F159" s="106"/>
      <c r="G159" s="107">
        <f>((((G154)+(G155))+(G156))+(G157))+(G158)</f>
        <v>23717.46</v>
      </c>
      <c r="H159" s="69"/>
      <c r="I159" s="107">
        <f>SUM(I154:I158)</f>
        <v>29230</v>
      </c>
      <c r="J159" s="69"/>
      <c r="K159" s="107">
        <f>SUM(K154:K158)</f>
        <v>20000</v>
      </c>
      <c r="L159" s="69"/>
      <c r="M159" s="107">
        <f>SUM(M154:M158)</f>
        <v>20000</v>
      </c>
      <c r="N159" s="108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</row>
    <row r="160" spans="1:28" ht="13.5" customHeight="1">
      <c r="A160" s="5"/>
      <c r="B160" s="77" t="s">
        <v>195</v>
      </c>
      <c r="C160" s="109"/>
      <c r="D160" s="110"/>
      <c r="E160" s="109"/>
      <c r="F160" s="111"/>
      <c r="G160" s="112"/>
      <c r="H160" s="82"/>
      <c r="I160" s="90"/>
      <c r="J160" s="15"/>
      <c r="K160" s="91"/>
      <c r="L160" s="15"/>
      <c r="M160" s="92"/>
      <c r="N160" s="27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3.5" customHeight="1">
      <c r="A161" s="5"/>
      <c r="B161" s="77" t="s">
        <v>196</v>
      </c>
      <c r="C161" s="109">
        <f>'P&amp;L (QB)'!B171</f>
        <v>503.63</v>
      </c>
      <c r="D161" s="110"/>
      <c r="E161" s="109">
        <f>'P&amp;L (QB)'!D171</f>
        <v>701.21</v>
      </c>
      <c r="F161" s="111"/>
      <c r="G161" s="112">
        <f>'P&amp;L (QB)'!E171</f>
        <v>1948.05</v>
      </c>
      <c r="H161" s="82"/>
      <c r="I161" s="90">
        <v>7500</v>
      </c>
      <c r="J161" s="15"/>
      <c r="K161" s="113">
        <v>8000</v>
      </c>
      <c r="L161" s="15"/>
      <c r="M161" s="114">
        <v>8000</v>
      </c>
      <c r="N161" s="27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3.5" customHeight="1">
      <c r="A162" s="5"/>
      <c r="B162" s="77" t="s">
        <v>197</v>
      </c>
      <c r="C162" s="109">
        <f>'P&amp;L (QB)'!B172</f>
        <v>130.11000000000001</v>
      </c>
      <c r="D162" s="110"/>
      <c r="E162" s="109">
        <f>'P&amp;L (QB)'!D172</f>
        <v>0</v>
      </c>
      <c r="F162" s="111"/>
      <c r="G162" s="112">
        <f>'P&amp;L (QB)'!E172</f>
        <v>0</v>
      </c>
      <c r="H162" s="82"/>
      <c r="I162" s="90">
        <v>1000</v>
      </c>
      <c r="J162" s="15"/>
      <c r="K162" s="113">
        <v>5000</v>
      </c>
      <c r="L162" s="15"/>
      <c r="M162" s="114">
        <v>5000</v>
      </c>
      <c r="N162" s="27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3.5" customHeight="1">
      <c r="A163" s="5"/>
      <c r="B163" s="77" t="s">
        <v>198</v>
      </c>
      <c r="C163" s="109">
        <f>'P&amp;L (QB)'!B173</f>
        <v>4150.63</v>
      </c>
      <c r="D163" s="110"/>
      <c r="E163" s="109">
        <f>'P&amp;L (QB)'!D173</f>
        <v>1435.17</v>
      </c>
      <c r="F163" s="111"/>
      <c r="G163" s="112">
        <f>'P&amp;L (QB)'!E173</f>
        <v>18219.52</v>
      </c>
      <c r="H163" s="82"/>
      <c r="I163" s="90">
        <v>5000</v>
      </c>
      <c r="J163" s="15"/>
      <c r="K163" s="113">
        <v>20000</v>
      </c>
      <c r="L163" s="15"/>
      <c r="M163" s="114">
        <v>20000</v>
      </c>
      <c r="N163" s="27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3.5" customHeight="1">
      <c r="A164" s="102"/>
      <c r="B164" s="103" t="s">
        <v>199</v>
      </c>
      <c r="C164" s="104">
        <f>(((C160)+(C161))+(C162))+(C163)</f>
        <v>4784.37</v>
      </c>
      <c r="D164" s="105"/>
      <c r="E164" s="104">
        <f>(((E160)+(E161))+(E162))+(E163)</f>
        <v>2136.38</v>
      </c>
      <c r="F164" s="106"/>
      <c r="G164" s="107">
        <f>(((G160)+(G161))+(G162))+(G163)</f>
        <v>20167.57</v>
      </c>
      <c r="H164" s="69"/>
      <c r="I164" s="107">
        <f>SUM(I160:I163)</f>
        <v>13500</v>
      </c>
      <c r="J164" s="69"/>
      <c r="K164" s="107">
        <f>SUM(K160:K163)</f>
        <v>33000</v>
      </c>
      <c r="L164" s="69"/>
      <c r="M164" s="107">
        <f>SUM(M160:M163)</f>
        <v>33000</v>
      </c>
      <c r="N164" s="108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</row>
    <row r="165" spans="1:28" ht="13.5" customHeight="1">
      <c r="A165" s="5"/>
      <c r="B165" s="77" t="s">
        <v>200</v>
      </c>
      <c r="C165" s="109"/>
      <c r="D165" s="110"/>
      <c r="E165" s="109"/>
      <c r="F165" s="111"/>
      <c r="G165" s="112"/>
      <c r="H165" s="82"/>
      <c r="I165" s="90"/>
      <c r="J165" s="15"/>
      <c r="K165" s="91"/>
      <c r="L165" s="15"/>
      <c r="M165" s="92"/>
      <c r="N165" s="27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3.5" customHeight="1">
      <c r="A166" s="5"/>
      <c r="B166" s="77" t="s">
        <v>201</v>
      </c>
      <c r="C166" s="109">
        <f>'P&amp;L (QB)'!B176</f>
        <v>17858.740000000002</v>
      </c>
      <c r="D166" s="110"/>
      <c r="E166" s="109">
        <f>'P&amp;L (QB)'!D176</f>
        <v>18827.810000000001</v>
      </c>
      <c r="F166" s="111"/>
      <c r="G166" s="112">
        <f>'P&amp;L (QB)'!E176</f>
        <v>23640.5</v>
      </c>
      <c r="H166" s="82"/>
      <c r="I166" s="90">
        <v>22000</v>
      </c>
      <c r="J166" s="15"/>
      <c r="K166" s="113">
        <v>26000</v>
      </c>
      <c r="L166" s="15"/>
      <c r="M166" s="114">
        <v>26000</v>
      </c>
      <c r="N166" s="27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3.5" customHeight="1">
      <c r="A167" s="5"/>
      <c r="B167" s="77" t="s">
        <v>202</v>
      </c>
      <c r="C167" s="109">
        <f>'P&amp;L (QB)'!B177</f>
        <v>4888.3900000000003</v>
      </c>
      <c r="D167" s="110"/>
      <c r="E167" s="109">
        <f>'P&amp;L (QB)'!D177</f>
        <v>2543.09</v>
      </c>
      <c r="F167" s="111"/>
      <c r="G167" s="112">
        <f>'P&amp;L (QB)'!E177</f>
        <v>7153.38</v>
      </c>
      <c r="H167" s="82"/>
      <c r="I167" s="90">
        <v>2000</v>
      </c>
      <c r="J167" s="15"/>
      <c r="K167" s="113">
        <v>4000</v>
      </c>
      <c r="L167" s="15"/>
      <c r="M167" s="114">
        <v>4000</v>
      </c>
      <c r="N167" s="27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3.5" customHeight="1">
      <c r="A168" s="5"/>
      <c r="B168" s="77" t="s">
        <v>203</v>
      </c>
      <c r="C168" s="109">
        <f>'P&amp;L (QB)'!B178</f>
        <v>14703.02</v>
      </c>
      <c r="D168" s="110"/>
      <c r="E168" s="109">
        <f>'P&amp;L (QB)'!D178</f>
        <v>2400</v>
      </c>
      <c r="F168" s="111"/>
      <c r="G168" s="112">
        <f>'P&amp;L (QB)'!E178</f>
        <v>3186.5</v>
      </c>
      <c r="H168" s="82"/>
      <c r="I168" s="90">
        <v>2000</v>
      </c>
      <c r="J168" s="15"/>
      <c r="K168" s="113">
        <v>4000</v>
      </c>
      <c r="L168" s="15"/>
      <c r="M168" s="114">
        <v>4000</v>
      </c>
      <c r="N168" s="27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3.5" customHeight="1">
      <c r="A169" s="5"/>
      <c r="B169" s="77" t="s">
        <v>204</v>
      </c>
      <c r="C169" s="109">
        <f>'P&amp;L (QB)'!B179</f>
        <v>1835.64</v>
      </c>
      <c r="D169" s="110"/>
      <c r="E169" s="109">
        <f>'P&amp;L (QB)'!D179</f>
        <v>21753</v>
      </c>
      <c r="F169" s="111"/>
      <c r="G169" s="112">
        <f>'P&amp;L (QB)'!E179</f>
        <v>1323.76</v>
      </c>
      <c r="H169" s="82"/>
      <c r="I169" s="90">
        <v>2000</v>
      </c>
      <c r="J169" s="15"/>
      <c r="K169" s="113">
        <v>4000</v>
      </c>
      <c r="L169" s="15"/>
      <c r="M169" s="114">
        <v>4000</v>
      </c>
      <c r="N169" s="27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3.5" customHeight="1">
      <c r="A170" s="5"/>
      <c r="B170" s="77" t="s">
        <v>205</v>
      </c>
      <c r="C170" s="109">
        <f>'P&amp;L (QB)'!B180</f>
        <v>12596.96</v>
      </c>
      <c r="D170" s="110"/>
      <c r="E170" s="109">
        <f>'P&amp;L (QB)'!D180</f>
        <v>4329.22</v>
      </c>
      <c r="F170" s="111"/>
      <c r="G170" s="112">
        <f>'P&amp;L (QB)'!E180</f>
        <v>6316.44</v>
      </c>
      <c r="H170" s="82"/>
      <c r="I170" s="90">
        <v>6400</v>
      </c>
      <c r="J170" s="15"/>
      <c r="K170" s="113">
        <v>4000</v>
      </c>
      <c r="L170" s="15"/>
      <c r="M170" s="114">
        <v>4000</v>
      </c>
      <c r="N170" s="27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3.5" customHeight="1">
      <c r="A171" s="5"/>
      <c r="B171" s="77" t="s">
        <v>206</v>
      </c>
      <c r="C171" s="109"/>
      <c r="D171" s="110"/>
      <c r="E171" s="109">
        <f>'P&amp;L (QB)'!D181</f>
        <v>17857.59</v>
      </c>
      <c r="F171" s="111"/>
      <c r="G171" s="112">
        <f>'P&amp;L (QB)'!E181</f>
        <v>15564.59</v>
      </c>
      <c r="H171" s="82"/>
      <c r="I171" s="90"/>
      <c r="J171" s="15"/>
      <c r="K171" s="91"/>
      <c r="L171" s="15"/>
      <c r="M171" s="92"/>
      <c r="N171" s="27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3.5" customHeight="1">
      <c r="A172" s="102"/>
      <c r="B172" s="103" t="s">
        <v>207</v>
      </c>
      <c r="C172" s="107">
        <f>(((((C165)+(C166))+(C167))+(C168))+(C169))+(C170)+(C171)</f>
        <v>51882.75</v>
      </c>
      <c r="D172" s="105"/>
      <c r="E172" s="107">
        <f>(((((E165)+(E166))+(E167))+(E168))+(E169))+(E170)+(E171)</f>
        <v>67710.710000000006</v>
      </c>
      <c r="F172" s="160"/>
      <c r="G172" s="107">
        <f>(((((G165)+(G166))+(G167))+(G168))+(G169))+(G170)+(G171)</f>
        <v>57185.170000000013</v>
      </c>
      <c r="H172" s="69"/>
      <c r="I172" s="107">
        <f>(((((I165)+(I166))+(I167))+(I168))+(I169))+(I170)+(I171)</f>
        <v>34400</v>
      </c>
      <c r="J172" s="69"/>
      <c r="K172" s="107">
        <f>(((((K165)+(K166))+(K167))+(K168))+(K169))+(K170)+(K171)</f>
        <v>42000</v>
      </c>
      <c r="L172" s="69"/>
      <c r="M172" s="107">
        <f>(((((M165)+(M166))+(M167))+(M168))+(M169))+(M170)+(M171)</f>
        <v>42000</v>
      </c>
      <c r="N172" s="108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</row>
    <row r="173" spans="1:28" ht="13.5" customHeight="1">
      <c r="A173" s="5"/>
      <c r="B173" s="77" t="s">
        <v>208</v>
      </c>
      <c r="C173" s="109"/>
      <c r="D173" s="110"/>
      <c r="E173" s="109"/>
      <c r="F173" s="111"/>
      <c r="G173" s="112"/>
      <c r="H173" s="82"/>
      <c r="I173" s="90"/>
      <c r="J173" s="15"/>
      <c r="K173" s="91"/>
      <c r="L173" s="15"/>
      <c r="M173" s="92"/>
      <c r="N173" s="27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3.5" customHeight="1">
      <c r="A174" s="5"/>
      <c r="B174" s="77" t="s">
        <v>209</v>
      </c>
      <c r="C174" s="109">
        <f>'P&amp;L (QB)'!B184</f>
        <v>6870.24</v>
      </c>
      <c r="D174" s="110"/>
      <c r="E174" s="109">
        <f>'P&amp;L (QB)'!D184</f>
        <v>3808.31</v>
      </c>
      <c r="F174" s="111"/>
      <c r="G174" s="112">
        <f>'P&amp;L (QB)'!E184</f>
        <v>9041.2900000000009</v>
      </c>
      <c r="H174" s="82"/>
      <c r="I174" s="90">
        <v>8500</v>
      </c>
      <c r="J174" s="15"/>
      <c r="K174" s="113">
        <v>9000</v>
      </c>
      <c r="L174" s="15"/>
      <c r="M174" s="114">
        <v>9000</v>
      </c>
      <c r="N174" s="27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3.5" customHeight="1">
      <c r="A175" s="5"/>
      <c r="B175" s="77" t="s">
        <v>210</v>
      </c>
      <c r="C175" s="109">
        <f>'P&amp;L (QB)'!B185</f>
        <v>0</v>
      </c>
      <c r="D175" s="110"/>
      <c r="E175" s="109">
        <f>'P&amp;L (QB)'!D185</f>
        <v>0</v>
      </c>
      <c r="F175" s="111"/>
      <c r="G175" s="112">
        <f>'P&amp;L (QB)'!E185</f>
        <v>2559.4699999999998</v>
      </c>
      <c r="H175" s="82"/>
      <c r="I175" s="90"/>
      <c r="J175" s="15"/>
      <c r="K175" s="113"/>
      <c r="L175" s="15"/>
      <c r="M175" s="114"/>
      <c r="N175" s="42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3.5" customHeight="1">
      <c r="A176" s="102"/>
      <c r="B176" s="103" t="s">
        <v>211</v>
      </c>
      <c r="C176" s="104">
        <f>((C173)+(C174))+(C175)</f>
        <v>6870.24</v>
      </c>
      <c r="D176" s="105"/>
      <c r="E176" s="104">
        <f>((E173)+(E174))+(E175)</f>
        <v>3808.31</v>
      </c>
      <c r="F176" s="106"/>
      <c r="G176" s="107">
        <f>((G173)+(G174))+(G175)</f>
        <v>11600.76</v>
      </c>
      <c r="H176" s="69"/>
      <c r="I176" s="107">
        <f>SUM(I173:I175)</f>
        <v>8500</v>
      </c>
      <c r="J176" s="69"/>
      <c r="K176" s="107">
        <f>SUM(K173:K175)</f>
        <v>9000</v>
      </c>
      <c r="L176" s="69"/>
      <c r="M176" s="107">
        <f>SUM(M173:M175)</f>
        <v>9000</v>
      </c>
      <c r="N176" s="108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</row>
    <row r="177" spans="1:28" ht="13.5" customHeight="1">
      <c r="A177" s="5"/>
      <c r="B177" s="77" t="s">
        <v>212</v>
      </c>
      <c r="C177" s="109"/>
      <c r="D177" s="110"/>
      <c r="E177" s="109"/>
      <c r="F177" s="111"/>
      <c r="G177" s="112"/>
      <c r="H177" s="82"/>
      <c r="I177" s="90"/>
      <c r="J177" s="15"/>
      <c r="K177" s="91"/>
      <c r="L177" s="15"/>
      <c r="M177" s="92"/>
      <c r="N177" s="27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3.5" customHeight="1">
      <c r="A178" s="5"/>
      <c r="B178" s="77" t="s">
        <v>213</v>
      </c>
      <c r="C178" s="109">
        <f>'P&amp;L (QB)'!B188</f>
        <v>24055.599999999999</v>
      </c>
      <c r="D178" s="110"/>
      <c r="E178" s="109">
        <f>'P&amp;L (QB)'!D188</f>
        <v>33372</v>
      </c>
      <c r="F178" s="111"/>
      <c r="G178" s="112">
        <f>'P&amp;L (QB)'!E188</f>
        <v>30637.31</v>
      </c>
      <c r="H178" s="82"/>
      <c r="I178" s="90">
        <v>38400</v>
      </c>
      <c r="J178" s="15"/>
      <c r="K178" s="113">
        <v>42000</v>
      </c>
      <c r="L178" s="15"/>
      <c r="M178" s="114">
        <v>42000</v>
      </c>
      <c r="N178" s="27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3.5" customHeight="1">
      <c r="A179" s="5"/>
      <c r="B179" s="161" t="s">
        <v>214</v>
      </c>
      <c r="C179" s="109">
        <f>'P&amp;L (QB)'!B189</f>
        <v>43430.5</v>
      </c>
      <c r="D179" s="110"/>
      <c r="E179" s="109">
        <f>'P&amp;L (QB)'!D189</f>
        <v>35565.94</v>
      </c>
      <c r="F179" s="111"/>
      <c r="G179" s="112">
        <f>'P&amp;L (QB)'!E189</f>
        <v>33255.160000000003</v>
      </c>
      <c r="H179" s="82"/>
      <c r="I179" s="90">
        <v>35000</v>
      </c>
      <c r="J179" s="15"/>
      <c r="K179" s="113">
        <v>62000</v>
      </c>
      <c r="L179" s="15"/>
      <c r="M179" s="114">
        <v>62000</v>
      </c>
      <c r="N179" s="27" t="s">
        <v>215</v>
      </c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3.5" customHeight="1">
      <c r="A180" s="5"/>
      <c r="B180" s="77" t="s">
        <v>216</v>
      </c>
      <c r="C180" s="109">
        <f>'P&amp;L (QB)'!B190</f>
        <v>6511.39</v>
      </c>
      <c r="D180" s="110"/>
      <c r="E180" s="109">
        <f>'P&amp;L (QB)'!D190</f>
        <v>11795.34</v>
      </c>
      <c r="F180" s="111"/>
      <c r="G180" s="112">
        <f>'P&amp;L (QB)'!E190</f>
        <v>6875.54</v>
      </c>
      <c r="H180" s="82"/>
      <c r="I180" s="90">
        <v>20931</v>
      </c>
      <c r="J180" s="15"/>
      <c r="K180" s="113">
        <v>20000</v>
      </c>
      <c r="L180" s="15"/>
      <c r="M180" s="114">
        <v>20000</v>
      </c>
      <c r="N180" s="27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3.5" customHeight="1">
      <c r="A181" s="5"/>
      <c r="B181" s="77" t="s">
        <v>217</v>
      </c>
      <c r="C181" s="109">
        <f>'P&amp;L (QB)'!B191</f>
        <v>7032.75</v>
      </c>
      <c r="D181" s="110"/>
      <c r="E181" s="109">
        <f>'P&amp;L (QB)'!D191</f>
        <v>15757.54</v>
      </c>
      <c r="F181" s="111"/>
      <c r="G181" s="112">
        <f>'P&amp;L (QB)'!E191</f>
        <v>16637.099999999999</v>
      </c>
      <c r="H181" s="82"/>
      <c r="I181" s="90">
        <v>20760</v>
      </c>
      <c r="J181" s="15"/>
      <c r="K181" s="113">
        <v>20000</v>
      </c>
      <c r="L181" s="15"/>
      <c r="M181" s="114">
        <v>20000</v>
      </c>
      <c r="N181" s="27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3.5" customHeight="1">
      <c r="A182" s="5"/>
      <c r="B182" s="77" t="s">
        <v>218</v>
      </c>
      <c r="C182" s="109">
        <f>'P&amp;L (QB)'!B192</f>
        <v>2000</v>
      </c>
      <c r="D182" s="110"/>
      <c r="E182" s="109">
        <f>'P&amp;L (QB)'!D192</f>
        <v>1500</v>
      </c>
      <c r="F182" s="111"/>
      <c r="G182" s="112">
        <f>'P&amp;L (QB)'!E192</f>
        <v>2375</v>
      </c>
      <c r="H182" s="82"/>
      <c r="I182" s="90">
        <v>3000</v>
      </c>
      <c r="J182" s="15"/>
      <c r="K182" s="113">
        <v>3000</v>
      </c>
      <c r="L182" s="15"/>
      <c r="M182" s="114">
        <v>3000</v>
      </c>
      <c r="N182" s="27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3.5" customHeight="1">
      <c r="A183" s="102"/>
      <c r="B183" s="103" t="s">
        <v>219</v>
      </c>
      <c r="C183" s="104">
        <f>(((((C177)+(C178))+(C179))+(C180))+(C181))+(C182)</f>
        <v>83030.240000000005</v>
      </c>
      <c r="D183" s="105"/>
      <c r="E183" s="104">
        <f>(((((E177)+(E178))+(E179))+(E180))+(E181))+(E182)</f>
        <v>97990.82</v>
      </c>
      <c r="F183" s="106"/>
      <c r="G183" s="107">
        <f>(((((G177)+(G178))+(G179))+(G180))+(G181))+(G182)</f>
        <v>89780.109999999986</v>
      </c>
      <c r="H183" s="69"/>
      <c r="I183" s="107">
        <f>SUM(I177:I182)</f>
        <v>118091</v>
      </c>
      <c r="J183" s="69"/>
      <c r="K183" s="107">
        <f>SUM(K177:K182)</f>
        <v>147000</v>
      </c>
      <c r="L183" s="69"/>
      <c r="M183" s="107">
        <f>SUM(M177:M182)</f>
        <v>147000</v>
      </c>
      <c r="N183" s="108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</row>
    <row r="184" spans="1:28" ht="13.5" customHeight="1">
      <c r="A184" s="5"/>
      <c r="B184" s="77" t="s">
        <v>220</v>
      </c>
      <c r="C184" s="109"/>
      <c r="D184" s="110"/>
      <c r="E184" s="109"/>
      <c r="F184" s="111"/>
      <c r="G184" s="112"/>
      <c r="H184" s="82"/>
      <c r="I184" s="90"/>
      <c r="J184" s="15"/>
      <c r="K184" s="91"/>
      <c r="L184" s="15"/>
      <c r="M184" s="92"/>
      <c r="N184" s="27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3.5" customHeight="1">
      <c r="A185" s="5"/>
      <c r="B185" s="77" t="s">
        <v>221</v>
      </c>
      <c r="C185" s="109">
        <f>'P&amp;L (QB)'!B198</f>
        <v>29602.82</v>
      </c>
      <c r="D185" s="110"/>
      <c r="E185" s="109">
        <f>'P&amp;L (QB)'!D198</f>
        <v>7498</v>
      </c>
      <c r="F185" s="111"/>
      <c r="G185" s="112">
        <f>'P&amp;L (QB)'!E198</f>
        <v>13412.7</v>
      </c>
      <c r="H185" s="82"/>
      <c r="I185" s="90">
        <v>20331.2</v>
      </c>
      <c r="J185" s="15"/>
      <c r="K185" s="113">
        <f>SUM(3625+26000+9600)</f>
        <v>39225</v>
      </c>
      <c r="L185" s="15"/>
      <c r="M185" s="114">
        <f>SUM(3625+26000+9600)</f>
        <v>39225</v>
      </c>
      <c r="N185" s="27" t="s">
        <v>222</v>
      </c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3.5" customHeight="1">
      <c r="A186" s="102"/>
      <c r="B186" s="103" t="s">
        <v>223</v>
      </c>
      <c r="C186" s="104">
        <f>(C184)+(C185)</f>
        <v>29602.82</v>
      </c>
      <c r="D186" s="105"/>
      <c r="E186" s="104">
        <f>(E184)+(E185)</f>
        <v>7498</v>
      </c>
      <c r="F186" s="106"/>
      <c r="G186" s="107">
        <f>(G184)+(G185)</f>
        <v>13412.7</v>
      </c>
      <c r="H186" s="69"/>
      <c r="I186" s="107">
        <f>SUM(I184:I185)</f>
        <v>20331.2</v>
      </c>
      <c r="J186" s="69"/>
      <c r="K186" s="107">
        <f>SUM(K184:K185)</f>
        <v>39225</v>
      </c>
      <c r="L186" s="69"/>
      <c r="M186" s="107">
        <f>SUM(M184:M185)</f>
        <v>39225</v>
      </c>
      <c r="N186" s="108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</row>
    <row r="187" spans="1:28" ht="13.5" customHeight="1">
      <c r="A187" s="5"/>
      <c r="B187" s="77" t="s">
        <v>224</v>
      </c>
      <c r="C187" s="109"/>
      <c r="D187" s="110"/>
      <c r="E187" s="109"/>
      <c r="F187" s="111"/>
      <c r="G187" s="112"/>
      <c r="H187" s="82"/>
      <c r="I187" s="90"/>
      <c r="J187" s="15"/>
      <c r="K187" s="91"/>
      <c r="L187" s="15"/>
      <c r="M187" s="92"/>
      <c r="N187" s="27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3.5" customHeight="1">
      <c r="A188" s="5"/>
      <c r="B188" s="77" t="s">
        <v>225</v>
      </c>
      <c r="C188" s="109">
        <f>'P&amp;L (QB)'!B201</f>
        <v>0</v>
      </c>
      <c r="D188" s="15"/>
      <c r="E188" s="109">
        <f>'P&amp;L (QB)'!D201</f>
        <v>0</v>
      </c>
      <c r="F188" s="15"/>
      <c r="G188" s="112">
        <f>'P&amp;L (QB)'!E201+'P&amp;L (QB)'!E202</f>
        <v>8495.24</v>
      </c>
      <c r="H188" s="15"/>
      <c r="I188" s="90">
        <v>7000</v>
      </c>
      <c r="J188" s="15"/>
      <c r="K188" s="113">
        <v>15000</v>
      </c>
      <c r="L188" s="150"/>
      <c r="M188" s="114">
        <v>10000</v>
      </c>
      <c r="N188" s="27" t="s">
        <v>226</v>
      </c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3.5" customHeight="1">
      <c r="A189" s="5"/>
      <c r="B189" s="77" t="s">
        <v>227</v>
      </c>
      <c r="C189" s="109">
        <f>'P&amp;L (QB)'!B202</f>
        <v>0</v>
      </c>
      <c r="D189" s="110"/>
      <c r="E189" s="109">
        <f>'P&amp;L (QB)'!D202</f>
        <v>0</v>
      </c>
      <c r="F189" s="111"/>
      <c r="G189" s="112"/>
      <c r="H189" s="82"/>
      <c r="I189" s="90"/>
      <c r="J189" s="15"/>
      <c r="K189" s="113">
        <v>7000</v>
      </c>
      <c r="L189" s="15"/>
      <c r="M189" s="114">
        <v>5000</v>
      </c>
      <c r="N189" s="27" t="s">
        <v>228</v>
      </c>
      <c r="O189" s="5" t="s">
        <v>229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3.5" customHeight="1">
      <c r="A190" s="102"/>
      <c r="B190" s="103" t="s">
        <v>230</v>
      </c>
      <c r="C190" s="104">
        <f>((C187)+(C188))+(C189)</f>
        <v>0</v>
      </c>
      <c r="D190" s="105"/>
      <c r="E190" s="104">
        <f>((E187)+(E188))+(E189)</f>
        <v>0</v>
      </c>
      <c r="F190" s="106"/>
      <c r="G190" s="107">
        <f>((G187)+(G188))+(G189)</f>
        <v>8495.24</v>
      </c>
      <c r="H190" s="69"/>
      <c r="I190" s="107">
        <f>SUM(I187:I189)</f>
        <v>7000</v>
      </c>
      <c r="J190" s="69"/>
      <c r="K190" s="107">
        <f>SUM(K187:K189)</f>
        <v>22000</v>
      </c>
      <c r="L190" s="69"/>
      <c r="M190" s="107">
        <f>SUM(M187:M189)</f>
        <v>15000</v>
      </c>
      <c r="N190" s="108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</row>
    <row r="191" spans="1:28" ht="13.5" customHeight="1">
      <c r="A191" s="5"/>
      <c r="B191" s="77" t="s">
        <v>231</v>
      </c>
      <c r="C191" s="109"/>
      <c r="D191" s="110"/>
      <c r="E191" s="109"/>
      <c r="F191" s="111"/>
      <c r="G191" s="112"/>
      <c r="H191" s="82"/>
      <c r="I191" s="90"/>
      <c r="J191" s="15"/>
      <c r="K191" s="91"/>
      <c r="L191" s="15"/>
      <c r="M191" s="92"/>
      <c r="N191" s="27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3.5" customHeight="1">
      <c r="A192" s="5"/>
      <c r="B192" s="77" t="s">
        <v>232</v>
      </c>
      <c r="C192" s="109">
        <f>'P&amp;L (QB)'!B206</f>
        <v>2862.9</v>
      </c>
      <c r="D192" s="15"/>
      <c r="E192" s="109">
        <f>'P&amp;L (QB)'!D206</f>
        <v>1024.8</v>
      </c>
      <c r="F192" s="15"/>
      <c r="G192" s="112">
        <f>'P&amp;L (QB)'!E206</f>
        <v>4834.22</v>
      </c>
      <c r="H192" s="15"/>
      <c r="I192" s="90">
        <v>5000</v>
      </c>
      <c r="J192" s="15"/>
      <c r="K192" s="113">
        <v>9000</v>
      </c>
      <c r="L192" s="162"/>
      <c r="M192" s="163">
        <v>7500</v>
      </c>
      <c r="N192" s="27" t="s">
        <v>233</v>
      </c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3.5" customHeight="1">
      <c r="A193" s="5"/>
      <c r="B193" s="77" t="s">
        <v>234</v>
      </c>
      <c r="C193" s="109">
        <v>0</v>
      </c>
      <c r="D193" s="110"/>
      <c r="E193" s="109">
        <v>0</v>
      </c>
      <c r="F193" s="111"/>
      <c r="G193" s="112"/>
      <c r="H193" s="82"/>
      <c r="I193" s="90"/>
      <c r="J193" s="15"/>
      <c r="K193" s="91"/>
      <c r="L193" s="15"/>
      <c r="M193" s="114">
        <v>18000</v>
      </c>
      <c r="N193" s="42" t="s">
        <v>235</v>
      </c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3.5" customHeight="1">
      <c r="A194" s="102"/>
      <c r="B194" s="103" t="s">
        <v>236</v>
      </c>
      <c r="C194" s="104">
        <f>(C191)+(C192)+C193</f>
        <v>2862.9</v>
      </c>
      <c r="D194" s="105"/>
      <c r="E194" s="104">
        <f>(E191)+(E192)+E193</f>
        <v>1024.8</v>
      </c>
      <c r="F194" s="106"/>
      <c r="G194" s="107">
        <f>(G191)+(G192)+G193</f>
        <v>4834.22</v>
      </c>
      <c r="H194" s="69"/>
      <c r="I194" s="107">
        <f>SUM(I191:I193)</f>
        <v>5000</v>
      </c>
      <c r="J194" s="69"/>
      <c r="K194" s="107">
        <f>SUM(K191:K193)</f>
        <v>9000</v>
      </c>
      <c r="L194" s="69"/>
      <c r="M194" s="107">
        <f>SUM(M191:M193)</f>
        <v>25500</v>
      </c>
      <c r="N194" s="108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</row>
    <row r="195" spans="1:28" ht="13.5" customHeight="1">
      <c r="A195" s="5"/>
      <c r="B195" s="77" t="s">
        <v>237</v>
      </c>
      <c r="C195" s="109"/>
      <c r="D195" s="110"/>
      <c r="E195" s="109"/>
      <c r="F195" s="111"/>
      <c r="G195" s="112"/>
      <c r="H195" s="82"/>
      <c r="I195" s="90"/>
      <c r="J195" s="15"/>
      <c r="K195" s="91"/>
      <c r="L195" s="15"/>
      <c r="M195" s="92"/>
      <c r="N195" s="27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3.5" customHeight="1">
      <c r="A196" s="5"/>
      <c r="B196" s="77" t="s">
        <v>238</v>
      </c>
      <c r="C196" s="109">
        <f>'P&amp;L (QB)'!B211</f>
        <v>16938.41</v>
      </c>
      <c r="D196" s="110"/>
      <c r="E196" s="109">
        <f>'P&amp;L (QB)'!D211</f>
        <v>12651.02</v>
      </c>
      <c r="F196" s="111"/>
      <c r="G196" s="112">
        <f>'P&amp;L (QB)'!E211</f>
        <v>21085.49</v>
      </c>
      <c r="H196" s="82"/>
      <c r="I196" s="90">
        <f>2000*12+4000</f>
        <v>28000</v>
      </c>
      <c r="J196" s="15"/>
      <c r="K196" s="113">
        <v>36000</v>
      </c>
      <c r="L196" s="15"/>
      <c r="M196" s="114">
        <v>36000</v>
      </c>
      <c r="N196" s="27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3.5" customHeight="1">
      <c r="A197" s="5"/>
      <c r="B197" s="77" t="s">
        <v>239</v>
      </c>
      <c r="C197" s="109">
        <f>'P&amp;L (QB)'!B212</f>
        <v>221.92</v>
      </c>
      <c r="D197" s="110"/>
      <c r="E197" s="109">
        <f>'P&amp;L (QB)'!D212</f>
        <v>849.45</v>
      </c>
      <c r="F197" s="111"/>
      <c r="G197" s="112">
        <f>'P&amp;L (QB)'!E212</f>
        <v>15646.54</v>
      </c>
      <c r="H197" s="82"/>
      <c r="I197" s="90">
        <f>200*12</f>
        <v>2400</v>
      </c>
      <c r="J197" s="15"/>
      <c r="K197" s="113">
        <v>2400</v>
      </c>
      <c r="L197" s="15"/>
      <c r="M197" s="114">
        <v>2400</v>
      </c>
      <c r="N197" s="27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3.5" customHeight="1">
      <c r="A198" s="102"/>
      <c r="B198" s="103" t="s">
        <v>240</v>
      </c>
      <c r="C198" s="104">
        <f>((C195)+(C196))+(C197)</f>
        <v>17160.329999999998</v>
      </c>
      <c r="D198" s="105"/>
      <c r="E198" s="104">
        <f>((E195)+(E196))+(E197)</f>
        <v>13500.470000000001</v>
      </c>
      <c r="F198" s="106"/>
      <c r="G198" s="107">
        <f>((G195)+(G196))+(G197)</f>
        <v>36732.03</v>
      </c>
      <c r="H198" s="69"/>
      <c r="I198" s="107">
        <f>SUM(I195:I197)</f>
        <v>30400</v>
      </c>
      <c r="J198" s="69"/>
      <c r="K198" s="107">
        <f>SUM(K195:K197)</f>
        <v>38400</v>
      </c>
      <c r="L198" s="69"/>
      <c r="M198" s="107">
        <f>SUM(M195:M197)</f>
        <v>38400</v>
      </c>
      <c r="N198" s="108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</row>
    <row r="199" spans="1:28" ht="13.5" customHeight="1">
      <c r="A199" s="5"/>
      <c r="B199" s="77" t="s">
        <v>241</v>
      </c>
      <c r="C199" s="109"/>
      <c r="D199" s="110"/>
      <c r="E199" s="109"/>
      <c r="F199" s="111"/>
      <c r="G199" s="112"/>
      <c r="H199" s="82"/>
      <c r="I199" s="90"/>
      <c r="J199" s="69"/>
      <c r="K199" s="91"/>
      <c r="L199" s="69"/>
      <c r="M199" s="92"/>
      <c r="N199" s="27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3.5" customHeight="1">
      <c r="A200" s="5"/>
      <c r="B200" s="77" t="s">
        <v>242</v>
      </c>
      <c r="C200" s="109">
        <f>'P&amp;L (QB)'!B215</f>
        <v>4757.8999999999996</v>
      </c>
      <c r="D200" s="110"/>
      <c r="E200" s="109">
        <f>'P&amp;L (QB)'!D215</f>
        <v>9651.74</v>
      </c>
      <c r="F200" s="111"/>
      <c r="G200" s="112">
        <f>'P&amp;L (QB)'!E215</f>
        <v>61523.99</v>
      </c>
      <c r="H200" s="82"/>
      <c r="I200" s="90">
        <v>40000</v>
      </c>
      <c r="J200" s="69"/>
      <c r="K200" s="113">
        <v>60000</v>
      </c>
      <c r="L200" s="69"/>
      <c r="M200" s="114">
        <v>60000</v>
      </c>
      <c r="N200" s="27" t="s">
        <v>243</v>
      </c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3.5" customHeight="1">
      <c r="A201" s="5"/>
      <c r="B201" s="77" t="s">
        <v>244</v>
      </c>
      <c r="C201" s="109">
        <f>'P&amp;L (QB)'!B216</f>
        <v>20794.63</v>
      </c>
      <c r="D201" s="110"/>
      <c r="E201" s="109">
        <f>'P&amp;L (QB)'!D216</f>
        <v>19400</v>
      </c>
      <c r="F201" s="111"/>
      <c r="G201" s="112">
        <f>'P&amp;L (QB)'!E216</f>
        <v>58550.01</v>
      </c>
      <c r="H201" s="82"/>
      <c r="I201" s="90">
        <f>7000+12000</f>
        <v>19000</v>
      </c>
      <c r="J201" s="69"/>
      <c r="K201" s="113">
        <v>60000</v>
      </c>
      <c r="L201" s="69"/>
      <c r="M201" s="114">
        <f>50000+17000</f>
        <v>67000</v>
      </c>
      <c r="N201" s="27" t="s">
        <v>245</v>
      </c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3.5" customHeight="1">
      <c r="A202" s="5"/>
      <c r="B202" s="77" t="s">
        <v>246</v>
      </c>
      <c r="C202" s="109">
        <f>'P&amp;L (QB)'!B217</f>
        <v>7699.11</v>
      </c>
      <c r="D202" s="110"/>
      <c r="E202" s="109">
        <f>'P&amp;L (QB)'!D217</f>
        <v>9430.06</v>
      </c>
      <c r="F202" s="111"/>
      <c r="G202" s="112">
        <f>'P&amp;L (QB)'!E217</f>
        <v>15512.14</v>
      </c>
      <c r="H202" s="82"/>
      <c r="I202" s="90">
        <v>17000</v>
      </c>
      <c r="J202" s="69"/>
      <c r="K202" s="113">
        <v>30000</v>
      </c>
      <c r="L202" s="69"/>
      <c r="M202" s="114">
        <v>35000</v>
      </c>
      <c r="N202" s="27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3.5" customHeight="1">
      <c r="A203" s="102"/>
      <c r="B203" s="103" t="s">
        <v>247</v>
      </c>
      <c r="C203" s="104">
        <f>(((C199)+(C200))+(C201))+(C202)</f>
        <v>33251.64</v>
      </c>
      <c r="D203" s="105"/>
      <c r="E203" s="104">
        <f>(((E199)+(E200))+(E201))+(E202)</f>
        <v>38481.799999999996</v>
      </c>
      <c r="F203" s="106"/>
      <c r="G203" s="107">
        <f>(((G199)+(G200))+(G201))+(G202)</f>
        <v>135586.14000000001</v>
      </c>
      <c r="H203" s="69"/>
      <c r="I203" s="107">
        <f>SUM(I199:I202)</f>
        <v>76000</v>
      </c>
      <c r="J203" s="69"/>
      <c r="K203" s="107">
        <f>SUM(K199:K202)</f>
        <v>150000</v>
      </c>
      <c r="L203" s="69"/>
      <c r="M203" s="107">
        <f>SUM(M199:M202)</f>
        <v>162000</v>
      </c>
      <c r="N203" s="108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</row>
    <row r="204" spans="1:28" ht="13.5" customHeight="1">
      <c r="A204" s="5"/>
      <c r="B204" s="77" t="s">
        <v>248</v>
      </c>
      <c r="C204" s="109"/>
      <c r="D204" s="110"/>
      <c r="E204" s="109"/>
      <c r="F204" s="111"/>
      <c r="G204" s="112"/>
      <c r="H204" s="82"/>
      <c r="I204" s="90"/>
      <c r="J204" s="15"/>
      <c r="K204" s="91"/>
      <c r="L204" s="15"/>
      <c r="M204" s="92"/>
      <c r="N204" s="27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3.5" customHeight="1">
      <c r="A205" s="5"/>
      <c r="B205" s="77" t="s">
        <v>249</v>
      </c>
      <c r="C205" s="93">
        <f>'P&amp;L (QB)'!B222</f>
        <v>6120.74</v>
      </c>
      <c r="D205" s="94"/>
      <c r="E205" s="93">
        <f>'P&amp;L (QB)'!D222</f>
        <v>23567.31</v>
      </c>
      <c r="F205" s="95"/>
      <c r="G205" s="96">
        <f>'P&amp;L (QB)'!E223</f>
        <v>76775.69</v>
      </c>
      <c r="H205" s="82"/>
      <c r="I205" s="90">
        <f>250*12+12000+2400</f>
        <v>17400</v>
      </c>
      <c r="J205" s="15"/>
      <c r="K205" s="113">
        <v>25000</v>
      </c>
      <c r="L205" s="15"/>
      <c r="M205" s="114">
        <v>20000</v>
      </c>
      <c r="N205" s="27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3.5" customHeight="1">
      <c r="A206" s="102"/>
      <c r="B206" s="103" t="s">
        <v>250</v>
      </c>
      <c r="C206" s="104">
        <f>(C204)+(C205)</f>
        <v>6120.74</v>
      </c>
      <c r="D206" s="105"/>
      <c r="E206" s="104">
        <f>(E204)+(E205)</f>
        <v>23567.31</v>
      </c>
      <c r="F206" s="106"/>
      <c r="G206" s="107">
        <f>(G204)+(G205)</f>
        <v>76775.69</v>
      </c>
      <c r="H206" s="69"/>
      <c r="I206" s="107">
        <f>SUM(I204:I205)</f>
        <v>17400</v>
      </c>
      <c r="J206" s="69"/>
      <c r="K206" s="107">
        <f>SUM(K204:K205)</f>
        <v>25000</v>
      </c>
      <c r="L206" s="69"/>
      <c r="M206" s="107">
        <f>SUM(M204:M205)</f>
        <v>20000</v>
      </c>
      <c r="N206" s="108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</row>
    <row r="207" spans="1:28" ht="13.5" customHeight="1">
      <c r="A207" s="5"/>
      <c r="B207" s="77" t="s">
        <v>251</v>
      </c>
      <c r="C207" s="109"/>
      <c r="D207" s="110"/>
      <c r="E207" s="109"/>
      <c r="F207" s="111"/>
      <c r="G207" s="112"/>
      <c r="H207" s="82"/>
      <c r="I207" s="90"/>
      <c r="J207" s="15"/>
      <c r="K207" s="91"/>
      <c r="L207" s="15"/>
      <c r="M207" s="92"/>
      <c r="N207" s="27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3.5" customHeight="1">
      <c r="A208" s="5"/>
      <c r="B208" s="77" t="s">
        <v>252</v>
      </c>
      <c r="C208" s="93">
        <f>'P&amp;L (QB)'!B225</f>
        <v>20531.78</v>
      </c>
      <c r="D208" s="94"/>
      <c r="E208" s="93">
        <f>'P&amp;L (QB)'!D225</f>
        <v>8438.2199999999993</v>
      </c>
      <c r="F208" s="95"/>
      <c r="G208" s="96">
        <f>'P&amp;L (QB)'!E226</f>
        <v>10799.44</v>
      </c>
      <c r="H208" s="82"/>
      <c r="I208" s="90">
        <f>6500*3+250*3</f>
        <v>20250</v>
      </c>
      <c r="J208" s="15"/>
      <c r="K208" s="113">
        <v>30000</v>
      </c>
      <c r="L208" s="15"/>
      <c r="M208" s="114">
        <v>30000</v>
      </c>
      <c r="N208" s="27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3.5" customHeight="1">
      <c r="A209" s="102"/>
      <c r="B209" s="103" t="s">
        <v>253</v>
      </c>
      <c r="C209" s="104">
        <f>(C207)+(C208)</f>
        <v>20531.78</v>
      </c>
      <c r="D209" s="105"/>
      <c r="E209" s="104">
        <f>(E207)+(E208)</f>
        <v>8438.2199999999993</v>
      </c>
      <c r="F209" s="106"/>
      <c r="G209" s="107">
        <f>(G207)+(G208)</f>
        <v>10799.44</v>
      </c>
      <c r="H209" s="69"/>
      <c r="I209" s="107">
        <f>SUM(I207:I208)</f>
        <v>20250</v>
      </c>
      <c r="J209" s="69"/>
      <c r="K209" s="107">
        <f>SUM(K207:K208)</f>
        <v>30000</v>
      </c>
      <c r="L209" s="69"/>
      <c r="M209" s="107">
        <f>SUM(M207:M208)</f>
        <v>30000</v>
      </c>
      <c r="N209" s="108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</row>
    <row r="210" spans="1:28" ht="13.5" customHeight="1">
      <c r="A210" s="5"/>
      <c r="B210" s="77" t="s">
        <v>254</v>
      </c>
      <c r="C210" s="109"/>
      <c r="D210" s="110"/>
      <c r="E210" s="109"/>
      <c r="F210" s="111"/>
      <c r="G210" s="112"/>
      <c r="H210" s="82"/>
      <c r="I210" s="90"/>
      <c r="J210" s="15"/>
      <c r="K210" s="91"/>
      <c r="L210" s="15"/>
      <c r="M210" s="92"/>
      <c r="N210" s="27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3.5" customHeight="1">
      <c r="A211" s="5"/>
      <c r="B211" s="77" t="s">
        <v>255</v>
      </c>
      <c r="C211" s="93">
        <f>'P&amp;L (QB)'!B228</f>
        <v>1232.02</v>
      </c>
      <c r="D211" s="94"/>
      <c r="E211" s="93">
        <f>'P&amp;L (QB)'!D228</f>
        <v>0</v>
      </c>
      <c r="F211" s="95"/>
      <c r="G211" s="96">
        <f>'P&amp;L (QB)'!E229</f>
        <v>7253.99</v>
      </c>
      <c r="H211" s="82"/>
      <c r="I211" s="90">
        <f>20*240</f>
        <v>4800</v>
      </c>
      <c r="J211" s="15"/>
      <c r="K211" s="113">
        <v>10000</v>
      </c>
      <c r="L211" s="15"/>
      <c r="M211" s="114">
        <v>8500</v>
      </c>
      <c r="N211" s="27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3.5" customHeight="1">
      <c r="A212" s="102"/>
      <c r="B212" s="103" t="s">
        <v>256</v>
      </c>
      <c r="C212" s="104">
        <f>(C210)+(C211)</f>
        <v>1232.02</v>
      </c>
      <c r="D212" s="105"/>
      <c r="E212" s="104">
        <f>(E210)+(E211)</f>
        <v>0</v>
      </c>
      <c r="F212" s="106"/>
      <c r="G212" s="107">
        <f>(G210)+(G211)</f>
        <v>7253.99</v>
      </c>
      <c r="H212" s="69"/>
      <c r="I212" s="107">
        <f>SUM(I210:I211)</f>
        <v>4800</v>
      </c>
      <c r="J212" s="69"/>
      <c r="K212" s="107">
        <f>SUM(K210:K211)</f>
        <v>10000</v>
      </c>
      <c r="L212" s="69"/>
      <c r="M212" s="107">
        <f>SUM(M210:M211)</f>
        <v>8500</v>
      </c>
      <c r="N212" s="108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</row>
    <row r="213" spans="1:28" ht="13.5" customHeight="1">
      <c r="A213" s="5"/>
      <c r="B213" s="77" t="s">
        <v>257</v>
      </c>
      <c r="C213" s="109"/>
      <c r="D213" s="110"/>
      <c r="E213" s="109"/>
      <c r="F213" s="111"/>
      <c r="G213" s="112"/>
      <c r="H213" s="82"/>
      <c r="I213" s="90"/>
      <c r="J213" s="15"/>
      <c r="K213" s="91"/>
      <c r="L213" s="15"/>
      <c r="M213" s="92"/>
      <c r="N213" s="27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3.5" customHeight="1">
      <c r="A214" s="5"/>
      <c r="B214" s="77" t="s">
        <v>258</v>
      </c>
      <c r="C214" s="109">
        <f>'P&amp;L (QB)'!B231</f>
        <v>711.35</v>
      </c>
      <c r="D214" s="110"/>
      <c r="E214" s="109">
        <f>'P&amp;L (QB)'!D231</f>
        <v>0</v>
      </c>
      <c r="F214" s="111"/>
      <c r="G214" s="112">
        <f>'P&amp;L (QB)'!E231</f>
        <v>0</v>
      </c>
      <c r="H214" s="82"/>
      <c r="I214" s="90">
        <f t="shared" ref="I214:I215" si="0">100*12</f>
        <v>1200</v>
      </c>
      <c r="J214" s="15"/>
      <c r="K214" s="113">
        <v>1200</v>
      </c>
      <c r="L214" s="15"/>
      <c r="M214" s="114">
        <v>1200</v>
      </c>
      <c r="N214" s="27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3.5" customHeight="1">
      <c r="A215" s="5"/>
      <c r="B215" s="77" t="s">
        <v>259</v>
      </c>
      <c r="C215" s="109">
        <f>'P&amp;L (QB)'!B232</f>
        <v>3300.59</v>
      </c>
      <c r="D215" s="110"/>
      <c r="E215" s="109">
        <f>'P&amp;L (QB)'!D232</f>
        <v>253.84</v>
      </c>
      <c r="F215" s="111"/>
      <c r="G215" s="112">
        <f>'P&amp;L (QB)'!E232</f>
        <v>648</v>
      </c>
      <c r="H215" s="82"/>
      <c r="I215" s="90">
        <f t="shared" si="0"/>
        <v>1200</v>
      </c>
      <c r="J215" s="15"/>
      <c r="K215" s="113">
        <v>2400</v>
      </c>
      <c r="L215" s="15"/>
      <c r="M215" s="114">
        <v>2400</v>
      </c>
      <c r="N215" s="27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3.5" customHeight="1">
      <c r="A216" s="102"/>
      <c r="B216" s="103" t="s">
        <v>260</v>
      </c>
      <c r="C216" s="104">
        <f>((C213)+(C214))+(C215)</f>
        <v>4011.94</v>
      </c>
      <c r="D216" s="105"/>
      <c r="E216" s="104">
        <f>((E213)+(E214))+(E215)</f>
        <v>253.84</v>
      </c>
      <c r="F216" s="106"/>
      <c r="G216" s="107">
        <f>((G213)+(G214))+(G215)</f>
        <v>648</v>
      </c>
      <c r="H216" s="69"/>
      <c r="I216" s="107">
        <f>SUM(I213:I215)</f>
        <v>2400</v>
      </c>
      <c r="J216" s="69"/>
      <c r="K216" s="107">
        <f>SUM(K213:K215)</f>
        <v>3600</v>
      </c>
      <c r="L216" s="69"/>
      <c r="M216" s="107">
        <f>SUM(M213:M215)</f>
        <v>3600</v>
      </c>
      <c r="N216" s="108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</row>
    <row r="217" spans="1:28" ht="13.5" customHeight="1">
      <c r="A217" s="5"/>
      <c r="B217" s="77" t="s">
        <v>261</v>
      </c>
      <c r="C217" s="109"/>
      <c r="D217" s="110"/>
      <c r="E217" s="109"/>
      <c r="F217" s="111"/>
      <c r="G217" s="112"/>
      <c r="H217" s="82"/>
      <c r="I217" s="90"/>
      <c r="J217" s="15"/>
      <c r="K217" s="91"/>
      <c r="L217" s="15"/>
      <c r="M217" s="92"/>
      <c r="N217" s="27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3.5" customHeight="1">
      <c r="A218" s="5"/>
      <c r="B218" s="77" t="s">
        <v>262</v>
      </c>
      <c r="C218" s="109">
        <f>'P&amp;L (QB)'!B235</f>
        <v>1354.36</v>
      </c>
      <c r="D218" s="110"/>
      <c r="E218" s="109">
        <f>'P&amp;L (QB)'!D235</f>
        <v>159.9</v>
      </c>
      <c r="F218" s="111"/>
      <c r="G218" s="112">
        <f>'P&amp;L (QB)'!E235</f>
        <v>0</v>
      </c>
      <c r="H218" s="82"/>
      <c r="I218" s="90">
        <v>2000</v>
      </c>
      <c r="J218" s="15"/>
      <c r="K218" s="113">
        <v>2500</v>
      </c>
      <c r="L218" s="15"/>
      <c r="M218" s="114">
        <v>2500</v>
      </c>
      <c r="N218" s="27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3.5" customHeight="1">
      <c r="A219" s="102"/>
      <c r="B219" s="103" t="s">
        <v>263</v>
      </c>
      <c r="C219" s="104">
        <f>(C217)+(C218)</f>
        <v>1354.36</v>
      </c>
      <c r="D219" s="105"/>
      <c r="E219" s="104">
        <f>(E217)+(E218)</f>
        <v>159.9</v>
      </c>
      <c r="F219" s="106"/>
      <c r="G219" s="107">
        <f>(G217)+(G218)</f>
        <v>0</v>
      </c>
      <c r="H219" s="69"/>
      <c r="I219" s="107">
        <f>SUM(I217:I218)</f>
        <v>2000</v>
      </c>
      <c r="J219" s="69"/>
      <c r="K219" s="107">
        <f>SUM(K217:K218)</f>
        <v>2500</v>
      </c>
      <c r="L219" s="69"/>
      <c r="M219" s="107">
        <f>SUM(M217:M218)</f>
        <v>2500</v>
      </c>
      <c r="N219" s="108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</row>
    <row r="220" spans="1:28" ht="13.5" customHeight="1">
      <c r="A220" s="5"/>
      <c r="B220" s="77" t="s">
        <v>264</v>
      </c>
      <c r="C220" s="109"/>
      <c r="D220" s="110"/>
      <c r="E220" s="109"/>
      <c r="F220" s="111"/>
      <c r="G220" s="112"/>
      <c r="H220" s="82"/>
      <c r="I220" s="90"/>
      <c r="J220" s="15"/>
      <c r="K220" s="91"/>
      <c r="L220" s="15"/>
      <c r="M220" s="92"/>
      <c r="N220" s="27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3.5" customHeight="1">
      <c r="A221" s="5"/>
      <c r="B221" s="77" t="s">
        <v>265</v>
      </c>
      <c r="C221" s="109">
        <f>'P&amp;L (QB)'!B238</f>
        <v>803.2</v>
      </c>
      <c r="D221" s="110"/>
      <c r="E221" s="109">
        <f>'P&amp;L (QB)'!D238</f>
        <v>753.74</v>
      </c>
      <c r="F221" s="111"/>
      <c r="G221" s="112">
        <f>'P&amp;L (QB)'!E238</f>
        <v>194.42</v>
      </c>
      <c r="H221" s="82"/>
      <c r="I221" s="90">
        <v>1000</v>
      </c>
      <c r="J221" s="15"/>
      <c r="K221" s="91"/>
      <c r="L221" s="15"/>
      <c r="M221" s="92"/>
      <c r="N221" s="27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3.5" customHeight="1">
      <c r="A222" s="5"/>
      <c r="B222" s="77" t="s">
        <v>266</v>
      </c>
      <c r="C222" s="109">
        <f>'P&amp;L (QB)'!B239</f>
        <v>109.21</v>
      </c>
      <c r="D222" s="110"/>
      <c r="E222" s="109">
        <f>'P&amp;L (QB)'!D239</f>
        <v>0</v>
      </c>
      <c r="F222" s="111"/>
      <c r="G222" s="112">
        <f>'P&amp;L (QB)'!E239</f>
        <v>0</v>
      </c>
      <c r="H222" s="82"/>
      <c r="I222" s="90"/>
      <c r="J222" s="15"/>
      <c r="K222" s="91"/>
      <c r="L222" s="15"/>
      <c r="M222" s="92"/>
      <c r="N222" s="27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3.5" customHeight="1">
      <c r="A223" s="5"/>
      <c r="B223" s="77" t="s">
        <v>267</v>
      </c>
      <c r="C223" s="109">
        <v>0</v>
      </c>
      <c r="D223" s="110"/>
      <c r="E223" s="109">
        <v>0</v>
      </c>
      <c r="F223" s="111"/>
      <c r="G223" s="112">
        <f>'P&amp;L (QB)'!E240</f>
        <v>0</v>
      </c>
      <c r="H223" s="82"/>
      <c r="I223" s="90"/>
      <c r="J223" s="15"/>
      <c r="K223" s="91"/>
      <c r="L223" s="15"/>
      <c r="M223" s="92"/>
      <c r="N223" s="108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3.5" customHeight="1">
      <c r="A224" s="5"/>
      <c r="B224" s="77" t="s">
        <v>268</v>
      </c>
      <c r="C224" s="109">
        <v>0</v>
      </c>
      <c r="D224" s="110"/>
      <c r="E224" s="109">
        <v>0</v>
      </c>
      <c r="F224" s="111"/>
      <c r="G224" s="112">
        <f>'P&amp;L (QB)'!E241</f>
        <v>0</v>
      </c>
      <c r="H224" s="82"/>
      <c r="I224" s="90"/>
      <c r="J224" s="15"/>
      <c r="K224" s="91"/>
      <c r="L224" s="15"/>
      <c r="M224" s="92"/>
      <c r="N224" s="108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3.5" customHeight="1">
      <c r="A225" s="5"/>
      <c r="B225" s="77" t="s">
        <v>269</v>
      </c>
      <c r="C225" s="109">
        <v>0</v>
      </c>
      <c r="D225" s="110"/>
      <c r="E225" s="109">
        <v>0</v>
      </c>
      <c r="F225" s="111"/>
      <c r="G225" s="112">
        <f>'P&amp;L (QB)'!E242</f>
        <v>0</v>
      </c>
      <c r="H225" s="82"/>
      <c r="I225" s="90"/>
      <c r="J225" s="15"/>
      <c r="K225" s="91"/>
      <c r="L225" s="15"/>
      <c r="M225" s="92"/>
      <c r="N225" s="13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3.5" customHeight="1">
      <c r="A226" s="102"/>
      <c r="B226" s="103" t="s">
        <v>270</v>
      </c>
      <c r="C226" s="104">
        <f>(((((C220)+(C221))+(C222))+(C223))+(C224))+(C225)</f>
        <v>912.41000000000008</v>
      </c>
      <c r="D226" s="105"/>
      <c r="E226" s="104">
        <f>(((((E220)+(E221))+(E222))+(E223))+(E224))+(E225)</f>
        <v>753.74</v>
      </c>
      <c r="F226" s="106"/>
      <c r="G226" s="107">
        <f>(((((G220)+(G221))+(G222))+(G223))+(G224))+(G225)</f>
        <v>194.42</v>
      </c>
      <c r="H226" s="69"/>
      <c r="I226" s="107">
        <f>SUM(I220:I225)</f>
        <v>1000</v>
      </c>
      <c r="J226" s="69"/>
      <c r="K226" s="107">
        <f>SUM(K220:K225)</f>
        <v>0</v>
      </c>
      <c r="L226" s="69"/>
      <c r="M226" s="107">
        <f>SUM(M220:M225)</f>
        <v>0</v>
      </c>
      <c r="N226" s="108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</row>
    <row r="227" spans="1:28" ht="13.5" customHeight="1">
      <c r="A227" s="5"/>
      <c r="B227" s="77" t="s">
        <v>271</v>
      </c>
      <c r="C227" s="109"/>
      <c r="D227" s="110"/>
      <c r="E227" s="109"/>
      <c r="F227" s="111"/>
      <c r="G227" s="112"/>
      <c r="H227" s="82"/>
      <c r="I227" s="90"/>
      <c r="J227" s="15"/>
      <c r="K227" s="91"/>
      <c r="L227" s="15"/>
      <c r="M227" s="92"/>
      <c r="N227" s="27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3.5" customHeight="1">
      <c r="A228" s="5"/>
      <c r="B228" s="77" t="s">
        <v>272</v>
      </c>
      <c r="C228" s="109">
        <f>'P&amp;L (QB)'!B245</f>
        <v>29135.03</v>
      </c>
      <c r="D228" s="110"/>
      <c r="E228" s="109">
        <f>'P&amp;L (QB)'!D245</f>
        <v>25307.99</v>
      </c>
      <c r="F228" s="111"/>
      <c r="G228" s="112">
        <f>'P&amp;L (QB)'!E245</f>
        <v>47997</v>
      </c>
      <c r="H228" s="82"/>
      <c r="I228" s="90">
        <v>60000</v>
      </c>
      <c r="J228" s="15"/>
      <c r="K228" s="113">
        <v>70000</v>
      </c>
      <c r="L228" s="15"/>
      <c r="M228" s="114">
        <v>50000</v>
      </c>
      <c r="N228" s="27" t="s">
        <v>273</v>
      </c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3.5" customHeight="1">
      <c r="A229" s="5"/>
      <c r="B229" s="77" t="s">
        <v>274</v>
      </c>
      <c r="C229" s="109">
        <f>'P&amp;L (QB)'!B246</f>
        <v>0</v>
      </c>
      <c r="D229" s="110"/>
      <c r="E229" s="109">
        <f>'P&amp;L (QB)'!D246</f>
        <v>0</v>
      </c>
      <c r="F229" s="111"/>
      <c r="G229" s="112">
        <f>'P&amp;L (QB)'!E246</f>
        <v>0</v>
      </c>
      <c r="H229" s="82"/>
      <c r="I229" s="90"/>
      <c r="J229" s="15"/>
      <c r="K229" s="91"/>
      <c r="L229" s="15"/>
      <c r="M229" s="92"/>
      <c r="N229" s="27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3.5" customHeight="1">
      <c r="A230" s="102"/>
      <c r="B230" s="103" t="s">
        <v>275</v>
      </c>
      <c r="C230" s="104">
        <f>((C227)+(C228))+(C229)</f>
        <v>29135.03</v>
      </c>
      <c r="D230" s="105"/>
      <c r="E230" s="104">
        <f>((E227)+(E228))+(E229)</f>
        <v>25307.99</v>
      </c>
      <c r="F230" s="106"/>
      <c r="G230" s="107">
        <f>((G227)+(G228))+(G229)</f>
        <v>47997</v>
      </c>
      <c r="H230" s="69"/>
      <c r="I230" s="107">
        <f>SUM(I227:I229)</f>
        <v>60000</v>
      </c>
      <c r="J230" s="69"/>
      <c r="K230" s="107">
        <f>SUM(K227:K229)</f>
        <v>70000</v>
      </c>
      <c r="L230" s="69"/>
      <c r="M230" s="107">
        <f>SUM(M227:M229)</f>
        <v>50000</v>
      </c>
      <c r="N230" s="108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</row>
    <row r="231" spans="1:28" ht="13.5" customHeight="1">
      <c r="A231" s="5"/>
      <c r="B231" s="77" t="s">
        <v>276</v>
      </c>
      <c r="C231" s="109"/>
      <c r="D231" s="110"/>
      <c r="E231" s="109"/>
      <c r="F231" s="111"/>
      <c r="G231" s="112"/>
      <c r="H231" s="82"/>
      <c r="I231" s="90"/>
      <c r="J231" s="15"/>
      <c r="K231" s="91"/>
      <c r="L231" s="15"/>
      <c r="M231" s="92"/>
      <c r="N231" s="27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3.5" customHeight="1">
      <c r="A232" s="5"/>
      <c r="B232" s="77" t="s">
        <v>277</v>
      </c>
      <c r="C232" s="109">
        <f>'P&amp;L (QB)'!B249</f>
        <v>521828.34</v>
      </c>
      <c r="D232" s="110"/>
      <c r="E232" s="109">
        <f>'P&amp;L (QB)'!D249</f>
        <v>750000</v>
      </c>
      <c r="F232" s="111"/>
      <c r="G232" s="112">
        <f>'P&amp;L (QB)'!E249</f>
        <v>999996</v>
      </c>
      <c r="H232" s="82"/>
      <c r="I232" s="90">
        <f>'Rent Schedule'!F8</f>
        <v>1250000</v>
      </c>
      <c r="J232" s="15"/>
      <c r="K232" s="91">
        <f>'Rent Schedule'!F9</f>
        <v>1500000</v>
      </c>
      <c r="L232" s="15"/>
      <c r="M232" s="92">
        <f>'Rent Schedule'!F9</f>
        <v>1500000</v>
      </c>
      <c r="N232" s="27" t="s">
        <v>278</v>
      </c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3.5" customHeight="1">
      <c r="A233" s="5"/>
      <c r="B233" s="143" t="s">
        <v>279</v>
      </c>
      <c r="C233" s="109">
        <f>'P&amp;L (QB)'!B250</f>
        <v>27355.59</v>
      </c>
      <c r="D233" s="110"/>
      <c r="E233" s="109">
        <f>'P&amp;L (QB)'!D250</f>
        <v>5857.9</v>
      </c>
      <c r="F233" s="111"/>
      <c r="G233" s="112">
        <f>'P&amp;L (QB)'!E250</f>
        <v>12721.6</v>
      </c>
      <c r="H233" s="82"/>
      <c r="I233" s="90">
        <v>15000</v>
      </c>
      <c r="J233" s="15"/>
      <c r="K233" s="113">
        <v>20000</v>
      </c>
      <c r="L233" s="15"/>
      <c r="M233" s="114">
        <v>45000</v>
      </c>
      <c r="N233" s="42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3.5" customHeight="1">
      <c r="A234" s="5"/>
      <c r="B234" s="164" t="s">
        <v>280</v>
      </c>
      <c r="C234" s="109">
        <f>'P&amp;L (QB)'!B251</f>
        <v>37913.94</v>
      </c>
      <c r="D234" s="110"/>
      <c r="E234" s="109">
        <f>'P&amp;L (QB)'!D251</f>
        <v>9389.52</v>
      </c>
      <c r="F234" s="111"/>
      <c r="G234" s="112">
        <f>'P&amp;L (QB)'!E251</f>
        <v>84586.43</v>
      </c>
      <c r="H234" s="82"/>
      <c r="I234" s="90">
        <v>60000</v>
      </c>
      <c r="J234" s="15"/>
      <c r="K234" s="113">
        <v>75000</v>
      </c>
      <c r="L234" s="15"/>
      <c r="M234" s="114">
        <v>75000</v>
      </c>
      <c r="N234" s="42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3.5" customHeight="1">
      <c r="A235" s="5"/>
      <c r="B235" s="164" t="s">
        <v>281</v>
      </c>
      <c r="C235" s="109">
        <f>'P&amp;L (QB)'!B252</f>
        <v>4595</v>
      </c>
      <c r="D235" s="110"/>
      <c r="E235" s="109">
        <f>'P&amp;L (QB)'!D252</f>
        <v>6075</v>
      </c>
      <c r="F235" s="111"/>
      <c r="G235" s="112">
        <f>'P&amp;L (QB)'!E252</f>
        <v>5625</v>
      </c>
      <c r="H235" s="82"/>
      <c r="I235" s="90">
        <f>225*26+600</f>
        <v>6450</v>
      </c>
      <c r="J235" s="15"/>
      <c r="K235" s="113">
        <v>6000</v>
      </c>
      <c r="L235" s="15"/>
      <c r="M235" s="114">
        <v>6000</v>
      </c>
      <c r="N235" s="42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3.5" customHeight="1">
      <c r="A236" s="5"/>
      <c r="B236" s="165" t="s">
        <v>282</v>
      </c>
      <c r="C236" s="109">
        <f>'P&amp;L (QB)'!B253</f>
        <v>64956.93</v>
      </c>
      <c r="D236" s="110"/>
      <c r="E236" s="109">
        <f>'P&amp;L (QB)'!D253</f>
        <v>72744</v>
      </c>
      <c r="F236" s="111"/>
      <c r="G236" s="112">
        <f>'P&amp;L (QB)'!E253</f>
        <v>100244.85</v>
      </c>
      <c r="H236" s="82"/>
      <c r="I236" s="90">
        <v>88000</v>
      </c>
      <c r="J236" s="15"/>
      <c r="K236" s="113">
        <v>160000</v>
      </c>
      <c r="L236" s="15"/>
      <c r="M236" s="114">
        <v>160000</v>
      </c>
      <c r="N236" s="42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3.5" customHeight="1">
      <c r="A237" s="5"/>
      <c r="B237" s="164" t="s">
        <v>283</v>
      </c>
      <c r="C237" s="109">
        <f>'P&amp;L (QB)'!B254</f>
        <v>925938.24</v>
      </c>
      <c r="D237" s="110"/>
      <c r="E237" s="109">
        <f>'P&amp;L (QB)'!D254</f>
        <v>701938.2</v>
      </c>
      <c r="F237" s="111"/>
      <c r="G237" s="112">
        <f>'P&amp;L (QB)'!E254</f>
        <v>451938.24</v>
      </c>
      <c r="H237" s="82"/>
      <c r="I237" s="90">
        <f>'Rent Schedule'!G8</f>
        <v>201938.20863992791</v>
      </c>
      <c r="J237" s="15"/>
      <c r="K237" s="91">
        <f>'Rent Schedule'!G9</f>
        <v>-48061.791360072093</v>
      </c>
      <c r="L237" s="15"/>
      <c r="M237" s="92">
        <f>'Rent Schedule'!G9</f>
        <v>-48061.791360072093</v>
      </c>
      <c r="N237" s="27" t="s">
        <v>284</v>
      </c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3.5" customHeight="1">
      <c r="A238" s="102"/>
      <c r="B238" s="103" t="s">
        <v>285</v>
      </c>
      <c r="C238" s="104">
        <f>((((C231)+(C232))+(C233))+(C234))+(C237)+C236+C235</f>
        <v>1582588.04</v>
      </c>
      <c r="D238" s="105"/>
      <c r="E238" s="104">
        <f>((((E231)+(E232))+(E233))+(E234))+(E237)+E236+E235</f>
        <v>1546004.62</v>
      </c>
      <c r="F238" s="106"/>
      <c r="G238" s="107">
        <f>((((G231)+(G232))+(G233))+(G234))+(G237)+G236+G235</f>
        <v>1655112.12</v>
      </c>
      <c r="H238" s="69"/>
      <c r="I238" s="107">
        <f>SUM(I231:I237)</f>
        <v>1621388.2086399279</v>
      </c>
      <c r="J238" s="69"/>
      <c r="K238" s="107">
        <f>SUM(K231:K237)</f>
        <v>1712938.2086399279</v>
      </c>
      <c r="L238" s="69"/>
      <c r="M238" s="107">
        <f>SUM(M231:M237)</f>
        <v>1737938.2086399279</v>
      </c>
      <c r="N238" s="108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</row>
    <row r="239" spans="1:28" ht="13.5" customHeight="1">
      <c r="A239" s="5"/>
      <c r="B239" s="77" t="s">
        <v>286</v>
      </c>
      <c r="C239" s="109"/>
      <c r="D239" s="110"/>
      <c r="E239" s="109"/>
      <c r="F239" s="111"/>
      <c r="G239" s="112"/>
      <c r="H239" s="82"/>
      <c r="I239" s="90"/>
      <c r="J239" s="15"/>
      <c r="K239" s="91"/>
      <c r="L239" s="15"/>
      <c r="M239" s="92"/>
      <c r="N239" s="27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3.5" customHeight="1">
      <c r="A240" s="5"/>
      <c r="B240" s="77" t="s">
        <v>287</v>
      </c>
      <c r="C240" s="109">
        <f>'P&amp;L (QB)'!B258</f>
        <v>39111.199999999997</v>
      </c>
      <c r="D240" s="110"/>
      <c r="E240" s="109">
        <f>'P&amp;L (QB)'!D258</f>
        <v>72981.38</v>
      </c>
      <c r="F240" s="111"/>
      <c r="G240" s="112">
        <f>'P&amp;L (QB)'!E258</f>
        <v>85458.41</v>
      </c>
      <c r="H240" s="82"/>
      <c r="I240" s="90">
        <v>90000</v>
      </c>
      <c r="J240" s="15"/>
      <c r="K240" s="91">
        <v>120000</v>
      </c>
      <c r="L240" s="15"/>
      <c r="M240" s="92">
        <v>120000</v>
      </c>
      <c r="N240" s="42" t="s">
        <v>288</v>
      </c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3.5" customHeight="1">
      <c r="A241" s="5"/>
      <c r="B241" s="77" t="s">
        <v>289</v>
      </c>
      <c r="C241" s="109"/>
      <c r="D241" s="110"/>
      <c r="E241" s="109"/>
      <c r="F241" s="111"/>
      <c r="G241" s="112"/>
      <c r="H241" s="82"/>
      <c r="I241" s="90"/>
      <c r="J241" s="15"/>
      <c r="K241" s="91"/>
      <c r="L241" s="15"/>
      <c r="M241" s="92"/>
      <c r="N241" s="27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3.5" customHeight="1">
      <c r="A242" s="102"/>
      <c r="B242" s="103" t="s">
        <v>290</v>
      </c>
      <c r="C242" s="104">
        <f>((C239)+(C240))+(C241)</f>
        <v>39111.199999999997</v>
      </c>
      <c r="D242" s="105"/>
      <c r="E242" s="104">
        <f>((E239)+(E240))+(E241)</f>
        <v>72981.38</v>
      </c>
      <c r="F242" s="106"/>
      <c r="G242" s="107">
        <f>((G239)+(G240))+(G241)</f>
        <v>85458.41</v>
      </c>
      <c r="H242" s="69"/>
      <c r="I242" s="107">
        <f>SUM(I239:I241)</f>
        <v>90000</v>
      </c>
      <c r="J242" s="69"/>
      <c r="K242" s="107">
        <f>SUM(K239:K241)</f>
        <v>120000</v>
      </c>
      <c r="L242" s="69"/>
      <c r="M242" s="107">
        <f>SUM(M239:M241)</f>
        <v>120000</v>
      </c>
      <c r="N242" s="108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</row>
    <row r="243" spans="1:28" ht="13.5" customHeight="1">
      <c r="A243" s="102"/>
      <c r="B243" s="103" t="s">
        <v>291</v>
      </c>
      <c r="C243" s="104">
        <f>(((((((((((((((((((((((C121)+(C137))+(C141))+(C150))+(C153))+(C159))+(C164))+(C172))+(C176))+(C183))+(C186))+(C190))+(C194))+(C198))+(C203))+(C206))+(C209))+(C212))+(C216))+(C219))+(C226))+(C230))+(C238))+(C242)</f>
        <v>3299224.6100000003</v>
      </c>
      <c r="D243" s="105"/>
      <c r="E243" s="104">
        <f>(((((((((((((((((((((((E121)+(E137))+(E141))+(E150))+(E153))+(E159))+(E164))+(E172))+(E176))+(E183))+(E186))+(E190))+(E194))+(E198))+(E203))+(E206))+(E209))+(E212))+(E216))+(E219))+(E226))+(E230))+(E238))+(E242)</f>
        <v>3462464.34</v>
      </c>
      <c r="F243" s="106"/>
      <c r="G243" s="107">
        <f>(((((((((((((((((((((((G121)+(G137))+(G141))+(G150))+(G153))+(G159))+(G164))+(G172))+(G176))+(G183))+(G186))+(G190))+(G194))+(G198))+(G203))+(G206))+(G209))+(G212))+(G216))+(G219))+(G226))+(G230))+(G238))+(G242)</f>
        <v>4896062.0999999996</v>
      </c>
      <c r="H243" s="69"/>
      <c r="I243" s="107">
        <f>(((((((((((((((((((((((I121)+(I137))+(I141))+(I150))+(I153))+(I159))+(I164))+(I172))+(I176))+(I183))+(I186))+(I190))+(I194))+(I198))+(I203))+(I206))+(I209))+(I212))+(I216))+(I219))+(I226))+(I230))+(I238))+(I242)</f>
        <v>5994472.0949799279</v>
      </c>
      <c r="J243" s="69"/>
      <c r="K243" s="107">
        <f>(((((((((((((((((((((((K121)+(K137))+(K141))+(K150))+(K153))+(K159))+(K164))+(K172))+(K176))+(K183))+(K186))+(K190))+(K194))+(K198))+(K203))+(K206))+(K209))+(K212))+(K216))+(K219))+(K226))+(K230))+(K238))+(K242)</f>
        <v>5663668.3469475275</v>
      </c>
      <c r="L243" s="69"/>
      <c r="M243" s="107">
        <f>(((((((((((((((((((((((M121)+(M137))+(M141))+(M150))+(M153))+(M159))+(M164))+(M172))+(M176))+(M183))+(M186))+(M190))+(M194))+(M198))+(M203))+(M206))+(M209))+(M212))+(M216))+(M219))+(M226))+(M230))+(M238))+(M242)</f>
        <v>6318491.2073851274</v>
      </c>
      <c r="N243" s="108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</row>
    <row r="244" spans="1:28" ht="13.5" customHeight="1">
      <c r="A244" s="5"/>
      <c r="B244" s="166" t="s">
        <v>292</v>
      </c>
      <c r="C244" s="167">
        <f>(C59)-(C243)</f>
        <v>-170879.6400000006</v>
      </c>
      <c r="D244" s="168"/>
      <c r="E244" s="167">
        <f>(E59)-(E243)</f>
        <v>464248.18999999994</v>
      </c>
      <c r="F244" s="169"/>
      <c r="G244" s="170">
        <f>(G59)-(G243)</f>
        <v>650438.80999999959</v>
      </c>
      <c r="H244" s="171"/>
      <c r="I244" s="170">
        <f>(I59)-(I243)</f>
        <v>305963.06502007321</v>
      </c>
      <c r="J244" s="15"/>
      <c r="K244" s="170">
        <f>(K59)-(K243)</f>
        <v>757075.65305247251</v>
      </c>
      <c r="L244" s="15"/>
      <c r="M244" s="170">
        <f>(M59)-(M243)</f>
        <v>47015.292614872567</v>
      </c>
      <c r="N244" s="27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3.5" customHeight="1">
      <c r="A245" s="5"/>
      <c r="B245" s="5"/>
      <c r="C245" s="41"/>
      <c r="D245" s="41"/>
      <c r="E245" s="41"/>
      <c r="F245" s="41"/>
      <c r="G245" s="172"/>
      <c r="H245" s="41"/>
      <c r="I245" s="173"/>
      <c r="J245" s="5"/>
      <c r="K245" s="27"/>
      <c r="L245" s="5"/>
      <c r="M245" s="27"/>
      <c r="N245" s="27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3.5" customHeight="1">
      <c r="A246" s="5"/>
      <c r="B246" s="332" t="s">
        <v>293</v>
      </c>
      <c r="C246" s="333"/>
      <c r="D246" s="333"/>
      <c r="E246" s="333"/>
      <c r="F246" s="333"/>
      <c r="G246" s="333"/>
      <c r="H246" s="333"/>
      <c r="I246" s="333"/>
      <c r="J246" s="333"/>
      <c r="K246" s="333"/>
      <c r="L246" s="333"/>
      <c r="M246" s="334"/>
      <c r="N246" s="27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3.5" customHeight="1">
      <c r="A247" s="5"/>
      <c r="B247" s="174" t="s">
        <v>294</v>
      </c>
      <c r="C247" s="175"/>
      <c r="D247" s="82"/>
      <c r="E247" s="175"/>
      <c r="F247" s="176"/>
      <c r="G247" s="177"/>
      <c r="H247" s="82"/>
      <c r="I247" s="178"/>
      <c r="J247" s="15"/>
      <c r="K247" s="179"/>
      <c r="L247" s="180"/>
      <c r="M247" s="181"/>
      <c r="N247" s="27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3.5" customHeight="1">
      <c r="A248" s="5"/>
      <c r="B248" s="77" t="s">
        <v>295</v>
      </c>
      <c r="C248" s="182">
        <v>413161.24</v>
      </c>
      <c r="D248" s="82"/>
      <c r="E248" s="182">
        <f>C248+C244</f>
        <v>242281.59999999939</v>
      </c>
      <c r="F248" s="183"/>
      <c r="G248" s="184">
        <f>E248+E244</f>
        <v>706529.78999999934</v>
      </c>
      <c r="H248" s="82"/>
      <c r="I248" s="185">
        <f>G248+G244</f>
        <v>1356968.5999999989</v>
      </c>
      <c r="J248" s="15"/>
      <c r="K248" s="179">
        <f>I248+I244</f>
        <v>1662931.6650200721</v>
      </c>
      <c r="L248" s="180"/>
      <c r="M248" s="181">
        <f>I248+I244</f>
        <v>1662931.6650200721</v>
      </c>
      <c r="N248" s="27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3.5" customHeight="1">
      <c r="A249" s="5"/>
      <c r="B249" s="77" t="s">
        <v>296</v>
      </c>
      <c r="C249" s="182">
        <f>139392.1+99697.78</f>
        <v>239089.88</v>
      </c>
      <c r="D249" s="82"/>
      <c r="E249" s="182">
        <f>36041.73+136233.02</f>
        <v>172274.75</v>
      </c>
      <c r="F249" s="183"/>
      <c r="G249" s="184">
        <f>304659.61-9260.56</f>
        <v>295399.05</v>
      </c>
      <c r="H249" s="82"/>
      <c r="I249" s="185"/>
      <c r="J249" s="15"/>
      <c r="K249" s="179"/>
      <c r="L249" s="180"/>
      <c r="M249" s="181"/>
      <c r="N249" s="27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3.5" customHeight="1">
      <c r="A250" s="5"/>
      <c r="B250" s="77" t="s">
        <v>297</v>
      </c>
      <c r="C250" s="182">
        <f>C240</f>
        <v>39111.199999999997</v>
      </c>
      <c r="D250" s="82"/>
      <c r="E250" s="182">
        <f>E240+C250</f>
        <v>112092.58</v>
      </c>
      <c r="F250" s="183"/>
      <c r="G250" s="184">
        <f>E250+G240</f>
        <v>197550.99</v>
      </c>
      <c r="H250" s="82"/>
      <c r="I250" s="185">
        <f>G250+I240</f>
        <v>287550.99</v>
      </c>
      <c r="J250" s="15"/>
      <c r="K250" s="179">
        <f>I250+K240</f>
        <v>407550.99</v>
      </c>
      <c r="L250" s="180"/>
      <c r="M250" s="181">
        <f>I250+M240</f>
        <v>407550.99</v>
      </c>
      <c r="N250" s="27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3.5" customHeight="1">
      <c r="A251" s="5"/>
      <c r="B251" s="77" t="s">
        <v>298</v>
      </c>
      <c r="C251" s="182">
        <v>925938.24</v>
      </c>
      <c r="D251" s="82"/>
      <c r="E251" s="182">
        <v>1627876.44</v>
      </c>
      <c r="F251" s="183"/>
      <c r="G251" s="184">
        <f>E251+G237</f>
        <v>2079814.68</v>
      </c>
      <c r="H251" s="82"/>
      <c r="I251" s="185">
        <f>G251+I237</f>
        <v>2281752.8886399278</v>
      </c>
      <c r="J251" s="15"/>
      <c r="K251" s="179">
        <f>I251+K237</f>
        <v>2233691.097279856</v>
      </c>
      <c r="L251" s="180"/>
      <c r="M251" s="181">
        <f>I251+M237</f>
        <v>2233691.097279856</v>
      </c>
      <c r="N251" s="27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3.5" customHeight="1">
      <c r="A252" s="5"/>
      <c r="B252" s="77" t="s">
        <v>299</v>
      </c>
      <c r="C252" s="182"/>
      <c r="D252" s="82"/>
      <c r="E252" s="182"/>
      <c r="F252" s="183"/>
      <c r="G252" s="132">
        <v>9260.56</v>
      </c>
      <c r="H252" s="82"/>
      <c r="I252" s="185"/>
      <c r="J252" s="15"/>
      <c r="K252" s="179"/>
      <c r="L252" s="180"/>
      <c r="M252" s="181"/>
      <c r="N252" s="27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3" customHeight="1">
      <c r="A253" s="5"/>
      <c r="B253" s="77"/>
      <c r="C253" s="182"/>
      <c r="D253" s="82"/>
      <c r="E253" s="182"/>
      <c r="F253" s="183"/>
      <c r="G253" s="184"/>
      <c r="H253" s="82"/>
      <c r="I253" s="185"/>
      <c r="J253" s="15"/>
      <c r="K253" s="179"/>
      <c r="L253" s="180"/>
      <c r="M253" s="181"/>
      <c r="N253" s="27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3.5" customHeight="1">
      <c r="A254" s="5"/>
      <c r="B254" s="77" t="s">
        <v>300</v>
      </c>
      <c r="C254" s="182"/>
      <c r="D254" s="82"/>
      <c r="E254" s="182"/>
      <c r="F254" s="183"/>
      <c r="G254" s="184"/>
      <c r="H254" s="82"/>
      <c r="I254" s="185"/>
      <c r="J254" s="15"/>
      <c r="K254" s="179"/>
      <c r="L254" s="180"/>
      <c r="M254" s="181"/>
      <c r="N254" s="27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3.5" customHeight="1">
      <c r="A255" s="5"/>
      <c r="B255" s="77" t="s">
        <v>301</v>
      </c>
      <c r="C255" s="182">
        <f>183357.5+1655.15</f>
        <v>185012.65</v>
      </c>
      <c r="D255" s="82"/>
      <c r="E255" s="182">
        <f>45165.19+4288.32</f>
        <v>49453.51</v>
      </c>
      <c r="F255" s="183"/>
      <c r="G255" s="184">
        <f>96617.13+29915.57</f>
        <v>126532.70000000001</v>
      </c>
      <c r="H255" s="82"/>
      <c r="I255" s="185"/>
      <c r="J255" s="15"/>
      <c r="K255" s="179"/>
      <c r="L255" s="180"/>
      <c r="M255" s="181"/>
      <c r="N255" s="27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3.5" customHeight="1">
      <c r="A256" s="5"/>
      <c r="B256" s="77" t="s">
        <v>302</v>
      </c>
      <c r="C256" s="182">
        <v>93750</v>
      </c>
      <c r="D256" s="82"/>
      <c r="E256" s="182">
        <v>93750</v>
      </c>
      <c r="F256" s="183"/>
      <c r="G256" s="186">
        <v>93750</v>
      </c>
      <c r="H256" s="82"/>
      <c r="I256" s="185">
        <v>312500</v>
      </c>
      <c r="J256" s="15"/>
      <c r="K256" s="179">
        <f>(K232/12)*3</f>
        <v>375000</v>
      </c>
      <c r="L256" s="180"/>
      <c r="M256" s="181">
        <f>(M232/12)*3</f>
        <v>375000</v>
      </c>
      <c r="N256" s="27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3.5" customHeight="1">
      <c r="A257" s="5"/>
      <c r="B257" s="77" t="s">
        <v>303</v>
      </c>
      <c r="C257" s="182">
        <v>5727.5</v>
      </c>
      <c r="D257" s="82"/>
      <c r="E257" s="182">
        <f>85210.5</f>
        <v>85210.5</v>
      </c>
      <c r="F257" s="183"/>
      <c r="G257" s="184">
        <v>14767.11</v>
      </c>
      <c r="H257" s="82"/>
      <c r="I257" s="185"/>
      <c r="J257" s="15"/>
      <c r="K257" s="179"/>
      <c r="L257" s="180"/>
      <c r="M257" s="181"/>
      <c r="N257" s="27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3.5" customHeight="1">
      <c r="A258" s="5"/>
      <c r="B258" s="77" t="s">
        <v>304</v>
      </c>
      <c r="C258" s="182"/>
      <c r="D258" s="82"/>
      <c r="E258" s="182"/>
      <c r="F258" s="183"/>
      <c r="G258" s="184"/>
      <c r="H258" s="82"/>
      <c r="I258" s="185"/>
      <c r="J258" s="15"/>
      <c r="K258" s="179"/>
      <c r="L258" s="180"/>
      <c r="M258" s="181"/>
      <c r="N258" s="27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3.5" customHeight="1">
      <c r="A259" s="5"/>
      <c r="B259" s="77" t="s">
        <v>305</v>
      </c>
      <c r="C259" s="93"/>
      <c r="D259" s="94"/>
      <c r="E259" s="93"/>
      <c r="F259" s="95"/>
      <c r="G259" s="132"/>
      <c r="H259" s="82"/>
      <c r="I259" s="97">
        <f>Capital!D10+G259</f>
        <v>0</v>
      </c>
      <c r="J259" s="15"/>
      <c r="K259" s="179"/>
      <c r="L259" s="180"/>
      <c r="M259" s="181"/>
      <c r="N259" s="27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3.5" customHeight="1">
      <c r="A260" s="5"/>
      <c r="B260" s="77" t="s">
        <v>306</v>
      </c>
      <c r="C260" s="93">
        <v>21901.23</v>
      </c>
      <c r="D260" s="94"/>
      <c r="E260" s="93">
        <v>21901.23</v>
      </c>
      <c r="F260" s="95"/>
      <c r="G260" s="132">
        <v>28897.23</v>
      </c>
      <c r="H260" s="82"/>
      <c r="I260" s="97">
        <f>Capital!D11+G260</f>
        <v>28897.23</v>
      </c>
      <c r="J260" s="15"/>
      <c r="K260" s="179">
        <f>Capital!C11+Capital!D11</f>
        <v>28897.23</v>
      </c>
      <c r="L260" s="180"/>
      <c r="M260" s="181">
        <f>Capital!C11+Capital!D11</f>
        <v>28897.23</v>
      </c>
      <c r="N260" s="27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3.5" customHeight="1">
      <c r="A261" s="5"/>
      <c r="B261" s="77" t="s">
        <v>307</v>
      </c>
      <c r="C261" s="93">
        <v>83812.27</v>
      </c>
      <c r="D261" s="94"/>
      <c r="E261" s="93">
        <v>91912.27</v>
      </c>
      <c r="F261" s="95"/>
      <c r="G261" s="132">
        <v>91912.27</v>
      </c>
      <c r="H261" s="82"/>
      <c r="I261" s="97">
        <f>Capital!D12+G261</f>
        <v>91912.27</v>
      </c>
      <c r="J261" s="15"/>
      <c r="K261" s="179">
        <f>Capital!C14+Capital!D14</f>
        <v>91912.27</v>
      </c>
      <c r="L261" s="180"/>
      <c r="M261" s="181">
        <f>Capital!C14+Capital!D14</f>
        <v>91912.27</v>
      </c>
      <c r="N261" s="27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3.5" customHeight="1">
      <c r="A262" s="5"/>
      <c r="B262" s="77" t="s">
        <v>308</v>
      </c>
      <c r="C262" s="93">
        <v>0</v>
      </c>
      <c r="D262" s="94"/>
      <c r="E262" s="93">
        <v>0</v>
      </c>
      <c r="F262" s="95"/>
      <c r="G262" s="132">
        <v>0</v>
      </c>
      <c r="H262" s="82"/>
      <c r="I262" s="97">
        <f>Capital!D13+G262</f>
        <v>0</v>
      </c>
      <c r="J262" s="15"/>
      <c r="K262" s="179"/>
      <c r="L262" s="180"/>
      <c r="M262" s="181"/>
      <c r="N262" s="27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3.5" customHeight="1">
      <c r="A263" s="5"/>
      <c r="B263" s="77" t="s">
        <v>309</v>
      </c>
      <c r="C263" s="93">
        <v>34891</v>
      </c>
      <c r="D263" s="94"/>
      <c r="E263" s="93">
        <v>45295</v>
      </c>
      <c r="F263" s="95"/>
      <c r="G263" s="132">
        <v>65295</v>
      </c>
      <c r="H263" s="82"/>
      <c r="I263" s="97">
        <v>164013</v>
      </c>
      <c r="J263" s="15"/>
      <c r="K263" s="179">
        <f>Capital!C18+Capital!D18</f>
        <v>184173</v>
      </c>
      <c r="L263" s="180"/>
      <c r="M263" s="181">
        <f>Capital!C18+Capital!D18</f>
        <v>184173</v>
      </c>
      <c r="N263" s="27" t="s">
        <v>310</v>
      </c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3.5" customHeight="1">
      <c r="A264" s="5"/>
      <c r="B264" s="77" t="s">
        <v>311</v>
      </c>
      <c r="C264" s="93">
        <v>23313.15</v>
      </c>
      <c r="D264" s="94"/>
      <c r="E264" s="93">
        <v>23313.15</v>
      </c>
      <c r="F264" s="95"/>
      <c r="G264" s="132">
        <v>34452.15</v>
      </c>
      <c r="H264" s="82"/>
      <c r="I264" s="97">
        <v>41614.15</v>
      </c>
      <c r="J264" s="15"/>
      <c r="K264" s="179">
        <f>Capital!C19+Capital!D19</f>
        <v>51614.15</v>
      </c>
      <c r="L264" s="180"/>
      <c r="M264" s="181">
        <f>Capital!C19+Capital!D19</f>
        <v>51614.15</v>
      </c>
      <c r="N264" s="27" t="s">
        <v>312</v>
      </c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3.5" customHeight="1">
      <c r="A265" s="5"/>
      <c r="B265" s="77" t="s">
        <v>313</v>
      </c>
      <c r="C265" s="93">
        <v>1705</v>
      </c>
      <c r="D265" s="94"/>
      <c r="E265" s="93">
        <v>1705</v>
      </c>
      <c r="F265" s="95"/>
      <c r="G265" s="187">
        <v>1705</v>
      </c>
      <c r="H265" s="82"/>
      <c r="I265" s="97">
        <f>Capital!D16+G265</f>
        <v>1705</v>
      </c>
      <c r="J265" s="15"/>
      <c r="K265" s="179">
        <f>Capital!C20+Capital!D20</f>
        <v>1705</v>
      </c>
      <c r="L265" s="180"/>
      <c r="M265" s="181">
        <f>Capital!C20+Capital!D20</f>
        <v>1705</v>
      </c>
      <c r="N265" s="27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3.5" customHeight="1">
      <c r="A266" s="5"/>
      <c r="B266" s="77" t="s">
        <v>314</v>
      </c>
      <c r="C266" s="93">
        <v>9410</v>
      </c>
      <c r="D266" s="94"/>
      <c r="E266" s="93">
        <v>9410</v>
      </c>
      <c r="F266" s="95"/>
      <c r="G266" s="132">
        <v>9410</v>
      </c>
      <c r="H266" s="82"/>
      <c r="I266" s="97">
        <v>33265</v>
      </c>
      <c r="J266" s="15"/>
      <c r="K266" s="179">
        <f>Capital!C21+Capital!D21</f>
        <v>33265</v>
      </c>
      <c r="L266" s="180"/>
      <c r="M266" s="181">
        <f>Capital!C21+Capital!D21</f>
        <v>33265</v>
      </c>
      <c r="N266" s="27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3.5" customHeight="1">
      <c r="A267" s="5"/>
      <c r="B267" s="77" t="s">
        <v>315</v>
      </c>
      <c r="C267" s="93">
        <v>9245</v>
      </c>
      <c r="D267" s="94"/>
      <c r="E267" s="93">
        <v>9245</v>
      </c>
      <c r="F267" s="95"/>
      <c r="G267" s="132">
        <v>9245</v>
      </c>
      <c r="H267" s="82"/>
      <c r="I267" s="97">
        <v>9245</v>
      </c>
      <c r="J267" s="15"/>
      <c r="K267" s="179">
        <f>Capital!C22+Capital!D22</f>
        <v>9245</v>
      </c>
      <c r="L267" s="180"/>
      <c r="M267" s="181">
        <f>Capital!C22+Capital!D22</f>
        <v>9245</v>
      </c>
      <c r="N267" s="27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3.5" customHeight="1">
      <c r="A268" s="5"/>
      <c r="B268" s="77" t="s">
        <v>316</v>
      </c>
      <c r="C268" s="93">
        <v>0</v>
      </c>
      <c r="D268" s="94"/>
      <c r="E268" s="93">
        <v>0</v>
      </c>
      <c r="F268" s="95"/>
      <c r="G268" s="132">
        <v>0</v>
      </c>
      <c r="H268" s="82"/>
      <c r="I268" s="97">
        <f>Capital!D19+G268</f>
        <v>10000</v>
      </c>
      <c r="J268" s="15"/>
      <c r="K268" s="179">
        <f>Capital!C23+Capital!D23</f>
        <v>0</v>
      </c>
      <c r="L268" s="180"/>
      <c r="M268" s="181">
        <f>Capital!C23+Capital!D23</f>
        <v>0</v>
      </c>
      <c r="N268" s="27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3.5" customHeight="1">
      <c r="A269" s="5"/>
      <c r="B269" s="77" t="s">
        <v>317</v>
      </c>
      <c r="C269" s="93">
        <v>0</v>
      </c>
      <c r="D269" s="94"/>
      <c r="E269" s="93">
        <v>0</v>
      </c>
      <c r="F269" s="95"/>
      <c r="G269" s="132">
        <v>0</v>
      </c>
      <c r="H269" s="82"/>
      <c r="I269" s="97">
        <f>Capital!D20+G269</f>
        <v>0</v>
      </c>
      <c r="J269" s="15"/>
      <c r="K269" s="179">
        <f>Capital!C24+Capital!D24</f>
        <v>0</v>
      </c>
      <c r="L269" s="180"/>
      <c r="M269" s="181">
        <f>Capital!C24+Capital!D24</f>
        <v>0</v>
      </c>
      <c r="N269" s="27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3.5" customHeight="1">
      <c r="A270" s="5"/>
      <c r="B270" s="77" t="s">
        <v>318</v>
      </c>
      <c r="C270" s="93">
        <v>21005</v>
      </c>
      <c r="D270" s="94"/>
      <c r="E270" s="93">
        <v>21005</v>
      </c>
      <c r="F270" s="95"/>
      <c r="G270" s="132">
        <v>43815</v>
      </c>
      <c r="H270" s="82"/>
      <c r="I270" s="97">
        <f>Capital!D21+G270</f>
        <v>43815</v>
      </c>
      <c r="J270" s="15"/>
      <c r="K270" s="179">
        <f>Capital!C25+Capital!D25</f>
        <v>43815</v>
      </c>
      <c r="L270" s="180"/>
      <c r="M270" s="181">
        <f>Capital!C25+Capital!D25</f>
        <v>43815</v>
      </c>
      <c r="N270" s="27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3.5" customHeight="1">
      <c r="A271" s="5"/>
      <c r="B271" s="77" t="s">
        <v>319</v>
      </c>
      <c r="C271" s="93">
        <v>13738</v>
      </c>
      <c r="D271" s="94"/>
      <c r="E271" s="93">
        <v>13738</v>
      </c>
      <c r="F271" s="95"/>
      <c r="G271" s="132">
        <v>13738</v>
      </c>
      <c r="H271" s="82"/>
      <c r="I271" s="97">
        <f>Capital!D22+G271</f>
        <v>13738</v>
      </c>
      <c r="J271" s="15"/>
      <c r="K271" s="179">
        <f>Capital!C26+Capital!D26</f>
        <v>88738</v>
      </c>
      <c r="L271" s="180"/>
      <c r="M271" s="181">
        <f>Capital!C26+Capital!D26</f>
        <v>88738</v>
      </c>
      <c r="N271" s="27" t="s">
        <v>320</v>
      </c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3.5" customHeight="1">
      <c r="A272" s="5"/>
      <c r="B272" s="77" t="s">
        <v>321</v>
      </c>
      <c r="C272" s="93">
        <v>0</v>
      </c>
      <c r="D272" s="94"/>
      <c r="E272" s="93">
        <v>0</v>
      </c>
      <c r="F272" s="95"/>
      <c r="G272" s="132">
        <v>0</v>
      </c>
      <c r="H272" s="82"/>
      <c r="I272" s="97">
        <f>Capital!D23+G272</f>
        <v>0</v>
      </c>
      <c r="J272" s="15"/>
      <c r="K272" s="179">
        <f>Capital!C27+Capital!D27</f>
        <v>0</v>
      </c>
      <c r="L272" s="180"/>
      <c r="M272" s="181">
        <f>Capital!C27+Capital!D27</f>
        <v>0</v>
      </c>
      <c r="N272" s="27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3.5" customHeight="1">
      <c r="A273" s="5"/>
      <c r="B273" s="77" t="s">
        <v>322</v>
      </c>
      <c r="C273" s="93">
        <v>0</v>
      </c>
      <c r="D273" s="94"/>
      <c r="E273" s="93">
        <v>0</v>
      </c>
      <c r="F273" s="95"/>
      <c r="G273" s="132">
        <v>0</v>
      </c>
      <c r="H273" s="82"/>
      <c r="I273" s="97">
        <f>Capital!D24+G273</f>
        <v>0</v>
      </c>
      <c r="J273" s="15"/>
      <c r="K273" s="179">
        <f>Capital!C28+Capital!D28</f>
        <v>15000</v>
      </c>
      <c r="L273" s="180"/>
      <c r="M273" s="181">
        <f>Capital!C28+Capital!D28</f>
        <v>15000</v>
      </c>
      <c r="N273" s="27" t="s">
        <v>323</v>
      </c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3.5" customHeight="1">
      <c r="A274" s="5"/>
      <c r="B274" s="77" t="s">
        <v>324</v>
      </c>
      <c r="C274" s="93">
        <v>19562</v>
      </c>
      <c r="D274" s="94"/>
      <c r="E274" s="93">
        <v>19562</v>
      </c>
      <c r="F274" s="95"/>
      <c r="G274" s="132">
        <v>19562</v>
      </c>
      <c r="H274" s="82"/>
      <c r="I274" s="97">
        <f>Capital!D25+G274</f>
        <v>19562</v>
      </c>
      <c r="J274" s="15"/>
      <c r="K274" s="179">
        <f>Capital!C29+Capital!D29</f>
        <v>19562</v>
      </c>
      <c r="L274" s="180"/>
      <c r="M274" s="181">
        <f>Capital!C29+Capital!D29</f>
        <v>19562</v>
      </c>
      <c r="N274" s="27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3.5" customHeight="1">
      <c r="A275" s="5"/>
      <c r="B275" s="77" t="s">
        <v>325</v>
      </c>
      <c r="C275" s="93">
        <v>159000</v>
      </c>
      <c r="D275" s="94"/>
      <c r="E275" s="93">
        <v>0</v>
      </c>
      <c r="F275" s="95"/>
      <c r="G275" s="132">
        <v>0</v>
      </c>
      <c r="H275" s="82"/>
      <c r="I275" s="97">
        <f>Capital!D26+G275</f>
        <v>75000</v>
      </c>
      <c r="J275" s="15"/>
      <c r="K275" s="179"/>
      <c r="L275" s="180"/>
      <c r="M275" s="181"/>
      <c r="N275" s="27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3.5" customHeight="1">
      <c r="A276" s="5"/>
      <c r="B276" s="77" t="s">
        <v>326</v>
      </c>
      <c r="C276" s="93"/>
      <c r="D276" s="94"/>
      <c r="E276" s="93">
        <v>159000</v>
      </c>
      <c r="F276" s="95"/>
      <c r="G276" s="132">
        <v>159000</v>
      </c>
      <c r="H276" s="82"/>
      <c r="I276" s="97">
        <v>206173</v>
      </c>
      <c r="J276" s="15"/>
      <c r="K276" s="179">
        <f>Capital!C33+Capital!D33</f>
        <v>206173</v>
      </c>
      <c r="L276" s="180"/>
      <c r="M276" s="181">
        <f>Capital!C33+Capital!D33</f>
        <v>206173</v>
      </c>
      <c r="N276" s="27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3.5" customHeight="1">
      <c r="A277" s="5"/>
      <c r="B277" s="77" t="s">
        <v>327</v>
      </c>
      <c r="C277" s="93">
        <v>20000</v>
      </c>
      <c r="D277" s="94"/>
      <c r="E277" s="93">
        <v>50000</v>
      </c>
      <c r="F277" s="95"/>
      <c r="G277" s="132">
        <v>75000</v>
      </c>
      <c r="H277" s="82"/>
      <c r="I277" s="97">
        <f>G277+25000</f>
        <v>100000</v>
      </c>
      <c r="J277" s="15"/>
      <c r="K277" s="179">
        <v>100000</v>
      </c>
      <c r="L277" s="180"/>
      <c r="M277" s="181">
        <v>100000</v>
      </c>
      <c r="N277" s="27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3.5" customHeight="1">
      <c r="A278" s="102"/>
      <c r="B278" s="103" t="s">
        <v>328</v>
      </c>
      <c r="C278" s="188">
        <f>SUM(C248:C252)-SUM(C255:C276)</f>
        <v>935227.76</v>
      </c>
      <c r="D278" s="189"/>
      <c r="E278" s="188">
        <f>SUM(E248:E252)-SUM(E255:E276)</f>
        <v>1510024.709999999</v>
      </c>
      <c r="F278" s="190"/>
      <c r="G278" s="188">
        <f>SUM(G248:G252)-SUM(G255:G276)</f>
        <v>2576473.6099999994</v>
      </c>
      <c r="H278" s="191"/>
      <c r="I278" s="188">
        <f>SUM(I248:I252)-SUM(I255:I276)</f>
        <v>2874832.8286399269</v>
      </c>
      <c r="J278" s="69"/>
      <c r="K278" s="188">
        <f>SUM(K248:K252)-SUM(K255:K277)</f>
        <v>3055074.1022999282</v>
      </c>
      <c r="L278" s="69"/>
      <c r="M278" s="188">
        <f>SUM(M248:M252)-SUM(M255:M276)</f>
        <v>3155074.1022999282</v>
      </c>
      <c r="N278" s="108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</row>
    <row r="279" spans="1:28" ht="3" customHeight="1">
      <c r="A279" s="102"/>
      <c r="B279" s="192"/>
      <c r="C279" s="193"/>
      <c r="D279" s="189"/>
      <c r="E279" s="193"/>
      <c r="F279" s="190"/>
      <c r="G279" s="194"/>
      <c r="H279" s="189"/>
      <c r="I279" s="194"/>
      <c r="J279" s="189"/>
      <c r="K279" s="194"/>
      <c r="L279" s="189"/>
      <c r="M279" s="194"/>
      <c r="N279" s="108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</row>
    <row r="280" spans="1:28" ht="13.5" customHeight="1">
      <c r="A280" s="102"/>
      <c r="B280" s="195" t="s">
        <v>32</v>
      </c>
      <c r="C280" s="167">
        <f>C244+C278</f>
        <v>764348.11999999941</v>
      </c>
      <c r="D280" s="168"/>
      <c r="E280" s="167">
        <f>E244+E278</f>
        <v>1974272.899999999</v>
      </c>
      <c r="F280" s="196"/>
      <c r="G280" s="170">
        <f>G244+G278</f>
        <v>3226912.419999999</v>
      </c>
      <c r="H280" s="197"/>
      <c r="I280" s="170">
        <f>I244+I278</f>
        <v>3180795.8936600001</v>
      </c>
      <c r="J280" s="197"/>
      <c r="K280" s="170">
        <f>K244+K278</f>
        <v>3812149.7553524007</v>
      </c>
      <c r="L280" s="197"/>
      <c r="M280" s="170">
        <f>M244+M278</f>
        <v>3202089.3949148008</v>
      </c>
      <c r="N280" s="198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</row>
    <row r="281" spans="1:28" ht="13.5" customHeight="1">
      <c r="A281" s="5"/>
      <c r="B281" s="5"/>
      <c r="C281" s="5"/>
      <c r="D281" s="5"/>
      <c r="E281" s="5"/>
      <c r="F281" s="5"/>
      <c r="G281" s="3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</sheetData>
  <mergeCells count="5">
    <mergeCell ref="B1:K1"/>
    <mergeCell ref="B2:K2"/>
    <mergeCell ref="B3:K3"/>
    <mergeCell ref="B4:I4"/>
    <mergeCell ref="B246:M246"/>
  </mergeCells>
  <conditionalFormatting sqref="C18:I18">
    <cfRule type="cellIs" dxfId="1" priority="1" operator="lessThan">
      <formula>0</formula>
    </cfRule>
  </conditionalFormatting>
  <conditionalFormatting sqref="K18 M18">
    <cfRule type="cellIs" dxfId="0" priority="2" operator="lessThan">
      <formula>0</formula>
    </cfRule>
  </conditionalFormatting>
  <hyperlinks>
    <hyperlink ref="N13" r:id="rId1"/>
  </hyperlinks>
  <pageMargins left="0.25" right="0.25" top="0.5" bottom="0.5" header="0" footer="0"/>
  <pageSetup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"/>
  <sheetViews>
    <sheetView workbookViewId="0"/>
  </sheetViews>
  <sheetFormatPr defaultColWidth="14.44140625" defaultRowHeight="15" customHeight="1"/>
  <cols>
    <col min="1" max="1" width="36.21875" customWidth="1"/>
    <col min="2" max="2" width="17.21875" customWidth="1"/>
    <col min="3" max="3" width="22.77734375" customWidth="1"/>
    <col min="4" max="4" width="9.77734375" customWidth="1"/>
    <col min="5" max="5" width="54.5546875" customWidth="1"/>
  </cols>
  <sheetData>
    <row r="1" spans="1:5">
      <c r="A1" s="199" t="s">
        <v>329</v>
      </c>
      <c r="B1" s="200" t="s">
        <v>330</v>
      </c>
      <c r="C1" s="200" t="s">
        <v>331</v>
      </c>
      <c r="D1" s="200" t="s">
        <v>332</v>
      </c>
      <c r="E1" s="201" t="s">
        <v>11</v>
      </c>
    </row>
    <row r="2" spans="1:5">
      <c r="A2" s="202" t="s">
        <v>333</v>
      </c>
      <c r="B2" s="203" t="s">
        <v>334</v>
      </c>
      <c r="C2" s="203" t="s">
        <v>335</v>
      </c>
      <c r="D2" s="204">
        <v>7500</v>
      </c>
      <c r="E2" s="205"/>
    </row>
    <row r="3" spans="1:5">
      <c r="A3" s="202" t="s">
        <v>336</v>
      </c>
      <c r="B3" s="203" t="s">
        <v>337</v>
      </c>
      <c r="C3" s="203" t="s">
        <v>335</v>
      </c>
      <c r="D3" s="204">
        <v>7500</v>
      </c>
      <c r="E3" s="205"/>
    </row>
    <row r="4" spans="1:5">
      <c r="A4" s="202" t="s">
        <v>338</v>
      </c>
      <c r="B4" s="203" t="s">
        <v>339</v>
      </c>
      <c r="C4" s="203" t="s">
        <v>335</v>
      </c>
      <c r="D4" s="204">
        <v>7500</v>
      </c>
      <c r="E4" s="205"/>
    </row>
    <row r="5" spans="1:5">
      <c r="A5" s="202" t="s">
        <v>340</v>
      </c>
      <c r="B5" s="203" t="s">
        <v>341</v>
      </c>
      <c r="C5" s="203" t="s">
        <v>335</v>
      </c>
      <c r="D5" s="204">
        <v>7500</v>
      </c>
      <c r="E5" s="205"/>
    </row>
    <row r="6" spans="1:5">
      <c r="A6" s="202" t="s">
        <v>342</v>
      </c>
      <c r="B6" s="203" t="s">
        <v>343</v>
      </c>
      <c r="C6" s="203" t="s">
        <v>335</v>
      </c>
      <c r="D6" s="204">
        <v>7500</v>
      </c>
      <c r="E6" s="205"/>
    </row>
    <row r="7" spans="1:5">
      <c r="A7" s="202" t="s">
        <v>344</v>
      </c>
      <c r="B7" s="203" t="s">
        <v>345</v>
      </c>
      <c r="C7" s="203" t="s">
        <v>335</v>
      </c>
      <c r="D7" s="204">
        <v>7500</v>
      </c>
      <c r="E7" s="205"/>
    </row>
    <row r="8" spans="1:5">
      <c r="A8" s="202" t="s">
        <v>346</v>
      </c>
      <c r="B8" s="203" t="s">
        <v>347</v>
      </c>
      <c r="C8" s="203" t="s">
        <v>335</v>
      </c>
      <c r="D8" s="204">
        <v>15000</v>
      </c>
      <c r="E8" s="205" t="s">
        <v>348</v>
      </c>
    </row>
    <row r="9" spans="1:5">
      <c r="A9" s="202"/>
      <c r="B9" s="203"/>
      <c r="C9" s="203"/>
      <c r="D9" s="203"/>
      <c r="E9" s="205"/>
    </row>
    <row r="10" spans="1:5">
      <c r="A10" s="206" t="s">
        <v>349</v>
      </c>
      <c r="B10" s="207"/>
      <c r="C10" s="208" t="s">
        <v>350</v>
      </c>
      <c r="D10" s="209">
        <v>60000</v>
      </c>
      <c r="E10" s="210"/>
    </row>
  </sheetData>
  <hyperlinks>
    <hyperlink ref="A1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4.44140625" defaultRowHeight="15" customHeight="1"/>
  <cols>
    <col min="1" max="1" width="49" customWidth="1"/>
    <col min="2" max="2" width="30.77734375" customWidth="1"/>
    <col min="3" max="3" width="0.44140625" customWidth="1"/>
    <col min="4" max="4" width="16.109375" customWidth="1"/>
    <col min="5" max="5" width="16" customWidth="1"/>
    <col min="6" max="26" width="8.5546875" customWidth="1"/>
  </cols>
  <sheetData>
    <row r="1" spans="1:5" ht="14.25" customHeight="1">
      <c r="A1" s="335" t="s">
        <v>0</v>
      </c>
      <c r="B1" s="328"/>
    </row>
    <row r="2" spans="1:5" ht="14.25" customHeight="1">
      <c r="A2" s="335" t="s">
        <v>351</v>
      </c>
      <c r="B2" s="328"/>
    </row>
    <row r="3" spans="1:5" ht="14.25" customHeight="1">
      <c r="A3" s="336"/>
      <c r="B3" s="328"/>
    </row>
    <row r="4" spans="1:5" ht="14.25" customHeight="1"/>
    <row r="5" spans="1:5" ht="14.25" customHeight="1">
      <c r="A5" s="211"/>
      <c r="B5" s="212" t="s">
        <v>352</v>
      </c>
      <c r="C5" s="213"/>
      <c r="D5" s="213" t="s">
        <v>353</v>
      </c>
      <c r="E5" s="213" t="s">
        <v>354</v>
      </c>
    </row>
    <row r="6" spans="1:5" ht="14.25" customHeight="1">
      <c r="A6" s="214" t="s">
        <v>355</v>
      </c>
      <c r="B6" s="215"/>
    </row>
    <row r="7" spans="1:5" ht="14.25" customHeight="1">
      <c r="A7" s="214" t="s">
        <v>34</v>
      </c>
      <c r="B7" s="215"/>
    </row>
    <row r="8" spans="1:5" ht="14.25" customHeight="1">
      <c r="A8" s="214" t="s">
        <v>35</v>
      </c>
      <c r="B8" s="216">
        <f>1829391.25</f>
        <v>1829391.25</v>
      </c>
      <c r="D8" s="216">
        <f>2819106.55</f>
        <v>2819106.55</v>
      </c>
      <c r="E8" s="216">
        <f>3837383.24</f>
        <v>3837383.24</v>
      </c>
    </row>
    <row r="9" spans="1:5" ht="14.25" customHeight="1">
      <c r="A9" s="214" t="s">
        <v>36</v>
      </c>
      <c r="B9" s="216">
        <f>217547.88</f>
        <v>217547.88</v>
      </c>
      <c r="D9" s="216">
        <f>185203.75</f>
        <v>185203.75</v>
      </c>
      <c r="E9" s="216">
        <f>343605.86</f>
        <v>343605.86</v>
      </c>
    </row>
    <row r="10" spans="1:5" ht="14.25" customHeight="1">
      <c r="A10" s="214" t="s">
        <v>37</v>
      </c>
      <c r="B10" s="216">
        <f>521828.34</f>
        <v>521828.34</v>
      </c>
      <c r="D10" s="216">
        <f>750000</f>
        <v>750000</v>
      </c>
      <c r="E10" s="216">
        <f>1000000</f>
        <v>1000000</v>
      </c>
    </row>
    <row r="11" spans="1:5" ht="14.25" customHeight="1">
      <c r="A11" s="214" t="s">
        <v>39</v>
      </c>
      <c r="B11" s="215"/>
      <c r="D11" s="215"/>
      <c r="E11" s="215"/>
    </row>
    <row r="12" spans="1:5" ht="14.25" customHeight="1">
      <c r="A12" s="214" t="s">
        <v>40</v>
      </c>
      <c r="B12" s="216">
        <f>4950</f>
        <v>4950</v>
      </c>
      <c r="D12" s="215"/>
      <c r="E12" s="215"/>
    </row>
    <row r="13" spans="1:5" ht="14.25" customHeight="1">
      <c r="A13" s="214" t="s">
        <v>41</v>
      </c>
      <c r="B13" s="216">
        <f>624</f>
        <v>624</v>
      </c>
      <c r="D13" s="215"/>
      <c r="E13" s="215"/>
    </row>
    <row r="14" spans="1:5" ht="14.25" customHeight="1">
      <c r="A14" s="214" t="s">
        <v>42</v>
      </c>
      <c r="B14" s="215"/>
      <c r="D14" s="215"/>
      <c r="E14" s="215"/>
    </row>
    <row r="15" spans="1:5" ht="14.25" customHeight="1">
      <c r="A15" s="214" t="s">
        <v>43</v>
      </c>
      <c r="B15" s="215"/>
      <c r="D15" s="215"/>
      <c r="E15" s="215"/>
    </row>
    <row r="16" spans="1:5" ht="14.25" customHeight="1">
      <c r="A16" s="214" t="s">
        <v>44</v>
      </c>
      <c r="B16" s="216">
        <f>23257</f>
        <v>23257</v>
      </c>
      <c r="D16" s="215"/>
      <c r="E16" s="215"/>
    </row>
    <row r="17" spans="1:5" ht="14.25" customHeight="1">
      <c r="A17" s="214" t="s">
        <v>45</v>
      </c>
      <c r="B17" s="217">
        <f>(((((((((B7)+(B8))+(B9))+(B10))+(B11))+(B12))+(B13))+(B14))+(B15))+(B16)</f>
        <v>2597598.4699999997</v>
      </c>
      <c r="D17" s="217">
        <f t="shared" ref="D17:E17" si="0">(((((((((D7)+(D8))+(D9))+(D10))+(D11))+(D12))+(D13))+(D14))+(D15))+(D16)</f>
        <v>3754310.3</v>
      </c>
      <c r="E17" s="217">
        <f t="shared" si="0"/>
        <v>5180989.0999999996</v>
      </c>
    </row>
    <row r="18" spans="1:5" ht="14.25" customHeight="1">
      <c r="A18" s="214" t="s">
        <v>46</v>
      </c>
      <c r="B18" s="215"/>
      <c r="D18" s="215"/>
      <c r="E18" s="215"/>
    </row>
    <row r="19" spans="1:5" ht="14.25" customHeight="1">
      <c r="A19" s="214" t="s">
        <v>47</v>
      </c>
      <c r="B19" s="216">
        <f>12884</f>
        <v>12884</v>
      </c>
      <c r="D19" s="216">
        <f>12911</f>
        <v>12911</v>
      </c>
      <c r="E19" s="216">
        <f>21021</f>
        <v>21021</v>
      </c>
    </row>
    <row r="20" spans="1:5" ht="14.25" customHeight="1">
      <c r="A20" s="214" t="s">
        <v>49</v>
      </c>
      <c r="B20" s="216">
        <f>48485</f>
        <v>48485</v>
      </c>
      <c r="D20" s="216">
        <f>75854.79</f>
        <v>75854.789999999994</v>
      </c>
      <c r="E20" s="216">
        <f>80329.81</f>
        <v>80329.81</v>
      </c>
    </row>
    <row r="21" spans="1:5" ht="14.25" customHeight="1">
      <c r="A21" s="214" t="s">
        <v>50</v>
      </c>
      <c r="B21" s="216">
        <f>7023</f>
        <v>7023</v>
      </c>
      <c r="D21" s="216">
        <f>12119.4</f>
        <v>12119.4</v>
      </c>
      <c r="E21" s="216">
        <f>11132</f>
        <v>11132</v>
      </c>
    </row>
    <row r="22" spans="1:5" ht="14.25" customHeight="1">
      <c r="A22" s="214" t="s">
        <v>51</v>
      </c>
      <c r="B22" s="215"/>
      <c r="D22" s="216">
        <f t="shared" ref="D22:E22" si="1">10000</f>
        <v>10000</v>
      </c>
      <c r="E22" s="216">
        <f t="shared" si="1"/>
        <v>10000</v>
      </c>
    </row>
    <row r="23" spans="1:5" ht="14.25" customHeight="1">
      <c r="A23" s="214" t="s">
        <v>52</v>
      </c>
      <c r="B23" s="216">
        <f>37524.29</f>
        <v>37524.29</v>
      </c>
      <c r="D23" s="216">
        <f>36533</f>
        <v>36533</v>
      </c>
      <c r="E23" s="216">
        <f>46928.5</f>
        <v>46928.5</v>
      </c>
    </row>
    <row r="24" spans="1:5" ht="14.25" customHeight="1">
      <c r="A24" s="214" t="s">
        <v>53</v>
      </c>
      <c r="B24" s="215"/>
      <c r="D24" s="215"/>
      <c r="E24" s="215"/>
    </row>
    <row r="25" spans="1:5" ht="14.25" customHeight="1">
      <c r="A25" s="214" t="s">
        <v>54</v>
      </c>
      <c r="B25" s="216">
        <f>373830.5</f>
        <v>373830.5</v>
      </c>
      <c r="D25" s="215"/>
      <c r="E25" s="215"/>
    </row>
    <row r="26" spans="1:5" ht="14.25" customHeight="1">
      <c r="A26" s="214" t="s">
        <v>55</v>
      </c>
      <c r="B26" s="216"/>
      <c r="D26" s="216">
        <f>10937</f>
        <v>10937</v>
      </c>
      <c r="E26" s="216">
        <f>171244.57</f>
        <v>171244.57</v>
      </c>
    </row>
    <row r="27" spans="1:5" ht="14.25" customHeight="1">
      <c r="A27" s="214" t="s">
        <v>356</v>
      </c>
      <c r="B27" s="216"/>
      <c r="D27" s="216"/>
      <c r="E27" s="215"/>
    </row>
    <row r="28" spans="1:5" ht="14.25" customHeight="1">
      <c r="A28" s="214" t="s">
        <v>57</v>
      </c>
      <c r="B28" s="217">
        <f>(((((((B18)+(B19))+(B20))+(B21))+(B22))+(B23))+(B24))+(B25)</f>
        <v>479746.79000000004</v>
      </c>
      <c r="D28" s="217">
        <f>((((((((D18)+(D19))+(D20))+(D21))+(D22))+(D23))+(D24))+(D25))+(D26)</f>
        <v>158355.19</v>
      </c>
      <c r="E28" s="217">
        <f>(((((((((E18)+(E19))+(E20))+(E21))+(E22))+(E23))+(E24))+(E25))+(E26))+(E27)</f>
        <v>340655.88</v>
      </c>
    </row>
    <row r="29" spans="1:5" ht="14.25" customHeight="1">
      <c r="A29" s="214" t="s">
        <v>58</v>
      </c>
      <c r="B29" s="215"/>
      <c r="D29" s="215"/>
      <c r="E29" s="215"/>
    </row>
    <row r="30" spans="1:5" ht="14.25" customHeight="1">
      <c r="A30" s="214" t="s">
        <v>357</v>
      </c>
      <c r="B30" s="215"/>
      <c r="D30" s="215"/>
      <c r="E30" s="215"/>
    </row>
    <row r="31" spans="1:5" ht="14.25" customHeight="1">
      <c r="A31" s="214" t="s">
        <v>59</v>
      </c>
      <c r="B31" s="216">
        <f>31135.73</f>
        <v>31135.73</v>
      </c>
      <c r="D31" s="216">
        <f>13685.95</f>
        <v>13685.95</v>
      </c>
      <c r="E31" s="216">
        <f>4649.35</f>
        <v>4649.3500000000004</v>
      </c>
    </row>
    <row r="32" spans="1:5" ht="14.25" customHeight="1">
      <c r="A32" s="214" t="s">
        <v>60</v>
      </c>
      <c r="B32" s="216">
        <f>0</f>
        <v>0</v>
      </c>
      <c r="D32" s="215"/>
      <c r="E32" s="215"/>
    </row>
    <row r="33" spans="1:5" ht="14.25" customHeight="1">
      <c r="A33" s="214" t="s">
        <v>358</v>
      </c>
      <c r="B33" s="215"/>
      <c r="D33" s="215"/>
      <c r="E33" s="215"/>
    </row>
    <row r="34" spans="1:5" ht="14.25" customHeight="1">
      <c r="A34" s="214" t="s">
        <v>61</v>
      </c>
      <c r="B34" s="217">
        <f>((((B29)+(B30))+(B31))+(B32))+(B33)</f>
        <v>31135.73</v>
      </c>
      <c r="D34" s="217">
        <f t="shared" ref="D34:E34" si="2">((((D29)+(D30))+(D31))+(D32))+(D33)</f>
        <v>13685.95</v>
      </c>
      <c r="E34" s="217">
        <f t="shared" si="2"/>
        <v>4649.3500000000004</v>
      </c>
    </row>
    <row r="35" spans="1:5" ht="14.25" customHeight="1">
      <c r="A35" s="214" t="s">
        <v>62</v>
      </c>
      <c r="B35" s="215"/>
      <c r="D35" s="215"/>
      <c r="E35" s="215"/>
    </row>
    <row r="36" spans="1:5" ht="14.25" customHeight="1">
      <c r="A36" s="214" t="s">
        <v>63</v>
      </c>
      <c r="B36" s="215"/>
      <c r="D36" s="215"/>
      <c r="E36" s="215"/>
    </row>
    <row r="37" spans="1:5" ht="14.25" customHeight="1">
      <c r="A37" s="214" t="s">
        <v>64</v>
      </c>
      <c r="B37" s="217">
        <f>(B35)+(B36)</f>
        <v>0</v>
      </c>
      <c r="D37" s="217">
        <f t="shared" ref="D37:E37" si="3">(D35)+(D36)</f>
        <v>0</v>
      </c>
      <c r="E37" s="217">
        <f t="shared" si="3"/>
        <v>0</v>
      </c>
    </row>
    <row r="38" spans="1:5" ht="14.25" customHeight="1">
      <c r="A38" s="214" t="s">
        <v>65</v>
      </c>
      <c r="B38" s="215"/>
      <c r="D38" s="215"/>
      <c r="E38" s="215"/>
    </row>
    <row r="39" spans="1:5" ht="14.25" customHeight="1">
      <c r="A39" s="214" t="s">
        <v>66</v>
      </c>
      <c r="B39" s="216">
        <f>0.98</f>
        <v>0.98</v>
      </c>
      <c r="D39" s="216">
        <f>361.09</f>
        <v>361.09</v>
      </c>
      <c r="E39" s="216">
        <f>206.58</f>
        <v>206.58</v>
      </c>
    </row>
    <row r="40" spans="1:5" ht="14.25" customHeight="1">
      <c r="A40" s="214" t="s">
        <v>68</v>
      </c>
      <c r="B40" s="217">
        <f>(B38)+(B39)</f>
        <v>0.98</v>
      </c>
      <c r="D40" s="217">
        <f t="shared" ref="D40:E40" si="4">(D38)+(D39)</f>
        <v>361.09</v>
      </c>
      <c r="E40" s="217">
        <f t="shared" si="4"/>
        <v>206.58</v>
      </c>
    </row>
    <row r="41" spans="1:5" ht="14.25" customHeight="1">
      <c r="A41" s="214" t="s">
        <v>69</v>
      </c>
      <c r="B41" s="215"/>
      <c r="D41" s="215"/>
      <c r="E41" s="215"/>
    </row>
    <row r="42" spans="1:5" ht="14.25" customHeight="1">
      <c r="A42" s="214" t="s">
        <v>70</v>
      </c>
      <c r="B42" s="216">
        <f>2363</f>
        <v>2363</v>
      </c>
      <c r="D42" s="215"/>
      <c r="E42" s="216">
        <f>20000</f>
        <v>20000</v>
      </c>
    </row>
    <row r="43" spans="1:5" ht="14.25" customHeight="1">
      <c r="A43" s="214" t="s">
        <v>71</v>
      </c>
      <c r="B43" s="215"/>
      <c r="D43" s="215"/>
      <c r="E43" s="215"/>
    </row>
    <row r="44" spans="1:5" ht="14.25" customHeight="1">
      <c r="A44" s="214" t="s">
        <v>72</v>
      </c>
      <c r="B44" s="216">
        <f>17500</f>
        <v>17500</v>
      </c>
      <c r="D44" s="215"/>
      <c r="E44" s="215"/>
    </row>
    <row r="45" spans="1:5" ht="14.25" customHeight="1">
      <c r="A45" s="214" t="s">
        <v>73</v>
      </c>
      <c r="B45" s="215"/>
      <c r="D45" s="215"/>
      <c r="E45" s="215"/>
    </row>
    <row r="46" spans="1:5" ht="14.25" customHeight="1">
      <c r="A46" s="214" t="s">
        <v>74</v>
      </c>
      <c r="B46" s="217">
        <f>((((B41)+(B42))+(B43))+(B44))+(B45)</f>
        <v>19863</v>
      </c>
      <c r="D46" s="217">
        <f t="shared" ref="D46:E46" si="5">((((D41)+(D42))+(D43))+(D44))+(D45)</f>
        <v>0</v>
      </c>
      <c r="E46" s="217">
        <f t="shared" si="5"/>
        <v>20000</v>
      </c>
    </row>
    <row r="47" spans="1:5" ht="14.25" customHeight="1">
      <c r="A47" s="214" t="s">
        <v>359</v>
      </c>
      <c r="B47" s="215"/>
      <c r="D47" s="215"/>
      <c r="E47" s="215"/>
    </row>
    <row r="48" spans="1:5" ht="14.25" customHeight="1">
      <c r="A48" s="214" t="s">
        <v>360</v>
      </c>
      <c r="B48" s="215"/>
      <c r="D48" s="215"/>
      <c r="E48" s="215"/>
    </row>
    <row r="49" spans="1:5" ht="14.25" customHeight="1">
      <c r="A49" s="214" t="s">
        <v>361</v>
      </c>
      <c r="B49" s="215"/>
      <c r="D49" s="215"/>
      <c r="E49" s="215"/>
    </row>
    <row r="50" spans="1:5" ht="14.25" customHeight="1">
      <c r="A50" s="214" t="s">
        <v>362</v>
      </c>
      <c r="B50" s="215"/>
      <c r="D50" s="215"/>
      <c r="E50" s="215"/>
    </row>
    <row r="51" spans="1:5" ht="14.25" customHeight="1">
      <c r="A51" s="214" t="s">
        <v>75</v>
      </c>
      <c r="B51" s="217">
        <f>(((((((((B17)+(B28))+(B34))+(B37))+(B40))+(B46))+(B47))+(B48))+(B49))+(B50)</f>
        <v>3128344.9699999997</v>
      </c>
      <c r="D51" s="217">
        <f t="shared" ref="D51:E51" si="6">(((((((((D17)+(D28))+(D34))+(D37))+(D40))+(D46))+(D47))+(D48))+(D49))+(D50)</f>
        <v>3926712.53</v>
      </c>
      <c r="E51" s="217">
        <f t="shared" si="6"/>
        <v>5546500.9099999992</v>
      </c>
    </row>
    <row r="52" spans="1:5" ht="14.25" customHeight="1">
      <c r="A52" s="214" t="s">
        <v>363</v>
      </c>
      <c r="B52" s="215"/>
      <c r="D52" s="215"/>
      <c r="E52" s="215"/>
    </row>
    <row r="53" spans="1:5" ht="14.25" customHeight="1">
      <c r="A53" s="214" t="s">
        <v>364</v>
      </c>
      <c r="B53" s="215"/>
      <c r="D53" s="215"/>
      <c r="E53" s="215"/>
    </row>
    <row r="54" spans="1:5" ht="14.25" customHeight="1">
      <c r="A54" s="214" t="s">
        <v>365</v>
      </c>
      <c r="B54" s="215"/>
      <c r="D54" s="215"/>
      <c r="E54" s="215"/>
    </row>
    <row r="55" spans="1:5" ht="14.25" customHeight="1">
      <c r="A55" s="214" t="s">
        <v>366</v>
      </c>
      <c r="B55" s="215"/>
      <c r="D55" s="215"/>
      <c r="E55" s="215"/>
    </row>
    <row r="56" spans="1:5" ht="14.25" customHeight="1">
      <c r="A56" s="214" t="s">
        <v>367</v>
      </c>
      <c r="B56" s="217">
        <f>((B53)+(B54))+(B55)</f>
        <v>0</v>
      </c>
      <c r="D56" s="217">
        <f t="shared" ref="D56:E56" si="7">((D53)+(D54))+(D55)</f>
        <v>0</v>
      </c>
      <c r="E56" s="217">
        <f t="shared" si="7"/>
        <v>0</v>
      </c>
    </row>
    <row r="57" spans="1:5" ht="14.25" customHeight="1">
      <c r="A57" s="214" t="s">
        <v>76</v>
      </c>
      <c r="B57" s="217">
        <f>(B51)-(B56)</f>
        <v>3128344.9699999997</v>
      </c>
      <c r="D57" s="217">
        <f t="shared" ref="D57:E57" si="8">(D51)-(D56)</f>
        <v>3926712.53</v>
      </c>
      <c r="E57" s="217">
        <f t="shared" si="8"/>
        <v>5546500.9099999992</v>
      </c>
    </row>
    <row r="58" spans="1:5" ht="14.25" customHeight="1">
      <c r="A58" s="214" t="s">
        <v>77</v>
      </c>
      <c r="B58" s="215"/>
      <c r="D58" s="215"/>
      <c r="E58" s="215"/>
    </row>
    <row r="59" spans="1:5" ht="14.25" customHeight="1">
      <c r="A59" s="214" t="s">
        <v>368</v>
      </c>
      <c r="B59" s="215"/>
      <c r="D59" s="215"/>
      <c r="E59" s="215"/>
    </row>
    <row r="60" spans="1:5" ht="14.25" customHeight="1">
      <c r="A60" s="214" t="s">
        <v>369</v>
      </c>
      <c r="B60" s="215"/>
      <c r="D60" s="215"/>
      <c r="E60" s="215"/>
    </row>
    <row r="61" spans="1:5" ht="14.25" customHeight="1">
      <c r="A61" s="214" t="s">
        <v>370</v>
      </c>
      <c r="B61" s="216">
        <f>133900.08</f>
        <v>133900.07999999999</v>
      </c>
      <c r="D61" s="216">
        <f>133900.08</f>
        <v>133900.07999999999</v>
      </c>
      <c r="E61" s="216">
        <f>150237.83</f>
        <v>150237.82999999999</v>
      </c>
    </row>
    <row r="62" spans="1:5" ht="14.25" customHeight="1">
      <c r="A62" s="214" t="s">
        <v>371</v>
      </c>
      <c r="B62" s="216"/>
      <c r="D62" s="216"/>
      <c r="E62" s="215"/>
    </row>
    <row r="63" spans="1:5" ht="14.25" customHeight="1">
      <c r="A63" s="214" t="s">
        <v>372</v>
      </c>
      <c r="B63" s="215"/>
      <c r="D63" s="215"/>
      <c r="E63" s="216">
        <f>65683.8</f>
        <v>65683.8</v>
      </c>
    </row>
    <row r="64" spans="1:5" ht="14.25" customHeight="1">
      <c r="A64" s="214" t="s">
        <v>373</v>
      </c>
      <c r="B64" s="215"/>
      <c r="D64" s="215"/>
      <c r="E64" s="215"/>
    </row>
    <row r="65" spans="1:5" ht="14.25" customHeight="1">
      <c r="A65" s="214" t="s">
        <v>374</v>
      </c>
      <c r="B65" s="216">
        <f>83640.94</f>
        <v>83640.94</v>
      </c>
      <c r="D65" s="216">
        <f>74613.41</f>
        <v>74613.41</v>
      </c>
      <c r="E65" s="216">
        <f>83718.48</f>
        <v>83718.48</v>
      </c>
    </row>
    <row r="66" spans="1:5" ht="14.25" customHeight="1">
      <c r="A66" s="214" t="s">
        <v>375</v>
      </c>
      <c r="B66" s="216">
        <f>79442.37</f>
        <v>79442.37</v>
      </c>
      <c r="D66" s="216">
        <f>76564.44</f>
        <v>76564.44</v>
      </c>
      <c r="E66" s="216">
        <f>42366.33</f>
        <v>42366.33</v>
      </c>
    </row>
    <row r="67" spans="1:5" ht="14.25" customHeight="1">
      <c r="A67" s="214" t="s">
        <v>376</v>
      </c>
      <c r="B67" s="215"/>
      <c r="D67" s="215"/>
      <c r="E67" s="216">
        <f>47468.31</f>
        <v>47468.31</v>
      </c>
    </row>
    <row r="68" spans="1:5" ht="14.25" customHeight="1">
      <c r="A68" s="214" t="s">
        <v>377</v>
      </c>
      <c r="B68" s="215"/>
      <c r="D68" s="215"/>
      <c r="E68" s="215"/>
    </row>
    <row r="69" spans="1:5" ht="14.25" customHeight="1">
      <c r="A69" s="214" t="s">
        <v>378</v>
      </c>
      <c r="B69" s="216">
        <f>52650</f>
        <v>52650</v>
      </c>
      <c r="D69" s="216">
        <f>55487.19</f>
        <v>55487.19</v>
      </c>
      <c r="E69" s="216">
        <f>49944.51</f>
        <v>49944.51</v>
      </c>
    </row>
    <row r="70" spans="1:5" ht="14.25" customHeight="1">
      <c r="A70" s="214" t="s">
        <v>379</v>
      </c>
      <c r="B70" s="215"/>
      <c r="D70" s="215"/>
      <c r="E70" s="216">
        <f>57951.3</f>
        <v>57951.3</v>
      </c>
    </row>
    <row r="71" spans="1:5" ht="14.25" customHeight="1">
      <c r="A71" s="214" t="s">
        <v>380</v>
      </c>
      <c r="B71" s="215"/>
      <c r="D71" s="215"/>
      <c r="E71" s="215"/>
    </row>
    <row r="72" spans="1:5" ht="14.25" customHeight="1">
      <c r="A72" s="214" t="s">
        <v>381</v>
      </c>
      <c r="B72" s="215"/>
      <c r="D72" s="215"/>
      <c r="E72" s="215"/>
    </row>
    <row r="73" spans="1:5" ht="14.25" customHeight="1">
      <c r="A73" s="214" t="s">
        <v>382</v>
      </c>
      <c r="B73" s="216">
        <f>3210</f>
        <v>3210</v>
      </c>
      <c r="D73" s="215"/>
      <c r="E73" s="216">
        <f>4892.86</f>
        <v>4892.8599999999997</v>
      </c>
    </row>
    <row r="74" spans="1:5" ht="14.25" customHeight="1">
      <c r="A74" s="214" t="s">
        <v>97</v>
      </c>
      <c r="B74" s="217">
        <f>((((((((((((B60)+(B61))+(B63))+(B64))+(B65))+(B66))+(B67))+(B68))+(B69))+(B70))+(B71))+(B72))+(B73)</f>
        <v>352843.39</v>
      </c>
      <c r="D74" s="217">
        <f>((((((((((((D60)+(D61))+(D63))+(D64))+(D65))+(D66))+(D67))+(D68))+(D69))+(D70))+(D71))+(D72))+(D73)</f>
        <v>340565.12</v>
      </c>
      <c r="E74" s="217">
        <f>(((((((((((((E60)+(E61))+(E62))+(E63))+(E64))+(E65))+(E66))+(E67))+(E68))+(E69))+(E70))+(E71))+(E72))+(E73)</f>
        <v>502263.42</v>
      </c>
    </row>
    <row r="75" spans="1:5" ht="14.25" customHeight="1">
      <c r="A75" s="214" t="s">
        <v>383</v>
      </c>
      <c r="B75" s="215"/>
      <c r="D75" s="215"/>
      <c r="E75" s="215"/>
    </row>
    <row r="76" spans="1:5" ht="14.25" customHeight="1">
      <c r="A76" s="214" t="s">
        <v>384</v>
      </c>
      <c r="B76" s="215"/>
      <c r="D76" s="215"/>
      <c r="E76" s="215"/>
    </row>
    <row r="77" spans="1:5" ht="14.25" customHeight="1">
      <c r="A77" s="214" t="s">
        <v>385</v>
      </c>
      <c r="B77" s="215"/>
      <c r="D77" s="215"/>
      <c r="E77" s="215"/>
    </row>
    <row r="78" spans="1:5" ht="14.25" customHeight="1">
      <c r="A78" s="214" t="s">
        <v>386</v>
      </c>
      <c r="B78" s="215"/>
      <c r="D78" s="215"/>
      <c r="E78" s="215"/>
    </row>
    <row r="79" spans="1:5" ht="14.25" customHeight="1">
      <c r="A79" s="214" t="s">
        <v>387</v>
      </c>
      <c r="B79" s="215"/>
      <c r="D79" s="215"/>
      <c r="E79" s="215"/>
    </row>
    <row r="80" spans="1:5" ht="14.25" customHeight="1">
      <c r="A80" s="214" t="s">
        <v>388</v>
      </c>
      <c r="B80" s="216">
        <f>272354.5</f>
        <v>272354.5</v>
      </c>
      <c r="D80" s="216">
        <f>274765.39</f>
        <v>274765.39</v>
      </c>
      <c r="E80" s="216">
        <f>411260.34</f>
        <v>411260.34</v>
      </c>
    </row>
    <row r="81" spans="1:5" ht="14.25" customHeight="1">
      <c r="A81" s="218" t="s">
        <v>388</v>
      </c>
      <c r="B81" s="216"/>
      <c r="D81" s="216"/>
      <c r="E81" s="215"/>
    </row>
    <row r="82" spans="1:5" ht="14.25" customHeight="1">
      <c r="A82" s="214" t="s">
        <v>389</v>
      </c>
      <c r="B82" s="215"/>
      <c r="D82" s="215"/>
      <c r="E82" s="215"/>
    </row>
    <row r="83" spans="1:5" ht="14.25" customHeight="1">
      <c r="A83" s="214" t="s">
        <v>390</v>
      </c>
      <c r="B83" s="216">
        <f>242490.79</f>
        <v>242490.79</v>
      </c>
      <c r="D83" s="216">
        <f>333908.88</f>
        <v>333908.88</v>
      </c>
      <c r="E83" s="216">
        <f>440994.09</f>
        <v>440994.09</v>
      </c>
    </row>
    <row r="84" spans="1:5" ht="14.25" customHeight="1">
      <c r="A84" s="214" t="s">
        <v>391</v>
      </c>
      <c r="B84" s="215"/>
      <c r="D84" s="215"/>
      <c r="E84" s="215"/>
    </row>
    <row r="85" spans="1:5" ht="14.25" customHeight="1">
      <c r="A85" s="214" t="s">
        <v>392</v>
      </c>
      <c r="B85" s="215"/>
      <c r="D85" s="215"/>
      <c r="E85" s="215"/>
    </row>
    <row r="86" spans="1:5" ht="14.25" customHeight="1">
      <c r="A86" s="214" t="s">
        <v>393</v>
      </c>
      <c r="B86" s="215"/>
      <c r="D86" s="216">
        <f>39375</f>
        <v>39375</v>
      </c>
      <c r="E86" s="216">
        <f>47039.87</f>
        <v>47039.87</v>
      </c>
    </row>
    <row r="87" spans="1:5" ht="14.25" customHeight="1">
      <c r="A87" s="214" t="s">
        <v>394</v>
      </c>
      <c r="B87" s="215"/>
      <c r="D87" s="215"/>
      <c r="E87" s="215"/>
    </row>
    <row r="88" spans="1:5" ht="14.25" customHeight="1">
      <c r="A88" s="214" t="s">
        <v>395</v>
      </c>
      <c r="B88" s="216">
        <f>55534.18</f>
        <v>55534.18</v>
      </c>
      <c r="D88" s="216">
        <f>67912.7</f>
        <v>67912.7</v>
      </c>
      <c r="E88" s="216">
        <f>160148.26</f>
        <v>160148.26</v>
      </c>
    </row>
    <row r="89" spans="1:5" ht="14.25" customHeight="1">
      <c r="A89" s="214" t="s">
        <v>396</v>
      </c>
      <c r="B89" s="216">
        <f>18132.19</f>
        <v>18132.189999999999</v>
      </c>
      <c r="D89" s="216">
        <f>30558</f>
        <v>30558</v>
      </c>
      <c r="E89" s="216">
        <f>241130.77</f>
        <v>241130.77</v>
      </c>
    </row>
    <row r="90" spans="1:5" ht="14.25" customHeight="1">
      <c r="A90" s="214" t="s">
        <v>397</v>
      </c>
      <c r="B90" s="216">
        <f>42654.3</f>
        <v>42654.3</v>
      </c>
      <c r="D90" s="216">
        <f>60000.05</f>
        <v>60000.05</v>
      </c>
      <c r="E90" s="216">
        <f>66175</f>
        <v>66175</v>
      </c>
    </row>
    <row r="91" spans="1:5" ht="14.25" customHeight="1">
      <c r="A91" s="214" t="s">
        <v>107</v>
      </c>
      <c r="B91" s="217">
        <f>((((((((((((((B75)+(B76))+(B77))+(B78))+(B79))+(B80))+(B82))+(B83))+(B84))+(B85))+(B86))+(B87))+(B88))+(B89))+(B90)</f>
        <v>631165.96000000008</v>
      </c>
      <c r="D91" s="217">
        <f>((((((((((((((D75)+(D76))+(D77))+(D78))+(D79))+(D80))+(D82))+(D83))+(D84))+(D85))+(D86))+(D87))+(D88))+(D89))+(D90)</f>
        <v>806520.02</v>
      </c>
      <c r="E91" s="217">
        <f>(((((((((((((((E75)+(E76))+(E77))+(E78))+(E79))+(E80))+(E81))+(E82))+(E83))+(E84))+(E85))+(E86))+(E87))+(E88))+(E89))+(E90)</f>
        <v>1366748.33</v>
      </c>
    </row>
    <row r="92" spans="1:5" ht="14.25" customHeight="1">
      <c r="A92" s="214" t="s">
        <v>398</v>
      </c>
      <c r="B92" s="215"/>
      <c r="D92" s="215"/>
      <c r="E92" s="215"/>
    </row>
    <row r="93" spans="1:5" ht="14.25" customHeight="1">
      <c r="A93" s="214" t="s">
        <v>399</v>
      </c>
      <c r="B93" s="215"/>
      <c r="D93" s="215"/>
      <c r="E93" s="215"/>
    </row>
    <row r="94" spans="1:5" ht="14.25" customHeight="1">
      <c r="A94" s="214" t="s">
        <v>110</v>
      </c>
      <c r="B94" s="217">
        <f>(B92)+(B93)</f>
        <v>0</v>
      </c>
      <c r="D94" s="217">
        <f t="shared" ref="D94:E94" si="9">(D92)+(D93)</f>
        <v>0</v>
      </c>
      <c r="E94" s="217">
        <f t="shared" si="9"/>
        <v>0</v>
      </c>
    </row>
    <row r="95" spans="1:5" ht="14.25" customHeight="1">
      <c r="A95" s="214" t="s">
        <v>111</v>
      </c>
      <c r="B95" s="215"/>
      <c r="D95" s="215"/>
      <c r="E95" s="215"/>
    </row>
    <row r="96" spans="1:5" ht="14.25" customHeight="1">
      <c r="A96" s="214" t="s">
        <v>112</v>
      </c>
      <c r="B96" s="215"/>
      <c r="D96" s="215"/>
      <c r="E96" s="215"/>
    </row>
    <row r="97" spans="1:5" ht="14.25" customHeight="1">
      <c r="A97" s="214" t="s">
        <v>113</v>
      </c>
      <c r="B97" s="216">
        <f>12104.59</f>
        <v>12104.59</v>
      </c>
      <c r="D97" s="216">
        <f>12668.96</f>
        <v>12668.96</v>
      </c>
      <c r="E97" s="216">
        <f>30303.67</f>
        <v>30303.67</v>
      </c>
    </row>
    <row r="98" spans="1:5" ht="14.25" customHeight="1">
      <c r="A98" s="214" t="s">
        <v>115</v>
      </c>
      <c r="B98" s="216">
        <f>60298.2</f>
        <v>60298.2</v>
      </c>
      <c r="D98" s="216">
        <f>79057.46</f>
        <v>79057.460000000006</v>
      </c>
      <c r="E98" s="216">
        <f>116932.95</f>
        <v>116932.95</v>
      </c>
    </row>
    <row r="99" spans="1:5" ht="14.25" customHeight="1">
      <c r="A99" s="214" t="s">
        <v>117</v>
      </c>
      <c r="B99" s="216">
        <f>14102.01</f>
        <v>14102.01</v>
      </c>
      <c r="D99" s="216">
        <f>7924.14</f>
        <v>7924.14</v>
      </c>
      <c r="E99" s="216">
        <f>27347.21</f>
        <v>27347.21</v>
      </c>
    </row>
    <row r="100" spans="1:5" ht="14.25" customHeight="1">
      <c r="A100" s="214" t="s">
        <v>118</v>
      </c>
      <c r="B100" s="215"/>
      <c r="D100" s="215"/>
      <c r="E100" s="215"/>
    </row>
    <row r="101" spans="1:5" ht="14.25" customHeight="1">
      <c r="A101" s="214" t="s">
        <v>119</v>
      </c>
      <c r="B101" s="215"/>
      <c r="D101" s="215"/>
      <c r="E101" s="215"/>
    </row>
    <row r="102" spans="1:5" ht="14.25" customHeight="1">
      <c r="A102" s="214" t="s">
        <v>120</v>
      </c>
      <c r="B102" s="215"/>
      <c r="D102" s="215"/>
      <c r="E102" s="215"/>
    </row>
    <row r="103" spans="1:5" ht="14.25" customHeight="1">
      <c r="A103" s="214" t="s">
        <v>121</v>
      </c>
      <c r="B103" s="215"/>
      <c r="D103" s="215"/>
      <c r="E103" s="215"/>
    </row>
    <row r="104" spans="1:5" ht="14.25" customHeight="1">
      <c r="A104" s="214" t="s">
        <v>122</v>
      </c>
      <c r="B104" s="215"/>
      <c r="D104" s="215"/>
      <c r="E104" s="215"/>
    </row>
    <row r="105" spans="1:5" ht="14.25" customHeight="1">
      <c r="A105" s="214" t="s">
        <v>123</v>
      </c>
      <c r="B105" s="216">
        <f>1194.13</f>
        <v>1194.1300000000001</v>
      </c>
      <c r="D105" s="216">
        <f>288.68</f>
        <v>288.68</v>
      </c>
      <c r="E105" s="215"/>
    </row>
    <row r="106" spans="1:5" ht="14.25" customHeight="1">
      <c r="A106" s="214" t="s">
        <v>125</v>
      </c>
      <c r="B106" s="215"/>
      <c r="D106" s="215"/>
      <c r="E106" s="215"/>
    </row>
    <row r="107" spans="1:5" ht="14.25" customHeight="1">
      <c r="A107" s="214" t="s">
        <v>126</v>
      </c>
      <c r="B107" s="216">
        <f>-364.68</f>
        <v>-364.68</v>
      </c>
      <c r="D107" s="216">
        <f>388.95</f>
        <v>388.95</v>
      </c>
      <c r="E107" s="215"/>
    </row>
    <row r="108" spans="1:5" ht="14.25" customHeight="1">
      <c r="A108" s="214" t="s">
        <v>127</v>
      </c>
      <c r="B108" s="217">
        <f>((((((((((((B95)+(B96))+(B97))+(B98))+(B99))+(B100))+(B101))+(B102))+(B103))+(B104))+(B105))+(B106))+(B107)</f>
        <v>87334.25</v>
      </c>
      <c r="D108" s="217">
        <f t="shared" ref="D108:E108" si="10">((((((((((((D95)+(D96))+(D97))+(D98))+(D99))+(D100))+(D101))+(D102))+(D103))+(D104))+(D105))+(D106))+(D107)</f>
        <v>100328.19</v>
      </c>
      <c r="E108" s="217">
        <f t="shared" si="10"/>
        <v>174583.83</v>
      </c>
    </row>
    <row r="109" spans="1:5" ht="14.25" customHeight="1">
      <c r="A109" s="214" t="s">
        <v>128</v>
      </c>
      <c r="B109" s="215"/>
      <c r="D109" s="215"/>
      <c r="E109" s="215"/>
    </row>
    <row r="110" spans="1:5" ht="14.25" customHeight="1">
      <c r="A110" s="214" t="s">
        <v>400</v>
      </c>
      <c r="B110" s="216">
        <f>77466.09</f>
        <v>77466.09</v>
      </c>
      <c r="D110" s="216">
        <f>113451.81</f>
        <v>113451.81</v>
      </c>
      <c r="E110" s="216">
        <f>150821.93</f>
        <v>150821.93</v>
      </c>
    </row>
    <row r="111" spans="1:5" ht="14.25" customHeight="1">
      <c r="A111" s="214" t="s">
        <v>131</v>
      </c>
      <c r="B111" s="216">
        <f>3607.55</f>
        <v>3607.55</v>
      </c>
      <c r="D111" s="216">
        <f>2728.21</f>
        <v>2728.21</v>
      </c>
      <c r="E111" s="215"/>
    </row>
    <row r="112" spans="1:5" ht="14.25" customHeight="1">
      <c r="A112" s="214" t="s">
        <v>132</v>
      </c>
      <c r="B112" s="216">
        <f>1058.74</f>
        <v>1058.74</v>
      </c>
      <c r="D112" s="216">
        <f>736.33</f>
        <v>736.33</v>
      </c>
      <c r="E112" s="215"/>
    </row>
    <row r="113" spans="1:5" ht="14.25" customHeight="1">
      <c r="A113" s="214" t="s">
        <v>133</v>
      </c>
      <c r="B113" s="216">
        <f>11738.99</f>
        <v>11738.99</v>
      </c>
      <c r="D113" s="216">
        <f>11341.01</f>
        <v>11341.01</v>
      </c>
      <c r="E113" s="216">
        <f>6580</f>
        <v>6580</v>
      </c>
    </row>
    <row r="114" spans="1:5" ht="14.25" customHeight="1">
      <c r="A114" s="214" t="s">
        <v>401</v>
      </c>
      <c r="B114" s="216">
        <f>5529.36</f>
        <v>5529.36</v>
      </c>
      <c r="D114" s="216">
        <f>10487.39</f>
        <v>10487.39</v>
      </c>
      <c r="E114" s="216">
        <f>15696.55</f>
        <v>15696.55</v>
      </c>
    </row>
    <row r="115" spans="1:5" ht="14.25" customHeight="1">
      <c r="A115" s="214" t="s">
        <v>136</v>
      </c>
      <c r="B115" s="215"/>
      <c r="D115" s="215"/>
      <c r="E115" s="215"/>
    </row>
    <row r="116" spans="1:5" ht="14.25" customHeight="1">
      <c r="A116" s="214" t="s">
        <v>402</v>
      </c>
      <c r="B116" s="215"/>
      <c r="D116" s="215"/>
      <c r="E116" s="215"/>
    </row>
    <row r="117" spans="1:5" ht="14.25" customHeight="1">
      <c r="A117" s="214" t="s">
        <v>403</v>
      </c>
      <c r="B117" s="216">
        <f>0</f>
        <v>0</v>
      </c>
      <c r="D117" s="216">
        <f>684</f>
        <v>684</v>
      </c>
      <c r="E117" s="215"/>
    </row>
    <row r="118" spans="1:5" ht="14.25" customHeight="1">
      <c r="A118" s="214" t="s">
        <v>404</v>
      </c>
      <c r="B118" s="216">
        <f>625.86</f>
        <v>625.86</v>
      </c>
      <c r="D118" s="216">
        <f>121.27</f>
        <v>121.27</v>
      </c>
      <c r="E118" s="215"/>
    </row>
    <row r="119" spans="1:5" ht="14.25" customHeight="1">
      <c r="A119" s="214" t="s">
        <v>405</v>
      </c>
      <c r="B119" s="216">
        <f>204.41</f>
        <v>204.41</v>
      </c>
      <c r="D119" s="215"/>
      <c r="E119" s="215"/>
    </row>
    <row r="120" spans="1:5" ht="14.25" customHeight="1">
      <c r="A120" s="214" t="s">
        <v>406</v>
      </c>
      <c r="B120" s="216">
        <f>386.01</f>
        <v>386.01</v>
      </c>
      <c r="D120" s="215"/>
      <c r="E120" s="215"/>
    </row>
    <row r="121" spans="1:5" ht="14.25" customHeight="1">
      <c r="A121" s="214" t="s">
        <v>407</v>
      </c>
      <c r="B121" s="216">
        <f>1864.36</f>
        <v>1864.36</v>
      </c>
      <c r="D121" s="215"/>
      <c r="E121" s="215"/>
    </row>
    <row r="122" spans="1:5" ht="14.25" customHeight="1">
      <c r="A122" s="214" t="s">
        <v>138</v>
      </c>
      <c r="B122" s="216">
        <f>3750</f>
        <v>3750</v>
      </c>
      <c r="D122" s="215"/>
      <c r="E122" s="215"/>
    </row>
    <row r="123" spans="1:5" ht="14.25" customHeight="1">
      <c r="A123" s="214" t="s">
        <v>139</v>
      </c>
      <c r="B123" s="217">
        <f>(((((((((((((B109)+(B110))+(B111))+(B112))+(B113))+(B114))+(B115))+(B116))+(B117))+(B118))+(B119))+(B120))+(B121))+(B122)</f>
        <v>106231.37000000001</v>
      </c>
      <c r="D123" s="217">
        <f t="shared" ref="D123:E123" si="11">(((((((((((((D109)+(D110))+(D111))+(D112))+(D113))+(D114))+(D115))+(D116))+(D117))+(D118))+(D119))+(D120))+(D121))+(D122)</f>
        <v>139550.01999999999</v>
      </c>
      <c r="E123" s="217">
        <f t="shared" si="11"/>
        <v>173098.47999999998</v>
      </c>
    </row>
    <row r="124" spans="1:5" ht="14.25" customHeight="1">
      <c r="A124" s="214" t="s">
        <v>140</v>
      </c>
      <c r="B124" s="215"/>
      <c r="D124" s="215"/>
      <c r="E124" s="215"/>
    </row>
    <row r="125" spans="1:5" ht="14.25" customHeight="1">
      <c r="A125" s="214" t="s">
        <v>408</v>
      </c>
      <c r="B125" s="215"/>
      <c r="D125" s="215"/>
      <c r="E125" s="215"/>
    </row>
    <row r="126" spans="1:5" ht="14.25" customHeight="1">
      <c r="A126" s="214" t="s">
        <v>409</v>
      </c>
      <c r="B126" s="215"/>
      <c r="D126" s="215"/>
      <c r="E126" s="215"/>
    </row>
    <row r="127" spans="1:5" ht="14.25" customHeight="1">
      <c r="A127" s="214" t="s">
        <v>410</v>
      </c>
      <c r="B127" s="215"/>
      <c r="D127" s="215"/>
      <c r="E127" s="215"/>
    </row>
    <row r="128" spans="1:5" ht="14.25" customHeight="1">
      <c r="A128" s="214" t="s">
        <v>145</v>
      </c>
      <c r="B128" s="217">
        <f>(((B124)+(B125))+(B126))+(B127)</f>
        <v>0</v>
      </c>
      <c r="D128" s="217">
        <f t="shared" ref="D128:E128" si="12">(((D124)+(D125))+(D126))+(D127)</f>
        <v>0</v>
      </c>
      <c r="E128" s="217">
        <f t="shared" si="12"/>
        <v>0</v>
      </c>
    </row>
    <row r="129" spans="1:5" ht="14.25" customHeight="1">
      <c r="A129" s="214" t="s">
        <v>146</v>
      </c>
      <c r="B129" s="217">
        <f>((((((B59)+(B74))+(B91))+(B94))+(B108))+(B123))+(B128)</f>
        <v>1177574.9700000002</v>
      </c>
      <c r="D129" s="217">
        <f t="shared" ref="D129:E129" si="13">((((((D59)+(D74))+(D91))+(D94))+(D108))+(D123))+(D128)</f>
        <v>1386963.35</v>
      </c>
      <c r="E129" s="217">
        <f t="shared" si="13"/>
        <v>2216694.06</v>
      </c>
    </row>
    <row r="130" spans="1:5" ht="14.25" customHeight="1">
      <c r="A130" s="214" t="s">
        <v>147</v>
      </c>
      <c r="B130" s="215"/>
      <c r="D130" s="215"/>
      <c r="E130" s="215"/>
    </row>
    <row r="131" spans="1:5" ht="14.25" customHeight="1">
      <c r="A131" s="214" t="s">
        <v>148</v>
      </c>
      <c r="B131" s="216">
        <f>23000</f>
        <v>23000</v>
      </c>
      <c r="D131" s="216">
        <f>28250</f>
        <v>28250</v>
      </c>
      <c r="E131" s="216">
        <f>26250</f>
        <v>26250</v>
      </c>
    </row>
    <row r="132" spans="1:5" ht="14.25" customHeight="1">
      <c r="A132" s="214" t="s">
        <v>149</v>
      </c>
      <c r="B132" s="216">
        <f>18060</f>
        <v>18060</v>
      </c>
      <c r="D132" s="216">
        <f>17535</f>
        <v>17535</v>
      </c>
      <c r="E132" s="216">
        <f>34446.69</f>
        <v>34446.69</v>
      </c>
    </row>
    <row r="133" spans="1:5" ht="14.25" customHeight="1">
      <c r="A133" s="214" t="s">
        <v>151</v>
      </c>
      <c r="B133" s="216">
        <f>68107.65</f>
        <v>68107.649999999994</v>
      </c>
      <c r="D133" s="216">
        <f>75699.5</f>
        <v>75699.5</v>
      </c>
      <c r="E133" s="216">
        <f>72072.3</f>
        <v>72072.3</v>
      </c>
    </row>
    <row r="134" spans="1:5" ht="14.25" customHeight="1">
      <c r="A134" s="214" t="s">
        <v>152</v>
      </c>
      <c r="B134" s="216">
        <f>630</f>
        <v>630</v>
      </c>
      <c r="D134" s="215"/>
      <c r="E134" s="216">
        <f>26519.14</f>
        <v>26519.14</v>
      </c>
    </row>
    <row r="135" spans="1:5" ht="14.25" customHeight="1">
      <c r="A135" s="214" t="s">
        <v>153</v>
      </c>
      <c r="B135" s="215"/>
      <c r="D135" s="215"/>
      <c r="E135" s="215"/>
    </row>
    <row r="136" spans="1:5" ht="14.25" customHeight="1">
      <c r="A136" s="214" t="s">
        <v>154</v>
      </c>
      <c r="B136" s="215"/>
      <c r="D136" s="215"/>
      <c r="E136" s="215"/>
    </row>
    <row r="137" spans="1:5" ht="14.25" customHeight="1">
      <c r="A137" s="214" t="s">
        <v>155</v>
      </c>
      <c r="B137" s="216">
        <f>2500</f>
        <v>2500</v>
      </c>
      <c r="D137" s="216">
        <f>6775</f>
        <v>6775</v>
      </c>
      <c r="E137" s="216">
        <f>7885</f>
        <v>7885</v>
      </c>
    </row>
    <row r="138" spans="1:5" ht="14.25" customHeight="1">
      <c r="A138" s="214" t="s">
        <v>157</v>
      </c>
      <c r="B138" s="216">
        <f>3000</f>
        <v>3000</v>
      </c>
      <c r="D138" s="216">
        <f>6000</f>
        <v>6000</v>
      </c>
      <c r="E138" s="216">
        <f>4000</f>
        <v>4000</v>
      </c>
    </row>
    <row r="139" spans="1:5" ht="14.25" customHeight="1">
      <c r="A139" s="214" t="s">
        <v>159</v>
      </c>
      <c r="B139" s="215"/>
      <c r="D139" s="215"/>
      <c r="E139" s="215"/>
    </row>
    <row r="140" spans="1:5" ht="14.25" customHeight="1">
      <c r="A140" s="214" t="s">
        <v>160</v>
      </c>
      <c r="B140" s="215"/>
      <c r="D140" s="215"/>
      <c r="E140" s="216">
        <f>10064.47</f>
        <v>10064.469999999999</v>
      </c>
    </row>
    <row r="141" spans="1:5" ht="14.25" customHeight="1">
      <c r="A141" s="214" t="s">
        <v>162</v>
      </c>
      <c r="B141" s="215"/>
      <c r="D141" s="216">
        <f>4000</f>
        <v>4000</v>
      </c>
      <c r="E141" s="216">
        <f>102997.42</f>
        <v>102997.42</v>
      </c>
    </row>
    <row r="142" spans="1:5" ht="14.25" customHeight="1">
      <c r="A142" s="214" t="s">
        <v>164</v>
      </c>
      <c r="B142" s="215"/>
      <c r="D142" s="215"/>
      <c r="E142" s="215"/>
    </row>
    <row r="143" spans="1:5" ht="14.25" customHeight="1">
      <c r="A143" s="214" t="s">
        <v>165</v>
      </c>
      <c r="B143" s="215"/>
      <c r="D143" s="215"/>
      <c r="E143" s="216">
        <f>15625</f>
        <v>15625</v>
      </c>
    </row>
    <row r="144" spans="1:5" ht="14.25" customHeight="1">
      <c r="A144" s="214" t="s">
        <v>167</v>
      </c>
      <c r="B144" s="216">
        <f>5380</f>
        <v>5380</v>
      </c>
      <c r="D144" s="216">
        <f>651.04</f>
        <v>651.04</v>
      </c>
      <c r="E144" s="216">
        <f>22413.76</f>
        <v>22413.759999999998</v>
      </c>
    </row>
    <row r="145" spans="1:5" ht="14.25" customHeight="1">
      <c r="A145" s="214" t="s">
        <v>169</v>
      </c>
      <c r="B145" s="217">
        <f>((((((((((((((B130)+(B131))+(B132))+(B133))+(B134))+(B135))+(B136))+(B137))+(B138))+(B139))+(B140))+(B141))+(B142))+(B143))+(B144)</f>
        <v>120677.65</v>
      </c>
      <c r="D145" s="217">
        <f t="shared" ref="D145:E145" si="14">((((((((((((((D130)+(D131))+(D132))+(D133))+(D134))+(D135))+(D136))+(D137))+(D138))+(D139))+(D140))+(D141))+(D142))+(D143))+(D144)</f>
        <v>138910.54</v>
      </c>
      <c r="E145" s="217">
        <f t="shared" si="14"/>
        <v>322273.78000000003</v>
      </c>
    </row>
    <row r="146" spans="1:5" ht="14.25" customHeight="1">
      <c r="A146" s="214" t="s">
        <v>170</v>
      </c>
      <c r="B146" s="215"/>
      <c r="D146" s="215"/>
      <c r="E146" s="215"/>
    </row>
    <row r="147" spans="1:5" ht="14.25" customHeight="1">
      <c r="A147" s="214" t="s">
        <v>171</v>
      </c>
      <c r="B147" s="216">
        <f>414.99</f>
        <v>414.99</v>
      </c>
      <c r="D147" s="215"/>
      <c r="E147" s="216">
        <f>669.42</f>
        <v>669.42</v>
      </c>
    </row>
    <row r="148" spans="1:5" ht="14.25" customHeight="1">
      <c r="A148" s="214" t="s">
        <v>172</v>
      </c>
      <c r="B148" s="216">
        <f>11187.5</f>
        <v>11187.5</v>
      </c>
      <c r="D148" s="215"/>
      <c r="E148" s="216">
        <f>18500</f>
        <v>18500</v>
      </c>
    </row>
    <row r="149" spans="1:5" ht="14.25" customHeight="1">
      <c r="A149" s="214" t="s">
        <v>174</v>
      </c>
      <c r="B149" s="217">
        <f>((B146)+(B147))+(B148)</f>
        <v>11602.49</v>
      </c>
      <c r="D149" s="217">
        <f t="shared" ref="D149:E149" si="15">((D146)+(D147))+(D148)</f>
        <v>0</v>
      </c>
      <c r="E149" s="217">
        <f t="shared" si="15"/>
        <v>19169.419999999998</v>
      </c>
    </row>
    <row r="150" spans="1:5" ht="14.25" customHeight="1">
      <c r="A150" s="214" t="s">
        <v>175</v>
      </c>
      <c r="B150" s="215"/>
      <c r="D150" s="215"/>
      <c r="E150" s="215"/>
    </row>
    <row r="151" spans="1:5" ht="14.25" customHeight="1">
      <c r="A151" s="214" t="s">
        <v>176</v>
      </c>
      <c r="B151" s="216">
        <f>41823.18</f>
        <v>41823.18</v>
      </c>
      <c r="D151" s="216">
        <f>17783.04</f>
        <v>17783.04</v>
      </c>
      <c r="E151" s="216">
        <f>34558.22</f>
        <v>34558.22</v>
      </c>
    </row>
    <row r="152" spans="1:5" ht="14.25" customHeight="1">
      <c r="A152" s="214" t="s">
        <v>177</v>
      </c>
      <c r="B152" s="216">
        <f>33.48</f>
        <v>33.479999999999997</v>
      </c>
      <c r="D152" s="216">
        <f>44.5</f>
        <v>44.5</v>
      </c>
      <c r="E152" s="216">
        <f>909.64</f>
        <v>909.64</v>
      </c>
    </row>
    <row r="153" spans="1:5" ht="14.25" customHeight="1">
      <c r="A153" s="214" t="s">
        <v>179</v>
      </c>
      <c r="B153" s="216">
        <f>513.38</f>
        <v>513.38</v>
      </c>
      <c r="D153" s="216">
        <f>105.23</f>
        <v>105.23</v>
      </c>
      <c r="E153" s="216">
        <f>120.49</f>
        <v>120.49</v>
      </c>
    </row>
    <row r="154" spans="1:5" ht="14.25" customHeight="1">
      <c r="A154" s="214" t="s">
        <v>411</v>
      </c>
      <c r="B154" s="215"/>
      <c r="D154" s="215"/>
      <c r="E154" s="215"/>
    </row>
    <row r="155" spans="1:5" ht="14.25" customHeight="1">
      <c r="A155" s="214" t="s">
        <v>412</v>
      </c>
      <c r="B155" s="215"/>
      <c r="D155" s="215"/>
      <c r="E155" s="215"/>
    </row>
    <row r="156" spans="1:5" ht="14.25" customHeight="1">
      <c r="A156" s="214" t="s">
        <v>180</v>
      </c>
      <c r="B156" s="216">
        <f>385.06</f>
        <v>385.06</v>
      </c>
      <c r="D156" s="216">
        <f>49.99</f>
        <v>49.99</v>
      </c>
      <c r="E156" s="216">
        <f>16014.21</f>
        <v>16014.21</v>
      </c>
    </row>
    <row r="157" spans="1:5" ht="14.25" customHeight="1">
      <c r="A157" s="214" t="s">
        <v>181</v>
      </c>
      <c r="B157" s="216">
        <f>4950</f>
        <v>4950</v>
      </c>
      <c r="D157" s="215"/>
      <c r="E157" s="215"/>
    </row>
    <row r="158" spans="1:5" ht="14.25" customHeight="1">
      <c r="A158" s="214" t="s">
        <v>182</v>
      </c>
      <c r="B158" s="216">
        <f>624</f>
        <v>624</v>
      </c>
      <c r="D158" s="215"/>
      <c r="E158" s="215"/>
    </row>
    <row r="159" spans="1:5" ht="14.25" customHeight="1">
      <c r="A159" s="214" t="s">
        <v>183</v>
      </c>
      <c r="B159" s="215"/>
      <c r="D159" s="215"/>
      <c r="E159" s="215"/>
    </row>
    <row r="160" spans="1:5" ht="14.25" customHeight="1">
      <c r="A160" s="214" t="s">
        <v>184</v>
      </c>
      <c r="B160" s="217">
        <f>(((((((((B150)+(B151))+(B152))+(B153))+(B154))+(B155))+(B156))+(B157))+(B158))+(B159)</f>
        <v>48329.1</v>
      </c>
      <c r="D160" s="217">
        <f t="shared" ref="D160:E160" si="16">(((((((((D150)+(D151))+(D152))+(D153))+(D154))+(D155))+(D156))+(D157))+(D158))+(D159)</f>
        <v>17982.760000000002</v>
      </c>
      <c r="E160" s="217">
        <f t="shared" si="16"/>
        <v>51602.559999999998</v>
      </c>
    </row>
    <row r="161" spans="1:5" ht="14.25" customHeight="1">
      <c r="A161" s="214" t="s">
        <v>185</v>
      </c>
      <c r="B161" s="215"/>
      <c r="D161" s="215"/>
      <c r="E161" s="215"/>
    </row>
    <row r="162" spans="1:5" ht="14.25" customHeight="1">
      <c r="A162" s="214" t="s">
        <v>186</v>
      </c>
      <c r="B162" s="215"/>
      <c r="D162" s="216">
        <f>100</f>
        <v>100</v>
      </c>
      <c r="E162" s="216">
        <f>571.81</f>
        <v>571.80999999999995</v>
      </c>
    </row>
    <row r="163" spans="1:5" ht="14.25" customHeight="1">
      <c r="A163" s="214" t="s">
        <v>187</v>
      </c>
      <c r="B163" s="217">
        <f>(B161)+(B162)</f>
        <v>0</v>
      </c>
      <c r="D163" s="217">
        <f t="shared" ref="D163:E163" si="17">(D161)+(D162)</f>
        <v>100</v>
      </c>
      <c r="E163" s="217">
        <f t="shared" si="17"/>
        <v>571.80999999999995</v>
      </c>
    </row>
    <row r="164" spans="1:5" ht="14.25" customHeight="1">
      <c r="A164" s="214" t="s">
        <v>188</v>
      </c>
      <c r="B164" s="215"/>
      <c r="D164" s="215"/>
      <c r="E164" s="215"/>
    </row>
    <row r="165" spans="1:5" ht="14.25" customHeight="1">
      <c r="A165" s="214" t="s">
        <v>189</v>
      </c>
      <c r="B165" s="216">
        <f>8706.38</f>
        <v>8706.3799999999992</v>
      </c>
      <c r="D165" s="215"/>
      <c r="E165" s="216">
        <f>876.52</f>
        <v>876.52</v>
      </c>
    </row>
    <row r="166" spans="1:5" ht="14.25" customHeight="1">
      <c r="A166" s="214" t="s">
        <v>190</v>
      </c>
      <c r="B166" s="215"/>
      <c r="D166" s="216">
        <f>2809.94</f>
        <v>2809.94</v>
      </c>
      <c r="E166" s="216">
        <f>10020.2</f>
        <v>10020.200000000001</v>
      </c>
    </row>
    <row r="167" spans="1:5" ht="14.25" customHeight="1">
      <c r="A167" s="214" t="s">
        <v>191</v>
      </c>
      <c r="B167" s="216">
        <f>15528.21</f>
        <v>15528.21</v>
      </c>
      <c r="D167" s="216">
        <f>6079.46</f>
        <v>6079.46</v>
      </c>
      <c r="E167" s="216">
        <f>12820.74</f>
        <v>12820.74</v>
      </c>
    </row>
    <row r="168" spans="1:5" ht="14.25" customHeight="1">
      <c r="A168" s="214" t="s">
        <v>192</v>
      </c>
      <c r="B168" s="215"/>
      <c r="D168" s="215"/>
      <c r="E168" s="215"/>
    </row>
    <row r="169" spans="1:5" ht="14.25" customHeight="1">
      <c r="A169" s="214" t="s">
        <v>194</v>
      </c>
      <c r="B169" s="217">
        <f>((((B164)+(B165))+(B166))+(B167))+(B168)</f>
        <v>24234.589999999997</v>
      </c>
      <c r="D169" s="217">
        <f t="shared" ref="D169:E169" si="18">((((D164)+(D165))+(D166))+(D167))+(D168)</f>
        <v>8889.4</v>
      </c>
      <c r="E169" s="217">
        <f t="shared" si="18"/>
        <v>23717.46</v>
      </c>
    </row>
    <row r="170" spans="1:5" ht="14.25" customHeight="1">
      <c r="A170" s="214" t="s">
        <v>195</v>
      </c>
      <c r="B170" s="215"/>
      <c r="D170" s="215"/>
      <c r="E170" s="215"/>
    </row>
    <row r="171" spans="1:5" ht="14.25" customHeight="1">
      <c r="A171" s="214" t="s">
        <v>196</v>
      </c>
      <c r="B171" s="216">
        <f>503.63</f>
        <v>503.63</v>
      </c>
      <c r="D171" s="216">
        <f>701.21</f>
        <v>701.21</v>
      </c>
      <c r="E171" s="216">
        <f>1948.05</f>
        <v>1948.05</v>
      </c>
    </row>
    <row r="172" spans="1:5" ht="14.25" customHeight="1">
      <c r="A172" s="214" t="s">
        <v>197</v>
      </c>
      <c r="B172" s="216">
        <f>130.11</f>
        <v>130.11000000000001</v>
      </c>
      <c r="D172" s="215"/>
      <c r="E172" s="215"/>
    </row>
    <row r="173" spans="1:5" ht="14.25" customHeight="1">
      <c r="A173" s="214" t="s">
        <v>198</v>
      </c>
      <c r="B173" s="216">
        <f>4150.63</f>
        <v>4150.63</v>
      </c>
      <c r="D173" s="216">
        <f>1435.17</f>
        <v>1435.17</v>
      </c>
      <c r="E173" s="216">
        <f>18219.52</f>
        <v>18219.52</v>
      </c>
    </row>
    <row r="174" spans="1:5" ht="14.25" customHeight="1">
      <c r="A174" s="214" t="s">
        <v>199</v>
      </c>
      <c r="B174" s="217">
        <f>(((B170)+(B171))+(B172))+(B173)</f>
        <v>4784.37</v>
      </c>
      <c r="D174" s="217">
        <f t="shared" ref="D174:E174" si="19">(((D170)+(D171))+(D172))+(D173)</f>
        <v>2136.38</v>
      </c>
      <c r="E174" s="217">
        <f t="shared" si="19"/>
        <v>20167.57</v>
      </c>
    </row>
    <row r="175" spans="1:5" ht="14.25" customHeight="1">
      <c r="A175" s="214" t="s">
        <v>200</v>
      </c>
      <c r="B175" s="215"/>
      <c r="D175" s="215"/>
      <c r="E175" s="215"/>
    </row>
    <row r="176" spans="1:5" ht="14.25" customHeight="1">
      <c r="A176" s="214" t="s">
        <v>201</v>
      </c>
      <c r="B176" s="216">
        <f>17858.74</f>
        <v>17858.740000000002</v>
      </c>
      <c r="D176" s="216">
        <f>18827.81</f>
        <v>18827.810000000001</v>
      </c>
      <c r="E176" s="216">
        <f>23640.5</f>
        <v>23640.5</v>
      </c>
    </row>
    <row r="177" spans="1:5" ht="14.25" customHeight="1">
      <c r="A177" s="214" t="s">
        <v>202</v>
      </c>
      <c r="B177" s="216">
        <f>4888.39</f>
        <v>4888.3900000000003</v>
      </c>
      <c r="D177" s="216">
        <f>2543.09</f>
        <v>2543.09</v>
      </c>
      <c r="E177" s="216">
        <f>7153.38</f>
        <v>7153.38</v>
      </c>
    </row>
    <row r="178" spans="1:5" ht="14.25" customHeight="1">
      <c r="A178" s="214" t="s">
        <v>203</v>
      </c>
      <c r="B178" s="216">
        <f>14703.02</f>
        <v>14703.02</v>
      </c>
      <c r="D178" s="216">
        <f>2400</f>
        <v>2400</v>
      </c>
      <c r="E178" s="216">
        <f>3186.5</f>
        <v>3186.5</v>
      </c>
    </row>
    <row r="179" spans="1:5" ht="14.25" customHeight="1">
      <c r="A179" s="214" t="s">
        <v>204</v>
      </c>
      <c r="B179" s="216">
        <f>1835.64</f>
        <v>1835.64</v>
      </c>
      <c r="D179" s="216">
        <f>21753</f>
        <v>21753</v>
      </c>
      <c r="E179" s="216">
        <f>1323.76</f>
        <v>1323.76</v>
      </c>
    </row>
    <row r="180" spans="1:5" ht="14.25" customHeight="1">
      <c r="A180" s="214" t="s">
        <v>205</v>
      </c>
      <c r="B180" s="216">
        <f>12596.96</f>
        <v>12596.96</v>
      </c>
      <c r="D180" s="216">
        <f>4329.22</f>
        <v>4329.22</v>
      </c>
      <c r="E180" s="216">
        <f>6316.44</f>
        <v>6316.44</v>
      </c>
    </row>
    <row r="181" spans="1:5" ht="14.25" customHeight="1">
      <c r="A181" s="214" t="s">
        <v>206</v>
      </c>
      <c r="B181" s="215"/>
      <c r="D181" s="216">
        <f>17857.59</f>
        <v>17857.59</v>
      </c>
      <c r="E181" s="216">
        <f>15564.59</f>
        <v>15564.59</v>
      </c>
    </row>
    <row r="182" spans="1:5" ht="14.25" customHeight="1">
      <c r="A182" s="214" t="s">
        <v>207</v>
      </c>
      <c r="B182" s="217">
        <f>((((((B175)+(B176))+(B177))+(B178))+(B179))+(B180))+(B181)</f>
        <v>51882.75</v>
      </c>
      <c r="D182" s="217">
        <f t="shared" ref="D182:E182" si="20">((((((D175)+(D176))+(D177))+(D178))+(D179))+(D180))+(D181)</f>
        <v>67710.710000000006</v>
      </c>
      <c r="E182" s="217">
        <f t="shared" si="20"/>
        <v>57185.170000000013</v>
      </c>
    </row>
    <row r="183" spans="1:5" ht="14.25" customHeight="1">
      <c r="A183" s="214" t="s">
        <v>208</v>
      </c>
      <c r="B183" s="215"/>
      <c r="D183" s="215"/>
      <c r="E183" s="215"/>
    </row>
    <row r="184" spans="1:5" ht="14.25" customHeight="1">
      <c r="A184" s="214" t="s">
        <v>209</v>
      </c>
      <c r="B184" s="216">
        <f>6870.24</f>
        <v>6870.24</v>
      </c>
      <c r="D184" s="216">
        <f>3808.31</f>
        <v>3808.31</v>
      </c>
      <c r="E184" s="216">
        <f>9041.29</f>
        <v>9041.2900000000009</v>
      </c>
    </row>
    <row r="185" spans="1:5" ht="14.25" customHeight="1">
      <c r="A185" s="214" t="s">
        <v>210</v>
      </c>
      <c r="B185" s="215"/>
      <c r="D185" s="215"/>
      <c r="E185" s="216">
        <f>2559.47</f>
        <v>2559.4699999999998</v>
      </c>
    </row>
    <row r="186" spans="1:5" ht="14.25" customHeight="1">
      <c r="A186" s="214" t="s">
        <v>211</v>
      </c>
      <c r="B186" s="217">
        <f>((B183)+(B184))+(B185)</f>
        <v>6870.24</v>
      </c>
      <c r="D186" s="217">
        <f t="shared" ref="D186:E186" si="21">((D183)+(D184))+(D185)</f>
        <v>3808.31</v>
      </c>
      <c r="E186" s="217">
        <f t="shared" si="21"/>
        <v>11600.76</v>
      </c>
    </row>
    <row r="187" spans="1:5" ht="14.25" customHeight="1">
      <c r="A187" s="214" t="s">
        <v>212</v>
      </c>
      <c r="B187" s="215"/>
      <c r="D187" s="215"/>
      <c r="E187" s="215"/>
    </row>
    <row r="188" spans="1:5" ht="14.25" customHeight="1">
      <c r="A188" s="214" t="s">
        <v>213</v>
      </c>
      <c r="B188" s="216">
        <f>24055.6</f>
        <v>24055.599999999999</v>
      </c>
      <c r="D188" s="216">
        <f>33372</f>
        <v>33372</v>
      </c>
      <c r="E188" s="216">
        <f>30637.31</f>
        <v>30637.31</v>
      </c>
    </row>
    <row r="189" spans="1:5" ht="14.25" customHeight="1">
      <c r="A189" s="214" t="s">
        <v>214</v>
      </c>
      <c r="B189" s="216">
        <f>43430.5</f>
        <v>43430.5</v>
      </c>
      <c r="D189" s="216">
        <f>35565.94</f>
        <v>35565.94</v>
      </c>
      <c r="E189" s="216">
        <f>33255.16</f>
        <v>33255.160000000003</v>
      </c>
    </row>
    <row r="190" spans="1:5" ht="14.25" customHeight="1">
      <c r="A190" s="214" t="s">
        <v>216</v>
      </c>
      <c r="B190" s="216">
        <f>6511.39</f>
        <v>6511.39</v>
      </c>
      <c r="D190" s="216">
        <f>11795.34</f>
        <v>11795.34</v>
      </c>
      <c r="E190" s="216">
        <f>6875.54</f>
        <v>6875.54</v>
      </c>
    </row>
    <row r="191" spans="1:5" ht="14.25" customHeight="1">
      <c r="A191" s="214" t="s">
        <v>217</v>
      </c>
      <c r="B191" s="216">
        <f>7032.75</f>
        <v>7032.75</v>
      </c>
      <c r="D191" s="216">
        <f>15757.54</f>
        <v>15757.54</v>
      </c>
      <c r="E191" s="216">
        <f>16637.1</f>
        <v>16637.099999999999</v>
      </c>
    </row>
    <row r="192" spans="1:5" ht="14.25" customHeight="1">
      <c r="A192" s="214" t="s">
        <v>218</v>
      </c>
      <c r="B192" s="216">
        <f>2000</f>
        <v>2000</v>
      </c>
      <c r="D192" s="216">
        <f>1500</f>
        <v>1500</v>
      </c>
      <c r="E192" s="216">
        <f>2375</f>
        <v>2375</v>
      </c>
    </row>
    <row r="193" spans="1:5" ht="14.25" customHeight="1">
      <c r="A193" s="214" t="s">
        <v>413</v>
      </c>
      <c r="B193" s="216">
        <f>0</f>
        <v>0</v>
      </c>
      <c r="D193" s="215"/>
      <c r="E193" s="215"/>
    </row>
    <row r="194" spans="1:5" ht="14.25" customHeight="1">
      <c r="A194" s="214" t="s">
        <v>414</v>
      </c>
      <c r="B194" s="215"/>
      <c r="D194" s="215"/>
      <c r="E194" s="215"/>
    </row>
    <row r="195" spans="1:5" ht="14.25" customHeight="1">
      <c r="A195" s="214" t="s">
        <v>415</v>
      </c>
      <c r="B195" s="215"/>
      <c r="D195" s="215"/>
      <c r="E195" s="215"/>
    </row>
    <row r="196" spans="1:5" ht="14.25" customHeight="1">
      <c r="A196" s="214" t="s">
        <v>219</v>
      </c>
      <c r="B196" s="217">
        <f>((((((((B187)+(B188))+(B189))+(B190))+(B191))+(B192))+(B193))+(B194))+(B195)</f>
        <v>83030.240000000005</v>
      </c>
      <c r="D196" s="217">
        <f t="shared" ref="D196:E196" si="22">((((((((D187)+(D188))+(D189))+(D190))+(D191))+(D192))+(D193))+(D194))+(D195)</f>
        <v>97990.82</v>
      </c>
      <c r="E196" s="217">
        <f t="shared" si="22"/>
        <v>89780.109999999986</v>
      </c>
    </row>
    <row r="197" spans="1:5" ht="14.25" customHeight="1">
      <c r="A197" s="214" t="s">
        <v>220</v>
      </c>
      <c r="B197" s="215"/>
      <c r="D197" s="215"/>
      <c r="E197" s="215"/>
    </row>
    <row r="198" spans="1:5" ht="14.25" customHeight="1">
      <c r="A198" s="214" t="s">
        <v>221</v>
      </c>
      <c r="B198" s="216">
        <f>29602.82</f>
        <v>29602.82</v>
      </c>
      <c r="D198" s="216">
        <f>7498</f>
        <v>7498</v>
      </c>
      <c r="E198" s="216">
        <f>13412.7</f>
        <v>13412.7</v>
      </c>
    </row>
    <row r="199" spans="1:5" ht="14.25" customHeight="1">
      <c r="A199" s="214" t="s">
        <v>223</v>
      </c>
      <c r="B199" s="217">
        <f>(B197)+(B198)</f>
        <v>29602.82</v>
      </c>
      <c r="D199" s="217">
        <f t="shared" ref="D199:E199" si="23">(D197)+(D198)</f>
        <v>7498</v>
      </c>
      <c r="E199" s="217">
        <f t="shared" si="23"/>
        <v>13412.7</v>
      </c>
    </row>
    <row r="200" spans="1:5" ht="14.25" customHeight="1">
      <c r="A200" s="214" t="s">
        <v>224</v>
      </c>
      <c r="B200" s="215"/>
      <c r="D200" s="215"/>
      <c r="E200" s="215"/>
    </row>
    <row r="201" spans="1:5" ht="14.25" customHeight="1">
      <c r="A201" s="214" t="s">
        <v>225</v>
      </c>
      <c r="B201" s="215"/>
      <c r="D201" s="215"/>
      <c r="E201" s="216">
        <f>7175.24</f>
        <v>7175.24</v>
      </c>
    </row>
    <row r="202" spans="1:5" ht="14.25" customHeight="1">
      <c r="A202" s="214" t="s">
        <v>227</v>
      </c>
      <c r="B202" s="215"/>
      <c r="D202" s="215"/>
      <c r="E202" s="216">
        <f>1320</f>
        <v>1320</v>
      </c>
    </row>
    <row r="203" spans="1:5" ht="14.25" customHeight="1">
      <c r="A203" s="214" t="s">
        <v>416</v>
      </c>
      <c r="B203" s="215"/>
      <c r="D203" s="215"/>
      <c r="E203" s="215"/>
    </row>
    <row r="204" spans="1:5" ht="14.25" customHeight="1">
      <c r="A204" s="214" t="s">
        <v>230</v>
      </c>
      <c r="B204" s="217">
        <f>(((B200)+(B201))+(B202))+(B203)</f>
        <v>0</v>
      </c>
      <c r="D204" s="217">
        <f t="shared" ref="D204:E204" si="24">(((D200)+(D201))+(D202))+(D203)</f>
        <v>0</v>
      </c>
      <c r="E204" s="217">
        <f t="shared" si="24"/>
        <v>8495.24</v>
      </c>
    </row>
    <row r="205" spans="1:5" ht="14.25" customHeight="1">
      <c r="A205" s="214" t="s">
        <v>231</v>
      </c>
      <c r="B205" s="215"/>
      <c r="D205" s="215"/>
      <c r="E205" s="215"/>
    </row>
    <row r="206" spans="1:5" ht="14.25" customHeight="1">
      <c r="A206" s="214" t="s">
        <v>232</v>
      </c>
      <c r="B206" s="216">
        <f>2862.9</f>
        <v>2862.9</v>
      </c>
      <c r="D206" s="216">
        <f>1024.8</f>
        <v>1024.8</v>
      </c>
      <c r="E206" s="216">
        <f>4834.22</f>
        <v>4834.22</v>
      </c>
    </row>
    <row r="207" spans="1:5" ht="14.25" customHeight="1">
      <c r="A207" s="214" t="s">
        <v>234</v>
      </c>
      <c r="B207" s="216"/>
      <c r="D207" s="215"/>
      <c r="E207" s="215"/>
    </row>
    <row r="208" spans="1:5" ht="14.25" customHeight="1">
      <c r="A208" s="214" t="s">
        <v>417</v>
      </c>
      <c r="B208" s="215"/>
      <c r="D208" s="215"/>
      <c r="E208" s="215"/>
    </row>
    <row r="209" spans="1:5" ht="14.25" customHeight="1">
      <c r="A209" s="214" t="s">
        <v>236</v>
      </c>
      <c r="B209" s="217">
        <f>((B205)+(B206))+(B208)</f>
        <v>2862.9</v>
      </c>
      <c r="D209" s="217">
        <f t="shared" ref="D209:E209" si="25">(((D205)+(D206))+(D207))+(D208)</f>
        <v>1024.8</v>
      </c>
      <c r="E209" s="217">
        <f t="shared" si="25"/>
        <v>4834.22</v>
      </c>
    </row>
    <row r="210" spans="1:5" ht="14.25" customHeight="1">
      <c r="A210" s="214" t="s">
        <v>237</v>
      </c>
      <c r="B210" s="215"/>
      <c r="D210" s="215"/>
      <c r="E210" s="215"/>
    </row>
    <row r="211" spans="1:5" ht="14.25" customHeight="1">
      <c r="A211" s="214" t="s">
        <v>238</v>
      </c>
      <c r="B211" s="216">
        <f>16938.41</f>
        <v>16938.41</v>
      </c>
      <c r="D211" s="216">
        <f>12651.02</f>
        <v>12651.02</v>
      </c>
      <c r="E211" s="216">
        <f>21085.49</f>
        <v>21085.49</v>
      </c>
    </row>
    <row r="212" spans="1:5" ht="14.25" customHeight="1">
      <c r="A212" s="214" t="s">
        <v>239</v>
      </c>
      <c r="B212" s="216">
        <f>221.92</f>
        <v>221.92</v>
      </c>
      <c r="D212" s="216">
        <f>849.45</f>
        <v>849.45</v>
      </c>
      <c r="E212" s="216">
        <f>15646.54</f>
        <v>15646.54</v>
      </c>
    </row>
    <row r="213" spans="1:5" ht="14.25" customHeight="1">
      <c r="A213" s="214" t="s">
        <v>240</v>
      </c>
      <c r="B213" s="217">
        <f>((B210)+(B211))+(B212)</f>
        <v>17160.329999999998</v>
      </c>
      <c r="D213" s="217">
        <f t="shared" ref="D213:E213" si="26">((D210)+(D211))+(D212)</f>
        <v>13500.470000000001</v>
      </c>
      <c r="E213" s="217">
        <f t="shared" si="26"/>
        <v>36732.03</v>
      </c>
    </row>
    <row r="214" spans="1:5" ht="14.25" customHeight="1">
      <c r="A214" s="214" t="s">
        <v>241</v>
      </c>
      <c r="B214" s="215"/>
      <c r="D214" s="215"/>
      <c r="E214" s="215"/>
    </row>
    <row r="215" spans="1:5" ht="14.25" customHeight="1">
      <c r="A215" s="214" t="s">
        <v>242</v>
      </c>
      <c r="B215" s="216">
        <f>4757.9</f>
        <v>4757.8999999999996</v>
      </c>
      <c r="D215" s="216">
        <f>9651.74</f>
        <v>9651.74</v>
      </c>
      <c r="E215" s="216">
        <f>61523.99</f>
        <v>61523.99</v>
      </c>
    </row>
    <row r="216" spans="1:5" ht="14.25" customHeight="1">
      <c r="A216" s="214" t="s">
        <v>244</v>
      </c>
      <c r="B216" s="216">
        <f>20794.63</f>
        <v>20794.63</v>
      </c>
      <c r="D216" s="216">
        <f>19400</f>
        <v>19400</v>
      </c>
      <c r="E216" s="216">
        <f>58550.01</f>
        <v>58550.01</v>
      </c>
    </row>
    <row r="217" spans="1:5" ht="14.25" customHeight="1">
      <c r="A217" s="214" t="s">
        <v>246</v>
      </c>
      <c r="B217" s="216">
        <f>7699.11</f>
        <v>7699.11</v>
      </c>
      <c r="D217" s="216">
        <f>9430.06</f>
        <v>9430.06</v>
      </c>
      <c r="E217" s="216">
        <f>15512.14</f>
        <v>15512.14</v>
      </c>
    </row>
    <row r="218" spans="1:5" ht="14.25" customHeight="1">
      <c r="A218" s="214" t="s">
        <v>418</v>
      </c>
      <c r="B218" s="216"/>
      <c r="D218" s="215"/>
      <c r="E218" s="215"/>
    </row>
    <row r="219" spans="1:5" ht="14.25" customHeight="1">
      <c r="A219" s="214" t="s">
        <v>419</v>
      </c>
      <c r="B219" s="216"/>
      <c r="D219" s="217">
        <f t="shared" ref="D219:E219" si="27">(D217)+(D218)</f>
        <v>9430.06</v>
      </c>
      <c r="E219" s="217">
        <f t="shared" si="27"/>
        <v>15512.14</v>
      </c>
    </row>
    <row r="220" spans="1:5" ht="14.25" customHeight="1">
      <c r="A220" s="214" t="s">
        <v>247</v>
      </c>
      <c r="B220" s="217">
        <f>(((B214)+(B215))+(B216))+(B217)</f>
        <v>33251.64</v>
      </c>
      <c r="D220" s="217">
        <f t="shared" ref="D220:E220" si="28">(((D214)+(D215))+(D216))+(D219)</f>
        <v>38481.799999999996</v>
      </c>
      <c r="E220" s="217">
        <f t="shared" si="28"/>
        <v>135586.14000000001</v>
      </c>
    </row>
    <row r="221" spans="1:5" ht="14.25" customHeight="1">
      <c r="A221" s="214" t="s">
        <v>248</v>
      </c>
      <c r="B221" s="215"/>
      <c r="D221" s="215"/>
      <c r="E221" s="215"/>
    </row>
    <row r="222" spans="1:5" ht="14.25" customHeight="1">
      <c r="A222" s="214" t="s">
        <v>249</v>
      </c>
      <c r="B222" s="216">
        <f>6120.74</f>
        <v>6120.74</v>
      </c>
      <c r="D222" s="216">
        <f>23567.31</f>
        <v>23567.31</v>
      </c>
      <c r="E222" s="216">
        <f>76775.69</f>
        <v>76775.69</v>
      </c>
    </row>
    <row r="223" spans="1:5" ht="14.25" customHeight="1">
      <c r="A223" s="214" t="s">
        <v>250</v>
      </c>
      <c r="B223" s="217">
        <f>(B221)+(B222)</f>
        <v>6120.74</v>
      </c>
      <c r="D223" s="217">
        <f t="shared" ref="D223:E223" si="29">(D221)+(D222)</f>
        <v>23567.31</v>
      </c>
      <c r="E223" s="217">
        <f t="shared" si="29"/>
        <v>76775.69</v>
      </c>
    </row>
    <row r="224" spans="1:5" ht="14.25" customHeight="1">
      <c r="A224" s="214" t="s">
        <v>251</v>
      </c>
      <c r="B224" s="215"/>
      <c r="D224" s="215"/>
      <c r="E224" s="215"/>
    </row>
    <row r="225" spans="1:5" ht="14.25" customHeight="1">
      <c r="A225" s="214" t="s">
        <v>252</v>
      </c>
      <c r="B225" s="216">
        <f>20531.78</f>
        <v>20531.78</v>
      </c>
      <c r="D225" s="216">
        <f>8438.22</f>
        <v>8438.2199999999993</v>
      </c>
      <c r="E225" s="216">
        <f>10799.44</f>
        <v>10799.44</v>
      </c>
    </row>
    <row r="226" spans="1:5" ht="14.25" customHeight="1">
      <c r="A226" s="214" t="s">
        <v>253</v>
      </c>
      <c r="B226" s="217">
        <f>(B224)+(B225)</f>
        <v>20531.78</v>
      </c>
      <c r="D226" s="217">
        <f t="shared" ref="D226:E226" si="30">(D224)+(D225)</f>
        <v>8438.2199999999993</v>
      </c>
      <c r="E226" s="217">
        <f t="shared" si="30"/>
        <v>10799.44</v>
      </c>
    </row>
    <row r="227" spans="1:5" ht="14.25" customHeight="1">
      <c r="A227" s="214" t="s">
        <v>254</v>
      </c>
      <c r="B227" s="215"/>
      <c r="D227" s="215"/>
      <c r="E227" s="215"/>
    </row>
    <row r="228" spans="1:5" ht="14.25" customHeight="1">
      <c r="A228" s="214" t="s">
        <v>255</v>
      </c>
      <c r="B228" s="216">
        <f>1232.02</f>
        <v>1232.02</v>
      </c>
      <c r="D228" s="215"/>
      <c r="E228" s="216">
        <f>7253.99</f>
        <v>7253.99</v>
      </c>
    </row>
    <row r="229" spans="1:5" ht="14.25" customHeight="1">
      <c r="A229" s="214" t="s">
        <v>256</v>
      </c>
      <c r="B229" s="217">
        <f>(B227)+(B228)</f>
        <v>1232.02</v>
      </c>
      <c r="D229" s="217">
        <f t="shared" ref="D229:E229" si="31">(D227)+(D228)</f>
        <v>0</v>
      </c>
      <c r="E229" s="217">
        <f t="shared" si="31"/>
        <v>7253.99</v>
      </c>
    </row>
    <row r="230" spans="1:5" ht="14.25" customHeight="1">
      <c r="A230" s="214" t="s">
        <v>257</v>
      </c>
      <c r="B230" s="215"/>
      <c r="D230" s="215"/>
      <c r="E230" s="215"/>
    </row>
    <row r="231" spans="1:5" ht="14.25" customHeight="1">
      <c r="A231" s="214" t="s">
        <v>258</v>
      </c>
      <c r="B231" s="216">
        <f>711.35</f>
        <v>711.35</v>
      </c>
      <c r="D231" s="215"/>
      <c r="E231" s="215"/>
    </row>
    <row r="232" spans="1:5" ht="14.25" customHeight="1">
      <c r="A232" s="214" t="s">
        <v>259</v>
      </c>
      <c r="B232" s="216">
        <f>3300.59</f>
        <v>3300.59</v>
      </c>
      <c r="D232" s="216">
        <f>253.84</f>
        <v>253.84</v>
      </c>
      <c r="E232" s="216">
        <f>648</f>
        <v>648</v>
      </c>
    </row>
    <row r="233" spans="1:5" ht="14.25" customHeight="1">
      <c r="A233" s="214" t="s">
        <v>260</v>
      </c>
      <c r="B233" s="217">
        <f>((B230)+(B231))+(B232)</f>
        <v>4011.94</v>
      </c>
      <c r="D233" s="217">
        <f t="shared" ref="D233:E233" si="32">((D230)+(D231))+(D232)</f>
        <v>253.84</v>
      </c>
      <c r="E233" s="217">
        <f t="shared" si="32"/>
        <v>648</v>
      </c>
    </row>
    <row r="234" spans="1:5" ht="14.25" customHeight="1">
      <c r="A234" s="214" t="s">
        <v>261</v>
      </c>
      <c r="B234" s="215"/>
      <c r="D234" s="215"/>
      <c r="E234" s="215"/>
    </row>
    <row r="235" spans="1:5" ht="14.25" customHeight="1">
      <c r="A235" s="214" t="s">
        <v>262</v>
      </c>
      <c r="B235" s="216">
        <f>1354.36</f>
        <v>1354.36</v>
      </c>
      <c r="D235" s="216">
        <f>159.9</f>
        <v>159.9</v>
      </c>
      <c r="E235" s="215"/>
    </row>
    <row r="236" spans="1:5" ht="14.25" customHeight="1">
      <c r="A236" s="214" t="s">
        <v>263</v>
      </c>
      <c r="B236" s="217">
        <f>(B234)+(B235)</f>
        <v>1354.36</v>
      </c>
      <c r="D236" s="217">
        <f t="shared" ref="D236:E236" si="33">(D234)+(D235)</f>
        <v>159.9</v>
      </c>
      <c r="E236" s="217">
        <f t="shared" si="33"/>
        <v>0</v>
      </c>
    </row>
    <row r="237" spans="1:5" ht="14.25" customHeight="1">
      <c r="A237" s="214" t="s">
        <v>264</v>
      </c>
      <c r="B237" s="215"/>
      <c r="D237" s="215"/>
      <c r="E237" s="215"/>
    </row>
    <row r="238" spans="1:5" ht="14.25" customHeight="1">
      <c r="A238" s="214" t="s">
        <v>265</v>
      </c>
      <c r="B238" s="216">
        <f>803.2</f>
        <v>803.2</v>
      </c>
      <c r="D238" s="216">
        <f>753.74</f>
        <v>753.74</v>
      </c>
      <c r="E238" s="216">
        <f>194.42</f>
        <v>194.42</v>
      </c>
    </row>
    <row r="239" spans="1:5" ht="14.25" customHeight="1">
      <c r="A239" s="214" t="s">
        <v>266</v>
      </c>
      <c r="B239" s="216">
        <f>109.21</f>
        <v>109.21</v>
      </c>
      <c r="D239" s="215"/>
      <c r="E239" s="215"/>
    </row>
    <row r="240" spans="1:5" ht="14.25" customHeight="1">
      <c r="A240" s="214" t="s">
        <v>267</v>
      </c>
      <c r="B240" s="216">
        <f>0</f>
        <v>0</v>
      </c>
      <c r="D240" s="215"/>
      <c r="E240" s="215"/>
    </row>
    <row r="241" spans="1:5" ht="14.25" customHeight="1">
      <c r="A241" s="214" t="s">
        <v>268</v>
      </c>
      <c r="B241" s="215"/>
      <c r="D241" s="215"/>
      <c r="E241" s="215"/>
    </row>
    <row r="242" spans="1:5" ht="14.25" customHeight="1">
      <c r="A242" s="214" t="s">
        <v>420</v>
      </c>
      <c r="B242" s="215"/>
      <c r="D242" s="215"/>
      <c r="E242" s="215"/>
    </row>
    <row r="243" spans="1:5" ht="14.25" customHeight="1">
      <c r="A243" s="214" t="s">
        <v>270</v>
      </c>
      <c r="B243" s="217">
        <f>(((((B237)+(B238))+(B239))+(B240))+(B241))+(B242)</f>
        <v>912.41000000000008</v>
      </c>
      <c r="D243" s="217">
        <f t="shared" ref="D243:E243" si="34">(((((D237)+(D238))+(D239))+(D240))+(D241))+(D242)</f>
        <v>753.74</v>
      </c>
      <c r="E243" s="217">
        <f t="shared" si="34"/>
        <v>194.42</v>
      </c>
    </row>
    <row r="244" spans="1:5" ht="14.25" customHeight="1">
      <c r="A244" s="214" t="s">
        <v>271</v>
      </c>
      <c r="B244" s="215"/>
      <c r="D244" s="215"/>
      <c r="E244" s="215"/>
    </row>
    <row r="245" spans="1:5" ht="14.25" customHeight="1">
      <c r="A245" s="214" t="s">
        <v>272</v>
      </c>
      <c r="B245" s="216">
        <f>29135.03</f>
        <v>29135.03</v>
      </c>
      <c r="D245" s="216">
        <f>25307.99</f>
        <v>25307.99</v>
      </c>
      <c r="E245" s="216">
        <f>47997</f>
        <v>47997</v>
      </c>
    </row>
    <row r="246" spans="1:5" ht="14.25" customHeight="1">
      <c r="A246" s="214" t="s">
        <v>274</v>
      </c>
      <c r="B246" s="215"/>
      <c r="D246" s="215"/>
      <c r="E246" s="215"/>
    </row>
    <row r="247" spans="1:5" ht="14.25" customHeight="1">
      <c r="A247" s="214" t="s">
        <v>275</v>
      </c>
      <c r="B247" s="217">
        <f>((B244)+(B245))+(B246)</f>
        <v>29135.03</v>
      </c>
      <c r="D247" s="217">
        <f t="shared" ref="D247:E247" si="35">((D244)+(D245))+(D246)</f>
        <v>25307.99</v>
      </c>
      <c r="E247" s="217">
        <f t="shared" si="35"/>
        <v>47997</v>
      </c>
    </row>
    <row r="248" spans="1:5" ht="14.25" customHeight="1">
      <c r="A248" s="214" t="s">
        <v>276</v>
      </c>
      <c r="B248" s="215"/>
      <c r="D248" s="215"/>
      <c r="E248" s="215"/>
    </row>
    <row r="249" spans="1:5" ht="14.25" customHeight="1">
      <c r="A249" s="214" t="s">
        <v>421</v>
      </c>
      <c r="B249" s="216">
        <f>521828.34</f>
        <v>521828.34</v>
      </c>
      <c r="D249" s="216">
        <f>750000</f>
        <v>750000</v>
      </c>
      <c r="E249" s="216">
        <f>999996</f>
        <v>999996</v>
      </c>
    </row>
    <row r="250" spans="1:5" ht="14.25" customHeight="1">
      <c r="A250" s="214" t="s">
        <v>422</v>
      </c>
      <c r="B250" s="216">
        <f>27355.59</f>
        <v>27355.59</v>
      </c>
      <c r="D250" s="216">
        <f>5857.9</f>
        <v>5857.9</v>
      </c>
      <c r="E250" s="216">
        <f>12721.6</f>
        <v>12721.6</v>
      </c>
    </row>
    <row r="251" spans="1:5" ht="14.25" customHeight="1">
      <c r="A251" s="214" t="s">
        <v>280</v>
      </c>
      <c r="B251" s="216">
        <f>37913.94</f>
        <v>37913.94</v>
      </c>
      <c r="D251" s="216">
        <f>9389.52</f>
        <v>9389.52</v>
      </c>
      <c r="E251" s="216">
        <f>84586.43</f>
        <v>84586.43</v>
      </c>
    </row>
    <row r="252" spans="1:5" ht="14.25" customHeight="1">
      <c r="A252" s="214" t="s">
        <v>423</v>
      </c>
      <c r="B252" s="216">
        <f>4595</f>
        <v>4595</v>
      </c>
      <c r="D252" s="216">
        <f>6075</f>
        <v>6075</v>
      </c>
      <c r="E252" s="216">
        <f>5625</f>
        <v>5625</v>
      </c>
    </row>
    <row r="253" spans="1:5" ht="14.25" customHeight="1">
      <c r="A253" s="214" t="s">
        <v>282</v>
      </c>
      <c r="B253" s="216">
        <f>64956.93</f>
        <v>64956.93</v>
      </c>
      <c r="D253" s="216">
        <f>72744</f>
        <v>72744</v>
      </c>
      <c r="E253" s="216">
        <f>100244.85</f>
        <v>100244.85</v>
      </c>
    </row>
    <row r="254" spans="1:5" ht="14.25" customHeight="1">
      <c r="A254" s="214" t="s">
        <v>283</v>
      </c>
      <c r="B254" s="216">
        <f>925938.24</f>
        <v>925938.24</v>
      </c>
      <c r="D254" s="216">
        <f>701938.2</f>
        <v>701938.2</v>
      </c>
      <c r="E254" s="216">
        <f>451938.24</f>
        <v>451938.24</v>
      </c>
    </row>
    <row r="255" spans="1:5" ht="14.25" customHeight="1">
      <c r="A255" s="214" t="s">
        <v>424</v>
      </c>
      <c r="B255" s="215"/>
      <c r="D255" s="215"/>
      <c r="E255" s="215"/>
    </row>
    <row r="256" spans="1:5" ht="14.25" customHeight="1">
      <c r="A256" s="214" t="s">
        <v>285</v>
      </c>
      <c r="B256" s="217">
        <f>(((((((B248)+(B249))+(B250))+(B251))+(B252))+(B253))+(B254))+(B255)</f>
        <v>1582588.04</v>
      </c>
      <c r="D256" s="217">
        <f t="shared" ref="D256:E256" si="36">(((((((D248)+(D249))+(D250))+(D251))+(D252))+(D253))+(D254))+(D255)</f>
        <v>1546004.62</v>
      </c>
      <c r="E256" s="217">
        <f t="shared" si="36"/>
        <v>1655112.12</v>
      </c>
    </row>
    <row r="257" spans="1:5" ht="14.25" customHeight="1">
      <c r="A257" s="214" t="s">
        <v>286</v>
      </c>
      <c r="B257" s="215"/>
      <c r="D257" s="215"/>
      <c r="E257" s="215"/>
    </row>
    <row r="258" spans="1:5" ht="14.25" customHeight="1">
      <c r="A258" s="214" t="s">
        <v>287</v>
      </c>
      <c r="B258" s="216">
        <f>39111.2</f>
        <v>39111.199999999997</v>
      </c>
      <c r="D258" s="216">
        <f>72981.38</f>
        <v>72981.38</v>
      </c>
      <c r="E258" s="216">
        <f>85458.41</f>
        <v>85458.41</v>
      </c>
    </row>
    <row r="259" spans="1:5" ht="14.25" customHeight="1">
      <c r="A259" s="214" t="s">
        <v>289</v>
      </c>
      <c r="B259" s="215"/>
      <c r="D259" s="215"/>
      <c r="E259" s="215"/>
    </row>
    <row r="260" spans="1:5" ht="14.25" customHeight="1">
      <c r="A260" s="214" t="s">
        <v>290</v>
      </c>
      <c r="B260" s="217">
        <f>((B257)+(B258))+(B259)</f>
        <v>39111.199999999997</v>
      </c>
      <c r="D260" s="217">
        <f>((D257)+(D258))+(D259)</f>
        <v>72981.38</v>
      </c>
      <c r="E260" s="215"/>
    </row>
    <row r="261" spans="1:5" ht="14.25" customHeight="1">
      <c r="A261" s="214" t="s">
        <v>425</v>
      </c>
      <c r="B261" s="216">
        <f>2363</f>
        <v>2363</v>
      </c>
      <c r="D261" s="215"/>
      <c r="E261" s="217">
        <f>(((E257)+(E258))+(E259))+(E260)</f>
        <v>85458.41</v>
      </c>
    </row>
    <row r="262" spans="1:5" ht="14.25" customHeight="1">
      <c r="A262" s="214" t="s">
        <v>426</v>
      </c>
      <c r="B262" s="215"/>
      <c r="D262" s="215"/>
      <c r="E262" s="215"/>
    </row>
    <row r="263" spans="1:5" ht="14.25" customHeight="1">
      <c r="A263" s="214" t="s">
        <v>427</v>
      </c>
      <c r="B263" s="215"/>
      <c r="D263" s="215"/>
      <c r="E263" s="215"/>
    </row>
    <row r="264" spans="1:5" ht="14.25" customHeight="1">
      <c r="A264" s="214" t="s">
        <v>428</v>
      </c>
      <c r="B264" s="215"/>
      <c r="D264" s="215"/>
      <c r="E264" s="215"/>
    </row>
    <row r="265" spans="1:5" ht="14.25" customHeight="1">
      <c r="A265" s="214" t="s">
        <v>429</v>
      </c>
      <c r="B265" s="215"/>
      <c r="D265" s="215"/>
      <c r="E265" s="215"/>
    </row>
    <row r="266" spans="1:5" ht="14.25" customHeight="1">
      <c r="A266" s="214" t="s">
        <v>430</v>
      </c>
      <c r="B266" s="215"/>
      <c r="D266" s="215"/>
      <c r="E266" s="215"/>
    </row>
    <row r="267" spans="1:5" ht="14.25" customHeight="1">
      <c r="A267" s="214" t="s">
        <v>431</v>
      </c>
      <c r="B267" s="215"/>
      <c r="D267" s="215"/>
      <c r="E267" s="215"/>
    </row>
    <row r="268" spans="1:5" ht="14.25" customHeight="1">
      <c r="A268" s="214" t="s">
        <v>432</v>
      </c>
      <c r="B268" s="215"/>
      <c r="D268" s="215"/>
      <c r="E268" s="215"/>
    </row>
    <row r="269" spans="1:5" ht="14.25" customHeight="1">
      <c r="A269" s="214" t="s">
        <v>433</v>
      </c>
      <c r="B269" s="215"/>
      <c r="D269" s="215"/>
      <c r="E269" s="215"/>
    </row>
    <row r="270" spans="1:5" ht="14.25" customHeight="1">
      <c r="A270" s="214" t="s">
        <v>434</v>
      </c>
      <c r="B270" s="215"/>
      <c r="D270" s="215"/>
      <c r="E270" s="215"/>
    </row>
    <row r="271" spans="1:5" ht="14.25" customHeight="1">
      <c r="A271" s="214" t="s">
        <v>435</v>
      </c>
      <c r="B271" s="215"/>
      <c r="D271" s="215"/>
      <c r="E271" s="215"/>
    </row>
    <row r="272" spans="1:5" ht="14.25" customHeight="1">
      <c r="A272" s="214" t="s">
        <v>436</v>
      </c>
      <c r="B272" s="215"/>
      <c r="D272" s="215"/>
      <c r="E272" s="215"/>
    </row>
    <row r="273" spans="1:5" ht="14.25" customHeight="1">
      <c r="A273" s="214" t="s">
        <v>437</v>
      </c>
      <c r="B273" s="215"/>
      <c r="D273" s="215"/>
      <c r="E273" s="215"/>
    </row>
    <row r="274" spans="1:5" ht="14.25" customHeight="1">
      <c r="A274" s="214" t="s">
        <v>438</v>
      </c>
      <c r="B274" s="215"/>
      <c r="D274" s="215"/>
      <c r="E274" s="215"/>
    </row>
    <row r="275" spans="1:5" ht="14.25" customHeight="1">
      <c r="A275" s="214" t="s">
        <v>439</v>
      </c>
      <c r="B275" s="215"/>
      <c r="D275" s="215"/>
      <c r="E275" s="215"/>
    </row>
    <row r="276" spans="1:5" ht="14.25" customHeight="1">
      <c r="A276" s="214" t="s">
        <v>440</v>
      </c>
      <c r="B276" s="215"/>
      <c r="D276" s="215"/>
      <c r="E276" s="215"/>
    </row>
    <row r="277" spans="1:5" ht="14.25" customHeight="1">
      <c r="A277" s="214" t="s">
        <v>441</v>
      </c>
      <c r="B277" s="215"/>
      <c r="D277" s="215"/>
      <c r="E277" s="215"/>
    </row>
    <row r="278" spans="1:5" ht="14.25" customHeight="1">
      <c r="A278" s="214" t="s">
        <v>442</v>
      </c>
      <c r="B278" s="215"/>
      <c r="D278" s="215"/>
      <c r="E278" s="215"/>
    </row>
    <row r="279" spans="1:5" ht="14.25" customHeight="1">
      <c r="A279" s="214" t="s">
        <v>443</v>
      </c>
      <c r="B279" s="215"/>
      <c r="D279" s="215"/>
      <c r="E279" s="215"/>
    </row>
    <row r="280" spans="1:5" ht="14.25" customHeight="1">
      <c r="A280" s="214" t="s">
        <v>444</v>
      </c>
      <c r="B280" s="215"/>
      <c r="D280" s="215"/>
      <c r="E280" s="215"/>
    </row>
    <row r="281" spans="1:5" ht="14.25" customHeight="1">
      <c r="A281" s="214" t="s">
        <v>445</v>
      </c>
      <c r="B281" s="215"/>
      <c r="D281" s="215"/>
      <c r="E281" s="215"/>
    </row>
    <row r="282" spans="1:5" ht="14.25" customHeight="1">
      <c r="A282" s="214" t="s">
        <v>446</v>
      </c>
      <c r="B282" s="215"/>
      <c r="D282" s="215"/>
      <c r="E282" s="215"/>
    </row>
    <row r="283" spans="1:5" ht="14.25" customHeight="1">
      <c r="A283" s="214" t="s">
        <v>447</v>
      </c>
      <c r="B283" s="215"/>
      <c r="D283" s="215"/>
      <c r="E283" s="215"/>
    </row>
    <row r="284" spans="1:5" ht="14.25" customHeight="1">
      <c r="A284" s="214" t="s">
        <v>291</v>
      </c>
      <c r="B284" s="217">
        <f>((((((((((((((((((((((((((((((((((((((((((((((B129)+(B145))+(B149))+(B160))+(B163))+(B169))+(B174))+(B182))+(B186))+(B196))+(B199))+(B204))+(B209))+(B213))+(B220))+(B223))+(B226))+(B229))+(B233))+(B236))+(B243))+(B247))+(B256))+(B260))+(B261))+(B262))+(B263))+(B264))+(B265))+(B266))+(B267))+(B268))+(B269))+(B270))+(B271))+(B272))+(B273))+(B274))+(B275))+(B276))+(B277))+(B278))+(B279))+(B280))+(B281))+(B282))+(B283)</f>
        <v>3299224.6100000003</v>
      </c>
      <c r="D284" s="217">
        <f>((((((((((((((((((((((((((((((((((((((((((((((D129)+(D145))+(D149))+(D160))+(D163))+(D169))+(D174))+(D182))+(D186))+(D196))+(D199))+(D204))+(D209))+(D213))+(D220))+(D223))+(D226))+(D229))+(D233))+(D236))+(D243))+(D247))+(D256))+(D260))+(D261))+(D262))+(D263))+(D264))+(D265))+(D266))+(D267))+(D268))+(D269))+(D270))+(D271))+(D272))+(D273))+(D274))+(D275))+(D276))+(D277))+(D278))+(D279))+(D280))+(D281))+(D282))+(D283)</f>
        <v>3462464.34</v>
      </c>
      <c r="E284" s="217">
        <f>(((((((((((((((((((((((((((((((((((((((((((((E129)+(E145))+(E149))+(E160))+(E163))+(E169))+(E174))+(E182))+(E186))+(E196))+(E199))+(E204))+(E209))+(E213))+(E220))+(E223))+(E226))+(E229))+(E233))+(E236))+(E243))+(E247))+(E256))+(E261))+(E262))+(E263))+(E264))+(E265))+(E266))+(E267))+(E268))+(E269))+(E270))+(E271))+(E272))+(E273))+(E274))+(E275))+(E276))+(E277))+(E278))+(E279))+(E280))+(E281))+(E282))+(E283)</f>
        <v>4896062.0999999996</v>
      </c>
    </row>
    <row r="285" spans="1:5" ht="14.25" customHeight="1">
      <c r="A285" s="214" t="s">
        <v>292</v>
      </c>
      <c r="B285" s="217">
        <f>(B57)-(B284)</f>
        <v>-170879.6400000006</v>
      </c>
      <c r="D285" s="217">
        <f t="shared" ref="D285:E285" si="37">(D57)-(D284)</f>
        <v>464248.18999999994</v>
      </c>
      <c r="E285" s="217">
        <f t="shared" si="37"/>
        <v>650438.80999999959</v>
      </c>
    </row>
    <row r="286" spans="1:5" ht="14.25" customHeight="1">
      <c r="A286" s="214" t="s">
        <v>448</v>
      </c>
      <c r="B286" s="215"/>
      <c r="D286" s="215"/>
      <c r="E286" s="215"/>
    </row>
    <row r="287" spans="1:5" ht="14.25" customHeight="1">
      <c r="A287" s="214" t="s">
        <v>449</v>
      </c>
      <c r="B287" s="216">
        <f>0</f>
        <v>0</v>
      </c>
      <c r="D287" s="215"/>
      <c r="E287" s="215"/>
    </row>
    <row r="288" spans="1:5" ht="14.25" customHeight="1">
      <c r="A288" s="214" t="s">
        <v>450</v>
      </c>
      <c r="B288" s="215"/>
      <c r="D288" s="215"/>
      <c r="E288" s="215"/>
    </row>
    <row r="289" spans="1:5" ht="14.25" customHeight="1">
      <c r="A289" s="214" t="s">
        <v>451</v>
      </c>
      <c r="B289" s="217">
        <f>(B287)+(B288)</f>
        <v>0</v>
      </c>
      <c r="D289" s="217">
        <f t="shared" ref="D289:E289" si="38">(D287)+(D288)</f>
        <v>0</v>
      </c>
      <c r="E289" s="217">
        <f t="shared" si="38"/>
        <v>0</v>
      </c>
    </row>
    <row r="290" spans="1:5" ht="14.25" customHeight="1">
      <c r="A290" s="214" t="s">
        <v>452</v>
      </c>
      <c r="B290" s="217">
        <f>(0)-(B289)</f>
        <v>0</v>
      </c>
      <c r="D290" s="217">
        <f t="shared" ref="D290:E290" si="39">(0)-(D289)</f>
        <v>0</v>
      </c>
      <c r="E290" s="217">
        <f t="shared" si="39"/>
        <v>0</v>
      </c>
    </row>
    <row r="291" spans="1:5" ht="14.25" customHeight="1">
      <c r="A291" s="214" t="s">
        <v>453</v>
      </c>
      <c r="B291" s="217">
        <f>(B285)+(B290)</f>
        <v>-170879.6400000006</v>
      </c>
      <c r="D291" s="217">
        <f t="shared" ref="D291:E291" si="40">(D285)+(D290)</f>
        <v>464248.18999999994</v>
      </c>
      <c r="E291" s="217">
        <f t="shared" si="40"/>
        <v>650438.80999999959</v>
      </c>
    </row>
    <row r="292" spans="1:5" ht="14.25" customHeight="1">
      <c r="A292" s="214"/>
      <c r="B292" s="215"/>
      <c r="E292" s="219"/>
    </row>
    <row r="293" spans="1:5" ht="14.25" customHeight="1">
      <c r="B293" s="220"/>
      <c r="E293" s="219"/>
    </row>
    <row r="294" spans="1:5" ht="14.25" customHeight="1">
      <c r="B294" s="221"/>
      <c r="E294" s="219">
        <f>E291-E293</f>
        <v>650438.80999999959</v>
      </c>
    </row>
    <row r="295" spans="1:5" ht="14.25" customHeight="1"/>
    <row r="296" spans="1:5" ht="14.25" customHeight="1"/>
    <row r="297" spans="1:5" ht="14.25" customHeight="1"/>
    <row r="298" spans="1:5" ht="14.25" customHeight="1"/>
    <row r="299" spans="1:5" ht="14.25" customHeight="1"/>
    <row r="300" spans="1:5" ht="14.25" customHeight="1"/>
    <row r="301" spans="1:5" ht="14.25" customHeight="1"/>
    <row r="302" spans="1:5" ht="14.25" customHeight="1"/>
    <row r="303" spans="1:5" ht="14.25" customHeight="1"/>
    <row r="304" spans="1:5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B1"/>
    <mergeCell ref="A2:B2"/>
    <mergeCell ref="A3:B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</sheetPr>
  <dimension ref="A1:AE68"/>
  <sheetViews>
    <sheetView workbookViewId="0"/>
  </sheetViews>
  <sheetFormatPr defaultColWidth="14.44140625" defaultRowHeight="15" customHeight="1"/>
  <cols>
    <col min="1" max="1" width="3.5546875" customWidth="1"/>
    <col min="2" max="2" width="19.44140625" customWidth="1"/>
    <col min="3" max="3" width="28.5546875" customWidth="1"/>
    <col min="4" max="4" width="32" customWidth="1"/>
    <col min="5" max="5" width="25.44140625" hidden="1" customWidth="1"/>
    <col min="6" max="6" width="19.77734375" customWidth="1"/>
    <col min="7" max="7" width="18.5546875" customWidth="1"/>
    <col min="8" max="8" width="0.44140625" customWidth="1"/>
    <col min="9" max="11" width="12.5546875" hidden="1" customWidth="1"/>
    <col min="12" max="12" width="3.77734375" hidden="1" customWidth="1"/>
    <col min="13" max="13" width="6.44140625" hidden="1" customWidth="1"/>
    <col min="14" max="17" width="12.5546875" customWidth="1"/>
    <col min="18" max="18" width="30" customWidth="1"/>
    <col min="19" max="31" width="13.77734375" customWidth="1"/>
  </cols>
  <sheetData>
    <row r="1" spans="1:31" ht="13.5" customHeight="1">
      <c r="A1" s="222" t="s">
        <v>0</v>
      </c>
      <c r="B1" s="3"/>
      <c r="C1" s="3"/>
      <c r="D1" s="3"/>
      <c r="E1" s="3"/>
      <c r="F1" s="3"/>
      <c r="G1" s="3"/>
      <c r="H1" s="5"/>
      <c r="I1" s="5"/>
      <c r="J1" s="5"/>
      <c r="K1" s="5"/>
      <c r="L1" s="5"/>
      <c r="M1" s="5"/>
      <c r="N1" s="5"/>
      <c r="O1" s="5"/>
      <c r="P1" s="5"/>
      <c r="Q1" s="5"/>
      <c r="R1" s="22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3.5" customHeight="1">
      <c r="A2" s="3" t="s">
        <v>454</v>
      </c>
      <c r="B2" s="3"/>
      <c r="C2" s="3"/>
      <c r="D2" s="3"/>
      <c r="E2" s="3"/>
      <c r="F2" s="3"/>
      <c r="G2" s="3"/>
      <c r="H2" s="5"/>
      <c r="I2" s="337" t="s">
        <v>3</v>
      </c>
      <c r="J2" s="328"/>
      <c r="K2" s="328"/>
      <c r="L2" s="328"/>
      <c r="M2" s="224"/>
      <c r="N2" s="338" t="s">
        <v>4</v>
      </c>
      <c r="O2" s="328"/>
      <c r="P2" s="328"/>
      <c r="Q2" s="328"/>
      <c r="R2" s="223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3.5" customHeight="1">
      <c r="A3" s="5"/>
      <c r="B3" s="3"/>
      <c r="C3" s="3"/>
      <c r="D3" s="3"/>
      <c r="E3" s="3"/>
      <c r="F3" s="3"/>
      <c r="G3" s="225" t="s">
        <v>455</v>
      </c>
      <c r="H3" s="15"/>
      <c r="I3" s="339" t="s">
        <v>456</v>
      </c>
      <c r="J3" s="333"/>
      <c r="K3" s="333"/>
      <c r="L3" s="334"/>
      <c r="M3" s="15"/>
      <c r="N3" s="340" t="s">
        <v>456</v>
      </c>
      <c r="O3" s="333"/>
      <c r="P3" s="333"/>
      <c r="Q3" s="334"/>
      <c r="R3" s="22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3.5" customHeight="1">
      <c r="A4" s="5"/>
      <c r="B4" s="226" t="s">
        <v>457</v>
      </c>
      <c r="C4" s="226" t="s">
        <v>458</v>
      </c>
      <c r="D4" s="226" t="s">
        <v>459</v>
      </c>
      <c r="E4" s="226" t="s">
        <v>460</v>
      </c>
      <c r="F4" s="225" t="s">
        <v>461</v>
      </c>
      <c r="G4" s="225" t="s">
        <v>462</v>
      </c>
      <c r="H4" s="15"/>
      <c r="I4" s="227" t="s">
        <v>463</v>
      </c>
      <c r="J4" s="227" t="s">
        <v>464</v>
      </c>
      <c r="K4" s="227" t="s">
        <v>465</v>
      </c>
      <c r="L4" s="227" t="s">
        <v>466</v>
      </c>
      <c r="M4" s="15"/>
      <c r="N4" s="228" t="s">
        <v>463</v>
      </c>
      <c r="O4" s="228" t="s">
        <v>464</v>
      </c>
      <c r="P4" s="228" t="s">
        <v>465</v>
      </c>
      <c r="Q4" s="228" t="s">
        <v>466</v>
      </c>
      <c r="R4" s="229" t="s">
        <v>11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3.5" customHeight="1">
      <c r="A5" s="7">
        <v>1</v>
      </c>
      <c r="B5" s="3" t="s">
        <v>467</v>
      </c>
      <c r="C5" s="3" t="s">
        <v>468</v>
      </c>
      <c r="D5" s="3" t="s">
        <v>80</v>
      </c>
      <c r="E5" s="230">
        <v>44634</v>
      </c>
      <c r="F5" s="231" t="s">
        <v>469</v>
      </c>
      <c r="G5" s="172">
        <v>142999.91999999998</v>
      </c>
      <c r="H5" s="15"/>
      <c r="I5" s="232">
        <v>5.5E-2</v>
      </c>
      <c r="J5" s="233">
        <f t="shared" ref="J5:J48" si="0">G5*I5</f>
        <v>7864.9955999999993</v>
      </c>
      <c r="K5" s="233"/>
      <c r="L5" s="233">
        <f t="shared" ref="L5:L48" si="1">G5+J5+K5</f>
        <v>150864.91559999998</v>
      </c>
      <c r="M5" s="15"/>
      <c r="N5" s="234">
        <v>0.03</v>
      </c>
      <c r="O5" s="235">
        <f t="shared" ref="O5:O54" si="2">G5*N5</f>
        <v>4289.9975999999997</v>
      </c>
      <c r="P5" s="235"/>
      <c r="Q5" s="235">
        <f t="shared" ref="Q5:Q8" si="3">G5+O5+P5</f>
        <v>147289.91759999999</v>
      </c>
      <c r="R5" s="223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3.5" customHeight="1">
      <c r="A6" s="7">
        <f t="shared" ref="A6:A53" si="4">A5+1</f>
        <v>2</v>
      </c>
      <c r="B6" s="3" t="s">
        <v>470</v>
      </c>
      <c r="C6" s="3" t="s">
        <v>471</v>
      </c>
      <c r="D6" s="3" t="s">
        <v>472</v>
      </c>
      <c r="E6" s="3"/>
      <c r="F6" s="231" t="s">
        <v>469</v>
      </c>
      <c r="G6" s="172"/>
      <c r="H6" s="15"/>
      <c r="I6" s="232">
        <v>0.04</v>
      </c>
      <c r="J6" s="233">
        <f t="shared" si="0"/>
        <v>0</v>
      </c>
      <c r="K6" s="233"/>
      <c r="L6" s="233">
        <f t="shared" si="1"/>
        <v>0</v>
      </c>
      <c r="M6" s="15"/>
      <c r="N6" s="234">
        <v>0</v>
      </c>
      <c r="O6" s="235">
        <f t="shared" si="2"/>
        <v>0</v>
      </c>
      <c r="P6" s="235"/>
      <c r="Q6" s="235">
        <f t="shared" si="3"/>
        <v>0</v>
      </c>
      <c r="R6" s="223" t="s">
        <v>473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3.5" customHeight="1">
      <c r="A7" s="7">
        <f t="shared" si="4"/>
        <v>3</v>
      </c>
      <c r="B7" s="3" t="s">
        <v>474</v>
      </c>
      <c r="C7" s="3" t="s">
        <v>475</v>
      </c>
      <c r="D7" s="3" t="s">
        <v>83</v>
      </c>
      <c r="E7" s="230">
        <v>44593</v>
      </c>
      <c r="F7" s="231" t="s">
        <v>469</v>
      </c>
      <c r="G7" s="172">
        <v>82475.040000000008</v>
      </c>
      <c r="H7" s="15"/>
      <c r="I7" s="232">
        <v>0.04</v>
      </c>
      <c r="J7" s="233">
        <f t="shared" si="0"/>
        <v>3299.0016000000005</v>
      </c>
      <c r="K7" s="233"/>
      <c r="L7" s="233">
        <f t="shared" si="1"/>
        <v>85774.041600000011</v>
      </c>
      <c r="M7" s="15"/>
      <c r="N7" s="234">
        <v>0.03</v>
      </c>
      <c r="O7" s="235">
        <f t="shared" si="2"/>
        <v>2474.2512000000002</v>
      </c>
      <c r="P7" s="235"/>
      <c r="Q7" s="235">
        <f t="shared" si="3"/>
        <v>84949.291200000007</v>
      </c>
      <c r="R7" s="223" t="s">
        <v>476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.5" customHeight="1">
      <c r="A8" s="7">
        <f t="shared" si="4"/>
        <v>4</v>
      </c>
      <c r="B8" s="3" t="s">
        <v>477</v>
      </c>
      <c r="C8" s="3" t="s">
        <v>478</v>
      </c>
      <c r="D8" s="3" t="s">
        <v>84</v>
      </c>
      <c r="E8" s="3"/>
      <c r="F8" s="231" t="s">
        <v>469</v>
      </c>
      <c r="G8" s="172">
        <v>87999.84</v>
      </c>
      <c r="H8" s="15"/>
      <c r="I8" s="232">
        <v>0.04</v>
      </c>
      <c r="J8" s="233">
        <f t="shared" si="0"/>
        <v>3519.9935999999998</v>
      </c>
      <c r="K8" s="233"/>
      <c r="L8" s="233">
        <f t="shared" si="1"/>
        <v>91519.833599999998</v>
      </c>
      <c r="M8" s="15"/>
      <c r="N8" s="234">
        <v>0.03</v>
      </c>
      <c r="O8" s="235">
        <f t="shared" si="2"/>
        <v>2639.9951999999998</v>
      </c>
      <c r="P8" s="235"/>
      <c r="Q8" s="235">
        <f t="shared" si="3"/>
        <v>90639.835200000001</v>
      </c>
      <c r="R8" s="223" t="s">
        <v>479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3.5" customHeight="1">
      <c r="A9" s="7">
        <f t="shared" si="4"/>
        <v>5</v>
      </c>
      <c r="B9" s="3" t="s">
        <v>480</v>
      </c>
      <c r="C9" s="3" t="s">
        <v>481</v>
      </c>
      <c r="D9" s="3" t="s">
        <v>87</v>
      </c>
      <c r="E9" s="230">
        <v>43739</v>
      </c>
      <c r="F9" s="231" t="s">
        <v>469</v>
      </c>
      <c r="G9" s="172">
        <v>110000</v>
      </c>
      <c r="H9" s="15"/>
      <c r="I9" s="232">
        <v>9.5000000000000001E-2</v>
      </c>
      <c r="J9" s="233">
        <f t="shared" si="0"/>
        <v>10450</v>
      </c>
      <c r="K9" s="233"/>
      <c r="L9" s="233">
        <f t="shared" si="1"/>
        <v>120450</v>
      </c>
      <c r="M9" s="15"/>
      <c r="N9" s="234">
        <v>0.1</v>
      </c>
      <c r="O9" s="235">
        <f t="shared" si="2"/>
        <v>11000</v>
      </c>
      <c r="P9" s="235"/>
      <c r="Q9" s="235">
        <v>116500</v>
      </c>
      <c r="R9" s="223" t="s">
        <v>482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3.5" customHeight="1">
      <c r="A10" s="7">
        <f t="shared" si="4"/>
        <v>6</v>
      </c>
      <c r="B10" s="3" t="s">
        <v>483</v>
      </c>
      <c r="C10" s="3" t="s">
        <v>484</v>
      </c>
      <c r="D10" s="3" t="s">
        <v>90</v>
      </c>
      <c r="E10" s="3"/>
      <c r="F10" s="231" t="s">
        <v>469</v>
      </c>
      <c r="G10" s="172">
        <v>65600.160000000003</v>
      </c>
      <c r="H10" s="15"/>
      <c r="I10" s="232">
        <v>0.04</v>
      </c>
      <c r="J10" s="233">
        <f t="shared" si="0"/>
        <v>2624.0064000000002</v>
      </c>
      <c r="K10" s="233"/>
      <c r="L10" s="233">
        <f t="shared" si="1"/>
        <v>68224.166400000002</v>
      </c>
      <c r="M10" s="15"/>
      <c r="N10" s="234">
        <v>0.03</v>
      </c>
      <c r="O10" s="235">
        <f t="shared" si="2"/>
        <v>1968.0047999999999</v>
      </c>
      <c r="P10" s="235"/>
      <c r="Q10" s="235">
        <f>G10+O10+P10</f>
        <v>67568.164799999999</v>
      </c>
      <c r="R10" s="22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3.5" customHeight="1">
      <c r="A11" s="7">
        <f t="shared" si="4"/>
        <v>7</v>
      </c>
      <c r="B11" s="236" t="s">
        <v>485</v>
      </c>
      <c r="C11" s="236" t="s">
        <v>486</v>
      </c>
      <c r="D11" s="236" t="s">
        <v>86</v>
      </c>
      <c r="E11" s="237">
        <v>44428</v>
      </c>
      <c r="F11" s="238" t="s">
        <v>469</v>
      </c>
      <c r="G11" s="239">
        <v>0</v>
      </c>
      <c r="H11" s="240"/>
      <c r="I11" s="241">
        <v>0.04</v>
      </c>
      <c r="J11" s="242">
        <f t="shared" si="0"/>
        <v>0</v>
      </c>
      <c r="K11" s="242"/>
      <c r="L11" s="242">
        <f t="shared" si="1"/>
        <v>0</v>
      </c>
      <c r="M11" s="240"/>
      <c r="N11" s="243">
        <v>0</v>
      </c>
      <c r="O11" s="244">
        <f t="shared" si="2"/>
        <v>0</v>
      </c>
      <c r="P11" s="244"/>
      <c r="Q11" s="244">
        <v>0</v>
      </c>
      <c r="R11" s="24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3.5" customHeight="1">
      <c r="A12" s="7">
        <f t="shared" si="4"/>
        <v>8</v>
      </c>
      <c r="B12" s="3" t="s">
        <v>487</v>
      </c>
      <c r="C12" s="3" t="s">
        <v>488</v>
      </c>
      <c r="D12" s="3" t="s">
        <v>100</v>
      </c>
      <c r="E12" s="230">
        <v>44466</v>
      </c>
      <c r="F12" s="231" t="s">
        <v>469</v>
      </c>
      <c r="G12" s="172">
        <v>80390</v>
      </c>
      <c r="H12" s="15"/>
      <c r="I12" s="232">
        <v>0.04</v>
      </c>
      <c r="J12" s="233">
        <f t="shared" si="0"/>
        <v>3215.6</v>
      </c>
      <c r="K12" s="233"/>
      <c r="L12" s="233">
        <f t="shared" si="1"/>
        <v>83605.600000000006</v>
      </c>
      <c r="M12" s="15"/>
      <c r="N12" s="234">
        <v>0.03</v>
      </c>
      <c r="O12" s="235">
        <f t="shared" si="2"/>
        <v>2411.6999999999998</v>
      </c>
      <c r="P12" s="235"/>
      <c r="Q12" s="235">
        <v>85000</v>
      </c>
      <c r="R12" s="24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3.5" customHeight="1">
      <c r="A13" s="7">
        <f t="shared" si="4"/>
        <v>9</v>
      </c>
      <c r="B13" s="236" t="s">
        <v>489</v>
      </c>
      <c r="C13" s="236" t="s">
        <v>488</v>
      </c>
      <c r="D13" s="236" t="s">
        <v>100</v>
      </c>
      <c r="E13" s="237">
        <v>44410</v>
      </c>
      <c r="F13" s="238" t="s">
        <v>469</v>
      </c>
      <c r="G13" s="239">
        <v>0</v>
      </c>
      <c r="H13" s="240"/>
      <c r="I13" s="241">
        <v>0.04</v>
      </c>
      <c r="J13" s="242">
        <f t="shared" si="0"/>
        <v>0</v>
      </c>
      <c r="K13" s="242"/>
      <c r="L13" s="242">
        <f t="shared" si="1"/>
        <v>0</v>
      </c>
      <c r="M13" s="240"/>
      <c r="N13" s="243">
        <v>0.03</v>
      </c>
      <c r="O13" s="244">
        <f t="shared" si="2"/>
        <v>0</v>
      </c>
      <c r="P13" s="244"/>
      <c r="Q13" s="244">
        <f t="shared" ref="Q13:Q20" si="5">G13+O13+P13</f>
        <v>0</v>
      </c>
      <c r="R13" s="24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3.5" customHeight="1">
      <c r="A14" s="7">
        <f t="shared" si="4"/>
        <v>10</v>
      </c>
      <c r="B14" s="3" t="s">
        <v>490</v>
      </c>
      <c r="C14" s="3" t="s">
        <v>488</v>
      </c>
      <c r="D14" s="3" t="s">
        <v>100</v>
      </c>
      <c r="E14" s="230">
        <v>44046</v>
      </c>
      <c r="F14" s="231" t="s">
        <v>469</v>
      </c>
      <c r="G14" s="172">
        <v>65307.600000000006</v>
      </c>
      <c r="H14" s="15"/>
      <c r="I14" s="232">
        <v>0.04</v>
      </c>
      <c r="J14" s="233">
        <f t="shared" si="0"/>
        <v>2612.3040000000001</v>
      </c>
      <c r="K14" s="233"/>
      <c r="L14" s="233">
        <f t="shared" si="1"/>
        <v>67919.90400000001</v>
      </c>
      <c r="M14" s="15"/>
      <c r="N14" s="234">
        <v>0.03</v>
      </c>
      <c r="O14" s="235">
        <f t="shared" si="2"/>
        <v>1959.2280000000001</v>
      </c>
      <c r="P14" s="235"/>
      <c r="Q14" s="235">
        <f t="shared" si="5"/>
        <v>67266.828000000009</v>
      </c>
      <c r="R14" s="24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3.5" customHeight="1">
      <c r="A15" s="7">
        <f t="shared" si="4"/>
        <v>11</v>
      </c>
      <c r="B15" s="236" t="s">
        <v>491</v>
      </c>
      <c r="C15" s="236" t="s">
        <v>488</v>
      </c>
      <c r="D15" s="236" t="s">
        <v>100</v>
      </c>
      <c r="E15" s="237">
        <v>43675</v>
      </c>
      <c r="F15" s="238" t="s">
        <v>469</v>
      </c>
      <c r="G15" s="239">
        <v>0</v>
      </c>
      <c r="H15" s="248"/>
      <c r="I15" s="241">
        <v>0.04</v>
      </c>
      <c r="J15" s="242">
        <f t="shared" si="0"/>
        <v>0</v>
      </c>
      <c r="K15" s="242"/>
      <c r="L15" s="242">
        <f t="shared" si="1"/>
        <v>0</v>
      </c>
      <c r="M15" s="248"/>
      <c r="N15" s="249">
        <v>0</v>
      </c>
      <c r="O15" s="244">
        <f t="shared" si="2"/>
        <v>0</v>
      </c>
      <c r="P15" s="244"/>
      <c r="Q15" s="244">
        <f t="shared" si="5"/>
        <v>0</v>
      </c>
      <c r="R15" s="24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3.5" customHeight="1">
      <c r="A16" s="7">
        <f t="shared" si="4"/>
        <v>12</v>
      </c>
      <c r="B16" s="3" t="s">
        <v>492</v>
      </c>
      <c r="C16" s="3" t="s">
        <v>493</v>
      </c>
      <c r="D16" s="3" t="s">
        <v>91</v>
      </c>
      <c r="E16" s="230">
        <v>44410</v>
      </c>
      <c r="F16" s="231" t="s">
        <v>469</v>
      </c>
      <c r="G16" s="172">
        <v>32400</v>
      </c>
      <c r="H16" s="15"/>
      <c r="I16" s="232">
        <v>0.4506</v>
      </c>
      <c r="J16" s="233">
        <f t="shared" si="0"/>
        <v>14599.44</v>
      </c>
      <c r="K16" s="233"/>
      <c r="L16" s="233">
        <f t="shared" si="1"/>
        <v>46999.44</v>
      </c>
      <c r="M16" s="15"/>
      <c r="N16" s="234">
        <v>0.4506</v>
      </c>
      <c r="O16" s="235">
        <f t="shared" si="2"/>
        <v>14599.44</v>
      </c>
      <c r="P16" s="235"/>
      <c r="Q16" s="235">
        <f t="shared" si="5"/>
        <v>46999.44</v>
      </c>
      <c r="R16" s="223" t="s">
        <v>494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3.5" customHeight="1">
      <c r="A17" s="7">
        <f t="shared" si="4"/>
        <v>13</v>
      </c>
      <c r="B17" s="3" t="s">
        <v>495</v>
      </c>
      <c r="C17" s="3" t="s">
        <v>488</v>
      </c>
      <c r="D17" s="3" t="s">
        <v>100</v>
      </c>
      <c r="E17" s="230">
        <v>44446</v>
      </c>
      <c r="F17" s="231" t="s">
        <v>469</v>
      </c>
      <c r="G17" s="172">
        <v>59400</v>
      </c>
      <c r="H17" s="15"/>
      <c r="I17" s="232">
        <v>0.04</v>
      </c>
      <c r="J17" s="233">
        <f t="shared" si="0"/>
        <v>2376</v>
      </c>
      <c r="K17" s="233"/>
      <c r="L17" s="233">
        <f t="shared" si="1"/>
        <v>61776</v>
      </c>
      <c r="M17" s="15"/>
      <c r="N17" s="234">
        <v>0.03</v>
      </c>
      <c r="O17" s="235">
        <f t="shared" si="2"/>
        <v>1782</v>
      </c>
      <c r="P17" s="235"/>
      <c r="Q17" s="235">
        <f t="shared" si="5"/>
        <v>61182</v>
      </c>
      <c r="R17" s="223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3.5" customHeight="1">
      <c r="A18" s="7">
        <f t="shared" si="4"/>
        <v>14</v>
      </c>
      <c r="B18" s="3" t="s">
        <v>496</v>
      </c>
      <c r="C18" s="3" t="s">
        <v>488</v>
      </c>
      <c r="D18" s="3" t="s">
        <v>100</v>
      </c>
      <c r="E18" s="230">
        <v>44508</v>
      </c>
      <c r="F18" s="231" t="s">
        <v>469</v>
      </c>
      <c r="G18" s="172">
        <v>71500.08</v>
      </c>
      <c r="H18" s="15"/>
      <c r="I18" s="232">
        <v>0.04</v>
      </c>
      <c r="J18" s="233">
        <f t="shared" si="0"/>
        <v>2860.0032000000001</v>
      </c>
      <c r="K18" s="233"/>
      <c r="L18" s="233">
        <f t="shared" si="1"/>
        <v>74360.083200000008</v>
      </c>
      <c r="M18" s="15"/>
      <c r="N18" s="234">
        <v>0.03</v>
      </c>
      <c r="O18" s="235">
        <f t="shared" si="2"/>
        <v>2145.0023999999999</v>
      </c>
      <c r="P18" s="235"/>
      <c r="Q18" s="235">
        <f t="shared" si="5"/>
        <v>73645.082399999999</v>
      </c>
      <c r="R18" s="223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3.5" customHeight="1">
      <c r="A19" s="7">
        <f t="shared" si="4"/>
        <v>15</v>
      </c>
      <c r="B19" s="3" t="s">
        <v>497</v>
      </c>
      <c r="C19" s="3" t="s">
        <v>488</v>
      </c>
      <c r="D19" s="3" t="s">
        <v>100</v>
      </c>
      <c r="E19" s="230">
        <v>44602</v>
      </c>
      <c r="F19" s="231" t="s">
        <v>469</v>
      </c>
      <c r="G19" s="172">
        <v>0</v>
      </c>
      <c r="H19" s="134"/>
      <c r="I19" s="232">
        <v>0.04</v>
      </c>
      <c r="J19" s="233">
        <f t="shared" si="0"/>
        <v>0</v>
      </c>
      <c r="K19" s="233"/>
      <c r="L19" s="233">
        <f t="shared" si="1"/>
        <v>0</v>
      </c>
      <c r="M19" s="134"/>
      <c r="N19" s="234">
        <v>0.03</v>
      </c>
      <c r="O19" s="235">
        <f t="shared" si="2"/>
        <v>0</v>
      </c>
      <c r="P19" s="235"/>
      <c r="Q19" s="235">
        <f t="shared" si="5"/>
        <v>0</v>
      </c>
      <c r="R19" s="22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3.5" customHeight="1">
      <c r="A20" s="7">
        <f t="shared" si="4"/>
        <v>16</v>
      </c>
      <c r="B20" s="3" t="s">
        <v>498</v>
      </c>
      <c r="C20" s="3" t="s">
        <v>488</v>
      </c>
      <c r="D20" s="3" t="s">
        <v>100</v>
      </c>
      <c r="E20" s="230">
        <v>44410</v>
      </c>
      <c r="F20" s="231" t="s">
        <v>469</v>
      </c>
      <c r="G20" s="172">
        <v>68593.680000000008</v>
      </c>
      <c r="H20" s="15"/>
      <c r="I20" s="232">
        <v>0.04</v>
      </c>
      <c r="J20" s="233">
        <f t="shared" si="0"/>
        <v>2743.7472000000002</v>
      </c>
      <c r="K20" s="233"/>
      <c r="L20" s="233">
        <f t="shared" si="1"/>
        <v>71337.427200000006</v>
      </c>
      <c r="M20" s="15"/>
      <c r="N20" s="234">
        <v>0.03</v>
      </c>
      <c r="O20" s="235">
        <f t="shared" si="2"/>
        <v>2057.8104000000003</v>
      </c>
      <c r="P20" s="235"/>
      <c r="Q20" s="235">
        <f t="shared" si="5"/>
        <v>70651.49040000001</v>
      </c>
      <c r="R20" s="22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3.5" customHeight="1">
      <c r="A21" s="7">
        <f t="shared" si="4"/>
        <v>17</v>
      </c>
      <c r="B21" s="3" t="s">
        <v>499</v>
      </c>
      <c r="C21" s="3" t="s">
        <v>488</v>
      </c>
      <c r="D21" s="3" t="s">
        <v>100</v>
      </c>
      <c r="E21" s="230">
        <v>44410</v>
      </c>
      <c r="F21" s="231" t="s">
        <v>469</v>
      </c>
      <c r="G21" s="172">
        <v>73440</v>
      </c>
      <c r="H21" s="15"/>
      <c r="I21" s="232">
        <v>0.04</v>
      </c>
      <c r="J21" s="233">
        <f t="shared" si="0"/>
        <v>2937.6</v>
      </c>
      <c r="K21" s="233"/>
      <c r="L21" s="233">
        <f t="shared" si="1"/>
        <v>76377.600000000006</v>
      </c>
      <c r="M21" s="15"/>
      <c r="N21" s="234">
        <v>6.25E-2</v>
      </c>
      <c r="O21" s="235">
        <f t="shared" si="2"/>
        <v>4590</v>
      </c>
      <c r="P21" s="235"/>
      <c r="Q21" s="235">
        <v>78000</v>
      </c>
      <c r="R21" s="22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3.5" customHeight="1">
      <c r="A22" s="7">
        <f t="shared" si="4"/>
        <v>18</v>
      </c>
      <c r="B22" s="3" t="s">
        <v>500</v>
      </c>
      <c r="C22" s="3" t="s">
        <v>488</v>
      </c>
      <c r="D22" s="3" t="s">
        <v>100</v>
      </c>
      <c r="E22" s="230">
        <v>44595</v>
      </c>
      <c r="F22" s="231" t="s">
        <v>469</v>
      </c>
      <c r="G22" s="172">
        <v>67462.080000000002</v>
      </c>
      <c r="H22" s="15"/>
      <c r="I22" s="232">
        <v>0.04</v>
      </c>
      <c r="J22" s="233">
        <f t="shared" si="0"/>
        <v>2698.4832000000001</v>
      </c>
      <c r="K22" s="233"/>
      <c r="L22" s="233">
        <f t="shared" si="1"/>
        <v>70160.563200000004</v>
      </c>
      <c r="M22" s="15"/>
      <c r="N22" s="234">
        <v>0.03</v>
      </c>
      <c r="O22" s="235">
        <f t="shared" si="2"/>
        <v>2023.8624</v>
      </c>
      <c r="P22" s="235"/>
      <c r="Q22" s="235">
        <f t="shared" ref="Q22:Q25" si="6">G22+O22+P22</f>
        <v>69485.9424</v>
      </c>
      <c r="R22" s="223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3.5" customHeight="1">
      <c r="A23" s="7">
        <f t="shared" si="4"/>
        <v>19</v>
      </c>
      <c r="B23" s="3" t="s">
        <v>501</v>
      </c>
      <c r="C23" s="3" t="s">
        <v>488</v>
      </c>
      <c r="D23" s="3" t="s">
        <v>100</v>
      </c>
      <c r="E23" s="230">
        <v>44627</v>
      </c>
      <c r="F23" s="231" t="s">
        <v>469</v>
      </c>
      <c r="G23" s="172">
        <v>61600.08</v>
      </c>
      <c r="H23" s="15"/>
      <c r="I23" s="232">
        <v>0.04</v>
      </c>
      <c r="J23" s="233">
        <f t="shared" si="0"/>
        <v>2464.0032000000001</v>
      </c>
      <c r="K23" s="233"/>
      <c r="L23" s="233">
        <f t="shared" si="1"/>
        <v>64064.083200000001</v>
      </c>
      <c r="M23" s="15"/>
      <c r="N23" s="234">
        <v>0.03</v>
      </c>
      <c r="O23" s="235">
        <f t="shared" si="2"/>
        <v>1848.0024000000001</v>
      </c>
      <c r="P23" s="235"/>
      <c r="Q23" s="235">
        <f t="shared" si="6"/>
        <v>63448.082399999999</v>
      </c>
      <c r="R23" s="223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3.5" customHeight="1">
      <c r="A24" s="7">
        <f t="shared" si="4"/>
        <v>20</v>
      </c>
      <c r="B24" s="3" t="s">
        <v>502</v>
      </c>
      <c r="C24" s="3" t="s">
        <v>488</v>
      </c>
      <c r="D24" s="3" t="s">
        <v>100</v>
      </c>
      <c r="E24" s="230">
        <v>44410</v>
      </c>
      <c r="F24" s="231" t="s">
        <v>469</v>
      </c>
      <c r="G24" s="172">
        <v>61600.08</v>
      </c>
      <c r="H24" s="134"/>
      <c r="I24" s="232">
        <v>0.04</v>
      </c>
      <c r="J24" s="233">
        <f t="shared" si="0"/>
        <v>2464.0032000000001</v>
      </c>
      <c r="K24" s="233"/>
      <c r="L24" s="233">
        <f t="shared" si="1"/>
        <v>64064.083200000001</v>
      </c>
      <c r="M24" s="134"/>
      <c r="N24" s="234">
        <v>0.03</v>
      </c>
      <c r="O24" s="250">
        <f t="shared" si="2"/>
        <v>1848.0024000000001</v>
      </c>
      <c r="P24" s="250"/>
      <c r="Q24" s="250">
        <f t="shared" si="6"/>
        <v>63448.082399999999</v>
      </c>
      <c r="R24" s="25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3.5" customHeight="1">
      <c r="A25" s="7">
        <f t="shared" si="4"/>
        <v>21</v>
      </c>
      <c r="B25" s="3" t="s">
        <v>503</v>
      </c>
      <c r="C25" s="3" t="s">
        <v>488</v>
      </c>
      <c r="D25" s="3" t="s">
        <v>100</v>
      </c>
      <c r="E25" s="230">
        <v>44046</v>
      </c>
      <c r="F25" s="231" t="s">
        <v>469</v>
      </c>
      <c r="G25" s="172">
        <v>61599.839999999997</v>
      </c>
      <c r="H25" s="134"/>
      <c r="I25" s="232">
        <v>0.04</v>
      </c>
      <c r="J25" s="233">
        <f t="shared" si="0"/>
        <v>2463.9935999999998</v>
      </c>
      <c r="K25" s="233"/>
      <c r="L25" s="233">
        <f t="shared" si="1"/>
        <v>64063.833599999998</v>
      </c>
      <c r="M25" s="134"/>
      <c r="N25" s="234">
        <v>0.03</v>
      </c>
      <c r="O25" s="250">
        <f t="shared" si="2"/>
        <v>1847.9951999999998</v>
      </c>
      <c r="P25" s="250"/>
      <c r="Q25" s="250">
        <f t="shared" si="6"/>
        <v>63447.835199999994</v>
      </c>
      <c r="R25" s="25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3.5" customHeight="1">
      <c r="A26" s="7">
        <f t="shared" si="4"/>
        <v>22</v>
      </c>
      <c r="B26" s="3" t="s">
        <v>504</v>
      </c>
      <c r="C26" s="3" t="s">
        <v>488</v>
      </c>
      <c r="D26" s="3" t="s">
        <v>100</v>
      </c>
      <c r="E26" s="230">
        <v>44413</v>
      </c>
      <c r="F26" s="231" t="s">
        <v>469</v>
      </c>
      <c r="G26" s="172">
        <v>74520</v>
      </c>
      <c r="H26" s="15"/>
      <c r="I26" s="232">
        <v>0.04</v>
      </c>
      <c r="J26" s="233">
        <f t="shared" si="0"/>
        <v>2980.8</v>
      </c>
      <c r="K26" s="233"/>
      <c r="L26" s="233">
        <f t="shared" si="1"/>
        <v>77500.800000000003</v>
      </c>
      <c r="M26" s="15"/>
      <c r="N26" s="234">
        <v>4.6699999999999998E-2</v>
      </c>
      <c r="O26" s="235">
        <f t="shared" si="2"/>
        <v>3480.0839999999998</v>
      </c>
      <c r="P26" s="235"/>
      <c r="Q26" s="250">
        <v>79000</v>
      </c>
      <c r="R26" s="223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3.5" customHeight="1">
      <c r="A27" s="7">
        <f t="shared" si="4"/>
        <v>23</v>
      </c>
      <c r="B27" s="3" t="s">
        <v>505</v>
      </c>
      <c r="C27" s="3" t="s">
        <v>488</v>
      </c>
      <c r="D27" s="3" t="s">
        <v>100</v>
      </c>
      <c r="E27" s="230">
        <v>44046</v>
      </c>
      <c r="F27" s="231" t="s">
        <v>469</v>
      </c>
      <c r="G27" s="172">
        <v>61600.08</v>
      </c>
      <c r="H27" s="15"/>
      <c r="I27" s="232">
        <v>0.04</v>
      </c>
      <c r="J27" s="233">
        <f t="shared" si="0"/>
        <v>2464.0032000000001</v>
      </c>
      <c r="K27" s="233"/>
      <c r="L27" s="233">
        <f t="shared" si="1"/>
        <v>64064.083200000001</v>
      </c>
      <c r="M27" s="15"/>
      <c r="N27" s="234">
        <v>0.03</v>
      </c>
      <c r="O27" s="235">
        <f t="shared" si="2"/>
        <v>1848.0024000000001</v>
      </c>
      <c r="P27" s="235"/>
      <c r="Q27" s="235">
        <f t="shared" ref="Q27:Q33" si="7">G27+O27+P27</f>
        <v>63448.082399999999</v>
      </c>
      <c r="R27" s="223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3.5" customHeight="1">
      <c r="A28" s="7">
        <f t="shared" si="4"/>
        <v>24</v>
      </c>
      <c r="B28" s="3" t="s">
        <v>506</v>
      </c>
      <c r="C28" s="3" t="s">
        <v>488</v>
      </c>
      <c r="D28" s="3" t="s">
        <v>100</v>
      </c>
      <c r="E28" s="3"/>
      <c r="F28" s="231" t="s">
        <v>469</v>
      </c>
      <c r="G28" s="172">
        <v>81000</v>
      </c>
      <c r="H28" s="15"/>
      <c r="I28" s="232">
        <v>0.04</v>
      </c>
      <c r="J28" s="233">
        <f t="shared" si="0"/>
        <v>3240</v>
      </c>
      <c r="K28" s="233"/>
      <c r="L28" s="233">
        <f t="shared" si="1"/>
        <v>84240</v>
      </c>
      <c r="M28" s="15"/>
      <c r="N28" s="234">
        <v>0.03</v>
      </c>
      <c r="O28" s="235">
        <f t="shared" si="2"/>
        <v>2430</v>
      </c>
      <c r="P28" s="235"/>
      <c r="Q28" s="235">
        <f t="shared" si="7"/>
        <v>83430</v>
      </c>
      <c r="R28" s="223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3.5" customHeight="1">
      <c r="A29" s="252">
        <f t="shared" si="4"/>
        <v>25</v>
      </c>
      <c r="B29" s="253" t="s">
        <v>507</v>
      </c>
      <c r="C29" s="253" t="s">
        <v>508</v>
      </c>
      <c r="D29" s="253" t="s">
        <v>102</v>
      </c>
      <c r="E29" s="253"/>
      <c r="F29" s="254" t="s">
        <v>469</v>
      </c>
      <c r="G29" s="255">
        <v>67462.080000000002</v>
      </c>
      <c r="H29" s="256"/>
      <c r="I29" s="257">
        <v>0.04</v>
      </c>
      <c r="J29" s="258">
        <f t="shared" si="0"/>
        <v>2698.4832000000001</v>
      </c>
      <c r="K29" s="258"/>
      <c r="L29" s="258">
        <f t="shared" si="1"/>
        <v>70160.563200000004</v>
      </c>
      <c r="M29" s="256"/>
      <c r="N29" s="259">
        <v>0.03</v>
      </c>
      <c r="O29" s="260">
        <f t="shared" si="2"/>
        <v>2023.8624</v>
      </c>
      <c r="P29" s="260"/>
      <c r="Q29" s="260">
        <f t="shared" si="7"/>
        <v>69485.9424</v>
      </c>
      <c r="R29" s="261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</row>
    <row r="30" spans="1:31" ht="13.5" customHeight="1">
      <c r="A30" s="7">
        <f t="shared" si="4"/>
        <v>26</v>
      </c>
      <c r="B30" s="3" t="s">
        <v>509</v>
      </c>
      <c r="C30" s="3" t="s">
        <v>508</v>
      </c>
      <c r="D30" s="3" t="s">
        <v>102</v>
      </c>
      <c r="E30" s="3"/>
      <c r="F30" s="231" t="s">
        <v>469</v>
      </c>
      <c r="G30" s="172">
        <v>75567.839999999997</v>
      </c>
      <c r="H30" s="15"/>
      <c r="I30" s="232">
        <v>0.04</v>
      </c>
      <c r="J30" s="233">
        <f t="shared" si="0"/>
        <v>3022.7136</v>
      </c>
      <c r="K30" s="233"/>
      <c r="L30" s="233">
        <f t="shared" si="1"/>
        <v>78590.553599999999</v>
      </c>
      <c r="M30" s="15"/>
      <c r="N30" s="234">
        <v>0.03</v>
      </c>
      <c r="O30" s="235">
        <f t="shared" si="2"/>
        <v>2267.0351999999998</v>
      </c>
      <c r="P30" s="235"/>
      <c r="Q30" s="235">
        <f t="shared" si="7"/>
        <v>77834.875199999995</v>
      </c>
      <c r="R30" s="223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3.5" customHeight="1">
      <c r="A31" s="7">
        <f t="shared" si="4"/>
        <v>27</v>
      </c>
      <c r="B31" s="3" t="s">
        <v>510</v>
      </c>
      <c r="C31" s="3" t="s">
        <v>511</v>
      </c>
      <c r="D31" s="3" t="s">
        <v>104</v>
      </c>
      <c r="E31" s="3"/>
      <c r="F31" s="231" t="s">
        <v>469</v>
      </c>
      <c r="G31" s="172">
        <v>59400</v>
      </c>
      <c r="H31" s="15"/>
      <c r="I31" s="232">
        <v>0.04</v>
      </c>
      <c r="J31" s="233">
        <f t="shared" si="0"/>
        <v>2376</v>
      </c>
      <c r="K31" s="233"/>
      <c r="L31" s="233">
        <f t="shared" si="1"/>
        <v>61776</v>
      </c>
      <c r="M31" s="15"/>
      <c r="N31" s="234">
        <v>0.03</v>
      </c>
      <c r="O31" s="235">
        <f t="shared" si="2"/>
        <v>1782</v>
      </c>
      <c r="P31" s="235"/>
      <c r="Q31" s="235">
        <f t="shared" si="7"/>
        <v>61182</v>
      </c>
      <c r="R31" s="223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3.5" customHeight="1">
      <c r="A32" s="7">
        <f t="shared" si="4"/>
        <v>28</v>
      </c>
      <c r="B32" s="3" t="s">
        <v>512</v>
      </c>
      <c r="C32" s="3" t="s">
        <v>511</v>
      </c>
      <c r="D32" s="3" t="s">
        <v>104</v>
      </c>
      <c r="E32" s="230">
        <v>44621</v>
      </c>
      <c r="F32" s="231" t="s">
        <v>469</v>
      </c>
      <c r="G32" s="172">
        <v>61600.08</v>
      </c>
      <c r="H32" s="134"/>
      <c r="I32" s="232">
        <v>0.04</v>
      </c>
      <c r="J32" s="233">
        <f t="shared" si="0"/>
        <v>2464.0032000000001</v>
      </c>
      <c r="K32" s="233"/>
      <c r="L32" s="233">
        <f t="shared" si="1"/>
        <v>64064.083200000001</v>
      </c>
      <c r="M32" s="134"/>
      <c r="N32" s="234">
        <v>0.03</v>
      </c>
      <c r="O32" s="235">
        <f t="shared" si="2"/>
        <v>1848.0024000000001</v>
      </c>
      <c r="P32" s="235"/>
      <c r="Q32" s="235">
        <f t="shared" si="7"/>
        <v>63448.082399999999</v>
      </c>
      <c r="R32" s="223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3.5" customHeight="1">
      <c r="A33" s="252">
        <f t="shared" si="4"/>
        <v>29</v>
      </c>
      <c r="B33" s="253" t="s">
        <v>513</v>
      </c>
      <c r="C33" s="253" t="s">
        <v>511</v>
      </c>
      <c r="D33" s="253" t="s">
        <v>104</v>
      </c>
      <c r="E33" s="263">
        <v>44410</v>
      </c>
      <c r="F33" s="254" t="s">
        <v>469</v>
      </c>
      <c r="G33" s="255">
        <v>64800</v>
      </c>
      <c r="H33" s="264"/>
      <c r="I33" s="257">
        <v>0.04</v>
      </c>
      <c r="J33" s="258">
        <f t="shared" si="0"/>
        <v>2592</v>
      </c>
      <c r="K33" s="258"/>
      <c r="L33" s="258">
        <f t="shared" si="1"/>
        <v>67392</v>
      </c>
      <c r="M33" s="264"/>
      <c r="N33" s="259">
        <v>0.03</v>
      </c>
      <c r="O33" s="260">
        <f t="shared" si="2"/>
        <v>1944</v>
      </c>
      <c r="P33" s="260"/>
      <c r="Q33" s="260">
        <f t="shared" si="7"/>
        <v>66744</v>
      </c>
      <c r="R33" s="261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</row>
    <row r="34" spans="1:31" ht="13.5" customHeight="1">
      <c r="A34" s="7">
        <f t="shared" si="4"/>
        <v>30</v>
      </c>
      <c r="B34" s="3" t="s">
        <v>514</v>
      </c>
      <c r="C34" s="3" t="s">
        <v>511</v>
      </c>
      <c r="D34" s="3" t="s">
        <v>104</v>
      </c>
      <c r="E34" s="3"/>
      <c r="F34" s="231" t="s">
        <v>469</v>
      </c>
      <c r="G34" s="172">
        <v>67462.080000000002</v>
      </c>
      <c r="H34" s="15"/>
      <c r="I34" s="232">
        <v>0.04</v>
      </c>
      <c r="J34" s="233">
        <f t="shared" si="0"/>
        <v>2698.4832000000001</v>
      </c>
      <c r="K34" s="233"/>
      <c r="L34" s="233">
        <f t="shared" si="1"/>
        <v>70160.563200000004</v>
      </c>
      <c r="M34" s="15"/>
      <c r="N34" s="234">
        <v>0.112</v>
      </c>
      <c r="O34" s="235">
        <f t="shared" si="2"/>
        <v>7555.7529600000007</v>
      </c>
      <c r="P34" s="235"/>
      <c r="Q34" s="235">
        <v>75000</v>
      </c>
      <c r="R34" s="223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3.5" customHeight="1">
      <c r="A35" s="7">
        <f t="shared" si="4"/>
        <v>31</v>
      </c>
      <c r="B35" s="3" t="s">
        <v>515</v>
      </c>
      <c r="C35" s="3" t="s">
        <v>516</v>
      </c>
      <c r="D35" s="3" t="s">
        <v>105</v>
      </c>
      <c r="E35" s="230">
        <v>44410</v>
      </c>
      <c r="F35" s="231" t="s">
        <v>469</v>
      </c>
      <c r="G35" s="172">
        <v>61600.08</v>
      </c>
      <c r="H35" s="15"/>
      <c r="I35" s="232">
        <v>0.04</v>
      </c>
      <c r="J35" s="233">
        <f t="shared" si="0"/>
        <v>2464.0032000000001</v>
      </c>
      <c r="K35" s="233"/>
      <c r="L35" s="233">
        <f t="shared" si="1"/>
        <v>64064.083200000001</v>
      </c>
      <c r="M35" s="15"/>
      <c r="N35" s="234">
        <v>0.03</v>
      </c>
      <c r="O35" s="235">
        <f t="shared" si="2"/>
        <v>1848.0024000000001</v>
      </c>
      <c r="P35" s="235"/>
      <c r="Q35" s="235">
        <f>G35+O35+P35</f>
        <v>63448.082399999999</v>
      </c>
      <c r="R35" s="223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3.5" customHeight="1">
      <c r="A36" s="252">
        <f t="shared" si="4"/>
        <v>32</v>
      </c>
      <c r="B36" s="253" t="s">
        <v>517</v>
      </c>
      <c r="C36" s="253" t="s">
        <v>516</v>
      </c>
      <c r="D36" s="253" t="s">
        <v>105</v>
      </c>
      <c r="E36" s="263">
        <v>43689</v>
      </c>
      <c r="F36" s="254" t="s">
        <v>469</v>
      </c>
      <c r="G36" s="255">
        <v>0</v>
      </c>
      <c r="H36" s="256"/>
      <c r="I36" s="257"/>
      <c r="J36" s="258">
        <f t="shared" si="0"/>
        <v>0</v>
      </c>
      <c r="K36" s="258"/>
      <c r="L36" s="258">
        <f t="shared" si="1"/>
        <v>0</v>
      </c>
      <c r="M36" s="256"/>
      <c r="N36" s="259"/>
      <c r="O36" s="260">
        <f t="shared" si="2"/>
        <v>0</v>
      </c>
      <c r="P36" s="260"/>
      <c r="Q36" s="260">
        <v>61600</v>
      </c>
      <c r="R36" s="265" t="s">
        <v>518</v>
      </c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</row>
    <row r="37" spans="1:31" ht="13.5" customHeight="1">
      <c r="A37" s="7">
        <f t="shared" si="4"/>
        <v>33</v>
      </c>
      <c r="B37" s="3" t="s">
        <v>519</v>
      </c>
      <c r="C37" s="3" t="s">
        <v>516</v>
      </c>
      <c r="D37" s="3" t="s">
        <v>105</v>
      </c>
      <c r="E37" s="230">
        <v>44496</v>
      </c>
      <c r="F37" s="231" t="s">
        <v>469</v>
      </c>
      <c r="G37" s="172">
        <v>61600.08</v>
      </c>
      <c r="H37" s="15"/>
      <c r="I37" s="232">
        <v>0.04</v>
      </c>
      <c r="J37" s="233">
        <f t="shared" si="0"/>
        <v>2464.0032000000001</v>
      </c>
      <c r="K37" s="233"/>
      <c r="L37" s="233">
        <f t="shared" si="1"/>
        <v>64064.083200000001</v>
      </c>
      <c r="M37" s="15"/>
      <c r="N37" s="234">
        <v>0.03</v>
      </c>
      <c r="O37" s="235">
        <f t="shared" si="2"/>
        <v>1848.0024000000001</v>
      </c>
      <c r="P37" s="235"/>
      <c r="Q37" s="235">
        <f t="shared" ref="Q37:Q54" si="8">G37+O37+P37</f>
        <v>63448.082399999999</v>
      </c>
      <c r="R37" s="266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3.5" customHeight="1">
      <c r="A38" s="7">
        <f t="shared" si="4"/>
        <v>34</v>
      </c>
      <c r="B38" s="3" t="s">
        <v>520</v>
      </c>
      <c r="C38" s="3" t="s">
        <v>521</v>
      </c>
      <c r="D38" s="3" t="s">
        <v>106</v>
      </c>
      <c r="E38" s="3"/>
      <c r="F38" s="231" t="s">
        <v>469</v>
      </c>
      <c r="G38" s="172">
        <v>73746</v>
      </c>
      <c r="H38" s="15"/>
      <c r="I38" s="232">
        <v>0.04</v>
      </c>
      <c r="J38" s="233">
        <f t="shared" si="0"/>
        <v>2949.84</v>
      </c>
      <c r="K38" s="233"/>
      <c r="L38" s="233">
        <f t="shared" si="1"/>
        <v>76695.839999999997</v>
      </c>
      <c r="M38" s="15"/>
      <c r="N38" s="234">
        <v>0.03</v>
      </c>
      <c r="O38" s="235">
        <f t="shared" si="2"/>
        <v>2212.38</v>
      </c>
      <c r="P38" s="235"/>
      <c r="Q38" s="235">
        <f t="shared" si="8"/>
        <v>75958.38</v>
      </c>
      <c r="R38" s="223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3.5" customHeight="1">
      <c r="A39" s="7">
        <f t="shared" si="4"/>
        <v>35</v>
      </c>
      <c r="B39" s="3" t="s">
        <v>522</v>
      </c>
      <c r="C39" s="3" t="s">
        <v>475</v>
      </c>
      <c r="D39" s="3" t="s">
        <v>83</v>
      </c>
      <c r="E39" s="3"/>
      <c r="F39" s="231" t="s">
        <v>523</v>
      </c>
      <c r="G39" s="172">
        <v>82500</v>
      </c>
      <c r="H39" s="15"/>
      <c r="I39" s="232"/>
      <c r="J39" s="233">
        <f t="shared" si="0"/>
        <v>0</v>
      </c>
      <c r="K39" s="233">
        <v>0</v>
      </c>
      <c r="L39" s="233">
        <f t="shared" si="1"/>
        <v>82500</v>
      </c>
      <c r="M39" s="15"/>
      <c r="N39" s="234"/>
      <c r="O39" s="235">
        <f t="shared" si="2"/>
        <v>0</v>
      </c>
      <c r="P39" s="235"/>
      <c r="Q39" s="235">
        <f t="shared" si="8"/>
        <v>82500</v>
      </c>
      <c r="R39" s="223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3.5" customHeight="1">
      <c r="A40" s="7">
        <f t="shared" si="4"/>
        <v>36</v>
      </c>
      <c r="B40" s="3" t="s">
        <v>524</v>
      </c>
      <c r="C40" s="3" t="s">
        <v>488</v>
      </c>
      <c r="D40" s="3" t="s">
        <v>100</v>
      </c>
      <c r="E40" s="3"/>
      <c r="F40" s="231" t="s">
        <v>469</v>
      </c>
      <c r="G40" s="172">
        <v>64100</v>
      </c>
      <c r="H40" s="15"/>
      <c r="I40" s="232"/>
      <c r="J40" s="233">
        <f t="shared" si="0"/>
        <v>0</v>
      </c>
      <c r="K40" s="233">
        <v>0</v>
      </c>
      <c r="L40" s="233">
        <f t="shared" si="1"/>
        <v>64100</v>
      </c>
      <c r="M40" s="15"/>
      <c r="N40" s="234">
        <v>0.03</v>
      </c>
      <c r="O40" s="235">
        <f t="shared" si="2"/>
        <v>1923</v>
      </c>
      <c r="P40" s="235"/>
      <c r="Q40" s="235">
        <f t="shared" si="8"/>
        <v>66023</v>
      </c>
      <c r="R40" s="223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3.5" customHeight="1">
      <c r="A41" s="7">
        <f t="shared" si="4"/>
        <v>37</v>
      </c>
      <c r="B41" s="3" t="s">
        <v>525</v>
      </c>
      <c r="C41" s="3" t="s">
        <v>488</v>
      </c>
      <c r="D41" s="3" t="s">
        <v>100</v>
      </c>
      <c r="E41" s="3"/>
      <c r="F41" s="231" t="s">
        <v>469</v>
      </c>
      <c r="G41" s="172">
        <v>85000</v>
      </c>
      <c r="H41" s="15"/>
      <c r="I41" s="232"/>
      <c r="J41" s="233">
        <f t="shared" si="0"/>
        <v>0</v>
      </c>
      <c r="K41" s="233">
        <v>0</v>
      </c>
      <c r="L41" s="233">
        <f t="shared" si="1"/>
        <v>85000</v>
      </c>
      <c r="M41" s="15"/>
      <c r="N41" s="234">
        <v>0.03</v>
      </c>
      <c r="O41" s="235">
        <f t="shared" si="2"/>
        <v>2550</v>
      </c>
      <c r="P41" s="235"/>
      <c r="Q41" s="235">
        <f t="shared" si="8"/>
        <v>87550</v>
      </c>
      <c r="R41" s="223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3.5" customHeight="1">
      <c r="A42" s="7">
        <f t="shared" si="4"/>
        <v>38</v>
      </c>
      <c r="B42" s="3" t="s">
        <v>526</v>
      </c>
      <c r="C42" s="3" t="s">
        <v>488</v>
      </c>
      <c r="D42" s="3" t="s">
        <v>100</v>
      </c>
      <c r="E42" s="3"/>
      <c r="F42" s="231" t="s">
        <v>527</v>
      </c>
      <c r="G42" s="172"/>
      <c r="H42" s="15"/>
      <c r="I42" s="232"/>
      <c r="J42" s="233">
        <f t="shared" si="0"/>
        <v>0</v>
      </c>
      <c r="K42" s="233">
        <v>0</v>
      </c>
      <c r="L42" s="233">
        <f t="shared" si="1"/>
        <v>0</v>
      </c>
      <c r="M42" s="15"/>
      <c r="N42" s="234"/>
      <c r="O42" s="235">
        <f t="shared" si="2"/>
        <v>0</v>
      </c>
      <c r="P42" s="235">
        <v>62524</v>
      </c>
      <c r="Q42" s="235">
        <f t="shared" si="8"/>
        <v>62524</v>
      </c>
      <c r="R42" s="223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3.5" customHeight="1">
      <c r="A43" s="7">
        <f t="shared" si="4"/>
        <v>39</v>
      </c>
      <c r="B43" s="3" t="s">
        <v>528</v>
      </c>
      <c r="C43" s="3" t="s">
        <v>488</v>
      </c>
      <c r="D43" s="3" t="s">
        <v>100</v>
      </c>
      <c r="E43" s="230"/>
      <c r="F43" s="231" t="s">
        <v>527</v>
      </c>
      <c r="G43" s="172"/>
      <c r="H43" s="15"/>
      <c r="I43" s="232"/>
      <c r="J43" s="233">
        <f t="shared" si="0"/>
        <v>0</v>
      </c>
      <c r="K43" s="233">
        <v>0</v>
      </c>
      <c r="L43" s="233">
        <f t="shared" si="1"/>
        <v>0</v>
      </c>
      <c r="M43" s="15"/>
      <c r="N43" s="234"/>
      <c r="O43" s="235">
        <f t="shared" si="2"/>
        <v>0</v>
      </c>
      <c r="P43" s="235">
        <v>61600</v>
      </c>
      <c r="Q43" s="235">
        <f t="shared" si="8"/>
        <v>61600</v>
      </c>
      <c r="R43" s="223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3.5" customHeight="1">
      <c r="A44" s="7">
        <f t="shared" si="4"/>
        <v>40</v>
      </c>
      <c r="B44" s="3" t="s">
        <v>529</v>
      </c>
      <c r="C44" s="3" t="s">
        <v>488</v>
      </c>
      <c r="D44" s="3" t="s">
        <v>100</v>
      </c>
      <c r="E44" s="230"/>
      <c r="F44" s="231" t="s">
        <v>527</v>
      </c>
      <c r="G44" s="172"/>
      <c r="H44" s="15"/>
      <c r="I44" s="232"/>
      <c r="J44" s="233">
        <f t="shared" si="0"/>
        <v>0</v>
      </c>
      <c r="K44" s="233">
        <v>0</v>
      </c>
      <c r="L44" s="233">
        <f t="shared" si="1"/>
        <v>0</v>
      </c>
      <c r="M44" s="15"/>
      <c r="N44" s="234"/>
      <c r="O44" s="235">
        <f t="shared" si="2"/>
        <v>0</v>
      </c>
      <c r="P44" s="235">
        <v>61600</v>
      </c>
      <c r="Q44" s="235">
        <f t="shared" si="8"/>
        <v>61600</v>
      </c>
      <c r="R44" s="223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3.5" customHeight="1">
      <c r="A45" s="7">
        <f t="shared" si="4"/>
        <v>41</v>
      </c>
      <c r="B45" s="3" t="s">
        <v>530</v>
      </c>
      <c r="C45" s="3" t="s">
        <v>488</v>
      </c>
      <c r="D45" s="3" t="s">
        <v>100</v>
      </c>
      <c r="E45" s="230"/>
      <c r="F45" s="231" t="s">
        <v>527</v>
      </c>
      <c r="G45" s="172"/>
      <c r="H45" s="15"/>
      <c r="I45" s="232"/>
      <c r="J45" s="233">
        <f t="shared" si="0"/>
        <v>0</v>
      </c>
      <c r="K45" s="233">
        <v>0</v>
      </c>
      <c r="L45" s="233">
        <f t="shared" si="1"/>
        <v>0</v>
      </c>
      <c r="M45" s="15"/>
      <c r="N45" s="234"/>
      <c r="O45" s="235">
        <f t="shared" si="2"/>
        <v>0</v>
      </c>
      <c r="P45" s="235">
        <v>61600</v>
      </c>
      <c r="Q45" s="235">
        <f t="shared" si="8"/>
        <v>61600</v>
      </c>
      <c r="R45" s="223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3.5" customHeight="1">
      <c r="A46" s="7">
        <f t="shared" si="4"/>
        <v>42</v>
      </c>
      <c r="B46" s="3" t="s">
        <v>531</v>
      </c>
      <c r="C46" s="3" t="s">
        <v>532</v>
      </c>
      <c r="D46" s="3" t="s">
        <v>96</v>
      </c>
      <c r="E46" s="230"/>
      <c r="F46" s="231" t="s">
        <v>469</v>
      </c>
      <c r="G46" s="172">
        <v>5000</v>
      </c>
      <c r="H46" s="15"/>
      <c r="I46" s="232"/>
      <c r="J46" s="233">
        <f t="shared" si="0"/>
        <v>0</v>
      </c>
      <c r="K46" s="233">
        <v>0</v>
      </c>
      <c r="L46" s="233">
        <f t="shared" si="1"/>
        <v>5000</v>
      </c>
      <c r="M46" s="15"/>
      <c r="N46" s="234"/>
      <c r="O46" s="235">
        <f t="shared" si="2"/>
        <v>0</v>
      </c>
      <c r="P46" s="235"/>
      <c r="Q46" s="235">
        <f t="shared" si="8"/>
        <v>5000</v>
      </c>
      <c r="R46" s="223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3.5" customHeight="1">
      <c r="A47" s="7">
        <f t="shared" si="4"/>
        <v>43</v>
      </c>
      <c r="B47" s="3" t="s">
        <v>533</v>
      </c>
      <c r="C47" s="3" t="s">
        <v>534</v>
      </c>
      <c r="D47" s="3" t="s">
        <v>93</v>
      </c>
      <c r="E47" s="230"/>
      <c r="F47" s="231" t="s">
        <v>527</v>
      </c>
      <c r="G47" s="172"/>
      <c r="H47" s="15"/>
      <c r="I47" s="232"/>
      <c r="J47" s="233">
        <f t="shared" si="0"/>
        <v>0</v>
      </c>
      <c r="K47" s="233">
        <v>0</v>
      </c>
      <c r="L47" s="233">
        <f t="shared" si="1"/>
        <v>0</v>
      </c>
      <c r="M47" s="15"/>
      <c r="N47" s="234"/>
      <c r="O47" s="235">
        <f t="shared" si="2"/>
        <v>0</v>
      </c>
      <c r="P47" s="235">
        <v>92000</v>
      </c>
      <c r="Q47" s="235">
        <f t="shared" si="8"/>
        <v>92000</v>
      </c>
      <c r="R47" s="223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3.5" customHeight="1">
      <c r="A48" s="7">
        <f t="shared" si="4"/>
        <v>44</v>
      </c>
      <c r="B48" s="3" t="s">
        <v>533</v>
      </c>
      <c r="C48" s="3"/>
      <c r="D48" s="3"/>
      <c r="E48" s="3"/>
      <c r="F48" s="231"/>
      <c r="G48" s="172"/>
      <c r="H48" s="15"/>
      <c r="I48" s="232"/>
      <c r="J48" s="233">
        <f t="shared" si="0"/>
        <v>0</v>
      </c>
      <c r="K48" s="233">
        <v>0</v>
      </c>
      <c r="L48" s="233">
        <f t="shared" si="1"/>
        <v>0</v>
      </c>
      <c r="M48" s="15"/>
      <c r="N48" s="234"/>
      <c r="O48" s="235">
        <f t="shared" si="2"/>
        <v>0</v>
      </c>
      <c r="P48" s="235"/>
      <c r="Q48" s="235">
        <f t="shared" si="8"/>
        <v>0</v>
      </c>
      <c r="R48" s="223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3.5" customHeight="1">
      <c r="A49" s="7">
        <f t="shared" si="4"/>
        <v>45</v>
      </c>
      <c r="B49" s="3" t="s">
        <v>533</v>
      </c>
      <c r="C49" s="3"/>
      <c r="D49" s="3"/>
      <c r="E49" s="3"/>
      <c r="F49" s="231"/>
      <c r="G49" s="172"/>
      <c r="H49" s="15"/>
      <c r="I49" s="232"/>
      <c r="J49" s="233"/>
      <c r="K49" s="233"/>
      <c r="L49" s="233"/>
      <c r="M49" s="15"/>
      <c r="N49" s="234"/>
      <c r="O49" s="235">
        <f t="shared" si="2"/>
        <v>0</v>
      </c>
      <c r="P49" s="235"/>
      <c r="Q49" s="235">
        <f t="shared" si="8"/>
        <v>0</v>
      </c>
      <c r="R49" s="223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3.5" customHeight="1">
      <c r="A50" s="7">
        <f t="shared" si="4"/>
        <v>46</v>
      </c>
      <c r="B50" s="3" t="s">
        <v>533</v>
      </c>
      <c r="C50" s="3"/>
      <c r="D50" s="3"/>
      <c r="E50" s="3"/>
      <c r="F50" s="231"/>
      <c r="G50" s="172"/>
      <c r="H50" s="15"/>
      <c r="I50" s="232"/>
      <c r="J50" s="233"/>
      <c r="K50" s="233"/>
      <c r="L50" s="233"/>
      <c r="M50" s="15"/>
      <c r="N50" s="234"/>
      <c r="O50" s="235">
        <f t="shared" si="2"/>
        <v>0</v>
      </c>
      <c r="P50" s="235"/>
      <c r="Q50" s="235">
        <f t="shared" si="8"/>
        <v>0</v>
      </c>
      <c r="R50" s="223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3.5" customHeight="1">
      <c r="A51" s="7">
        <f t="shared" si="4"/>
        <v>47</v>
      </c>
      <c r="B51" s="3" t="s">
        <v>533</v>
      </c>
      <c r="C51" s="3"/>
      <c r="D51" s="3"/>
      <c r="E51" s="3"/>
      <c r="F51" s="231"/>
      <c r="G51" s="172"/>
      <c r="H51" s="15"/>
      <c r="I51" s="232"/>
      <c r="J51" s="233"/>
      <c r="K51" s="233"/>
      <c r="L51" s="233"/>
      <c r="M51" s="15"/>
      <c r="N51" s="234"/>
      <c r="O51" s="235">
        <f t="shared" si="2"/>
        <v>0</v>
      </c>
      <c r="P51" s="235"/>
      <c r="Q51" s="235">
        <f t="shared" si="8"/>
        <v>0</v>
      </c>
      <c r="R51" s="223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3.5" customHeight="1">
      <c r="A52" s="7">
        <f t="shared" si="4"/>
        <v>48</v>
      </c>
      <c r="B52" s="3" t="s">
        <v>533</v>
      </c>
      <c r="C52" s="3"/>
      <c r="D52" s="3"/>
      <c r="E52" s="3"/>
      <c r="F52" s="231"/>
      <c r="G52" s="172"/>
      <c r="H52" s="15"/>
      <c r="I52" s="232"/>
      <c r="J52" s="233"/>
      <c r="K52" s="233"/>
      <c r="L52" s="233"/>
      <c r="M52" s="15"/>
      <c r="N52" s="234"/>
      <c r="O52" s="235">
        <f t="shared" si="2"/>
        <v>0</v>
      </c>
      <c r="P52" s="235"/>
      <c r="Q52" s="235">
        <f t="shared" si="8"/>
        <v>0</v>
      </c>
      <c r="R52" s="223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3.5" customHeight="1">
      <c r="A53" s="7">
        <f t="shared" si="4"/>
        <v>49</v>
      </c>
      <c r="B53" s="3" t="s">
        <v>533</v>
      </c>
      <c r="C53" s="3"/>
      <c r="D53" s="3"/>
      <c r="E53" s="3"/>
      <c r="F53" s="231"/>
      <c r="G53" s="172"/>
      <c r="H53" s="15"/>
      <c r="I53" s="232"/>
      <c r="J53" s="233"/>
      <c r="K53" s="233"/>
      <c r="L53" s="233"/>
      <c r="M53" s="15"/>
      <c r="N53" s="234"/>
      <c r="O53" s="235">
        <f t="shared" si="2"/>
        <v>0</v>
      </c>
      <c r="P53" s="235"/>
      <c r="Q53" s="235">
        <f t="shared" si="8"/>
        <v>0</v>
      </c>
      <c r="R53" s="223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3.5" customHeight="1">
      <c r="A54" s="7"/>
      <c r="B54" s="3"/>
      <c r="C54" s="3"/>
      <c r="D54" s="3"/>
      <c r="E54" s="3"/>
      <c r="F54" s="231"/>
      <c r="G54" s="172"/>
      <c r="H54" s="15"/>
      <c r="I54" s="267"/>
      <c r="J54" s="268"/>
      <c r="K54" s="268"/>
      <c r="L54" s="268"/>
      <c r="M54" s="15"/>
      <c r="N54" s="269"/>
      <c r="O54" s="270">
        <f t="shared" si="2"/>
        <v>0</v>
      </c>
      <c r="P54" s="270"/>
      <c r="Q54" s="270">
        <f t="shared" si="8"/>
        <v>0</v>
      </c>
      <c r="R54" s="223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3.5" customHeight="1">
      <c r="A55" s="5"/>
      <c r="B55" s="3"/>
      <c r="C55" s="3"/>
      <c r="D55" s="3"/>
      <c r="E55" s="3"/>
      <c r="F55" s="3"/>
      <c r="G55" s="271">
        <f>SUM(G5:G54)</f>
        <v>2239326.7200000007</v>
      </c>
      <c r="H55" s="272"/>
      <c r="I55" s="5"/>
      <c r="J55" s="273">
        <f t="shared" ref="J55:L55" si="9">SUM(J5:J54)</f>
        <v>101607.50760000003</v>
      </c>
      <c r="K55" s="273">
        <f t="shared" si="9"/>
        <v>0</v>
      </c>
      <c r="L55" s="273">
        <f t="shared" si="9"/>
        <v>2340934.2275999999</v>
      </c>
      <c r="M55" s="272"/>
      <c r="N55" s="5"/>
      <c r="O55" s="273">
        <f t="shared" ref="O55:Q55" si="10">SUM(O5:O54)</f>
        <v>95045.416159999979</v>
      </c>
      <c r="P55" s="273">
        <f t="shared" si="10"/>
        <v>339324</v>
      </c>
      <c r="Q55" s="273">
        <f t="shared" si="10"/>
        <v>2733946.5192</v>
      </c>
      <c r="R55" s="223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3.5" customHeight="1">
      <c r="A56" s="5"/>
      <c r="B56" s="3"/>
      <c r="C56" s="3"/>
      <c r="D56" s="3"/>
      <c r="E56" s="3"/>
      <c r="F56" s="3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223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3.5" customHeight="1">
      <c r="A57" s="5"/>
      <c r="B57" s="3"/>
      <c r="C57" s="3"/>
      <c r="D57" s="3"/>
      <c r="E57" s="3"/>
      <c r="F57" s="3"/>
      <c r="G57" s="3"/>
      <c r="H57" s="5"/>
      <c r="I57" s="5"/>
      <c r="J57" s="5"/>
      <c r="K57" s="274" t="s">
        <v>532</v>
      </c>
      <c r="L57" s="275">
        <f>'FY 2023-24 Budget'!K78+'FY 2023-24 Budget'!K88+'FY 2023-24 Budget'!K91-L55</f>
        <v>-46999.439999999944</v>
      </c>
      <c r="M57" s="5"/>
      <c r="N57" s="274" t="s">
        <v>535</v>
      </c>
      <c r="O57" s="274"/>
      <c r="P57" s="274" t="s">
        <v>532</v>
      </c>
      <c r="Q57" s="276">
        <f>'FY 2023-24 Budget'!M78+'FY 2023-24 Budget'!M88+'FY 2023-24 Budget'!M91-Q55</f>
        <v>0</v>
      </c>
      <c r="R57" s="274" t="s">
        <v>535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3.5" customHeight="1">
      <c r="A58" s="5"/>
      <c r="B58" s="3"/>
      <c r="C58" s="3"/>
      <c r="D58" s="3"/>
      <c r="E58" s="3"/>
      <c r="F58" s="3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223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3.5" customHeight="1">
      <c r="A59" s="5"/>
      <c r="B59" s="3"/>
      <c r="C59" s="3"/>
      <c r="D59" s="3"/>
      <c r="E59" s="3"/>
      <c r="F59" s="3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223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3.5" customHeight="1">
      <c r="A60" s="5"/>
      <c r="B60" s="3"/>
      <c r="C60" s="3"/>
      <c r="D60" s="3"/>
      <c r="E60" s="3"/>
      <c r="F60" s="3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223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3.5" customHeight="1">
      <c r="A61" s="5"/>
      <c r="B61" s="3"/>
      <c r="C61" s="3"/>
      <c r="D61" s="3"/>
      <c r="E61" s="3"/>
      <c r="F61" s="3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223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3.5" customHeight="1">
      <c r="A62" s="5"/>
      <c r="B62" s="3"/>
      <c r="C62" s="3"/>
      <c r="D62" s="3"/>
      <c r="E62" s="3"/>
      <c r="F62" s="3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223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3.5" customHeight="1">
      <c r="A63" s="5"/>
      <c r="B63" s="3"/>
      <c r="C63" s="3"/>
      <c r="D63" s="3"/>
      <c r="E63" s="3"/>
      <c r="F63" s="3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223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3.5" customHeight="1">
      <c r="A64" s="5"/>
      <c r="B64" s="3"/>
      <c r="C64" s="3"/>
      <c r="D64" s="3"/>
      <c r="E64" s="3"/>
      <c r="F64" s="3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223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3.5" customHeight="1">
      <c r="A65" s="5"/>
      <c r="B65" s="3"/>
      <c r="C65" s="3"/>
      <c r="D65" s="3"/>
      <c r="E65" s="3"/>
      <c r="F65" s="3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223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3.5" customHeight="1">
      <c r="A66" s="5"/>
      <c r="B66" s="3"/>
      <c r="C66" s="3"/>
      <c r="D66" s="3"/>
      <c r="E66" s="3"/>
      <c r="F66" s="3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223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3.5" customHeight="1">
      <c r="A67" s="5"/>
      <c r="B67" s="3"/>
      <c r="C67" s="3"/>
      <c r="D67" s="3"/>
      <c r="E67" s="3"/>
      <c r="F67" s="3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223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3.5" customHeight="1">
      <c r="A68" s="5"/>
      <c r="B68" s="3"/>
      <c r="C68" s="3"/>
      <c r="D68" s="3"/>
      <c r="E68" s="3"/>
      <c r="F68" s="3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223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</sheetData>
  <mergeCells count="4">
    <mergeCell ref="I2:L2"/>
    <mergeCell ref="N2:Q2"/>
    <mergeCell ref="I3:L3"/>
    <mergeCell ref="N3:Q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</sheetPr>
  <dimension ref="A1:Z6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4.44140625" defaultRowHeight="15" customHeight="1"/>
  <cols>
    <col min="1" max="1" width="3.5546875" customWidth="1"/>
    <col min="2" max="2" width="19.44140625" customWidth="1"/>
    <col min="3" max="3" width="26.109375" customWidth="1"/>
    <col min="4" max="4" width="20.109375" customWidth="1"/>
    <col min="5" max="5" width="21.109375" hidden="1" customWidth="1"/>
    <col min="6" max="7" width="13.77734375" hidden="1" customWidth="1"/>
    <col min="8" max="8" width="0.44140625" customWidth="1"/>
    <col min="9" max="9" width="23.44140625" customWidth="1"/>
    <col min="10" max="26" width="13.77734375" customWidth="1"/>
  </cols>
  <sheetData>
    <row r="1" spans="1:26" ht="13.5" customHeight="1">
      <c r="A1" s="222" t="s">
        <v>0</v>
      </c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3" t="s">
        <v>536</v>
      </c>
      <c r="B2" s="3"/>
      <c r="C2" s="3"/>
      <c r="D2" s="3"/>
      <c r="E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>
      <c r="A3" s="5"/>
      <c r="B3" s="3"/>
      <c r="C3" s="3"/>
      <c r="D3" s="3"/>
      <c r="E3" s="341" t="s">
        <v>3</v>
      </c>
      <c r="F3" s="328"/>
      <c r="G3" s="328"/>
      <c r="H3" s="224"/>
      <c r="I3" s="342" t="s">
        <v>4</v>
      </c>
      <c r="J3" s="328"/>
      <c r="K3" s="32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>
      <c r="A4" s="5"/>
      <c r="B4" s="226" t="s">
        <v>457</v>
      </c>
      <c r="C4" s="226" t="s">
        <v>458</v>
      </c>
      <c r="D4" s="225" t="s">
        <v>461</v>
      </c>
      <c r="E4" s="277" t="s">
        <v>537</v>
      </c>
      <c r="F4" s="278" t="s">
        <v>538</v>
      </c>
      <c r="G4" s="278" t="s">
        <v>539</v>
      </c>
      <c r="H4" s="224"/>
      <c r="I4" s="279" t="s">
        <v>537</v>
      </c>
      <c r="J4" s="280" t="s">
        <v>538</v>
      </c>
      <c r="K4" s="280" t="s">
        <v>539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>
      <c r="A5" s="7">
        <v>1</v>
      </c>
      <c r="B5" s="3" t="str">
        <f>Personnel!B5</f>
        <v>Coleman,Annedrea</v>
      </c>
      <c r="C5" s="3" t="str">
        <f>Personnel!C5</f>
        <v>Head of School/Principal</v>
      </c>
      <c r="D5" s="3" t="str">
        <f>Personnel!F5</f>
        <v>Active</v>
      </c>
      <c r="E5" s="281">
        <f>Personnel!L5</f>
        <v>150864.91559999998</v>
      </c>
      <c r="F5" s="282">
        <f t="shared" ref="F5:F53" si="0">IF(E5&gt;160200,160200*6.2%,E5*6.2%)</f>
        <v>9353.624767199999</v>
      </c>
      <c r="G5" s="282">
        <f t="shared" ref="G5:G53" si="1">E5*1.45%</f>
        <v>2187.5412761999996</v>
      </c>
      <c r="H5" s="224"/>
      <c r="I5" s="283">
        <f>Personnel!Q5</f>
        <v>147289.91759999999</v>
      </c>
      <c r="J5" s="284">
        <f t="shared" ref="J5:J53" si="2">IF(I5&gt;160200,160200*6.2%,I5*6.2%)</f>
        <v>9131.9748911999995</v>
      </c>
      <c r="K5" s="284">
        <f t="shared" ref="K5:K53" si="3">I5*1.45%</f>
        <v>2135.7038051999998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>
      <c r="A6" s="7">
        <f t="shared" ref="A6:A53" si="4">A5+1</f>
        <v>2</v>
      </c>
      <c r="B6" s="236" t="str">
        <f>Personnel!B6</f>
        <v>Williams,Diana</v>
      </c>
      <c r="C6" s="236" t="str">
        <f>Personnel!C6</f>
        <v>Assistant Head of School</v>
      </c>
      <c r="D6" s="236" t="str">
        <f>Personnel!F6</f>
        <v>Active</v>
      </c>
      <c r="E6" s="285">
        <f>Personnel!L6</f>
        <v>0</v>
      </c>
      <c r="F6" s="286">
        <f t="shared" si="0"/>
        <v>0</v>
      </c>
      <c r="G6" s="286">
        <f t="shared" si="1"/>
        <v>0</v>
      </c>
      <c r="H6" s="287"/>
      <c r="I6" s="288">
        <f>Personnel!Q6</f>
        <v>0</v>
      </c>
      <c r="J6" s="289">
        <f t="shared" si="2"/>
        <v>0</v>
      </c>
      <c r="K6" s="289">
        <f t="shared" si="3"/>
        <v>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>
      <c r="A7" s="7">
        <f t="shared" si="4"/>
        <v>3</v>
      </c>
      <c r="B7" s="3" t="str">
        <f>Personnel!B7</f>
        <v>Gordon,Deborah-Ann</v>
      </c>
      <c r="C7" s="3" t="str">
        <f>Personnel!C7</f>
        <v>Dean of Curriculum &amp; Instruction</v>
      </c>
      <c r="D7" s="3" t="str">
        <f>Personnel!F7</f>
        <v>Active</v>
      </c>
      <c r="E7" s="281">
        <f>Personnel!L7</f>
        <v>85774.041600000011</v>
      </c>
      <c r="F7" s="282">
        <f t="shared" si="0"/>
        <v>5317.9905792000009</v>
      </c>
      <c r="G7" s="282">
        <f t="shared" si="1"/>
        <v>1243.7236032000001</v>
      </c>
      <c r="H7" s="224"/>
      <c r="I7" s="283">
        <f>Personnel!Q7</f>
        <v>84949.291200000007</v>
      </c>
      <c r="J7" s="284">
        <f t="shared" si="2"/>
        <v>5266.8560544000002</v>
      </c>
      <c r="K7" s="284">
        <f t="shared" si="3"/>
        <v>1231.7647224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7">
        <f t="shared" si="4"/>
        <v>4</v>
      </c>
      <c r="B8" s="3" t="str">
        <f>Personnel!B8</f>
        <v>Payne,Ty-Quan</v>
      </c>
      <c r="C8" s="3" t="str">
        <f>Personnel!C8</f>
        <v xml:space="preserve">Dean of School Culture </v>
      </c>
      <c r="D8" s="3" t="str">
        <f>Personnel!F8</f>
        <v>Active</v>
      </c>
      <c r="E8" s="281">
        <f>Personnel!L8</f>
        <v>91519.833599999998</v>
      </c>
      <c r="F8" s="282">
        <f t="shared" si="0"/>
        <v>5674.2296832000002</v>
      </c>
      <c r="G8" s="282">
        <f t="shared" si="1"/>
        <v>1327.0375872</v>
      </c>
      <c r="H8" s="224"/>
      <c r="I8" s="283">
        <f>Personnel!Q8</f>
        <v>90639.835200000001</v>
      </c>
      <c r="J8" s="284">
        <f t="shared" si="2"/>
        <v>5619.6697824000003</v>
      </c>
      <c r="K8" s="284">
        <f t="shared" si="3"/>
        <v>1314.2776104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>
      <c r="A9" s="7">
        <f t="shared" si="4"/>
        <v>5</v>
      </c>
      <c r="B9" s="3" t="str">
        <f>Personnel!B9</f>
        <v>Parker,Brandon</v>
      </c>
      <c r="C9" s="3" t="str">
        <f>Personnel!C9</f>
        <v>Director of Operations</v>
      </c>
      <c r="D9" s="3" t="str">
        <f>Personnel!F9</f>
        <v>Active</v>
      </c>
      <c r="E9" s="281">
        <f>Personnel!L9</f>
        <v>120450</v>
      </c>
      <c r="F9" s="282">
        <f t="shared" si="0"/>
        <v>7467.9</v>
      </c>
      <c r="G9" s="282">
        <f t="shared" si="1"/>
        <v>1746.5249999999999</v>
      </c>
      <c r="H9" s="224"/>
      <c r="I9" s="283">
        <f>Personnel!Q9</f>
        <v>116500</v>
      </c>
      <c r="J9" s="284">
        <f t="shared" si="2"/>
        <v>7223</v>
      </c>
      <c r="K9" s="284">
        <f t="shared" si="3"/>
        <v>1689.2499999999998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>
      <c r="A10" s="7">
        <f t="shared" si="4"/>
        <v>6</v>
      </c>
      <c r="B10" s="3" t="str">
        <f>Personnel!B10</f>
        <v>Kayode,Temitope</v>
      </c>
      <c r="C10" s="3" t="str">
        <f>Personnel!C10</f>
        <v>Operations Manager</v>
      </c>
      <c r="D10" s="3" t="str">
        <f>Personnel!F10</f>
        <v>Active</v>
      </c>
      <c r="E10" s="281">
        <f>Personnel!L10</f>
        <v>68224.166400000002</v>
      </c>
      <c r="F10" s="282">
        <f t="shared" si="0"/>
        <v>4229.8983168000004</v>
      </c>
      <c r="G10" s="282">
        <f t="shared" si="1"/>
        <v>989.25041279999994</v>
      </c>
      <c r="H10" s="224"/>
      <c r="I10" s="283">
        <f>Personnel!Q10</f>
        <v>67568.164799999999</v>
      </c>
      <c r="J10" s="284">
        <f t="shared" si="2"/>
        <v>4189.2262175999995</v>
      </c>
      <c r="K10" s="284">
        <f t="shared" si="3"/>
        <v>979.73838959999989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>
      <c r="A11" s="7">
        <f t="shared" si="4"/>
        <v>7</v>
      </c>
      <c r="B11" s="236" t="str">
        <f>Personnel!B11</f>
        <v>Rosario,Mark</v>
      </c>
      <c r="C11" s="236" t="str">
        <f>Personnel!C11</f>
        <v xml:space="preserve">Associate Dean of School Culture </v>
      </c>
      <c r="D11" s="236" t="str">
        <f>Personnel!F11</f>
        <v>Active</v>
      </c>
      <c r="E11" s="285">
        <f>Personnel!L11</f>
        <v>0</v>
      </c>
      <c r="F11" s="286">
        <f t="shared" si="0"/>
        <v>0</v>
      </c>
      <c r="G11" s="286">
        <f t="shared" si="1"/>
        <v>0</v>
      </c>
      <c r="H11" s="287"/>
      <c r="I11" s="288">
        <f>Personnel!Q11</f>
        <v>0</v>
      </c>
      <c r="J11" s="289">
        <f t="shared" si="2"/>
        <v>0</v>
      </c>
      <c r="K11" s="289">
        <f t="shared" si="3"/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>
      <c r="A12" s="7">
        <f t="shared" si="4"/>
        <v>8</v>
      </c>
      <c r="B12" s="3" t="str">
        <f>Personnel!B12</f>
        <v>Dellile,Miltiade</v>
      </c>
      <c r="C12" s="3" t="str">
        <f>Personnel!C12</f>
        <v>Regular Teacher</v>
      </c>
      <c r="D12" s="3" t="str">
        <f>Personnel!F12</f>
        <v>Active</v>
      </c>
      <c r="E12" s="281">
        <f>Personnel!L12</f>
        <v>83605.600000000006</v>
      </c>
      <c r="F12" s="282">
        <f t="shared" si="0"/>
        <v>5183.5472</v>
      </c>
      <c r="G12" s="282">
        <f t="shared" si="1"/>
        <v>1212.2811999999999</v>
      </c>
      <c r="H12" s="224"/>
      <c r="I12" s="283">
        <f>Personnel!Q12</f>
        <v>85000</v>
      </c>
      <c r="J12" s="284">
        <f t="shared" si="2"/>
        <v>5270</v>
      </c>
      <c r="K12" s="284">
        <f t="shared" si="3"/>
        <v>1232.5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>
      <c r="A13" s="7">
        <f t="shared" si="4"/>
        <v>9</v>
      </c>
      <c r="B13" s="236" t="str">
        <f>Personnel!B13</f>
        <v>Johnson , Daniel Benjamin</v>
      </c>
      <c r="C13" s="236" t="str">
        <f>Personnel!C13</f>
        <v>Regular Teacher</v>
      </c>
      <c r="D13" s="236" t="str">
        <f>Personnel!F13</f>
        <v>Active</v>
      </c>
      <c r="E13" s="285">
        <f>Personnel!L13</f>
        <v>0</v>
      </c>
      <c r="F13" s="286">
        <f t="shared" si="0"/>
        <v>0</v>
      </c>
      <c r="G13" s="286">
        <f t="shared" si="1"/>
        <v>0</v>
      </c>
      <c r="H13" s="287"/>
      <c r="I13" s="288">
        <f>Personnel!Q13</f>
        <v>0</v>
      </c>
      <c r="J13" s="289">
        <f t="shared" si="2"/>
        <v>0</v>
      </c>
      <c r="K13" s="289">
        <f t="shared" si="3"/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>
      <c r="A14" s="7">
        <f t="shared" si="4"/>
        <v>10</v>
      </c>
      <c r="B14" s="3" t="str">
        <f>Personnel!B14</f>
        <v>Durieux,Montana</v>
      </c>
      <c r="C14" s="3" t="str">
        <f>Personnel!C14</f>
        <v>Regular Teacher</v>
      </c>
      <c r="D14" s="3" t="str">
        <f>Personnel!F14</f>
        <v>Active</v>
      </c>
      <c r="E14" s="281">
        <f>Personnel!L14</f>
        <v>67919.90400000001</v>
      </c>
      <c r="F14" s="282">
        <f t="shared" si="0"/>
        <v>4211.0340480000004</v>
      </c>
      <c r="G14" s="282">
        <f t="shared" si="1"/>
        <v>984.83860800000002</v>
      </c>
      <c r="H14" s="224"/>
      <c r="I14" s="283">
        <f>Personnel!Q14</f>
        <v>67266.828000000009</v>
      </c>
      <c r="J14" s="284">
        <f t="shared" si="2"/>
        <v>4170.5433360000006</v>
      </c>
      <c r="K14" s="284">
        <f t="shared" si="3"/>
        <v>975.36900600000001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>
      <c r="A15" s="7">
        <f t="shared" si="4"/>
        <v>11</v>
      </c>
      <c r="B15" s="236" t="str">
        <f>Personnel!B15</f>
        <v>Clarke,Onyx</v>
      </c>
      <c r="C15" s="236" t="str">
        <f>Personnel!C15</f>
        <v>Regular Teacher</v>
      </c>
      <c r="D15" s="236" t="str">
        <f>Personnel!F15</f>
        <v>Active</v>
      </c>
      <c r="E15" s="285">
        <f>Personnel!L15</f>
        <v>0</v>
      </c>
      <c r="F15" s="286">
        <f t="shared" si="0"/>
        <v>0</v>
      </c>
      <c r="G15" s="286">
        <f t="shared" si="1"/>
        <v>0</v>
      </c>
      <c r="H15" s="287"/>
      <c r="I15" s="288">
        <f>Personnel!Q15</f>
        <v>0</v>
      </c>
      <c r="J15" s="289">
        <f t="shared" si="2"/>
        <v>0</v>
      </c>
      <c r="K15" s="289">
        <f t="shared" si="3"/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>
      <c r="A16" s="7">
        <f t="shared" si="4"/>
        <v>12</v>
      </c>
      <c r="B16" s="3" t="str">
        <f>Personnel!B16</f>
        <v>Roberts Jelicia</v>
      </c>
      <c r="C16" s="3" t="str">
        <f>Personnel!C16</f>
        <v>Operations Associate</v>
      </c>
      <c r="D16" s="3" t="str">
        <f>Personnel!F16</f>
        <v>Active</v>
      </c>
      <c r="E16" s="281">
        <f>Personnel!L16</f>
        <v>46999.44</v>
      </c>
      <c r="F16" s="282">
        <f t="shared" si="0"/>
        <v>2913.9652800000003</v>
      </c>
      <c r="G16" s="282">
        <f t="shared" si="1"/>
        <v>681.49188000000004</v>
      </c>
      <c r="H16" s="224"/>
      <c r="I16" s="283">
        <f>Personnel!Q16</f>
        <v>46999.44</v>
      </c>
      <c r="J16" s="284">
        <f t="shared" si="2"/>
        <v>2913.9652800000003</v>
      </c>
      <c r="K16" s="284">
        <f t="shared" si="3"/>
        <v>681.49188000000004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>
      <c r="A17" s="7">
        <f t="shared" si="4"/>
        <v>13</v>
      </c>
      <c r="B17" s="3" t="str">
        <f>Personnel!B17</f>
        <v>Campbell,Makayla</v>
      </c>
      <c r="C17" s="3" t="str">
        <f>Personnel!C17</f>
        <v>Regular Teacher</v>
      </c>
      <c r="D17" s="3" t="str">
        <f>Personnel!F17</f>
        <v>Active</v>
      </c>
      <c r="E17" s="281">
        <f>Personnel!L17</f>
        <v>61776</v>
      </c>
      <c r="F17" s="282">
        <f t="shared" si="0"/>
        <v>3830.1120000000001</v>
      </c>
      <c r="G17" s="282">
        <f t="shared" si="1"/>
        <v>895.75199999999995</v>
      </c>
      <c r="H17" s="224"/>
      <c r="I17" s="283">
        <f>Personnel!Q17</f>
        <v>61182</v>
      </c>
      <c r="J17" s="284">
        <f t="shared" si="2"/>
        <v>3793.2840000000001</v>
      </c>
      <c r="K17" s="284">
        <f t="shared" si="3"/>
        <v>887.1389999999999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>
      <c r="A18" s="7">
        <f t="shared" si="4"/>
        <v>14</v>
      </c>
      <c r="B18" s="3" t="str">
        <f>Personnel!B18</f>
        <v>Roberts, Shanell Ornella</v>
      </c>
      <c r="C18" s="3" t="str">
        <f>Personnel!C18</f>
        <v>Regular Teacher</v>
      </c>
      <c r="D18" s="3" t="str">
        <f>Personnel!F18</f>
        <v>Active</v>
      </c>
      <c r="E18" s="281">
        <f>Personnel!L18</f>
        <v>74360.083200000008</v>
      </c>
      <c r="F18" s="282">
        <f t="shared" si="0"/>
        <v>4610.3251584000009</v>
      </c>
      <c r="G18" s="282">
        <f t="shared" si="1"/>
        <v>1078.2212064</v>
      </c>
      <c r="H18" s="224"/>
      <c r="I18" s="283">
        <f>Personnel!Q18</f>
        <v>73645.082399999999</v>
      </c>
      <c r="J18" s="284">
        <f t="shared" si="2"/>
        <v>4565.9951087999998</v>
      </c>
      <c r="K18" s="284">
        <f t="shared" si="3"/>
        <v>1067.8536947999999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>
      <c r="A19" s="7">
        <f t="shared" si="4"/>
        <v>15</v>
      </c>
      <c r="B19" s="236" t="str">
        <f>Personnel!B19</f>
        <v>Feyrer,Mina</v>
      </c>
      <c r="C19" s="236" t="str">
        <f>Personnel!C19</f>
        <v>Regular Teacher</v>
      </c>
      <c r="D19" s="236" t="str">
        <f>Personnel!F19</f>
        <v>Active</v>
      </c>
      <c r="E19" s="285">
        <f>Personnel!L19</f>
        <v>0</v>
      </c>
      <c r="F19" s="286">
        <f t="shared" si="0"/>
        <v>0</v>
      </c>
      <c r="G19" s="286">
        <f t="shared" si="1"/>
        <v>0</v>
      </c>
      <c r="H19" s="287"/>
      <c r="I19" s="288">
        <f>Personnel!Q19</f>
        <v>0</v>
      </c>
      <c r="J19" s="289">
        <f t="shared" si="2"/>
        <v>0</v>
      </c>
      <c r="K19" s="289">
        <f t="shared" si="3"/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>
      <c r="A20" s="7">
        <f t="shared" si="4"/>
        <v>16</v>
      </c>
      <c r="B20" s="3" t="str">
        <f>Personnel!B20</f>
        <v>Yearwood,Nadia Lisa</v>
      </c>
      <c r="C20" s="3" t="str">
        <f>Personnel!C20</f>
        <v>Regular Teacher</v>
      </c>
      <c r="D20" s="3" t="str">
        <f>Personnel!F20</f>
        <v>Active</v>
      </c>
      <c r="E20" s="281">
        <f>Personnel!L20</f>
        <v>71337.427200000006</v>
      </c>
      <c r="F20" s="282">
        <f t="shared" si="0"/>
        <v>4422.9204864000003</v>
      </c>
      <c r="G20" s="282">
        <f t="shared" si="1"/>
        <v>1034.3926944</v>
      </c>
      <c r="H20" s="224"/>
      <c r="I20" s="283">
        <f>Personnel!Q20</f>
        <v>70651.49040000001</v>
      </c>
      <c r="J20" s="284">
        <f t="shared" si="2"/>
        <v>4380.3924048000008</v>
      </c>
      <c r="K20" s="284">
        <f t="shared" si="3"/>
        <v>1024.4466108000001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>
      <c r="A21" s="7">
        <f t="shared" si="4"/>
        <v>17</v>
      </c>
      <c r="B21" s="3" t="str">
        <f>Personnel!B21</f>
        <v>Chase,Christopher</v>
      </c>
      <c r="C21" s="3" t="str">
        <f>Personnel!C21</f>
        <v>Regular Teacher</v>
      </c>
      <c r="D21" s="3" t="str">
        <f>Personnel!F21</f>
        <v>Active</v>
      </c>
      <c r="E21" s="281">
        <f>Personnel!L21</f>
        <v>76377.600000000006</v>
      </c>
      <c r="F21" s="282">
        <f t="shared" si="0"/>
        <v>4735.4112000000005</v>
      </c>
      <c r="G21" s="282">
        <f t="shared" si="1"/>
        <v>1107.4752000000001</v>
      </c>
      <c r="H21" s="224"/>
      <c r="I21" s="283">
        <f>Personnel!Q21</f>
        <v>78000</v>
      </c>
      <c r="J21" s="284">
        <f t="shared" si="2"/>
        <v>4836</v>
      </c>
      <c r="K21" s="284">
        <f t="shared" si="3"/>
        <v>1131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>
      <c r="A22" s="7">
        <f t="shared" si="4"/>
        <v>18</v>
      </c>
      <c r="B22" s="3" t="str">
        <f>Personnel!B22</f>
        <v>Munjal,Manisha</v>
      </c>
      <c r="C22" s="3" t="str">
        <f>Personnel!C22</f>
        <v>Regular Teacher</v>
      </c>
      <c r="D22" s="3" t="str">
        <f>Personnel!F22</f>
        <v>Active</v>
      </c>
      <c r="E22" s="281">
        <f>Personnel!L22</f>
        <v>70160.563200000004</v>
      </c>
      <c r="F22" s="282">
        <f t="shared" si="0"/>
        <v>4349.9549184000007</v>
      </c>
      <c r="G22" s="282">
        <f t="shared" si="1"/>
        <v>1017.3281664</v>
      </c>
      <c r="H22" s="224"/>
      <c r="I22" s="283">
        <f>Personnel!Q22</f>
        <v>69485.9424</v>
      </c>
      <c r="J22" s="284">
        <f t="shared" si="2"/>
        <v>4308.1284287999997</v>
      </c>
      <c r="K22" s="284">
        <f t="shared" si="3"/>
        <v>1007.5461647999999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>
      <c r="A23" s="7">
        <f t="shared" si="4"/>
        <v>19</v>
      </c>
      <c r="B23" s="3" t="str">
        <f>Personnel!B23</f>
        <v>Kato,Jamilla</v>
      </c>
      <c r="C23" s="3" t="str">
        <f>Personnel!C23</f>
        <v>Regular Teacher</v>
      </c>
      <c r="D23" s="3" t="str">
        <f>Personnel!F23</f>
        <v>Active</v>
      </c>
      <c r="E23" s="281">
        <f>Personnel!L23</f>
        <v>64064.083200000001</v>
      </c>
      <c r="F23" s="282">
        <f t="shared" si="0"/>
        <v>3971.9731584000001</v>
      </c>
      <c r="G23" s="282">
        <f t="shared" si="1"/>
        <v>928.9292064</v>
      </c>
      <c r="H23" s="224"/>
      <c r="I23" s="283">
        <f>Personnel!Q23</f>
        <v>63448.082399999999</v>
      </c>
      <c r="J23" s="284">
        <f t="shared" si="2"/>
        <v>3933.7811087999999</v>
      </c>
      <c r="K23" s="284">
        <f t="shared" si="3"/>
        <v>919.99719479999987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>
      <c r="A24" s="7">
        <f t="shared" si="4"/>
        <v>20</v>
      </c>
      <c r="B24" s="3" t="str">
        <f>Personnel!B24</f>
        <v>Joseph,Chanell</v>
      </c>
      <c r="C24" s="3" t="str">
        <f>Personnel!C24</f>
        <v>Regular Teacher</v>
      </c>
      <c r="D24" s="3" t="str">
        <f>Personnel!F24</f>
        <v>Active</v>
      </c>
      <c r="E24" s="281">
        <f>Personnel!L24</f>
        <v>64064.083200000001</v>
      </c>
      <c r="F24" s="282">
        <f t="shared" si="0"/>
        <v>3971.9731584000001</v>
      </c>
      <c r="G24" s="282">
        <f t="shared" si="1"/>
        <v>928.9292064</v>
      </c>
      <c r="H24" s="224"/>
      <c r="I24" s="283">
        <f>Personnel!Q24</f>
        <v>63448.082399999999</v>
      </c>
      <c r="J24" s="284">
        <f t="shared" si="2"/>
        <v>3933.7811087999999</v>
      </c>
      <c r="K24" s="284">
        <f t="shared" si="3"/>
        <v>919.99719479999987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>
      <c r="A25" s="7">
        <f t="shared" si="4"/>
        <v>21</v>
      </c>
      <c r="B25" s="3" t="str">
        <f>Personnel!B25</f>
        <v>Brown Isalah</v>
      </c>
      <c r="C25" s="3" t="str">
        <f>Personnel!C25</f>
        <v>Regular Teacher</v>
      </c>
      <c r="D25" s="3" t="str">
        <f>Personnel!F25</f>
        <v>Active</v>
      </c>
      <c r="E25" s="281">
        <f>Personnel!L25</f>
        <v>64063.833599999998</v>
      </c>
      <c r="F25" s="282">
        <f t="shared" si="0"/>
        <v>3971.9576831999998</v>
      </c>
      <c r="G25" s="282">
        <f t="shared" si="1"/>
        <v>928.92558719999988</v>
      </c>
      <c r="H25" s="224"/>
      <c r="I25" s="283">
        <f>Personnel!Q25</f>
        <v>63447.835199999994</v>
      </c>
      <c r="J25" s="284">
        <f t="shared" si="2"/>
        <v>3933.7657823999998</v>
      </c>
      <c r="K25" s="284">
        <f t="shared" si="3"/>
        <v>919.99361039999985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>
      <c r="A26" s="7">
        <f t="shared" si="4"/>
        <v>22</v>
      </c>
      <c r="B26" s="3" t="str">
        <f>Personnel!B26</f>
        <v>Thomas,Selamawit</v>
      </c>
      <c r="C26" s="3" t="str">
        <f>Personnel!C26</f>
        <v>Regular Teacher</v>
      </c>
      <c r="D26" s="3" t="str">
        <f>Personnel!F26</f>
        <v>Active</v>
      </c>
      <c r="E26" s="281">
        <f>Personnel!L26</f>
        <v>77500.800000000003</v>
      </c>
      <c r="F26" s="282">
        <f t="shared" si="0"/>
        <v>4805.0496000000003</v>
      </c>
      <c r="G26" s="282">
        <f t="shared" si="1"/>
        <v>1123.7616</v>
      </c>
      <c r="H26" s="224"/>
      <c r="I26" s="283">
        <f>Personnel!Q26</f>
        <v>79000</v>
      </c>
      <c r="J26" s="284">
        <f t="shared" si="2"/>
        <v>4898</v>
      </c>
      <c r="K26" s="284">
        <f t="shared" si="3"/>
        <v>1145.5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>
      <c r="A27" s="7">
        <f t="shared" si="4"/>
        <v>23</v>
      </c>
      <c r="B27" s="3" t="str">
        <f>Personnel!B27</f>
        <v>Payen,Claire</v>
      </c>
      <c r="C27" s="3" t="str">
        <f>Personnel!C27</f>
        <v>Regular Teacher</v>
      </c>
      <c r="D27" s="3" t="str">
        <f>Personnel!F27</f>
        <v>Active</v>
      </c>
      <c r="E27" s="281">
        <f>Personnel!L27</f>
        <v>64064.083200000001</v>
      </c>
      <c r="F27" s="282">
        <f t="shared" si="0"/>
        <v>3971.9731584000001</v>
      </c>
      <c r="G27" s="282">
        <f t="shared" si="1"/>
        <v>928.9292064</v>
      </c>
      <c r="H27" s="224"/>
      <c r="I27" s="283">
        <f>Personnel!Q27</f>
        <v>63448.082399999999</v>
      </c>
      <c r="J27" s="284">
        <f t="shared" si="2"/>
        <v>3933.7811087999999</v>
      </c>
      <c r="K27" s="284">
        <f t="shared" si="3"/>
        <v>919.99719479999987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>
      <c r="A28" s="7">
        <f t="shared" si="4"/>
        <v>24</v>
      </c>
      <c r="B28" s="3" t="str">
        <f>Personnel!B28</f>
        <v>Kaufman Natalie</v>
      </c>
      <c r="C28" s="3" t="str">
        <f>Personnel!C28</f>
        <v>Regular Teacher</v>
      </c>
      <c r="D28" s="3" t="str">
        <f>Personnel!F28</f>
        <v>Active</v>
      </c>
      <c r="E28" s="281">
        <f>Personnel!L28</f>
        <v>84240</v>
      </c>
      <c r="F28" s="282">
        <f t="shared" si="0"/>
        <v>5222.88</v>
      </c>
      <c r="G28" s="282">
        <f t="shared" si="1"/>
        <v>1221.48</v>
      </c>
      <c r="H28" s="224"/>
      <c r="I28" s="283">
        <f>Personnel!Q28</f>
        <v>83430</v>
      </c>
      <c r="J28" s="284">
        <f t="shared" si="2"/>
        <v>5172.66</v>
      </c>
      <c r="K28" s="284">
        <f t="shared" si="3"/>
        <v>1209.7349999999999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>
      <c r="A29" s="7">
        <f t="shared" si="4"/>
        <v>25</v>
      </c>
      <c r="B29" s="3" t="str">
        <f>Personnel!B29</f>
        <v>Samuels,Sherifa</v>
      </c>
      <c r="C29" s="3" t="str">
        <f>Personnel!C29</f>
        <v>SPED Teacher</v>
      </c>
      <c r="D29" s="3" t="str">
        <f>Personnel!F29</f>
        <v>Active</v>
      </c>
      <c r="E29" s="281">
        <f>Personnel!L29</f>
        <v>70160.563200000004</v>
      </c>
      <c r="F29" s="282">
        <f t="shared" si="0"/>
        <v>4349.9549184000007</v>
      </c>
      <c r="G29" s="282">
        <f t="shared" si="1"/>
        <v>1017.3281664</v>
      </c>
      <c r="H29" s="224"/>
      <c r="I29" s="283">
        <f>Personnel!Q29</f>
        <v>69485.9424</v>
      </c>
      <c r="J29" s="284">
        <f t="shared" si="2"/>
        <v>4308.1284287999997</v>
      </c>
      <c r="K29" s="284">
        <f t="shared" si="3"/>
        <v>1007.5461647999999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5" customHeight="1">
      <c r="A30" s="7">
        <f t="shared" si="4"/>
        <v>26</v>
      </c>
      <c r="B30" s="3" t="str">
        <f>Personnel!B30</f>
        <v>Rainone,Krystan</v>
      </c>
      <c r="C30" s="3" t="str">
        <f>Personnel!C30</f>
        <v>SPED Teacher</v>
      </c>
      <c r="D30" s="3" t="str">
        <f>Personnel!F30</f>
        <v>Active</v>
      </c>
      <c r="E30" s="281">
        <f>Personnel!L30</f>
        <v>78590.553599999999</v>
      </c>
      <c r="F30" s="282">
        <f t="shared" si="0"/>
        <v>4872.6143231999995</v>
      </c>
      <c r="G30" s="282">
        <f t="shared" si="1"/>
        <v>1139.5630271999999</v>
      </c>
      <c r="H30" s="224"/>
      <c r="I30" s="283">
        <f>Personnel!Q30</f>
        <v>77834.875199999995</v>
      </c>
      <c r="J30" s="284">
        <f t="shared" si="2"/>
        <v>4825.7622623999996</v>
      </c>
      <c r="K30" s="284">
        <f t="shared" si="3"/>
        <v>1128.6056904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>
      <c r="A31" s="7">
        <f t="shared" si="4"/>
        <v>27</v>
      </c>
      <c r="B31" s="3" t="str">
        <f>Personnel!B31</f>
        <v>Tompkins,Collette</v>
      </c>
      <c r="C31" s="3" t="str">
        <f>Personnel!C31</f>
        <v>Elective Teacher</v>
      </c>
      <c r="D31" s="3" t="str">
        <f>Personnel!F31</f>
        <v>Active</v>
      </c>
      <c r="E31" s="281">
        <f>Personnel!L31</f>
        <v>61776</v>
      </c>
      <c r="F31" s="282">
        <f t="shared" si="0"/>
        <v>3830.1120000000001</v>
      </c>
      <c r="G31" s="282">
        <f t="shared" si="1"/>
        <v>895.75199999999995</v>
      </c>
      <c r="H31" s="224"/>
      <c r="I31" s="283">
        <f>Personnel!Q31</f>
        <v>61182</v>
      </c>
      <c r="J31" s="284">
        <f t="shared" si="2"/>
        <v>3793.2840000000001</v>
      </c>
      <c r="K31" s="284">
        <f t="shared" si="3"/>
        <v>887.1389999999999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>
      <c r="A32" s="7">
        <f t="shared" si="4"/>
        <v>28</v>
      </c>
      <c r="B32" s="3" t="str">
        <f>Personnel!B32</f>
        <v>Sterling,Yero</v>
      </c>
      <c r="C32" s="3" t="str">
        <f>Personnel!C32</f>
        <v>Elective Teacher</v>
      </c>
      <c r="D32" s="3" t="str">
        <f>Personnel!F32</f>
        <v>Active</v>
      </c>
      <c r="E32" s="281">
        <f>Personnel!L32</f>
        <v>64064.083200000001</v>
      </c>
      <c r="F32" s="282">
        <f t="shared" si="0"/>
        <v>3971.9731584000001</v>
      </c>
      <c r="G32" s="282">
        <f t="shared" si="1"/>
        <v>928.9292064</v>
      </c>
      <c r="H32" s="224"/>
      <c r="I32" s="283">
        <f>Personnel!Q32</f>
        <v>63448.082399999999</v>
      </c>
      <c r="J32" s="284">
        <f t="shared" si="2"/>
        <v>3933.7811087999999</v>
      </c>
      <c r="K32" s="284">
        <f t="shared" si="3"/>
        <v>919.99719479999987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>
      <c r="A33" s="7">
        <f t="shared" si="4"/>
        <v>29</v>
      </c>
      <c r="B33" s="3" t="str">
        <f>Personnel!B33</f>
        <v>Burrell Jr.,Johnny</v>
      </c>
      <c r="C33" s="3" t="str">
        <f>Personnel!C33</f>
        <v>Elective Teacher</v>
      </c>
      <c r="D33" s="3" t="str">
        <f>Personnel!F33</f>
        <v>Active</v>
      </c>
      <c r="E33" s="281">
        <f>Personnel!L33</f>
        <v>67392</v>
      </c>
      <c r="F33" s="282">
        <f t="shared" si="0"/>
        <v>4178.3040000000001</v>
      </c>
      <c r="G33" s="282">
        <f t="shared" si="1"/>
        <v>977.18399999999997</v>
      </c>
      <c r="H33" s="224"/>
      <c r="I33" s="283">
        <f>Personnel!Q33</f>
        <v>66744</v>
      </c>
      <c r="J33" s="284">
        <f t="shared" si="2"/>
        <v>4138.1279999999997</v>
      </c>
      <c r="K33" s="284">
        <f t="shared" si="3"/>
        <v>967.7879999999999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>
      <c r="A34" s="7">
        <f t="shared" si="4"/>
        <v>30</v>
      </c>
      <c r="B34" s="3" t="str">
        <f>Personnel!B34</f>
        <v>Davis,Amira</v>
      </c>
      <c r="C34" s="3" t="str">
        <f>Personnel!C34</f>
        <v>Elective Teacher</v>
      </c>
      <c r="D34" s="3" t="str">
        <f>Personnel!F34</f>
        <v>Active</v>
      </c>
      <c r="E34" s="281">
        <f>Personnel!L34</f>
        <v>70160.563200000004</v>
      </c>
      <c r="F34" s="282">
        <f t="shared" si="0"/>
        <v>4349.9549184000007</v>
      </c>
      <c r="G34" s="282">
        <f t="shared" si="1"/>
        <v>1017.3281664</v>
      </c>
      <c r="H34" s="224"/>
      <c r="I34" s="283">
        <f>Personnel!Q34</f>
        <v>75000</v>
      </c>
      <c r="J34" s="284">
        <f t="shared" si="2"/>
        <v>4650</v>
      </c>
      <c r="K34" s="284">
        <f t="shared" si="3"/>
        <v>1087.5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5" customHeight="1">
      <c r="A35" s="7">
        <f t="shared" si="4"/>
        <v>31</v>
      </c>
      <c r="B35" s="3" t="str">
        <f>Personnel!B35</f>
        <v>Simon,Kiara Janette</v>
      </c>
      <c r="C35" s="3" t="str">
        <f>Personnel!C35</f>
        <v>Teaching Fellow</v>
      </c>
      <c r="D35" s="3" t="str">
        <f>Personnel!F35</f>
        <v>Active</v>
      </c>
      <c r="E35" s="281">
        <f>Personnel!L35</f>
        <v>64064.083200000001</v>
      </c>
      <c r="F35" s="282">
        <f t="shared" si="0"/>
        <v>3971.9731584000001</v>
      </c>
      <c r="G35" s="282">
        <f t="shared" si="1"/>
        <v>928.9292064</v>
      </c>
      <c r="H35" s="224"/>
      <c r="I35" s="283">
        <f>Personnel!Q35</f>
        <v>63448.082399999999</v>
      </c>
      <c r="J35" s="284">
        <f t="shared" si="2"/>
        <v>3933.7811087999999</v>
      </c>
      <c r="K35" s="284">
        <f t="shared" si="3"/>
        <v>919.99719479999987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>
      <c r="A36" s="7">
        <f t="shared" si="4"/>
        <v>32</v>
      </c>
      <c r="B36" s="3" t="str">
        <f>Personnel!B36</f>
        <v>Zaman,Prianka</v>
      </c>
      <c r="C36" s="3" t="str">
        <f>Personnel!C36</f>
        <v>Teaching Fellow</v>
      </c>
      <c r="D36" s="3" t="str">
        <f>Personnel!F36</f>
        <v>Active</v>
      </c>
      <c r="E36" s="281">
        <f>Personnel!L36</f>
        <v>0</v>
      </c>
      <c r="F36" s="282">
        <f t="shared" si="0"/>
        <v>0</v>
      </c>
      <c r="G36" s="282">
        <f t="shared" si="1"/>
        <v>0</v>
      </c>
      <c r="H36" s="224"/>
      <c r="I36" s="283">
        <f>Personnel!Q36</f>
        <v>61600</v>
      </c>
      <c r="J36" s="284">
        <f t="shared" si="2"/>
        <v>3819.2</v>
      </c>
      <c r="K36" s="284">
        <f t="shared" si="3"/>
        <v>893.19999999999993</v>
      </c>
      <c r="L36" s="5" t="s">
        <v>540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7">
        <f t="shared" si="4"/>
        <v>33</v>
      </c>
      <c r="B37" s="3" t="str">
        <f>Personnel!B37</f>
        <v>Peters,Zoya</v>
      </c>
      <c r="C37" s="3" t="str">
        <f>Personnel!C37</f>
        <v>Teaching Fellow</v>
      </c>
      <c r="D37" s="3" t="str">
        <f>Personnel!F37</f>
        <v>Active</v>
      </c>
      <c r="E37" s="281">
        <f>Personnel!L37</f>
        <v>64064.083200000001</v>
      </c>
      <c r="F37" s="282">
        <f t="shared" si="0"/>
        <v>3971.9731584000001</v>
      </c>
      <c r="G37" s="282">
        <f t="shared" si="1"/>
        <v>928.9292064</v>
      </c>
      <c r="H37" s="224"/>
      <c r="I37" s="283">
        <f>Personnel!Q37</f>
        <v>63448.082399999999</v>
      </c>
      <c r="J37" s="284">
        <f t="shared" si="2"/>
        <v>3933.7811087999999</v>
      </c>
      <c r="K37" s="284">
        <f t="shared" si="3"/>
        <v>919.99719479999987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7">
        <f t="shared" si="4"/>
        <v>34</v>
      </c>
      <c r="B38" s="3" t="str">
        <f>Personnel!B38</f>
        <v>Thompson,Shantel</v>
      </c>
      <c r="C38" s="3" t="str">
        <f>Personnel!C38</f>
        <v>Social Worker</v>
      </c>
      <c r="D38" s="3" t="str">
        <f>Personnel!F38</f>
        <v>Active</v>
      </c>
      <c r="E38" s="281">
        <f>Personnel!L38</f>
        <v>76695.839999999997</v>
      </c>
      <c r="F38" s="282">
        <f t="shared" si="0"/>
        <v>4755.1420799999996</v>
      </c>
      <c r="G38" s="282">
        <f t="shared" si="1"/>
        <v>1112.0896799999998</v>
      </c>
      <c r="H38" s="224"/>
      <c r="I38" s="283">
        <f>Personnel!Q38</f>
        <v>75958.38</v>
      </c>
      <c r="J38" s="284">
        <f t="shared" si="2"/>
        <v>4709.4195600000003</v>
      </c>
      <c r="K38" s="284">
        <f t="shared" si="3"/>
        <v>1101.39651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>
      <c r="A39" s="7">
        <f t="shared" si="4"/>
        <v>35</v>
      </c>
      <c r="B39" s="3" t="str">
        <f>Personnel!B39</f>
        <v>Kianna Odom</v>
      </c>
      <c r="C39" s="3" t="str">
        <f>Personnel!C39</f>
        <v>Dean of Curriculum &amp; Instruction</v>
      </c>
      <c r="D39" s="3" t="str">
        <f>Personnel!F39</f>
        <v>New Role</v>
      </c>
      <c r="E39" s="281">
        <f>Personnel!L39</f>
        <v>82500</v>
      </c>
      <c r="F39" s="282">
        <f t="shared" si="0"/>
        <v>5115</v>
      </c>
      <c r="G39" s="282">
        <f t="shared" si="1"/>
        <v>1196.25</v>
      </c>
      <c r="H39" s="224"/>
      <c r="I39" s="283">
        <f>Personnel!Q39</f>
        <v>82500</v>
      </c>
      <c r="J39" s="284">
        <f t="shared" si="2"/>
        <v>5115</v>
      </c>
      <c r="K39" s="284">
        <f t="shared" si="3"/>
        <v>1196.25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5" customHeight="1">
      <c r="A40" s="7">
        <f t="shared" si="4"/>
        <v>36</v>
      </c>
      <c r="B40" s="3" t="str">
        <f>Personnel!B40</f>
        <v>Mary Bleboudou</v>
      </c>
      <c r="C40" s="3" t="str">
        <f>Personnel!C40</f>
        <v>Regular Teacher</v>
      </c>
      <c r="D40" s="3" t="str">
        <f>Personnel!F40</f>
        <v>Active</v>
      </c>
      <c r="E40" s="281">
        <f>Personnel!L40</f>
        <v>64100</v>
      </c>
      <c r="F40" s="282">
        <f t="shared" si="0"/>
        <v>3974.2</v>
      </c>
      <c r="G40" s="282">
        <f t="shared" si="1"/>
        <v>929.44999999999993</v>
      </c>
      <c r="H40" s="224"/>
      <c r="I40" s="283">
        <f>Personnel!Q40</f>
        <v>66023</v>
      </c>
      <c r="J40" s="284">
        <f t="shared" si="2"/>
        <v>4093.4259999999999</v>
      </c>
      <c r="K40" s="284">
        <f t="shared" si="3"/>
        <v>957.33349999999996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>
      <c r="A41" s="7">
        <f t="shared" si="4"/>
        <v>37</v>
      </c>
      <c r="B41" s="3" t="str">
        <f>Personnel!B41</f>
        <v>Patricia Bell</v>
      </c>
      <c r="C41" s="3" t="str">
        <f>Personnel!C41</f>
        <v>Regular Teacher</v>
      </c>
      <c r="D41" s="3" t="str">
        <f>Personnel!F41</f>
        <v>Active</v>
      </c>
      <c r="E41" s="281">
        <f>Personnel!L41</f>
        <v>85000</v>
      </c>
      <c r="F41" s="282">
        <f t="shared" si="0"/>
        <v>5270</v>
      </c>
      <c r="G41" s="282">
        <f t="shared" si="1"/>
        <v>1232.5</v>
      </c>
      <c r="H41" s="224"/>
      <c r="I41" s="283">
        <f>Personnel!Q41</f>
        <v>87550</v>
      </c>
      <c r="J41" s="284">
        <f t="shared" si="2"/>
        <v>5428.1</v>
      </c>
      <c r="K41" s="284">
        <f t="shared" si="3"/>
        <v>1269.4749999999999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5" customHeight="1">
      <c r="A42" s="7">
        <f t="shared" si="4"/>
        <v>38</v>
      </c>
      <c r="B42" s="3" t="str">
        <f>Personnel!B42</f>
        <v>Jontra Dotson</v>
      </c>
      <c r="C42" s="3" t="str">
        <f>Personnel!C42</f>
        <v>Regular Teacher</v>
      </c>
      <c r="D42" s="3" t="str">
        <f>Personnel!F42</f>
        <v>New</v>
      </c>
      <c r="E42" s="281">
        <f>Personnel!L42</f>
        <v>0</v>
      </c>
      <c r="F42" s="282">
        <f t="shared" si="0"/>
        <v>0</v>
      </c>
      <c r="G42" s="282">
        <f t="shared" si="1"/>
        <v>0</v>
      </c>
      <c r="H42" s="224"/>
      <c r="I42" s="283">
        <f>Personnel!Q42</f>
        <v>62524</v>
      </c>
      <c r="J42" s="284">
        <f t="shared" si="2"/>
        <v>3876.4879999999998</v>
      </c>
      <c r="K42" s="284">
        <f t="shared" si="3"/>
        <v>906.59799999999996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>
      <c r="A43" s="7">
        <f t="shared" si="4"/>
        <v>39</v>
      </c>
      <c r="B43" s="3" t="str">
        <f>Personnel!B43</f>
        <v>Yanique Lewis</v>
      </c>
      <c r="C43" s="3" t="str">
        <f>Personnel!C43</f>
        <v>Regular Teacher</v>
      </c>
      <c r="D43" s="3" t="str">
        <f>Personnel!F43</f>
        <v>New</v>
      </c>
      <c r="E43" s="281">
        <f>Personnel!L43</f>
        <v>0</v>
      </c>
      <c r="F43" s="282">
        <f t="shared" si="0"/>
        <v>0</v>
      </c>
      <c r="G43" s="282">
        <f t="shared" si="1"/>
        <v>0</v>
      </c>
      <c r="H43" s="224"/>
      <c r="I43" s="283">
        <f>Personnel!Q43</f>
        <v>61600</v>
      </c>
      <c r="J43" s="284">
        <f t="shared" si="2"/>
        <v>3819.2</v>
      </c>
      <c r="K43" s="284">
        <f t="shared" si="3"/>
        <v>893.19999999999993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>
      <c r="A44" s="7">
        <f t="shared" si="4"/>
        <v>40</v>
      </c>
      <c r="B44" s="3" t="str">
        <f>Personnel!B44</f>
        <v>Alessandro Lopes</v>
      </c>
      <c r="C44" s="3" t="str">
        <f>Personnel!C44</f>
        <v>Regular Teacher</v>
      </c>
      <c r="D44" s="3" t="str">
        <f>Personnel!F44</f>
        <v>New</v>
      </c>
      <c r="E44" s="281">
        <f>Personnel!L44</f>
        <v>0</v>
      </c>
      <c r="F44" s="282">
        <f t="shared" si="0"/>
        <v>0</v>
      </c>
      <c r="G44" s="282">
        <f t="shared" si="1"/>
        <v>0</v>
      </c>
      <c r="H44" s="224"/>
      <c r="I44" s="283">
        <f>Personnel!Q44</f>
        <v>61600</v>
      </c>
      <c r="J44" s="284">
        <f t="shared" si="2"/>
        <v>3819.2</v>
      </c>
      <c r="K44" s="284">
        <f t="shared" si="3"/>
        <v>893.19999999999993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5" customHeight="1">
      <c r="A45" s="7">
        <f t="shared" si="4"/>
        <v>41</v>
      </c>
      <c r="B45" s="3" t="str">
        <f>Personnel!B45</f>
        <v>Zhiyon Mitchell</v>
      </c>
      <c r="C45" s="3" t="str">
        <f>Personnel!C45</f>
        <v>Regular Teacher</v>
      </c>
      <c r="D45" s="3" t="str">
        <f>Personnel!F45</f>
        <v>New</v>
      </c>
      <c r="E45" s="281">
        <f>Personnel!L45</f>
        <v>0</v>
      </c>
      <c r="F45" s="282">
        <f t="shared" si="0"/>
        <v>0</v>
      </c>
      <c r="G45" s="282">
        <f t="shared" si="1"/>
        <v>0</v>
      </c>
      <c r="H45" s="224"/>
      <c r="I45" s="283">
        <f>Personnel!Q45</f>
        <v>61600</v>
      </c>
      <c r="J45" s="284">
        <f t="shared" si="2"/>
        <v>3819.2</v>
      </c>
      <c r="K45" s="284">
        <f t="shared" si="3"/>
        <v>893.19999999999993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5" customHeight="1">
      <c r="A46" s="7">
        <f t="shared" si="4"/>
        <v>42</v>
      </c>
      <c r="B46" s="3" t="str">
        <f>Personnel!B46</f>
        <v xml:space="preserve">Wanda Daughtry </v>
      </c>
      <c r="C46" s="3" t="str">
        <f>Personnel!C46</f>
        <v>Bus Matron</v>
      </c>
      <c r="D46" s="3" t="str">
        <f>Personnel!F46</f>
        <v>Active</v>
      </c>
      <c r="E46" s="281">
        <f>Personnel!L46</f>
        <v>5000</v>
      </c>
      <c r="F46" s="282">
        <f t="shared" si="0"/>
        <v>310</v>
      </c>
      <c r="G46" s="282">
        <f t="shared" si="1"/>
        <v>72.5</v>
      </c>
      <c r="H46" s="224"/>
      <c r="I46" s="283">
        <f>Personnel!Q46</f>
        <v>5000</v>
      </c>
      <c r="J46" s="284">
        <f t="shared" si="2"/>
        <v>310</v>
      </c>
      <c r="K46" s="284">
        <f t="shared" si="3"/>
        <v>72.5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5" customHeight="1">
      <c r="A47" s="7">
        <f t="shared" si="4"/>
        <v>43</v>
      </c>
      <c r="B47" s="3" t="str">
        <f>Personnel!B47</f>
        <v>Vacant</v>
      </c>
      <c r="C47" s="3" t="str">
        <f>Personnel!C47</f>
        <v>SPED Coordinator</v>
      </c>
      <c r="D47" s="3" t="str">
        <f>Personnel!F47</f>
        <v>New</v>
      </c>
      <c r="E47" s="281">
        <f>Personnel!L47</f>
        <v>0</v>
      </c>
      <c r="F47" s="282">
        <f t="shared" si="0"/>
        <v>0</v>
      </c>
      <c r="G47" s="282">
        <f t="shared" si="1"/>
        <v>0</v>
      </c>
      <c r="H47" s="224"/>
      <c r="I47" s="283">
        <f>Personnel!Q47</f>
        <v>92000</v>
      </c>
      <c r="J47" s="284">
        <f t="shared" si="2"/>
        <v>5704</v>
      </c>
      <c r="K47" s="284">
        <f t="shared" si="3"/>
        <v>1334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5" customHeight="1">
      <c r="A48" s="7">
        <f t="shared" si="4"/>
        <v>44</v>
      </c>
      <c r="B48" s="3" t="str">
        <f>Personnel!B48</f>
        <v>Vacant</v>
      </c>
      <c r="C48" s="3">
        <f>Personnel!C48</f>
        <v>0</v>
      </c>
      <c r="D48" s="3">
        <f>Personnel!F48</f>
        <v>0</v>
      </c>
      <c r="E48" s="281">
        <f>Personnel!L48</f>
        <v>0</v>
      </c>
      <c r="F48" s="282">
        <f t="shared" si="0"/>
        <v>0</v>
      </c>
      <c r="G48" s="282">
        <f t="shared" si="1"/>
        <v>0</v>
      </c>
      <c r="H48" s="224"/>
      <c r="I48" s="283">
        <f>Personnel!Q48</f>
        <v>0</v>
      </c>
      <c r="J48" s="284">
        <f t="shared" si="2"/>
        <v>0</v>
      </c>
      <c r="K48" s="284">
        <f t="shared" si="3"/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>
      <c r="A49" s="7">
        <f t="shared" si="4"/>
        <v>45</v>
      </c>
      <c r="B49" s="3" t="str">
        <f>Personnel!B49</f>
        <v>Vacant</v>
      </c>
      <c r="C49" s="3">
        <f>Personnel!C49</f>
        <v>0</v>
      </c>
      <c r="D49" s="3">
        <f>Personnel!F49</f>
        <v>0</v>
      </c>
      <c r="E49" s="281">
        <f>Personnel!L49</f>
        <v>0</v>
      </c>
      <c r="F49" s="282">
        <f t="shared" si="0"/>
        <v>0</v>
      </c>
      <c r="G49" s="282">
        <f t="shared" si="1"/>
        <v>0</v>
      </c>
      <c r="H49" s="224"/>
      <c r="I49" s="283">
        <f>Personnel!Q49</f>
        <v>0</v>
      </c>
      <c r="J49" s="284">
        <f t="shared" si="2"/>
        <v>0</v>
      </c>
      <c r="K49" s="284">
        <f t="shared" si="3"/>
        <v>0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>
      <c r="A50" s="7">
        <f t="shared" si="4"/>
        <v>46</v>
      </c>
      <c r="B50" s="3" t="str">
        <f>Personnel!B50</f>
        <v>Vacant</v>
      </c>
      <c r="C50" s="3">
        <f>Personnel!C50</f>
        <v>0</v>
      </c>
      <c r="D50" s="3">
        <f>Personnel!F50</f>
        <v>0</v>
      </c>
      <c r="E50" s="281">
        <f>Personnel!L50</f>
        <v>0</v>
      </c>
      <c r="F50" s="282">
        <f t="shared" si="0"/>
        <v>0</v>
      </c>
      <c r="G50" s="282">
        <f t="shared" si="1"/>
        <v>0</v>
      </c>
      <c r="H50" s="224"/>
      <c r="I50" s="283">
        <f>Personnel!Q50</f>
        <v>0</v>
      </c>
      <c r="J50" s="284">
        <f t="shared" si="2"/>
        <v>0</v>
      </c>
      <c r="K50" s="284">
        <f t="shared" si="3"/>
        <v>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5" customHeight="1">
      <c r="A51" s="7">
        <f t="shared" si="4"/>
        <v>47</v>
      </c>
      <c r="B51" s="3" t="str">
        <f>Personnel!B51</f>
        <v>Vacant</v>
      </c>
      <c r="C51" s="3">
        <f>Personnel!C51</f>
        <v>0</v>
      </c>
      <c r="D51" s="3">
        <f>Personnel!F51</f>
        <v>0</v>
      </c>
      <c r="E51" s="281">
        <f>Personnel!L51</f>
        <v>0</v>
      </c>
      <c r="F51" s="282">
        <f t="shared" si="0"/>
        <v>0</v>
      </c>
      <c r="G51" s="282">
        <f t="shared" si="1"/>
        <v>0</v>
      </c>
      <c r="H51" s="224"/>
      <c r="I51" s="283">
        <f>Personnel!Q51</f>
        <v>0</v>
      </c>
      <c r="J51" s="284">
        <f t="shared" si="2"/>
        <v>0</v>
      </c>
      <c r="K51" s="284">
        <f t="shared" si="3"/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5" customHeight="1">
      <c r="A52" s="7">
        <f t="shared" si="4"/>
        <v>48</v>
      </c>
      <c r="B52" s="3" t="str">
        <f>Personnel!B52</f>
        <v>Vacant</v>
      </c>
      <c r="C52" s="3">
        <f>Personnel!C52</f>
        <v>0</v>
      </c>
      <c r="D52" s="3">
        <f>Personnel!F52</f>
        <v>0</v>
      </c>
      <c r="E52" s="281">
        <f>Personnel!L52</f>
        <v>0</v>
      </c>
      <c r="F52" s="282">
        <f t="shared" si="0"/>
        <v>0</v>
      </c>
      <c r="G52" s="282">
        <f t="shared" si="1"/>
        <v>0</v>
      </c>
      <c r="H52" s="224"/>
      <c r="I52" s="283">
        <f>Personnel!Q52</f>
        <v>0</v>
      </c>
      <c r="J52" s="284">
        <f t="shared" si="2"/>
        <v>0</v>
      </c>
      <c r="K52" s="284">
        <f t="shared" si="3"/>
        <v>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5" customHeight="1">
      <c r="A53" s="7">
        <f t="shared" si="4"/>
        <v>49</v>
      </c>
      <c r="B53" s="3" t="str">
        <f>Personnel!B53</f>
        <v>Vacant</v>
      </c>
      <c r="C53" s="3">
        <f>Personnel!C53</f>
        <v>0</v>
      </c>
      <c r="D53" s="3">
        <f>Personnel!F53</f>
        <v>0</v>
      </c>
      <c r="E53" s="281">
        <f>Personnel!L53</f>
        <v>0</v>
      </c>
      <c r="F53" s="282">
        <f t="shared" si="0"/>
        <v>0</v>
      </c>
      <c r="G53" s="282">
        <f t="shared" si="1"/>
        <v>0</v>
      </c>
      <c r="H53" s="224"/>
      <c r="I53" s="283">
        <f>Personnel!Q53</f>
        <v>0</v>
      </c>
      <c r="J53" s="284">
        <f t="shared" si="2"/>
        <v>0</v>
      </c>
      <c r="K53" s="284">
        <f t="shared" si="3"/>
        <v>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5" customHeight="1">
      <c r="A54" s="5"/>
      <c r="B54" s="3"/>
      <c r="C54" s="3"/>
      <c r="D54" s="3"/>
      <c r="E54" s="290"/>
      <c r="F54" s="291"/>
      <c r="G54" s="291"/>
      <c r="H54" s="224"/>
      <c r="I54" s="292"/>
      <c r="J54" s="292"/>
      <c r="K54" s="292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5" customHeight="1">
      <c r="A55" s="5"/>
      <c r="B55" s="3"/>
      <c r="C55" s="3"/>
      <c r="D55" s="3"/>
      <c r="E55" s="293">
        <f t="shared" ref="E55:G55" si="5">SUM(E5:E54)</f>
        <v>2340934.2275999999</v>
      </c>
      <c r="F55" s="293">
        <f t="shared" si="5"/>
        <v>145137.92211120002</v>
      </c>
      <c r="G55" s="293">
        <f t="shared" si="5"/>
        <v>33943.546300200003</v>
      </c>
      <c r="H55" s="224"/>
      <c r="I55" s="294">
        <f t="shared" ref="I55:K55" si="6">SUM(I5:I54)</f>
        <v>2733946.5192</v>
      </c>
      <c r="J55" s="294">
        <f t="shared" si="6"/>
        <v>169504.68419040009</v>
      </c>
      <c r="K55" s="294">
        <f t="shared" si="6"/>
        <v>39642.22452839998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5" customHeight="1">
      <c r="A56" s="5"/>
      <c r="B56" s="3"/>
      <c r="C56" s="3"/>
      <c r="D56" s="3"/>
      <c r="E56" s="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3.5" customHeight="1">
      <c r="A57" s="5"/>
      <c r="B57" s="3"/>
      <c r="C57" s="3"/>
      <c r="D57" s="3"/>
      <c r="E57" s="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.5" customHeight="1">
      <c r="A58" s="5"/>
      <c r="B58" s="3"/>
      <c r="C58" s="3"/>
      <c r="D58" s="3"/>
      <c r="E58" s="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.5" customHeight="1">
      <c r="A59" s="5"/>
      <c r="B59" s="3"/>
      <c r="C59" s="3"/>
      <c r="D59" s="3"/>
      <c r="E59" s="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.5" customHeight="1">
      <c r="A60" s="5"/>
      <c r="B60" s="3"/>
      <c r="C60" s="3"/>
      <c r="D60" s="3"/>
      <c r="E60" s="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5" customHeight="1">
      <c r="A61" s="5"/>
      <c r="B61" s="3"/>
      <c r="C61" s="3"/>
      <c r="D61" s="3"/>
      <c r="E61" s="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.5" customHeight="1">
      <c r="A62" s="5"/>
      <c r="B62" s="3"/>
      <c r="C62" s="3"/>
      <c r="D62" s="3"/>
      <c r="E62" s="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.5" customHeight="1">
      <c r="A63" s="5"/>
      <c r="B63" s="3"/>
      <c r="C63" s="3"/>
      <c r="D63" s="3"/>
      <c r="E63" s="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.5" customHeight="1">
      <c r="A64" s="5"/>
      <c r="B64" s="3"/>
      <c r="C64" s="3"/>
      <c r="D64" s="3"/>
      <c r="E64" s="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.5" customHeight="1">
      <c r="A65" s="5"/>
      <c r="B65" s="3"/>
      <c r="C65" s="3"/>
      <c r="D65" s="3"/>
      <c r="E65" s="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.5" customHeight="1">
      <c r="A66" s="5"/>
      <c r="B66" s="3"/>
      <c r="C66" s="3"/>
      <c r="D66" s="3"/>
      <c r="E66" s="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.5" customHeight="1">
      <c r="A67" s="5"/>
      <c r="B67" s="3"/>
      <c r="C67" s="3"/>
      <c r="D67" s="3"/>
      <c r="E67" s="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.5" customHeight="1">
      <c r="A68" s="5"/>
      <c r="B68" s="3"/>
      <c r="C68" s="3"/>
      <c r="D68" s="3"/>
      <c r="E68" s="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.5" customHeight="1">
      <c r="A69" s="5"/>
      <c r="B69" s="3"/>
      <c r="C69" s="3"/>
      <c r="D69" s="3"/>
      <c r="E69" s="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</sheetData>
  <mergeCells count="2">
    <mergeCell ref="E3:G3"/>
    <mergeCell ref="I3:K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</sheetPr>
  <dimension ref="A1:AC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4.44140625" defaultRowHeight="15" customHeight="1"/>
  <cols>
    <col min="1" max="1" width="3.5546875" customWidth="1"/>
    <col min="2" max="2" width="20.5546875" customWidth="1"/>
    <col min="3" max="3" width="26.109375" customWidth="1"/>
    <col min="4" max="4" width="16.109375" customWidth="1"/>
    <col min="5" max="5" width="21.5546875" customWidth="1"/>
    <col min="6" max="6" width="23.5546875" customWidth="1"/>
    <col min="7" max="7" width="22.44140625" hidden="1" customWidth="1"/>
    <col min="8" max="8" width="17.5546875" hidden="1" customWidth="1"/>
    <col min="9" max="9" width="14.77734375" hidden="1" customWidth="1"/>
    <col min="10" max="10" width="13.77734375" hidden="1" customWidth="1"/>
    <col min="11" max="11" width="0.44140625" customWidth="1"/>
    <col min="12" max="12" width="18.21875" customWidth="1"/>
    <col min="13" max="13" width="8.44140625" customWidth="1"/>
    <col min="14" max="14" width="14.109375" customWidth="1"/>
    <col min="15" max="15" width="19.109375" customWidth="1"/>
    <col min="16" max="16" width="13.77734375" customWidth="1"/>
    <col min="17" max="17" width="0.44140625" customWidth="1"/>
    <col min="18" max="18" width="17.5546875" customWidth="1"/>
    <col min="19" max="20" width="13.77734375" customWidth="1"/>
    <col min="21" max="21" width="15.77734375" customWidth="1"/>
    <col min="22" max="22" width="13.77734375" customWidth="1"/>
    <col min="23" max="23" width="0.44140625" customWidth="1"/>
    <col min="24" max="24" width="20.44140625" customWidth="1"/>
    <col min="25" max="26" width="13.77734375" customWidth="1"/>
    <col min="27" max="27" width="15.77734375" customWidth="1"/>
    <col min="28" max="28" width="13.77734375" customWidth="1"/>
    <col min="29" max="29" width="21" customWidth="1"/>
  </cols>
  <sheetData>
    <row r="1" spans="1:29" ht="13.5" customHeight="1">
      <c r="A1" s="222" t="s">
        <v>0</v>
      </c>
      <c r="B1" s="3"/>
      <c r="C1" s="3"/>
      <c r="D1" s="3"/>
      <c r="E1" s="3"/>
      <c r="F1" s="3"/>
      <c r="G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3.5" customHeight="1">
      <c r="A2" s="3" t="s">
        <v>541</v>
      </c>
      <c r="B2" s="3"/>
      <c r="C2" s="3"/>
      <c r="D2" s="3"/>
      <c r="E2" s="3"/>
      <c r="F2" s="3"/>
      <c r="G2" s="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3.5" customHeight="1">
      <c r="A3" s="5"/>
      <c r="B3" s="3"/>
      <c r="C3" s="3"/>
      <c r="D3" s="3"/>
      <c r="E3" s="3"/>
      <c r="F3" s="3"/>
      <c r="G3" s="343" t="s">
        <v>542</v>
      </c>
      <c r="H3" s="344"/>
      <c r="I3" s="344"/>
      <c r="J3" s="344"/>
      <c r="K3" s="5"/>
      <c r="L3" s="345" t="s">
        <v>543</v>
      </c>
      <c r="M3" s="346"/>
      <c r="N3" s="346"/>
      <c r="O3" s="346"/>
      <c r="P3" s="347"/>
      <c r="Q3" s="15"/>
      <c r="R3" s="348" t="s">
        <v>544</v>
      </c>
      <c r="S3" s="346"/>
      <c r="T3" s="346"/>
      <c r="U3" s="346"/>
      <c r="V3" s="347"/>
      <c r="W3" s="15"/>
      <c r="X3" s="349" t="s">
        <v>545</v>
      </c>
      <c r="Y3" s="346"/>
      <c r="Z3" s="346"/>
      <c r="AA3" s="346"/>
      <c r="AB3" s="347"/>
      <c r="AC3" s="5"/>
    </row>
    <row r="4" spans="1:29" ht="13.5" customHeight="1">
      <c r="A4" s="5"/>
      <c r="B4" s="226" t="s">
        <v>457</v>
      </c>
      <c r="C4" s="226" t="s">
        <v>458</v>
      </c>
      <c r="D4" s="225" t="s">
        <v>461</v>
      </c>
      <c r="E4" s="225" t="s">
        <v>537</v>
      </c>
      <c r="F4" s="226" t="s">
        <v>546</v>
      </c>
      <c r="G4" s="226" t="s">
        <v>547</v>
      </c>
      <c r="H4" s="295" t="s">
        <v>548</v>
      </c>
      <c r="I4" s="295" t="s">
        <v>549</v>
      </c>
      <c r="J4" s="295" t="s">
        <v>550</v>
      </c>
      <c r="K4" s="295"/>
      <c r="L4" s="296" t="s">
        <v>547</v>
      </c>
      <c r="M4" s="297" t="s">
        <v>551</v>
      </c>
      <c r="N4" s="297" t="s">
        <v>552</v>
      </c>
      <c r="O4" s="298" t="s">
        <v>549</v>
      </c>
      <c r="P4" s="298" t="s">
        <v>550</v>
      </c>
      <c r="Q4" s="15"/>
      <c r="R4" s="227" t="s">
        <v>547</v>
      </c>
      <c r="S4" s="299" t="s">
        <v>551</v>
      </c>
      <c r="T4" s="299" t="s">
        <v>552</v>
      </c>
      <c r="U4" s="300" t="s">
        <v>549</v>
      </c>
      <c r="V4" s="300" t="s">
        <v>550</v>
      </c>
      <c r="W4" s="15"/>
      <c r="X4" s="301" t="s">
        <v>547</v>
      </c>
      <c r="Y4" s="302" t="s">
        <v>551</v>
      </c>
      <c r="Z4" s="302" t="s">
        <v>552</v>
      </c>
      <c r="AA4" s="303" t="s">
        <v>549</v>
      </c>
      <c r="AB4" s="303" t="s">
        <v>550</v>
      </c>
      <c r="AC4" s="5"/>
    </row>
    <row r="5" spans="1:29" ht="13.5" customHeight="1">
      <c r="A5" s="7">
        <v>1</v>
      </c>
      <c r="B5" s="3" t="str">
        <f>Personnel!B5</f>
        <v>Coleman,Annedrea</v>
      </c>
      <c r="C5" s="3" t="str">
        <f>Personnel!C5</f>
        <v>Head of School/Principal</v>
      </c>
      <c r="D5" s="3" t="str">
        <f>Personnel!F5</f>
        <v>Active</v>
      </c>
      <c r="E5" s="172">
        <f>Personnel!Q5</f>
        <v>147289.91759999999</v>
      </c>
      <c r="F5" s="172"/>
      <c r="G5" s="172"/>
      <c r="H5" s="5"/>
      <c r="I5" s="304"/>
      <c r="J5" s="304"/>
      <c r="K5" s="5"/>
      <c r="L5" s="305" t="s">
        <v>553</v>
      </c>
      <c r="M5" s="306">
        <f>(1569.71*6)+(1569.71*110%*6)</f>
        <v>19778.346000000001</v>
      </c>
      <c r="N5" s="306">
        <f>359.85*24</f>
        <v>8636.4000000000015</v>
      </c>
      <c r="O5" s="306"/>
      <c r="P5" s="306">
        <f t="shared" ref="P5:P53" si="0">M5+O5-N5</f>
        <v>11141.946</v>
      </c>
      <c r="Q5" s="15"/>
      <c r="R5" s="307" t="s">
        <v>554</v>
      </c>
      <c r="S5" s="308">
        <f>(132.1*6)+(132.1*110%*6)</f>
        <v>1664.46</v>
      </c>
      <c r="T5" s="308">
        <f>20.78*24</f>
        <v>498.72</v>
      </c>
      <c r="U5" s="308"/>
      <c r="V5" s="308">
        <f t="shared" ref="V5:V53" si="1">S5+U5-T5</f>
        <v>1165.74</v>
      </c>
      <c r="W5" s="15"/>
      <c r="X5" s="309" t="s">
        <v>555</v>
      </c>
      <c r="Y5" s="310">
        <f>(14.74*6)+(14.74*110%*6)</f>
        <v>185.72400000000002</v>
      </c>
      <c r="Z5" s="310">
        <f>2.04*24</f>
        <v>48.96</v>
      </c>
      <c r="AA5" s="310"/>
      <c r="AB5" s="310">
        <f t="shared" ref="AB5:AB53" si="2">Y5+AA5-Z5</f>
        <v>136.76400000000001</v>
      </c>
      <c r="AC5" s="5" t="s">
        <v>556</v>
      </c>
    </row>
    <row r="6" spans="1:29" ht="13.5" customHeight="1">
      <c r="A6" s="7">
        <f t="shared" ref="A6:A53" si="3">A5+1</f>
        <v>2</v>
      </c>
      <c r="B6" s="3" t="str">
        <f>Personnel!B6</f>
        <v>Williams,Diana</v>
      </c>
      <c r="C6" s="3" t="str">
        <f>Personnel!C6</f>
        <v>Assistant Head of School</v>
      </c>
      <c r="D6" s="3" t="str">
        <f>Personnel!F6</f>
        <v>Active</v>
      </c>
      <c r="E6" s="172">
        <f>Personnel!Q6</f>
        <v>0</v>
      </c>
      <c r="F6" s="172"/>
      <c r="G6" s="172" t="s">
        <v>557</v>
      </c>
      <c r="H6" s="5" t="s">
        <v>558</v>
      </c>
      <c r="I6" s="304"/>
      <c r="J6" s="304">
        <f t="shared" ref="J6:J7" si="4">(322.5*2)*12</f>
        <v>7740</v>
      </c>
      <c r="K6" s="5"/>
      <c r="L6" s="305"/>
      <c r="M6" s="306"/>
      <c r="N6" s="306"/>
      <c r="O6" s="306"/>
      <c r="P6" s="306">
        <f t="shared" si="0"/>
        <v>0</v>
      </c>
      <c r="Q6" s="15"/>
      <c r="R6" s="307"/>
      <c r="S6" s="308"/>
      <c r="T6" s="308"/>
      <c r="U6" s="308"/>
      <c r="V6" s="308">
        <f t="shared" si="1"/>
        <v>0</v>
      </c>
      <c r="W6" s="15"/>
      <c r="X6" s="309"/>
      <c r="Y6" s="310"/>
      <c r="Z6" s="310"/>
      <c r="AA6" s="310"/>
      <c r="AB6" s="310">
        <f t="shared" si="2"/>
        <v>0</v>
      </c>
      <c r="AC6" s="5" t="s">
        <v>559</v>
      </c>
    </row>
    <row r="7" spans="1:29" ht="13.5" customHeight="1">
      <c r="A7" s="7">
        <f t="shared" si="3"/>
        <v>3</v>
      </c>
      <c r="B7" s="3" t="str">
        <f>Personnel!B7</f>
        <v>Gordon,Deborah-Ann</v>
      </c>
      <c r="C7" s="3" t="str">
        <f>Personnel!C7</f>
        <v>Dean of Curriculum &amp; Instruction</v>
      </c>
      <c r="D7" s="3" t="str">
        <f>Personnel!F7</f>
        <v>Active</v>
      </c>
      <c r="E7" s="172">
        <f>Personnel!Q7</f>
        <v>84949.291200000007</v>
      </c>
      <c r="F7" s="172"/>
      <c r="G7" s="172" t="s">
        <v>557</v>
      </c>
      <c r="H7" s="5" t="s">
        <v>558</v>
      </c>
      <c r="I7" s="304"/>
      <c r="J7" s="304">
        <f t="shared" si="4"/>
        <v>7740</v>
      </c>
      <c r="K7" s="5"/>
      <c r="L7" s="305" t="s">
        <v>553</v>
      </c>
      <c r="M7" s="306">
        <f>(923.36*6)+(923.36*110%*6)</f>
        <v>11634.336000000001</v>
      </c>
      <c r="N7" s="306">
        <f>36.68*24</f>
        <v>880.31999999999994</v>
      </c>
      <c r="O7" s="306"/>
      <c r="P7" s="306">
        <f t="shared" si="0"/>
        <v>10754.016000000001</v>
      </c>
      <c r="Q7" s="15"/>
      <c r="R7" s="307" t="s">
        <v>554</v>
      </c>
      <c r="S7" s="308">
        <f>(51.5*6)+(51.5*110%*6)</f>
        <v>648.90000000000009</v>
      </c>
      <c r="T7" s="308"/>
      <c r="U7" s="308"/>
      <c r="V7" s="308">
        <f t="shared" si="1"/>
        <v>648.90000000000009</v>
      </c>
      <c r="W7" s="15"/>
      <c r="X7" s="309" t="s">
        <v>555</v>
      </c>
      <c r="Y7" s="310">
        <f>(7.36*6)+(7.36*110%*6)</f>
        <v>92.736000000000018</v>
      </c>
      <c r="Z7" s="310"/>
      <c r="AA7" s="310"/>
      <c r="AB7" s="310">
        <f t="shared" si="2"/>
        <v>92.736000000000018</v>
      </c>
      <c r="AC7" s="5" t="s">
        <v>556</v>
      </c>
    </row>
    <row r="8" spans="1:29" ht="14.25" customHeight="1">
      <c r="A8" s="7">
        <f t="shared" si="3"/>
        <v>4</v>
      </c>
      <c r="B8" s="3" t="str">
        <f>Personnel!B8</f>
        <v>Payne,Ty-Quan</v>
      </c>
      <c r="C8" s="3" t="str">
        <f>Personnel!C8</f>
        <v xml:space="preserve">Dean of School Culture </v>
      </c>
      <c r="D8" s="3" t="str">
        <f>Personnel!F8</f>
        <v>Active</v>
      </c>
      <c r="E8" s="172">
        <f>Personnel!Q8</f>
        <v>90639.835200000001</v>
      </c>
      <c r="F8" s="172"/>
      <c r="G8" s="172"/>
      <c r="H8" s="5"/>
      <c r="I8" s="304"/>
      <c r="J8" s="304"/>
      <c r="K8" s="5"/>
      <c r="L8" s="305" t="s">
        <v>553</v>
      </c>
      <c r="M8" s="306">
        <f>(1764.76*6)+(1764.76*110%*6)</f>
        <v>22235.976000000002</v>
      </c>
      <c r="N8" s="306">
        <f>457.3*24</f>
        <v>10975.2</v>
      </c>
      <c r="O8" s="306"/>
      <c r="P8" s="306">
        <f t="shared" si="0"/>
        <v>11260.776000000002</v>
      </c>
      <c r="Q8" s="15"/>
      <c r="R8" s="307" t="s">
        <v>554</v>
      </c>
      <c r="S8" s="308">
        <f>(132.1*6)+(132.1*110%*6)</f>
        <v>1664.46</v>
      </c>
      <c r="T8" s="308">
        <f>20.78*24</f>
        <v>498.72</v>
      </c>
      <c r="U8" s="308"/>
      <c r="V8" s="308">
        <f t="shared" si="1"/>
        <v>1165.74</v>
      </c>
      <c r="W8" s="15"/>
      <c r="X8" s="309" t="s">
        <v>555</v>
      </c>
      <c r="Y8" s="310">
        <f>(14.74*6)+(14.74*110%*6)</f>
        <v>185.72400000000002</v>
      </c>
      <c r="Z8" s="310">
        <f>2.04*24</f>
        <v>48.96</v>
      </c>
      <c r="AA8" s="310"/>
      <c r="AB8" s="310">
        <f t="shared" si="2"/>
        <v>136.76400000000001</v>
      </c>
      <c r="AC8" s="5" t="s">
        <v>556</v>
      </c>
    </row>
    <row r="9" spans="1:29" ht="13.5" customHeight="1">
      <c r="A9" s="7">
        <f t="shared" si="3"/>
        <v>5</v>
      </c>
      <c r="B9" s="3" t="str">
        <f>Personnel!B9</f>
        <v>Parker,Brandon</v>
      </c>
      <c r="C9" s="3" t="str">
        <f>Personnel!C9</f>
        <v>Director of Operations</v>
      </c>
      <c r="D9" s="3" t="str">
        <f>Personnel!F9</f>
        <v>Active</v>
      </c>
      <c r="E9" s="172">
        <f>Personnel!Q9</f>
        <v>116500</v>
      </c>
      <c r="F9" s="172"/>
      <c r="G9" s="172"/>
      <c r="H9" s="5"/>
      <c r="I9" s="304"/>
      <c r="J9" s="304"/>
      <c r="K9" s="5"/>
      <c r="L9" s="305" t="s">
        <v>553</v>
      </c>
      <c r="M9" s="306">
        <f t="shared" ref="M9:M11" si="5">(923.36*6)+(923.36*110%*6)</f>
        <v>11634.336000000001</v>
      </c>
      <c r="N9" s="306">
        <f>36.68*24</f>
        <v>880.31999999999994</v>
      </c>
      <c r="O9" s="306"/>
      <c r="P9" s="306">
        <f t="shared" si="0"/>
        <v>10754.016000000001</v>
      </c>
      <c r="Q9" s="15"/>
      <c r="R9" s="307" t="s">
        <v>560</v>
      </c>
      <c r="S9" s="308">
        <f>(11.6*6)+(11.6*110%*6)</f>
        <v>146.16</v>
      </c>
      <c r="T9" s="308"/>
      <c r="U9" s="308"/>
      <c r="V9" s="308">
        <f t="shared" si="1"/>
        <v>146.16</v>
      </c>
      <c r="W9" s="15"/>
      <c r="X9" s="309" t="s">
        <v>555</v>
      </c>
      <c r="Y9" s="310">
        <f t="shared" ref="Y9:Y11" si="6">(7.36*6)+(7.36*110%*6)</f>
        <v>92.736000000000018</v>
      </c>
      <c r="Z9" s="310"/>
      <c r="AA9" s="310"/>
      <c r="AB9" s="310">
        <f t="shared" si="2"/>
        <v>92.736000000000018</v>
      </c>
      <c r="AC9" s="5"/>
    </row>
    <row r="10" spans="1:29" ht="13.5" customHeight="1">
      <c r="A10" s="7">
        <f t="shared" si="3"/>
        <v>6</v>
      </c>
      <c r="B10" s="3" t="str">
        <f>Personnel!B10</f>
        <v>Kayode,Temitope</v>
      </c>
      <c r="C10" s="3" t="str">
        <f>Personnel!C10</f>
        <v>Operations Manager</v>
      </c>
      <c r="D10" s="3" t="str">
        <f>Personnel!F10</f>
        <v>Active</v>
      </c>
      <c r="E10" s="172">
        <f>Personnel!Q10</f>
        <v>67568.164799999999</v>
      </c>
      <c r="F10" s="172"/>
      <c r="G10" s="172"/>
      <c r="H10" s="5"/>
      <c r="I10" s="304"/>
      <c r="J10" s="304"/>
      <c r="K10" s="5"/>
      <c r="L10" s="305" t="s">
        <v>553</v>
      </c>
      <c r="M10" s="306">
        <f t="shared" si="5"/>
        <v>11634.336000000001</v>
      </c>
      <c r="N10" s="306"/>
      <c r="O10" s="306"/>
      <c r="P10" s="306">
        <f t="shared" si="0"/>
        <v>11634.336000000001</v>
      </c>
      <c r="Q10" s="15"/>
      <c r="R10" s="307" t="s">
        <v>554</v>
      </c>
      <c r="S10" s="308">
        <f t="shared" ref="S10:S11" si="7">(51.5*6)+(51.5*110%*6)</f>
        <v>648.90000000000009</v>
      </c>
      <c r="T10" s="308"/>
      <c r="U10" s="308"/>
      <c r="V10" s="308">
        <f t="shared" si="1"/>
        <v>648.90000000000009</v>
      </c>
      <c r="W10" s="15"/>
      <c r="X10" s="309" t="s">
        <v>555</v>
      </c>
      <c r="Y10" s="310">
        <f t="shared" si="6"/>
        <v>92.736000000000018</v>
      </c>
      <c r="Z10" s="310"/>
      <c r="AA10" s="310"/>
      <c r="AB10" s="310">
        <f t="shared" si="2"/>
        <v>92.736000000000018</v>
      </c>
      <c r="AC10" s="5" t="s">
        <v>556</v>
      </c>
    </row>
    <row r="11" spans="1:29" ht="13.5" customHeight="1">
      <c r="A11" s="7">
        <f t="shared" si="3"/>
        <v>7</v>
      </c>
      <c r="B11" s="3" t="str">
        <f>Personnel!B11</f>
        <v>Rosario,Mark</v>
      </c>
      <c r="C11" s="3" t="str">
        <f>Personnel!C11</f>
        <v xml:space="preserve">Associate Dean of School Culture </v>
      </c>
      <c r="D11" s="3" t="str">
        <f>Personnel!F11</f>
        <v>Active</v>
      </c>
      <c r="E11" s="172">
        <f>Personnel!Q11</f>
        <v>0</v>
      </c>
      <c r="F11" s="172"/>
      <c r="G11" s="172"/>
      <c r="H11" s="5"/>
      <c r="I11" s="304"/>
      <c r="J11" s="304"/>
      <c r="K11" s="5"/>
      <c r="L11" s="305" t="s">
        <v>553</v>
      </c>
      <c r="M11" s="306">
        <f t="shared" si="5"/>
        <v>11634.336000000001</v>
      </c>
      <c r="N11" s="306">
        <f>36.68*24</f>
        <v>880.31999999999994</v>
      </c>
      <c r="O11" s="306"/>
      <c r="P11" s="306">
        <f t="shared" si="0"/>
        <v>10754.016000000001</v>
      </c>
      <c r="Q11" s="15"/>
      <c r="R11" s="307" t="s">
        <v>554</v>
      </c>
      <c r="S11" s="308">
        <f t="shared" si="7"/>
        <v>648.90000000000009</v>
      </c>
      <c r="T11" s="308"/>
      <c r="U11" s="308"/>
      <c r="V11" s="308">
        <f t="shared" si="1"/>
        <v>648.90000000000009</v>
      </c>
      <c r="W11" s="15"/>
      <c r="X11" s="309" t="s">
        <v>555</v>
      </c>
      <c r="Y11" s="310">
        <f t="shared" si="6"/>
        <v>92.736000000000018</v>
      </c>
      <c r="Z11" s="310"/>
      <c r="AA11" s="310"/>
      <c r="AB11" s="310">
        <f t="shared" si="2"/>
        <v>92.736000000000018</v>
      </c>
      <c r="AC11" s="5" t="s">
        <v>556</v>
      </c>
    </row>
    <row r="12" spans="1:29" ht="13.5" customHeight="1">
      <c r="A12" s="7">
        <f t="shared" si="3"/>
        <v>8</v>
      </c>
      <c r="B12" s="3" t="str">
        <f>Personnel!B12</f>
        <v>Dellile,Miltiade</v>
      </c>
      <c r="C12" s="3" t="str">
        <f>Personnel!C12</f>
        <v>Regular Teacher</v>
      </c>
      <c r="D12" s="3" t="str">
        <f>Personnel!F12</f>
        <v>Active</v>
      </c>
      <c r="E12" s="172">
        <f>Personnel!Q12</f>
        <v>85000</v>
      </c>
      <c r="F12" s="172"/>
      <c r="G12" s="172"/>
      <c r="H12" s="5"/>
      <c r="I12" s="304"/>
      <c r="J12" s="304"/>
      <c r="K12" s="5"/>
      <c r="L12" s="305"/>
      <c r="M12" s="306"/>
      <c r="N12" s="306"/>
      <c r="O12" s="306">
        <f>50*24</f>
        <v>1200</v>
      </c>
      <c r="P12" s="306">
        <f t="shared" si="0"/>
        <v>1200</v>
      </c>
      <c r="Q12" s="15"/>
      <c r="R12" s="307"/>
      <c r="S12" s="308"/>
      <c r="T12" s="308"/>
      <c r="U12" s="308"/>
      <c r="V12" s="308">
        <f t="shared" si="1"/>
        <v>0</v>
      </c>
      <c r="W12" s="15"/>
      <c r="X12" s="309"/>
      <c r="Y12" s="310"/>
      <c r="Z12" s="310"/>
      <c r="AA12" s="310"/>
      <c r="AB12" s="310">
        <f t="shared" si="2"/>
        <v>0</v>
      </c>
      <c r="AC12" s="5"/>
    </row>
    <row r="13" spans="1:29" ht="13.5" customHeight="1">
      <c r="A13" s="7">
        <f t="shared" si="3"/>
        <v>9</v>
      </c>
      <c r="B13" s="3" t="str">
        <f>Personnel!B13</f>
        <v>Johnson , Daniel Benjamin</v>
      </c>
      <c r="C13" s="3" t="str">
        <f>Personnel!C13</f>
        <v>Regular Teacher</v>
      </c>
      <c r="D13" s="3" t="s">
        <v>561</v>
      </c>
      <c r="E13" s="172">
        <f>Personnel!Q13</f>
        <v>0</v>
      </c>
      <c r="F13" s="172"/>
      <c r="G13" s="172"/>
      <c r="H13" s="5"/>
      <c r="I13" s="304"/>
      <c r="J13" s="304"/>
      <c r="K13" s="5"/>
      <c r="L13" s="305"/>
      <c r="M13" s="306"/>
      <c r="N13" s="306"/>
      <c r="O13" s="306"/>
      <c r="P13" s="306">
        <f t="shared" si="0"/>
        <v>0</v>
      </c>
      <c r="Q13" s="15"/>
      <c r="R13" s="307"/>
      <c r="S13" s="308"/>
      <c r="T13" s="308"/>
      <c r="U13" s="308"/>
      <c r="V13" s="308">
        <f t="shared" si="1"/>
        <v>0</v>
      </c>
      <c r="W13" s="15"/>
      <c r="X13" s="309"/>
      <c r="Y13" s="310"/>
      <c r="Z13" s="310"/>
      <c r="AA13" s="310"/>
      <c r="AB13" s="310">
        <f t="shared" si="2"/>
        <v>0</v>
      </c>
      <c r="AC13" s="5"/>
    </row>
    <row r="14" spans="1:29" ht="13.5" customHeight="1">
      <c r="A14" s="7">
        <f t="shared" si="3"/>
        <v>10</v>
      </c>
      <c r="B14" s="3" t="str">
        <f>Personnel!B14</f>
        <v>Durieux,Montana</v>
      </c>
      <c r="C14" s="3" t="str">
        <f>Personnel!C14</f>
        <v>Regular Teacher</v>
      </c>
      <c r="D14" s="3" t="str">
        <f>Personnel!F14</f>
        <v>Active</v>
      </c>
      <c r="E14" s="172">
        <f>Personnel!Q14</f>
        <v>67266.828000000009</v>
      </c>
      <c r="F14" s="172"/>
      <c r="G14" s="172" t="s">
        <v>562</v>
      </c>
      <c r="H14" s="5"/>
      <c r="I14" s="304">
        <f>(50*2)*12</f>
        <v>1200</v>
      </c>
      <c r="J14" s="304"/>
      <c r="K14" s="5"/>
      <c r="L14" s="305" t="s">
        <v>553</v>
      </c>
      <c r="M14" s="306">
        <f>(718.51*6)+(718.51*110%*6)</f>
        <v>9053.2260000000006</v>
      </c>
      <c r="N14" s="306"/>
      <c r="O14" s="306"/>
      <c r="P14" s="306">
        <f t="shared" si="0"/>
        <v>9053.2260000000006</v>
      </c>
      <c r="Q14" s="15"/>
      <c r="R14" s="307" t="s">
        <v>554</v>
      </c>
      <c r="S14" s="308">
        <f>(51.5*6)+(51.5*110%*6)</f>
        <v>648.90000000000009</v>
      </c>
      <c r="T14" s="308"/>
      <c r="U14" s="308"/>
      <c r="V14" s="308">
        <f t="shared" si="1"/>
        <v>648.90000000000009</v>
      </c>
      <c r="W14" s="15"/>
      <c r="X14" s="309" t="s">
        <v>555</v>
      </c>
      <c r="Y14" s="310">
        <f>(7.36*6)+(7.36*110%*6)</f>
        <v>92.736000000000018</v>
      </c>
      <c r="Z14" s="310"/>
      <c r="AA14" s="310"/>
      <c r="AB14" s="310">
        <f t="shared" si="2"/>
        <v>92.736000000000018</v>
      </c>
      <c r="AC14" s="5" t="s">
        <v>556</v>
      </c>
    </row>
    <row r="15" spans="1:29" ht="13.5" customHeight="1">
      <c r="A15" s="7">
        <f t="shared" si="3"/>
        <v>11</v>
      </c>
      <c r="B15" s="3" t="str">
        <f>Personnel!B15</f>
        <v>Clarke,Onyx</v>
      </c>
      <c r="C15" s="3" t="str">
        <f>Personnel!C15</f>
        <v>Regular Teacher</v>
      </c>
      <c r="D15" s="3" t="str">
        <f>Personnel!F15</f>
        <v>Active</v>
      </c>
      <c r="E15" s="172">
        <f>Personnel!Q15</f>
        <v>0</v>
      </c>
      <c r="F15" s="172"/>
      <c r="G15" s="172" t="s">
        <v>563</v>
      </c>
      <c r="H15" s="5" t="s">
        <v>558</v>
      </c>
      <c r="I15" s="304"/>
      <c r="J15" s="304">
        <f t="shared" ref="J15:J17" si="8">(322.5*2)*12</f>
        <v>7740</v>
      </c>
      <c r="K15" s="5"/>
      <c r="L15" s="305"/>
      <c r="M15" s="306"/>
      <c r="N15" s="306"/>
      <c r="O15" s="306"/>
      <c r="P15" s="306">
        <f t="shared" si="0"/>
        <v>0</v>
      </c>
      <c r="Q15" s="15"/>
      <c r="R15" s="307"/>
      <c r="S15" s="308"/>
      <c r="T15" s="308"/>
      <c r="U15" s="308"/>
      <c r="V15" s="308">
        <f t="shared" si="1"/>
        <v>0</v>
      </c>
      <c r="W15" s="15"/>
      <c r="X15" s="309"/>
      <c r="Y15" s="310"/>
      <c r="Z15" s="310"/>
      <c r="AA15" s="310"/>
      <c r="AB15" s="310">
        <f t="shared" si="2"/>
        <v>0</v>
      </c>
      <c r="AC15" s="5" t="s">
        <v>564</v>
      </c>
    </row>
    <row r="16" spans="1:29" ht="13.5" customHeight="1">
      <c r="A16" s="7">
        <f t="shared" si="3"/>
        <v>12</v>
      </c>
      <c r="B16" s="3" t="str">
        <f>Personnel!B16</f>
        <v>Roberts Jelicia</v>
      </c>
      <c r="C16" s="3" t="str">
        <f>Personnel!C16</f>
        <v>Operations Associate</v>
      </c>
      <c r="D16" s="3" t="str">
        <f>Personnel!F16</f>
        <v>Active</v>
      </c>
      <c r="E16" s="172">
        <f>Personnel!Q16</f>
        <v>46999.44</v>
      </c>
      <c r="F16" s="172"/>
      <c r="G16" s="172" t="s">
        <v>565</v>
      </c>
      <c r="H16" s="5" t="s">
        <v>558</v>
      </c>
      <c r="I16" s="304"/>
      <c r="J16" s="304">
        <f t="shared" si="8"/>
        <v>7740</v>
      </c>
      <c r="K16" s="5"/>
      <c r="L16" s="305"/>
      <c r="M16" s="306"/>
      <c r="N16" s="306"/>
      <c r="O16" s="306">
        <f t="shared" ref="O16:O17" si="9">50*24</f>
        <v>1200</v>
      </c>
      <c r="P16" s="306">
        <f t="shared" si="0"/>
        <v>1200</v>
      </c>
      <c r="Q16" s="15"/>
      <c r="R16" s="307"/>
      <c r="S16" s="308"/>
      <c r="T16" s="308"/>
      <c r="U16" s="308"/>
      <c r="V16" s="308">
        <f t="shared" si="1"/>
        <v>0</v>
      </c>
      <c r="W16" s="15"/>
      <c r="X16" s="309"/>
      <c r="Y16" s="310"/>
      <c r="Z16" s="310"/>
      <c r="AA16" s="310"/>
      <c r="AB16" s="310">
        <f t="shared" si="2"/>
        <v>0</v>
      </c>
      <c r="AC16" s="5"/>
    </row>
    <row r="17" spans="1:29" ht="13.5" customHeight="1">
      <c r="A17" s="7">
        <f t="shared" si="3"/>
        <v>13</v>
      </c>
      <c r="B17" s="3" t="str">
        <f>Personnel!B17</f>
        <v>Campbell,Makayla</v>
      </c>
      <c r="C17" s="3" t="str">
        <f>Personnel!C17</f>
        <v>Regular Teacher</v>
      </c>
      <c r="D17" s="3" t="str">
        <f>Personnel!F17</f>
        <v>Active</v>
      </c>
      <c r="E17" s="172">
        <f>Personnel!Q17</f>
        <v>61182</v>
      </c>
      <c r="F17" s="172"/>
      <c r="G17" s="172" t="s">
        <v>566</v>
      </c>
      <c r="H17" s="5" t="s">
        <v>558</v>
      </c>
      <c r="I17" s="304"/>
      <c r="J17" s="304">
        <f t="shared" si="8"/>
        <v>7740</v>
      </c>
      <c r="K17" s="5"/>
      <c r="L17" s="305"/>
      <c r="M17" s="306"/>
      <c r="N17" s="306"/>
      <c r="O17" s="306">
        <f t="shared" si="9"/>
        <v>1200</v>
      </c>
      <c r="P17" s="306">
        <f t="shared" si="0"/>
        <v>1200</v>
      </c>
      <c r="Q17" s="15"/>
      <c r="R17" s="307"/>
      <c r="S17" s="308"/>
      <c r="T17" s="308"/>
      <c r="U17" s="308"/>
      <c r="V17" s="308">
        <f t="shared" si="1"/>
        <v>0</v>
      </c>
      <c r="W17" s="15"/>
      <c r="X17" s="309"/>
      <c r="Y17" s="310"/>
      <c r="Z17" s="310"/>
      <c r="AA17" s="310"/>
      <c r="AB17" s="310">
        <f t="shared" si="2"/>
        <v>0</v>
      </c>
      <c r="AC17" s="5"/>
    </row>
    <row r="18" spans="1:29" ht="14.25" customHeight="1">
      <c r="A18" s="7">
        <f t="shared" si="3"/>
        <v>14</v>
      </c>
      <c r="B18" s="3" t="str">
        <f>Personnel!B18</f>
        <v>Roberts, Shanell Ornella</v>
      </c>
      <c r="C18" s="3" t="str">
        <f>Personnel!C18</f>
        <v>Regular Teacher</v>
      </c>
      <c r="D18" s="3" t="str">
        <f>Personnel!F18</f>
        <v>Active</v>
      </c>
      <c r="E18" s="172">
        <f>Personnel!Q18</f>
        <v>73645.082399999999</v>
      </c>
      <c r="F18" s="172"/>
      <c r="G18" s="172" t="s">
        <v>563</v>
      </c>
      <c r="H18" s="5" t="s">
        <v>567</v>
      </c>
      <c r="I18" s="304"/>
      <c r="J18" s="304">
        <f>(623*2)*12</f>
        <v>14952</v>
      </c>
      <c r="K18" s="5"/>
      <c r="L18" s="305" t="s">
        <v>553</v>
      </c>
      <c r="M18" s="306">
        <f>(923.36*6)+(923.36*110%*6)</f>
        <v>11634.336000000001</v>
      </c>
      <c r="N18" s="306">
        <f>36.68*24</f>
        <v>880.31999999999994</v>
      </c>
      <c r="O18" s="306"/>
      <c r="P18" s="306">
        <f t="shared" si="0"/>
        <v>10754.016000000001</v>
      </c>
      <c r="Q18" s="15"/>
      <c r="R18" s="307" t="s">
        <v>554</v>
      </c>
      <c r="S18" s="308">
        <f>(51.5*6)+(51.5*110%*6)</f>
        <v>648.90000000000009</v>
      </c>
      <c r="T18" s="308"/>
      <c r="U18" s="308"/>
      <c r="V18" s="308">
        <f t="shared" si="1"/>
        <v>648.90000000000009</v>
      </c>
      <c r="W18" s="15"/>
      <c r="X18" s="309" t="s">
        <v>555</v>
      </c>
      <c r="Y18" s="310">
        <f>(7.36*6)+(7.36*110%*6)</f>
        <v>92.736000000000018</v>
      </c>
      <c r="Z18" s="310"/>
      <c r="AA18" s="310"/>
      <c r="AB18" s="310">
        <f t="shared" si="2"/>
        <v>92.736000000000018</v>
      </c>
      <c r="AC18" s="5"/>
    </row>
    <row r="19" spans="1:29" ht="13.5" customHeight="1">
      <c r="A19" s="7">
        <f t="shared" si="3"/>
        <v>15</v>
      </c>
      <c r="B19" s="3" t="str">
        <f>Personnel!B19</f>
        <v>Feyrer,Mina</v>
      </c>
      <c r="C19" s="3" t="str">
        <f>Personnel!C19</f>
        <v>Regular Teacher</v>
      </c>
      <c r="D19" s="3" t="str">
        <f>Personnel!F19</f>
        <v>Active</v>
      </c>
      <c r="E19" s="172">
        <f>Personnel!Q19</f>
        <v>0</v>
      </c>
      <c r="F19" s="172"/>
      <c r="G19" s="172" t="s">
        <v>565</v>
      </c>
      <c r="H19" s="5" t="s">
        <v>558</v>
      </c>
      <c r="I19" s="304"/>
      <c r="J19" s="304">
        <f>(322.5*2)*12</f>
        <v>7740</v>
      </c>
      <c r="K19" s="5"/>
      <c r="L19" s="305"/>
      <c r="M19" s="306"/>
      <c r="N19" s="306"/>
      <c r="O19" s="306"/>
      <c r="P19" s="306">
        <f t="shared" si="0"/>
        <v>0</v>
      </c>
      <c r="Q19" s="15"/>
      <c r="R19" s="307"/>
      <c r="S19" s="308"/>
      <c r="T19" s="308"/>
      <c r="U19" s="308"/>
      <c r="V19" s="308">
        <f t="shared" si="1"/>
        <v>0</v>
      </c>
      <c r="W19" s="15"/>
      <c r="X19" s="309"/>
      <c r="Y19" s="310"/>
      <c r="Z19" s="310"/>
      <c r="AA19" s="310"/>
      <c r="AB19" s="310">
        <f t="shared" si="2"/>
        <v>0</v>
      </c>
      <c r="AC19" s="5" t="s">
        <v>556</v>
      </c>
    </row>
    <row r="20" spans="1:29" ht="13.5" customHeight="1">
      <c r="A20" s="7">
        <f t="shared" si="3"/>
        <v>16</v>
      </c>
      <c r="B20" s="3" t="str">
        <f>Personnel!B20</f>
        <v>Yearwood,Nadia Lisa</v>
      </c>
      <c r="C20" s="3" t="str">
        <f>Personnel!C20</f>
        <v>Regular Teacher</v>
      </c>
      <c r="D20" s="3" t="str">
        <f>Personnel!F20</f>
        <v>Active</v>
      </c>
      <c r="E20" s="172">
        <f>Personnel!Q20</f>
        <v>70651.49040000001</v>
      </c>
      <c r="F20" s="172"/>
      <c r="G20" s="172" t="s">
        <v>562</v>
      </c>
      <c r="H20" s="5"/>
      <c r="I20" s="304">
        <f t="shared" ref="I20:I21" si="10">(50*2)*12</f>
        <v>1200</v>
      </c>
      <c r="J20" s="304"/>
      <c r="K20" s="5"/>
      <c r="L20" s="305" t="s">
        <v>553</v>
      </c>
      <c r="M20" s="306">
        <f>(923.36*6)+(923.36*110%*6)</f>
        <v>11634.336000000001</v>
      </c>
      <c r="N20" s="306">
        <f>36.68*24</f>
        <v>880.31999999999994</v>
      </c>
      <c r="O20" s="306"/>
      <c r="P20" s="306">
        <f t="shared" si="0"/>
        <v>10754.016000000001</v>
      </c>
      <c r="Q20" s="15"/>
      <c r="R20" s="307" t="s">
        <v>554</v>
      </c>
      <c r="S20" s="308">
        <f t="shared" ref="S20:S23" si="11">(51.5*6)+(51.5*110%*6)</f>
        <v>648.90000000000009</v>
      </c>
      <c r="T20" s="308"/>
      <c r="U20" s="308"/>
      <c r="V20" s="308">
        <f t="shared" si="1"/>
        <v>648.90000000000009</v>
      </c>
      <c r="W20" s="15"/>
      <c r="X20" s="309" t="s">
        <v>555</v>
      </c>
      <c r="Y20" s="310">
        <f t="shared" ref="Y20:Y23" si="12">(7.36*6)+(7.36*110%*6)</f>
        <v>92.736000000000018</v>
      </c>
      <c r="Z20" s="310"/>
      <c r="AA20" s="310"/>
      <c r="AB20" s="310">
        <f t="shared" si="2"/>
        <v>92.736000000000018</v>
      </c>
      <c r="AC20" s="5" t="s">
        <v>556</v>
      </c>
    </row>
    <row r="21" spans="1:29" ht="13.5" customHeight="1">
      <c r="A21" s="7">
        <f t="shared" si="3"/>
        <v>17</v>
      </c>
      <c r="B21" s="3" t="str">
        <f>Personnel!B21</f>
        <v>Chase,Christopher</v>
      </c>
      <c r="C21" s="3" t="str">
        <f>Personnel!C21</f>
        <v>Regular Teacher</v>
      </c>
      <c r="D21" s="3" t="str">
        <f>Personnel!F21</f>
        <v>Active</v>
      </c>
      <c r="E21" s="172">
        <f>Personnel!Q21</f>
        <v>78000</v>
      </c>
      <c r="F21" s="172"/>
      <c r="G21" s="172" t="s">
        <v>562</v>
      </c>
      <c r="H21" s="5"/>
      <c r="I21" s="304">
        <f t="shared" si="10"/>
        <v>1200</v>
      </c>
      <c r="J21" s="304"/>
      <c r="K21" s="5"/>
      <c r="L21" s="305" t="s">
        <v>553</v>
      </c>
      <c r="M21" s="306">
        <f>(718.51*6)+(718.51*110%*6)</f>
        <v>9053.2260000000006</v>
      </c>
      <c r="N21" s="306"/>
      <c r="O21" s="306">
        <f>50*24</f>
        <v>1200</v>
      </c>
      <c r="P21" s="306">
        <f t="shared" si="0"/>
        <v>10253.226000000001</v>
      </c>
      <c r="Q21" s="15"/>
      <c r="R21" s="307" t="s">
        <v>554</v>
      </c>
      <c r="S21" s="308">
        <f t="shared" si="11"/>
        <v>648.90000000000009</v>
      </c>
      <c r="T21" s="308"/>
      <c r="U21" s="308"/>
      <c r="V21" s="308">
        <f t="shared" si="1"/>
        <v>648.90000000000009</v>
      </c>
      <c r="W21" s="15"/>
      <c r="X21" s="309" t="s">
        <v>555</v>
      </c>
      <c r="Y21" s="310">
        <f t="shared" si="12"/>
        <v>92.736000000000018</v>
      </c>
      <c r="Z21" s="310"/>
      <c r="AA21" s="310"/>
      <c r="AB21" s="310">
        <f t="shared" si="2"/>
        <v>92.736000000000018</v>
      </c>
      <c r="AC21" s="5" t="s">
        <v>556</v>
      </c>
    </row>
    <row r="22" spans="1:29" ht="13.5" customHeight="1">
      <c r="A22" s="7">
        <f t="shared" si="3"/>
        <v>18</v>
      </c>
      <c r="B22" s="3" t="str">
        <f>Personnel!B22</f>
        <v>Munjal,Manisha</v>
      </c>
      <c r="C22" s="3" t="str">
        <f>Personnel!C22</f>
        <v>Regular Teacher</v>
      </c>
      <c r="D22" s="3" t="str">
        <f>Personnel!F22</f>
        <v>Active</v>
      </c>
      <c r="E22" s="172">
        <f>Personnel!Q22</f>
        <v>69485.9424</v>
      </c>
      <c r="F22" s="172"/>
      <c r="G22" s="172" t="s">
        <v>563</v>
      </c>
      <c r="H22" s="5" t="s">
        <v>558</v>
      </c>
      <c r="I22" s="304"/>
      <c r="J22" s="304">
        <f t="shared" ref="J22:J23" si="13">(322.5*2)*12</f>
        <v>7740</v>
      </c>
      <c r="K22" s="5"/>
      <c r="L22" s="305" t="s">
        <v>553</v>
      </c>
      <c r="M22" s="306">
        <f>(1038.09*6)+(1038.09*110%*6)</f>
        <v>13079.933999999999</v>
      </c>
      <c r="N22" s="306"/>
      <c r="O22" s="306"/>
      <c r="P22" s="306">
        <f t="shared" si="0"/>
        <v>13079.933999999999</v>
      </c>
      <c r="Q22" s="15"/>
      <c r="R22" s="307" t="s">
        <v>554</v>
      </c>
      <c r="S22" s="308">
        <f t="shared" si="11"/>
        <v>648.90000000000009</v>
      </c>
      <c r="T22" s="308"/>
      <c r="U22" s="308"/>
      <c r="V22" s="308">
        <f t="shared" si="1"/>
        <v>648.90000000000009</v>
      </c>
      <c r="W22" s="15"/>
      <c r="X22" s="309" t="s">
        <v>555</v>
      </c>
      <c r="Y22" s="310">
        <f t="shared" si="12"/>
        <v>92.736000000000018</v>
      </c>
      <c r="Z22" s="310"/>
      <c r="AA22" s="310"/>
      <c r="AB22" s="310">
        <f t="shared" si="2"/>
        <v>92.736000000000018</v>
      </c>
      <c r="AC22" s="5" t="s">
        <v>556</v>
      </c>
    </row>
    <row r="23" spans="1:29" ht="13.5" customHeight="1">
      <c r="A23" s="7">
        <f t="shared" si="3"/>
        <v>19</v>
      </c>
      <c r="B23" s="3" t="str">
        <f>Personnel!B23</f>
        <v>Kato,Jamilla</v>
      </c>
      <c r="C23" s="3" t="str">
        <f>Personnel!C23</f>
        <v>Regular Teacher</v>
      </c>
      <c r="D23" s="3" t="str">
        <f>Personnel!F23</f>
        <v>Active</v>
      </c>
      <c r="E23" s="172">
        <f>Personnel!Q23</f>
        <v>63448.082399999999</v>
      </c>
      <c r="F23" s="172"/>
      <c r="G23" s="172" t="s">
        <v>565</v>
      </c>
      <c r="H23" s="5" t="s">
        <v>558</v>
      </c>
      <c r="I23" s="304"/>
      <c r="J23" s="304">
        <f t="shared" si="13"/>
        <v>7740</v>
      </c>
      <c r="K23" s="5"/>
      <c r="L23" s="305" t="s">
        <v>553</v>
      </c>
      <c r="M23" s="306">
        <f>(923.36*6)+(923.36*110%*6)</f>
        <v>11634.336000000001</v>
      </c>
      <c r="N23" s="306">
        <f>36.68*24</f>
        <v>880.31999999999994</v>
      </c>
      <c r="O23" s="306"/>
      <c r="P23" s="306">
        <f t="shared" si="0"/>
        <v>10754.016000000001</v>
      </c>
      <c r="Q23" s="15"/>
      <c r="R23" s="307" t="s">
        <v>554</v>
      </c>
      <c r="S23" s="308">
        <f t="shared" si="11"/>
        <v>648.90000000000009</v>
      </c>
      <c r="T23" s="308"/>
      <c r="U23" s="308"/>
      <c r="V23" s="308">
        <f t="shared" si="1"/>
        <v>648.90000000000009</v>
      </c>
      <c r="W23" s="15"/>
      <c r="X23" s="309" t="s">
        <v>555</v>
      </c>
      <c r="Y23" s="310">
        <f t="shared" si="12"/>
        <v>92.736000000000018</v>
      </c>
      <c r="Z23" s="310"/>
      <c r="AA23" s="310"/>
      <c r="AB23" s="310">
        <f t="shared" si="2"/>
        <v>92.736000000000018</v>
      </c>
      <c r="AC23" s="5" t="s">
        <v>556</v>
      </c>
    </row>
    <row r="24" spans="1:29" ht="13.5" customHeight="1">
      <c r="A24" s="7">
        <f t="shared" si="3"/>
        <v>20</v>
      </c>
      <c r="B24" s="3" t="str">
        <f>Personnel!B24</f>
        <v>Joseph,Chanell</v>
      </c>
      <c r="C24" s="3" t="str">
        <f>Personnel!C24</f>
        <v>Regular Teacher</v>
      </c>
      <c r="D24" s="3" t="str">
        <f>Personnel!F24</f>
        <v>Active</v>
      </c>
      <c r="E24" s="172">
        <f>Personnel!Q24</f>
        <v>63448.082399999999</v>
      </c>
      <c r="F24" s="172"/>
      <c r="G24" s="172" t="s">
        <v>562</v>
      </c>
      <c r="H24" s="5"/>
      <c r="I24" s="304">
        <f>(50*2)*12</f>
        <v>1200</v>
      </c>
      <c r="J24" s="304"/>
      <c r="K24" s="5"/>
      <c r="L24" s="305"/>
      <c r="M24" s="306"/>
      <c r="N24" s="306"/>
      <c r="O24" s="306">
        <f t="shared" ref="O24:O25" si="14">50*24</f>
        <v>1200</v>
      </c>
      <c r="P24" s="306">
        <f t="shared" si="0"/>
        <v>1200</v>
      </c>
      <c r="Q24" s="15"/>
      <c r="R24" s="307"/>
      <c r="S24" s="308"/>
      <c r="T24" s="308"/>
      <c r="U24" s="308"/>
      <c r="V24" s="308">
        <f t="shared" si="1"/>
        <v>0</v>
      </c>
      <c r="W24" s="15"/>
      <c r="X24" s="309"/>
      <c r="Y24" s="310"/>
      <c r="Z24" s="310"/>
      <c r="AA24" s="310"/>
      <c r="AB24" s="310">
        <f t="shared" si="2"/>
        <v>0</v>
      </c>
      <c r="AC24" s="5"/>
    </row>
    <row r="25" spans="1:29" ht="13.5" customHeight="1">
      <c r="A25" s="7">
        <f t="shared" si="3"/>
        <v>21</v>
      </c>
      <c r="B25" s="3" t="str">
        <f>Personnel!B25</f>
        <v>Brown Isalah</v>
      </c>
      <c r="C25" s="3" t="str">
        <f>Personnel!C25</f>
        <v>Regular Teacher</v>
      </c>
      <c r="D25" s="3" t="str">
        <f>Personnel!F25</f>
        <v>Active</v>
      </c>
      <c r="E25" s="172">
        <f>Personnel!Q25</f>
        <v>63447.835199999994</v>
      </c>
      <c r="F25" s="172"/>
      <c r="G25" s="172" t="s">
        <v>557</v>
      </c>
      <c r="H25" s="5" t="s">
        <v>558</v>
      </c>
      <c r="I25" s="304"/>
      <c r="J25" s="304">
        <f>(322.5*2)*12</f>
        <v>7740</v>
      </c>
      <c r="K25" s="5"/>
      <c r="L25" s="305"/>
      <c r="M25" s="306"/>
      <c r="N25" s="306"/>
      <c r="O25" s="306">
        <f t="shared" si="14"/>
        <v>1200</v>
      </c>
      <c r="P25" s="306">
        <f t="shared" si="0"/>
        <v>1200</v>
      </c>
      <c r="Q25" s="15"/>
      <c r="R25" s="307"/>
      <c r="S25" s="308"/>
      <c r="T25" s="308"/>
      <c r="U25" s="308"/>
      <c r="V25" s="308">
        <f t="shared" si="1"/>
        <v>0</v>
      </c>
      <c r="W25" s="15"/>
      <c r="X25" s="309"/>
      <c r="Y25" s="310"/>
      <c r="Z25" s="310"/>
      <c r="AA25" s="310"/>
      <c r="AB25" s="310">
        <f t="shared" si="2"/>
        <v>0</v>
      </c>
      <c r="AC25" s="5"/>
    </row>
    <row r="26" spans="1:29" ht="13.5" customHeight="1">
      <c r="A26" s="7">
        <f t="shared" si="3"/>
        <v>22</v>
      </c>
      <c r="B26" s="3" t="str">
        <f>Personnel!B26</f>
        <v>Thomas,Selamawit</v>
      </c>
      <c r="C26" s="3" t="str">
        <f>Personnel!C26</f>
        <v>Regular Teacher</v>
      </c>
      <c r="D26" s="3" t="str">
        <f>Personnel!F26</f>
        <v>Active</v>
      </c>
      <c r="E26" s="172">
        <f>Personnel!Q26</f>
        <v>79000</v>
      </c>
      <c r="F26" s="172"/>
      <c r="G26" s="172"/>
      <c r="H26" s="5"/>
      <c r="I26" s="304"/>
      <c r="J26" s="304"/>
      <c r="K26" s="5"/>
      <c r="L26" s="305" t="s">
        <v>553</v>
      </c>
      <c r="M26" s="306">
        <f>(718.51*6)+(718.51*110%*6)</f>
        <v>9053.2260000000006</v>
      </c>
      <c r="N26" s="306"/>
      <c r="O26" s="306"/>
      <c r="P26" s="306">
        <f t="shared" si="0"/>
        <v>9053.2260000000006</v>
      </c>
      <c r="Q26" s="15"/>
      <c r="R26" s="307" t="s">
        <v>554</v>
      </c>
      <c r="S26" s="308">
        <f>(132.1*6)+(132.1*110%*6)</f>
        <v>1664.46</v>
      </c>
      <c r="T26" s="308">
        <f>20.78*24</f>
        <v>498.72</v>
      </c>
      <c r="U26" s="308"/>
      <c r="V26" s="308">
        <f t="shared" si="1"/>
        <v>1165.74</v>
      </c>
      <c r="W26" s="15"/>
      <c r="X26" s="309" t="s">
        <v>555</v>
      </c>
      <c r="Y26" s="310">
        <f>(14.74*6)+(14.74*110%*6)</f>
        <v>185.72400000000002</v>
      </c>
      <c r="Z26" s="310">
        <f>2.04*24</f>
        <v>48.96</v>
      </c>
      <c r="AA26" s="310"/>
      <c r="AB26" s="310">
        <f t="shared" si="2"/>
        <v>136.76400000000001</v>
      </c>
      <c r="AC26" s="5" t="s">
        <v>556</v>
      </c>
    </row>
    <row r="27" spans="1:29" ht="13.5" customHeight="1">
      <c r="A27" s="7">
        <f t="shared" si="3"/>
        <v>23</v>
      </c>
      <c r="B27" s="3" t="str">
        <f>Personnel!B27</f>
        <v>Payen,Claire</v>
      </c>
      <c r="C27" s="3" t="str">
        <f>Personnel!C27</f>
        <v>Regular Teacher</v>
      </c>
      <c r="D27" s="3" t="str">
        <f>Personnel!F27</f>
        <v>Active</v>
      </c>
      <c r="E27" s="172">
        <f>Personnel!Q27</f>
        <v>63448.082399999999</v>
      </c>
      <c r="F27" s="172"/>
      <c r="G27" s="172" t="s">
        <v>562</v>
      </c>
      <c r="H27" s="5"/>
      <c r="I27" s="304">
        <f>(50*2)*12</f>
        <v>1200</v>
      </c>
      <c r="J27" s="304"/>
      <c r="K27" s="5"/>
      <c r="L27" s="305"/>
      <c r="M27" s="306"/>
      <c r="N27" s="306"/>
      <c r="O27" s="306">
        <f>50*24</f>
        <v>1200</v>
      </c>
      <c r="P27" s="306">
        <f t="shared" si="0"/>
        <v>1200</v>
      </c>
      <c r="Q27" s="15"/>
      <c r="R27" s="307"/>
      <c r="S27" s="308"/>
      <c r="T27" s="308"/>
      <c r="U27" s="308"/>
      <c r="V27" s="308">
        <f t="shared" si="1"/>
        <v>0</v>
      </c>
      <c r="W27" s="15"/>
      <c r="X27" s="309"/>
      <c r="Y27" s="310"/>
      <c r="Z27" s="310"/>
      <c r="AA27" s="310"/>
      <c r="AB27" s="310">
        <f t="shared" si="2"/>
        <v>0</v>
      </c>
      <c r="AC27" s="5"/>
    </row>
    <row r="28" spans="1:29" ht="13.5" customHeight="1">
      <c r="A28" s="7">
        <f t="shared" si="3"/>
        <v>24</v>
      </c>
      <c r="B28" s="3" t="str">
        <f>Personnel!B28</f>
        <v>Kaufman Natalie</v>
      </c>
      <c r="C28" s="3" t="str">
        <f>Personnel!C28</f>
        <v>Regular Teacher</v>
      </c>
      <c r="D28" s="3" t="str">
        <f>Personnel!F28</f>
        <v>Active</v>
      </c>
      <c r="E28" s="172">
        <f>Personnel!Q28</f>
        <v>83430</v>
      </c>
      <c r="F28" s="172"/>
      <c r="G28" s="172" t="s">
        <v>568</v>
      </c>
      <c r="H28" s="5" t="s">
        <v>558</v>
      </c>
      <c r="I28" s="304"/>
      <c r="J28" s="304">
        <f>(322.5*2)*12</f>
        <v>7740</v>
      </c>
      <c r="K28" s="5"/>
      <c r="L28" s="305" t="s">
        <v>553</v>
      </c>
      <c r="M28" s="306">
        <f>(1038.09*6)+(1038.09*110%*6)</f>
        <v>13079.933999999999</v>
      </c>
      <c r="N28" s="306">
        <f>94.05*24</f>
        <v>2257.1999999999998</v>
      </c>
      <c r="O28" s="306"/>
      <c r="P28" s="306">
        <f t="shared" si="0"/>
        <v>10822.734</v>
      </c>
      <c r="Q28" s="15"/>
      <c r="R28" s="307" t="s">
        <v>554</v>
      </c>
      <c r="S28" s="308">
        <f>(51.5*6)+(51.5*110%*6)</f>
        <v>648.90000000000009</v>
      </c>
      <c r="T28" s="308"/>
      <c r="U28" s="308"/>
      <c r="V28" s="308">
        <f t="shared" si="1"/>
        <v>648.90000000000009</v>
      </c>
      <c r="W28" s="15"/>
      <c r="X28" s="309" t="s">
        <v>555</v>
      </c>
      <c r="Y28" s="310">
        <f>(7.36*6)+(7.36*110%*6)</f>
        <v>92.736000000000018</v>
      </c>
      <c r="Z28" s="310"/>
      <c r="AA28" s="310"/>
      <c r="AB28" s="310">
        <f t="shared" si="2"/>
        <v>92.736000000000018</v>
      </c>
      <c r="AC28" s="5" t="s">
        <v>556</v>
      </c>
    </row>
    <row r="29" spans="1:29" ht="13.5" customHeight="1">
      <c r="A29" s="7">
        <f t="shared" si="3"/>
        <v>25</v>
      </c>
      <c r="B29" s="3" t="str">
        <f>Personnel!B29</f>
        <v>Samuels,Sherifa</v>
      </c>
      <c r="C29" s="3" t="str">
        <f>Personnel!C29</f>
        <v>SPED Teacher</v>
      </c>
      <c r="D29" s="3" t="str">
        <f>Personnel!F29</f>
        <v>Active</v>
      </c>
      <c r="E29" s="172">
        <f>Personnel!Q29</f>
        <v>69485.9424</v>
      </c>
      <c r="F29" s="172"/>
      <c r="G29" s="172" t="s">
        <v>562</v>
      </c>
      <c r="H29" s="5"/>
      <c r="I29" s="304">
        <f>(50*2)*12</f>
        <v>1200</v>
      </c>
      <c r="J29" s="304"/>
      <c r="K29" s="5"/>
      <c r="L29" s="305"/>
      <c r="M29" s="306"/>
      <c r="N29" s="306"/>
      <c r="O29" s="306">
        <f>50*24</f>
        <v>1200</v>
      </c>
      <c r="P29" s="306">
        <f t="shared" si="0"/>
        <v>1200</v>
      </c>
      <c r="Q29" s="15"/>
      <c r="R29" s="307"/>
      <c r="S29" s="308"/>
      <c r="T29" s="308"/>
      <c r="U29" s="308"/>
      <c r="V29" s="308">
        <f t="shared" si="1"/>
        <v>0</v>
      </c>
      <c r="W29" s="15"/>
      <c r="X29" s="309"/>
      <c r="Y29" s="310"/>
      <c r="Z29" s="310"/>
      <c r="AA29" s="310"/>
      <c r="AB29" s="310">
        <f t="shared" si="2"/>
        <v>0</v>
      </c>
      <c r="AC29" s="5"/>
    </row>
    <row r="30" spans="1:29" ht="13.5" customHeight="1">
      <c r="A30" s="7">
        <f t="shared" si="3"/>
        <v>26</v>
      </c>
      <c r="B30" s="3" t="str">
        <f>Personnel!B30</f>
        <v>Rainone,Krystan</v>
      </c>
      <c r="C30" s="3" t="str">
        <f>Personnel!C30</f>
        <v>SPED Teacher</v>
      </c>
      <c r="D30" s="3" t="str">
        <f>Personnel!F30</f>
        <v>Active</v>
      </c>
      <c r="E30" s="172">
        <f>Personnel!Q30</f>
        <v>77834.875199999995</v>
      </c>
      <c r="F30" s="172"/>
      <c r="G30" s="172" t="s">
        <v>566</v>
      </c>
      <c r="H30" s="5" t="s">
        <v>558</v>
      </c>
      <c r="I30" s="304"/>
      <c r="J30" s="304">
        <f>(322.5*2)*12</f>
        <v>7740</v>
      </c>
      <c r="K30" s="5"/>
      <c r="L30" s="305" t="s">
        <v>553</v>
      </c>
      <c r="M30" s="306">
        <f>(718.51*6)+(718.51*110%*6)</f>
        <v>9053.2260000000006</v>
      </c>
      <c r="N30" s="306"/>
      <c r="O30" s="306"/>
      <c r="P30" s="306">
        <f t="shared" si="0"/>
        <v>9053.2260000000006</v>
      </c>
      <c r="Q30" s="15"/>
      <c r="R30" s="307" t="s">
        <v>560</v>
      </c>
      <c r="S30" s="308">
        <f>(11.6*6)+(11.6*110%*6)</f>
        <v>146.16</v>
      </c>
      <c r="T30" s="308"/>
      <c r="U30" s="308"/>
      <c r="V30" s="308">
        <f t="shared" si="1"/>
        <v>146.16</v>
      </c>
      <c r="W30" s="15"/>
      <c r="X30" s="309" t="s">
        <v>555</v>
      </c>
      <c r="Y30" s="310">
        <f>(7.36*6)+(7.36*110%*6)</f>
        <v>92.736000000000018</v>
      </c>
      <c r="Z30" s="310"/>
      <c r="AA30" s="310"/>
      <c r="AB30" s="310">
        <f t="shared" si="2"/>
        <v>92.736000000000018</v>
      </c>
      <c r="AC30" s="5" t="s">
        <v>556</v>
      </c>
    </row>
    <row r="31" spans="1:29" ht="13.5" customHeight="1">
      <c r="A31" s="7">
        <f t="shared" si="3"/>
        <v>27</v>
      </c>
      <c r="B31" s="3" t="str">
        <f>Personnel!B31</f>
        <v>Tompkins,Collette</v>
      </c>
      <c r="C31" s="3" t="str">
        <f>Personnel!C31</f>
        <v>Elective Teacher</v>
      </c>
      <c r="D31" s="3" t="str">
        <f>Personnel!F31</f>
        <v>Active</v>
      </c>
      <c r="E31" s="172">
        <f>Personnel!Q31</f>
        <v>61182</v>
      </c>
      <c r="F31" s="172"/>
      <c r="G31" s="172"/>
      <c r="H31" s="5"/>
      <c r="I31" s="304"/>
      <c r="J31" s="304"/>
      <c r="K31" s="5"/>
      <c r="L31" s="305"/>
      <c r="M31" s="306"/>
      <c r="N31" s="306"/>
      <c r="O31" s="306">
        <f t="shared" ref="O31:O33" si="15">50*24</f>
        <v>1200</v>
      </c>
      <c r="P31" s="306">
        <f t="shared" si="0"/>
        <v>1200</v>
      </c>
      <c r="Q31" s="15"/>
      <c r="R31" s="307"/>
      <c r="S31" s="308"/>
      <c r="T31" s="308"/>
      <c r="U31" s="308"/>
      <c r="V31" s="308">
        <f t="shared" si="1"/>
        <v>0</v>
      </c>
      <c r="W31" s="15"/>
      <c r="X31" s="309"/>
      <c r="Y31" s="310"/>
      <c r="Z31" s="310"/>
      <c r="AA31" s="310"/>
      <c r="AB31" s="310">
        <f t="shared" si="2"/>
        <v>0</v>
      </c>
      <c r="AC31" s="5"/>
    </row>
    <row r="32" spans="1:29" ht="13.5" customHeight="1">
      <c r="A32" s="7">
        <f t="shared" si="3"/>
        <v>28</v>
      </c>
      <c r="B32" s="3" t="str">
        <f>Personnel!B32</f>
        <v>Sterling,Yero</v>
      </c>
      <c r="C32" s="3" t="str">
        <f>Personnel!C32</f>
        <v>Elective Teacher</v>
      </c>
      <c r="D32" s="3" t="str">
        <f>Personnel!F32</f>
        <v>Active</v>
      </c>
      <c r="E32" s="172">
        <f>Personnel!Q32</f>
        <v>63448.082399999999</v>
      </c>
      <c r="F32" s="172"/>
      <c r="G32" s="172"/>
      <c r="H32" s="5"/>
      <c r="I32" s="304"/>
      <c r="J32" s="304"/>
      <c r="K32" s="5"/>
      <c r="L32" s="305"/>
      <c r="M32" s="306"/>
      <c r="N32" s="306"/>
      <c r="O32" s="306">
        <f t="shared" si="15"/>
        <v>1200</v>
      </c>
      <c r="P32" s="306">
        <f t="shared" si="0"/>
        <v>1200</v>
      </c>
      <c r="Q32" s="15"/>
      <c r="R32" s="307"/>
      <c r="S32" s="308"/>
      <c r="T32" s="308"/>
      <c r="U32" s="308"/>
      <c r="V32" s="308">
        <f t="shared" si="1"/>
        <v>0</v>
      </c>
      <c r="W32" s="15"/>
      <c r="X32" s="309"/>
      <c r="Y32" s="310"/>
      <c r="Z32" s="310"/>
      <c r="AA32" s="310"/>
      <c r="AB32" s="310">
        <f t="shared" si="2"/>
        <v>0</v>
      </c>
      <c r="AC32" s="5"/>
    </row>
    <row r="33" spans="1:29" ht="13.5" customHeight="1">
      <c r="A33" s="7">
        <f t="shared" si="3"/>
        <v>29</v>
      </c>
      <c r="B33" s="3" t="str">
        <f>Personnel!B33</f>
        <v>Burrell Jr.,Johnny</v>
      </c>
      <c r="C33" s="3" t="str">
        <f>Personnel!C33</f>
        <v>Elective Teacher</v>
      </c>
      <c r="D33" s="3" t="str">
        <f>Personnel!F33</f>
        <v>Active</v>
      </c>
      <c r="E33" s="172">
        <f>Personnel!Q33</f>
        <v>66744</v>
      </c>
      <c r="F33" s="172"/>
      <c r="G33" s="172"/>
      <c r="H33" s="5"/>
      <c r="I33" s="304"/>
      <c r="J33" s="304"/>
      <c r="K33" s="5"/>
      <c r="L33" s="305"/>
      <c r="M33" s="306"/>
      <c r="N33" s="306"/>
      <c r="O33" s="306">
        <f t="shared" si="15"/>
        <v>1200</v>
      </c>
      <c r="P33" s="306">
        <f t="shared" si="0"/>
        <v>1200</v>
      </c>
      <c r="Q33" s="15"/>
      <c r="R33" s="307"/>
      <c r="S33" s="308"/>
      <c r="T33" s="308"/>
      <c r="U33" s="308"/>
      <c r="V33" s="308">
        <f t="shared" si="1"/>
        <v>0</v>
      </c>
      <c r="W33" s="15"/>
      <c r="X33" s="309"/>
      <c r="Y33" s="310"/>
      <c r="Z33" s="310"/>
      <c r="AA33" s="310"/>
      <c r="AB33" s="310">
        <f t="shared" si="2"/>
        <v>0</v>
      </c>
      <c r="AC33" s="5"/>
    </row>
    <row r="34" spans="1:29" ht="13.5" customHeight="1">
      <c r="A34" s="7">
        <f t="shared" si="3"/>
        <v>30</v>
      </c>
      <c r="B34" s="3" t="str">
        <f>Personnel!B34</f>
        <v>Davis,Amira</v>
      </c>
      <c r="C34" s="3" t="str">
        <f>Personnel!C34</f>
        <v>Elective Teacher</v>
      </c>
      <c r="D34" s="3" t="str">
        <f>Personnel!F34</f>
        <v>Active</v>
      </c>
      <c r="E34" s="172">
        <f>Personnel!Q34</f>
        <v>75000</v>
      </c>
      <c r="F34" s="172"/>
      <c r="G34" s="172"/>
      <c r="H34" s="5"/>
      <c r="I34" s="304"/>
      <c r="J34" s="304"/>
      <c r="K34" s="5"/>
      <c r="L34" s="305" t="s">
        <v>553</v>
      </c>
      <c r="M34" s="306">
        <f>(923.36*6)+(923.36*110%*6)</f>
        <v>11634.336000000001</v>
      </c>
      <c r="N34" s="306">
        <f>36.68*24</f>
        <v>880.31999999999994</v>
      </c>
      <c r="O34" s="306"/>
      <c r="P34" s="306">
        <f t="shared" si="0"/>
        <v>10754.016000000001</v>
      </c>
      <c r="Q34" s="15"/>
      <c r="R34" s="307" t="s">
        <v>560</v>
      </c>
      <c r="S34" s="308">
        <f t="shared" ref="S34:S35" si="16">(11.6*6)+(11.6*110%*6)</f>
        <v>146.16</v>
      </c>
      <c r="T34" s="308"/>
      <c r="U34" s="308"/>
      <c r="V34" s="308">
        <f t="shared" si="1"/>
        <v>146.16</v>
      </c>
      <c r="W34" s="15"/>
      <c r="X34" s="309" t="s">
        <v>569</v>
      </c>
      <c r="Y34" s="310">
        <f t="shared" ref="Y34:Y35" si="17">(7.36*6)+(7.36*110%*6)</f>
        <v>92.736000000000018</v>
      </c>
      <c r="Z34" s="310"/>
      <c r="AA34" s="310"/>
      <c r="AB34" s="310">
        <f t="shared" si="2"/>
        <v>92.736000000000018</v>
      </c>
      <c r="AC34" s="5" t="s">
        <v>556</v>
      </c>
    </row>
    <row r="35" spans="1:29" ht="13.5" customHeight="1">
      <c r="A35" s="7">
        <f t="shared" si="3"/>
        <v>31</v>
      </c>
      <c r="B35" s="3" t="str">
        <f>Personnel!B35</f>
        <v>Simon,Kiara Janette</v>
      </c>
      <c r="C35" s="3" t="str">
        <f>Personnel!C35</f>
        <v>Teaching Fellow</v>
      </c>
      <c r="D35" s="3" t="str">
        <f>Personnel!F35</f>
        <v>Active</v>
      </c>
      <c r="E35" s="172">
        <f>Personnel!Q35</f>
        <v>63448.082399999999</v>
      </c>
      <c r="F35" s="172"/>
      <c r="G35" s="172"/>
      <c r="H35" s="5"/>
      <c r="I35" s="304"/>
      <c r="J35" s="304"/>
      <c r="K35" s="5"/>
      <c r="L35" s="305" t="s">
        <v>553</v>
      </c>
      <c r="M35" s="306">
        <f>(1038.09*6)+(1038.09*110%*6)</f>
        <v>13079.933999999999</v>
      </c>
      <c r="N35" s="306">
        <f>94.05*24</f>
        <v>2257.1999999999998</v>
      </c>
      <c r="O35" s="306"/>
      <c r="P35" s="306">
        <f t="shared" si="0"/>
        <v>10822.734</v>
      </c>
      <c r="Q35" s="15"/>
      <c r="R35" s="307" t="s">
        <v>560</v>
      </c>
      <c r="S35" s="308">
        <f t="shared" si="16"/>
        <v>146.16</v>
      </c>
      <c r="T35" s="308"/>
      <c r="U35" s="308"/>
      <c r="V35" s="308">
        <f t="shared" si="1"/>
        <v>146.16</v>
      </c>
      <c r="W35" s="15"/>
      <c r="X35" s="309" t="s">
        <v>569</v>
      </c>
      <c r="Y35" s="310">
        <f t="shared" si="17"/>
        <v>92.736000000000018</v>
      </c>
      <c r="Z35" s="310"/>
      <c r="AA35" s="310"/>
      <c r="AB35" s="310">
        <f t="shared" si="2"/>
        <v>92.736000000000018</v>
      </c>
      <c r="AC35" s="5" t="s">
        <v>556</v>
      </c>
    </row>
    <row r="36" spans="1:29" ht="13.5" customHeight="1">
      <c r="A36" s="7">
        <f t="shared" si="3"/>
        <v>32</v>
      </c>
      <c r="B36" s="3" t="str">
        <f>Personnel!B36</f>
        <v>Zaman,Prianka</v>
      </c>
      <c r="C36" s="3" t="str">
        <f>Personnel!C36</f>
        <v>Teaching Fellow</v>
      </c>
      <c r="D36" s="3" t="str">
        <f>Personnel!F36</f>
        <v>Active</v>
      </c>
      <c r="E36" s="172">
        <f>Personnel!Q36</f>
        <v>61600</v>
      </c>
      <c r="F36" s="172"/>
      <c r="G36" s="172"/>
      <c r="H36" s="5"/>
      <c r="I36" s="304"/>
      <c r="J36" s="304"/>
      <c r="K36" s="5"/>
      <c r="L36" s="305"/>
      <c r="M36" s="306"/>
      <c r="N36" s="306"/>
      <c r="O36" s="306"/>
      <c r="P36" s="306">
        <f t="shared" si="0"/>
        <v>0</v>
      </c>
      <c r="Q36" s="15"/>
      <c r="R36" s="307"/>
      <c r="S36" s="308"/>
      <c r="T36" s="308"/>
      <c r="U36" s="308"/>
      <c r="V36" s="308">
        <f t="shared" si="1"/>
        <v>0</v>
      </c>
      <c r="W36" s="15"/>
      <c r="X36" s="309"/>
      <c r="Y36" s="310"/>
      <c r="Z36" s="310"/>
      <c r="AA36" s="310"/>
      <c r="AB36" s="310">
        <f t="shared" si="2"/>
        <v>0</v>
      </c>
      <c r="AC36" s="5" t="s">
        <v>570</v>
      </c>
    </row>
    <row r="37" spans="1:29" ht="13.5" customHeight="1">
      <c r="A37" s="7">
        <f t="shared" si="3"/>
        <v>33</v>
      </c>
      <c r="B37" s="3" t="str">
        <f>Personnel!B37</f>
        <v>Peters,Zoya</v>
      </c>
      <c r="C37" s="3" t="str">
        <f>Personnel!C37</f>
        <v>Teaching Fellow</v>
      </c>
      <c r="D37" s="3" t="str">
        <f>Personnel!F37</f>
        <v>Active</v>
      </c>
      <c r="E37" s="172">
        <f>Personnel!Q37</f>
        <v>63448.082399999999</v>
      </c>
      <c r="F37" s="172"/>
      <c r="G37" s="172"/>
      <c r="H37" s="5"/>
      <c r="I37" s="304"/>
      <c r="J37" s="304"/>
      <c r="K37" s="5"/>
      <c r="L37" s="305"/>
      <c r="M37" s="306"/>
      <c r="N37" s="306"/>
      <c r="O37" s="306">
        <f>50*24</f>
        <v>1200</v>
      </c>
      <c r="P37" s="306">
        <f t="shared" si="0"/>
        <v>1200</v>
      </c>
      <c r="Q37" s="15"/>
      <c r="R37" s="307"/>
      <c r="S37" s="308"/>
      <c r="T37" s="308"/>
      <c r="U37" s="308"/>
      <c r="V37" s="308">
        <f t="shared" si="1"/>
        <v>0</v>
      </c>
      <c r="W37" s="15"/>
      <c r="X37" s="309"/>
      <c r="Y37" s="310"/>
      <c r="Z37" s="310"/>
      <c r="AA37" s="310"/>
      <c r="AB37" s="310">
        <f t="shared" si="2"/>
        <v>0</v>
      </c>
      <c r="AC37" s="5"/>
    </row>
    <row r="38" spans="1:29" ht="13.5" customHeight="1">
      <c r="A38" s="7">
        <f t="shared" si="3"/>
        <v>34</v>
      </c>
      <c r="B38" s="3" t="str">
        <f>Personnel!B38</f>
        <v>Thompson,Shantel</v>
      </c>
      <c r="C38" s="3" t="str">
        <f>Personnel!C38</f>
        <v>Social Worker</v>
      </c>
      <c r="D38" s="3" t="str">
        <f>Personnel!F38</f>
        <v>Active</v>
      </c>
      <c r="E38" s="172">
        <f>Personnel!Q38</f>
        <v>75958.38</v>
      </c>
      <c r="F38" s="172"/>
      <c r="G38" s="172"/>
      <c r="H38" s="5"/>
      <c r="I38" s="304"/>
      <c r="J38" s="304"/>
      <c r="K38" s="5"/>
      <c r="L38" s="305" t="s">
        <v>553</v>
      </c>
      <c r="M38" s="306">
        <f>(923.36*6)+(923.36*110%*6)</f>
        <v>11634.336000000001</v>
      </c>
      <c r="N38" s="306">
        <f>36.68*24</f>
        <v>880.31999999999994</v>
      </c>
      <c r="O38" s="306"/>
      <c r="P38" s="306">
        <f t="shared" si="0"/>
        <v>10754.016000000001</v>
      </c>
      <c r="Q38" s="15"/>
      <c r="R38" s="307" t="s">
        <v>554</v>
      </c>
      <c r="S38" s="308">
        <f t="shared" ref="S38:S45" si="18">(51.5*6)+(51.5*110%*6)</f>
        <v>648.90000000000009</v>
      </c>
      <c r="T38" s="308"/>
      <c r="U38" s="308"/>
      <c r="V38" s="308">
        <f t="shared" si="1"/>
        <v>648.90000000000009</v>
      </c>
      <c r="W38" s="15"/>
      <c r="X38" s="309" t="s">
        <v>569</v>
      </c>
      <c r="Y38" s="310">
        <f t="shared" ref="Y38:Y45" si="19">(7.36*6)+(7.36*110%*6)</f>
        <v>92.736000000000018</v>
      </c>
      <c r="Z38" s="310"/>
      <c r="AA38" s="310"/>
      <c r="AB38" s="310">
        <f t="shared" si="2"/>
        <v>92.736000000000018</v>
      </c>
      <c r="AC38" s="5" t="s">
        <v>556</v>
      </c>
    </row>
    <row r="39" spans="1:29" ht="13.5" customHeight="1">
      <c r="A39" s="7">
        <f t="shared" si="3"/>
        <v>35</v>
      </c>
      <c r="B39" s="3" t="str">
        <f>Personnel!B39</f>
        <v>Kianna Odom</v>
      </c>
      <c r="C39" s="3" t="str">
        <f>Personnel!C39</f>
        <v>Dean of Curriculum &amp; Instruction</v>
      </c>
      <c r="D39" s="3" t="str">
        <f>Personnel!F39</f>
        <v>New Role</v>
      </c>
      <c r="E39" s="172">
        <f>Personnel!Q39</f>
        <v>82500</v>
      </c>
      <c r="F39" s="172"/>
      <c r="G39" s="172" t="s">
        <v>571</v>
      </c>
      <c r="H39" s="5" t="s">
        <v>558</v>
      </c>
      <c r="I39" s="304"/>
      <c r="J39" s="304">
        <f>(322.5*2)*12</f>
        <v>7740</v>
      </c>
      <c r="K39" s="5"/>
      <c r="L39" s="305" t="s">
        <v>553</v>
      </c>
      <c r="M39" s="306">
        <f t="shared" ref="M39:M45" si="20">(718.51*6)+(718.51*110%*6)</f>
        <v>9053.2260000000006</v>
      </c>
      <c r="N39" s="306"/>
      <c r="O39" s="306"/>
      <c r="P39" s="306">
        <f t="shared" si="0"/>
        <v>9053.2260000000006</v>
      </c>
      <c r="Q39" s="15"/>
      <c r="R39" s="307" t="s">
        <v>554</v>
      </c>
      <c r="S39" s="308">
        <f t="shared" si="18"/>
        <v>648.90000000000009</v>
      </c>
      <c r="T39" s="308"/>
      <c r="U39" s="308"/>
      <c r="V39" s="308">
        <f t="shared" si="1"/>
        <v>648.90000000000009</v>
      </c>
      <c r="W39" s="15"/>
      <c r="X39" s="309" t="s">
        <v>569</v>
      </c>
      <c r="Y39" s="310">
        <f t="shared" si="19"/>
        <v>92.736000000000018</v>
      </c>
      <c r="Z39" s="310"/>
      <c r="AA39" s="310"/>
      <c r="AB39" s="310">
        <f t="shared" si="2"/>
        <v>92.736000000000018</v>
      </c>
      <c r="AC39" s="5" t="s">
        <v>572</v>
      </c>
    </row>
    <row r="40" spans="1:29" ht="13.5" customHeight="1">
      <c r="A40" s="7">
        <f t="shared" si="3"/>
        <v>36</v>
      </c>
      <c r="B40" s="3" t="str">
        <f>Personnel!B40</f>
        <v>Mary Bleboudou</v>
      </c>
      <c r="C40" s="3" t="s">
        <v>573</v>
      </c>
      <c r="D40" s="3" t="str">
        <f>Personnel!F40</f>
        <v>Active</v>
      </c>
      <c r="E40" s="172">
        <f>Personnel!Q40</f>
        <v>66023</v>
      </c>
      <c r="F40" s="172"/>
      <c r="G40" s="172"/>
      <c r="H40" s="5"/>
      <c r="I40" s="304"/>
      <c r="J40" s="304"/>
      <c r="K40" s="5"/>
      <c r="L40" s="305" t="s">
        <v>553</v>
      </c>
      <c r="M40" s="306">
        <f t="shared" si="20"/>
        <v>9053.2260000000006</v>
      </c>
      <c r="N40" s="306"/>
      <c r="O40" s="306"/>
      <c r="P40" s="306">
        <f t="shared" si="0"/>
        <v>9053.2260000000006</v>
      </c>
      <c r="Q40" s="15"/>
      <c r="R40" s="307" t="s">
        <v>554</v>
      </c>
      <c r="S40" s="308">
        <f t="shared" si="18"/>
        <v>648.90000000000009</v>
      </c>
      <c r="T40" s="308"/>
      <c r="U40" s="308"/>
      <c r="V40" s="308">
        <f t="shared" si="1"/>
        <v>648.90000000000009</v>
      </c>
      <c r="W40" s="15"/>
      <c r="X40" s="309" t="s">
        <v>569</v>
      </c>
      <c r="Y40" s="310">
        <f t="shared" si="19"/>
        <v>92.736000000000018</v>
      </c>
      <c r="Z40" s="310"/>
      <c r="AA40" s="310"/>
      <c r="AB40" s="310">
        <f t="shared" si="2"/>
        <v>92.736000000000018</v>
      </c>
      <c r="AC40" s="5" t="s">
        <v>572</v>
      </c>
    </row>
    <row r="41" spans="1:29" ht="13.5" customHeight="1">
      <c r="A41" s="7">
        <f t="shared" si="3"/>
        <v>37</v>
      </c>
      <c r="B41" s="3" t="str">
        <f>Personnel!B41</f>
        <v>Patricia Bell</v>
      </c>
      <c r="C41" s="3" t="s">
        <v>573</v>
      </c>
      <c r="D41" s="3" t="str">
        <f>Personnel!F41</f>
        <v>Active</v>
      </c>
      <c r="E41" s="172">
        <f>Personnel!Q41</f>
        <v>87550</v>
      </c>
      <c r="F41" s="172"/>
      <c r="G41" s="172"/>
      <c r="H41" s="5"/>
      <c r="I41" s="304"/>
      <c r="J41" s="304"/>
      <c r="K41" s="5"/>
      <c r="L41" s="305" t="s">
        <v>553</v>
      </c>
      <c r="M41" s="306">
        <f t="shared" si="20"/>
        <v>9053.2260000000006</v>
      </c>
      <c r="N41" s="306"/>
      <c r="O41" s="306"/>
      <c r="P41" s="306">
        <f t="shared" si="0"/>
        <v>9053.2260000000006</v>
      </c>
      <c r="Q41" s="15"/>
      <c r="R41" s="307" t="s">
        <v>554</v>
      </c>
      <c r="S41" s="308">
        <f t="shared" si="18"/>
        <v>648.90000000000009</v>
      </c>
      <c r="T41" s="308"/>
      <c r="U41" s="308"/>
      <c r="V41" s="308">
        <f t="shared" si="1"/>
        <v>648.90000000000009</v>
      </c>
      <c r="W41" s="15"/>
      <c r="X41" s="309" t="s">
        <v>569</v>
      </c>
      <c r="Y41" s="310">
        <f t="shared" si="19"/>
        <v>92.736000000000018</v>
      </c>
      <c r="Z41" s="310"/>
      <c r="AA41" s="310"/>
      <c r="AB41" s="310">
        <f t="shared" si="2"/>
        <v>92.736000000000018</v>
      </c>
      <c r="AC41" s="5" t="s">
        <v>572</v>
      </c>
    </row>
    <row r="42" spans="1:29" ht="14.25" customHeight="1">
      <c r="A42" s="7">
        <f t="shared" si="3"/>
        <v>38</v>
      </c>
      <c r="B42" s="3" t="str">
        <f>Personnel!B42</f>
        <v>Jontra Dotson</v>
      </c>
      <c r="C42" s="3" t="str">
        <f>Personnel!C42</f>
        <v>Regular Teacher</v>
      </c>
      <c r="D42" s="3" t="str">
        <f>Personnel!F42</f>
        <v>New</v>
      </c>
      <c r="E42" s="172">
        <f>Personnel!Q42</f>
        <v>62524</v>
      </c>
      <c r="F42" s="172"/>
      <c r="G42" s="172"/>
      <c r="H42" s="5"/>
      <c r="I42" s="304"/>
      <c r="J42" s="304"/>
      <c r="K42" s="5"/>
      <c r="L42" s="305" t="s">
        <v>553</v>
      </c>
      <c r="M42" s="306">
        <f t="shared" si="20"/>
        <v>9053.2260000000006</v>
      </c>
      <c r="N42" s="306"/>
      <c r="O42" s="306"/>
      <c r="P42" s="306">
        <f t="shared" si="0"/>
        <v>9053.2260000000006</v>
      </c>
      <c r="Q42" s="15"/>
      <c r="R42" s="307" t="s">
        <v>554</v>
      </c>
      <c r="S42" s="308">
        <f t="shared" si="18"/>
        <v>648.90000000000009</v>
      </c>
      <c r="T42" s="308"/>
      <c r="U42" s="308"/>
      <c r="V42" s="308">
        <f t="shared" si="1"/>
        <v>648.90000000000009</v>
      </c>
      <c r="W42" s="15"/>
      <c r="X42" s="309" t="s">
        <v>569</v>
      </c>
      <c r="Y42" s="310">
        <f t="shared" si="19"/>
        <v>92.736000000000018</v>
      </c>
      <c r="Z42" s="310"/>
      <c r="AA42" s="310"/>
      <c r="AB42" s="310">
        <f t="shared" si="2"/>
        <v>92.736000000000018</v>
      </c>
      <c r="AC42" s="5"/>
    </row>
    <row r="43" spans="1:29" ht="13.5" customHeight="1">
      <c r="A43" s="7">
        <f t="shared" si="3"/>
        <v>39</v>
      </c>
      <c r="B43" s="3" t="str">
        <f>Personnel!B43</f>
        <v>Yanique Lewis</v>
      </c>
      <c r="C43" s="3" t="str">
        <f>Personnel!C43</f>
        <v>Regular Teacher</v>
      </c>
      <c r="D43" s="3" t="str">
        <f>Personnel!F43</f>
        <v>New</v>
      </c>
      <c r="E43" s="172">
        <f>Personnel!Q43</f>
        <v>61600</v>
      </c>
      <c r="F43" s="172"/>
      <c r="G43" s="172"/>
      <c r="H43" s="5"/>
      <c r="I43" s="304"/>
      <c r="J43" s="304"/>
      <c r="K43" s="5"/>
      <c r="L43" s="305" t="s">
        <v>553</v>
      </c>
      <c r="M43" s="306">
        <f t="shared" si="20"/>
        <v>9053.2260000000006</v>
      </c>
      <c r="N43" s="306"/>
      <c r="O43" s="306"/>
      <c r="P43" s="306">
        <f t="shared" si="0"/>
        <v>9053.2260000000006</v>
      </c>
      <c r="Q43" s="15"/>
      <c r="R43" s="307" t="s">
        <v>554</v>
      </c>
      <c r="S43" s="308">
        <f t="shared" si="18"/>
        <v>648.90000000000009</v>
      </c>
      <c r="T43" s="308"/>
      <c r="U43" s="308"/>
      <c r="V43" s="308">
        <f t="shared" si="1"/>
        <v>648.90000000000009</v>
      </c>
      <c r="W43" s="15"/>
      <c r="X43" s="309" t="s">
        <v>569</v>
      </c>
      <c r="Y43" s="310">
        <f t="shared" si="19"/>
        <v>92.736000000000018</v>
      </c>
      <c r="Z43" s="310"/>
      <c r="AA43" s="310"/>
      <c r="AB43" s="310">
        <f t="shared" si="2"/>
        <v>92.736000000000018</v>
      </c>
      <c r="AC43" s="5"/>
    </row>
    <row r="44" spans="1:29" ht="14.25" customHeight="1">
      <c r="A44" s="7">
        <f t="shared" si="3"/>
        <v>40</v>
      </c>
      <c r="B44" s="3" t="str">
        <f>Personnel!B44</f>
        <v>Alessandro Lopes</v>
      </c>
      <c r="C44" s="3" t="str">
        <f>Personnel!C44</f>
        <v>Regular Teacher</v>
      </c>
      <c r="D44" s="3" t="str">
        <f>Personnel!F44</f>
        <v>New</v>
      </c>
      <c r="E44" s="172">
        <f>Personnel!Q44</f>
        <v>61600</v>
      </c>
      <c r="F44" s="172"/>
      <c r="G44" s="172" t="s">
        <v>562</v>
      </c>
      <c r="H44" s="5"/>
      <c r="I44" s="304">
        <f t="shared" ref="I44:I45" si="21">(50*2)*12</f>
        <v>1200</v>
      </c>
      <c r="J44" s="304"/>
      <c r="K44" s="5"/>
      <c r="L44" s="305" t="s">
        <v>553</v>
      </c>
      <c r="M44" s="306">
        <f t="shared" si="20"/>
        <v>9053.2260000000006</v>
      </c>
      <c r="N44" s="306"/>
      <c r="O44" s="306"/>
      <c r="P44" s="306">
        <f t="shared" si="0"/>
        <v>9053.2260000000006</v>
      </c>
      <c r="Q44" s="15"/>
      <c r="R44" s="307" t="s">
        <v>554</v>
      </c>
      <c r="S44" s="308">
        <f t="shared" si="18"/>
        <v>648.90000000000009</v>
      </c>
      <c r="T44" s="308"/>
      <c r="U44" s="308"/>
      <c r="V44" s="308">
        <f t="shared" si="1"/>
        <v>648.90000000000009</v>
      </c>
      <c r="W44" s="15"/>
      <c r="X44" s="309" t="s">
        <v>569</v>
      </c>
      <c r="Y44" s="310">
        <f t="shared" si="19"/>
        <v>92.736000000000018</v>
      </c>
      <c r="Z44" s="310"/>
      <c r="AA44" s="310"/>
      <c r="AB44" s="310">
        <f t="shared" si="2"/>
        <v>92.736000000000018</v>
      </c>
      <c r="AC44" s="5"/>
    </row>
    <row r="45" spans="1:29" ht="13.5" customHeight="1">
      <c r="A45" s="7">
        <f t="shared" si="3"/>
        <v>41</v>
      </c>
      <c r="B45" s="3" t="str">
        <f>Personnel!B45</f>
        <v>Zhiyon Mitchell</v>
      </c>
      <c r="C45" s="3" t="str">
        <f>Personnel!C45</f>
        <v>Regular Teacher</v>
      </c>
      <c r="D45" s="3" t="str">
        <f>Personnel!F45</f>
        <v>New</v>
      </c>
      <c r="E45" s="172">
        <f>Personnel!Q45</f>
        <v>61600</v>
      </c>
      <c r="F45" s="172"/>
      <c r="G45" s="172" t="s">
        <v>562</v>
      </c>
      <c r="H45" s="5"/>
      <c r="I45" s="304">
        <f t="shared" si="21"/>
        <v>1200</v>
      </c>
      <c r="J45" s="304"/>
      <c r="K45" s="5"/>
      <c r="L45" s="305" t="s">
        <v>553</v>
      </c>
      <c r="M45" s="306">
        <f t="shared" si="20"/>
        <v>9053.2260000000006</v>
      </c>
      <c r="N45" s="306"/>
      <c r="O45" s="306"/>
      <c r="P45" s="306">
        <f t="shared" si="0"/>
        <v>9053.2260000000006</v>
      </c>
      <c r="Q45" s="15"/>
      <c r="R45" s="307" t="s">
        <v>554</v>
      </c>
      <c r="S45" s="308">
        <f t="shared" si="18"/>
        <v>648.90000000000009</v>
      </c>
      <c r="T45" s="308"/>
      <c r="U45" s="308"/>
      <c r="V45" s="308">
        <f t="shared" si="1"/>
        <v>648.90000000000009</v>
      </c>
      <c r="W45" s="15"/>
      <c r="X45" s="309" t="s">
        <v>569</v>
      </c>
      <c r="Y45" s="310">
        <f t="shared" si="19"/>
        <v>92.736000000000018</v>
      </c>
      <c r="Z45" s="310"/>
      <c r="AA45" s="310"/>
      <c r="AB45" s="310">
        <f t="shared" si="2"/>
        <v>92.736000000000018</v>
      </c>
      <c r="AC45" s="5"/>
    </row>
    <row r="46" spans="1:29" ht="13.5" customHeight="1">
      <c r="A46" s="7">
        <f t="shared" si="3"/>
        <v>42</v>
      </c>
      <c r="B46" s="3" t="str">
        <f>Personnel!B46</f>
        <v xml:space="preserve">Wanda Daughtry </v>
      </c>
      <c r="C46" s="3" t="str">
        <f>Personnel!C46</f>
        <v>Bus Matron</v>
      </c>
      <c r="D46" s="3" t="str">
        <f>Personnel!F46</f>
        <v>Active</v>
      </c>
      <c r="E46" s="172">
        <f>Personnel!Q46</f>
        <v>5000</v>
      </c>
      <c r="F46" s="172"/>
      <c r="G46" s="3"/>
      <c r="H46" s="5"/>
      <c r="I46" s="5"/>
      <c r="J46" s="5"/>
      <c r="K46" s="5"/>
      <c r="L46" s="305"/>
      <c r="M46" s="306"/>
      <c r="N46" s="306"/>
      <c r="O46" s="306"/>
      <c r="P46" s="306">
        <f t="shared" si="0"/>
        <v>0</v>
      </c>
      <c r="Q46" s="15"/>
      <c r="R46" s="307"/>
      <c r="S46" s="308"/>
      <c r="T46" s="308"/>
      <c r="U46" s="308"/>
      <c r="V46" s="308">
        <f t="shared" si="1"/>
        <v>0</v>
      </c>
      <c r="W46" s="15"/>
      <c r="X46" s="309"/>
      <c r="Y46" s="310"/>
      <c r="Z46" s="310"/>
      <c r="AA46" s="310"/>
      <c r="AB46" s="310">
        <f t="shared" si="2"/>
        <v>0</v>
      </c>
      <c r="AC46" s="5"/>
    </row>
    <row r="47" spans="1:29" ht="13.5" customHeight="1">
      <c r="A47" s="7">
        <f t="shared" si="3"/>
        <v>43</v>
      </c>
      <c r="B47" s="3" t="str">
        <f>Personnel!B47</f>
        <v>Vacant</v>
      </c>
      <c r="C47" s="3" t="str">
        <f>Personnel!C47</f>
        <v>SPED Coordinator</v>
      </c>
      <c r="D47" s="3" t="str">
        <f>Personnel!F47</f>
        <v>New</v>
      </c>
      <c r="E47" s="172">
        <f>Personnel!Q47</f>
        <v>92000</v>
      </c>
      <c r="F47" s="172"/>
      <c r="G47" s="3"/>
      <c r="H47" s="5"/>
      <c r="I47" s="5"/>
      <c r="J47" s="5"/>
      <c r="K47" s="5"/>
      <c r="L47" s="305" t="s">
        <v>553</v>
      </c>
      <c r="M47" s="306">
        <f>(718.51*6)+(718.51*110%*6)</f>
        <v>9053.2260000000006</v>
      </c>
      <c r="N47" s="306"/>
      <c r="O47" s="306"/>
      <c r="P47" s="306">
        <f t="shared" si="0"/>
        <v>9053.2260000000006</v>
      </c>
      <c r="Q47" s="15"/>
      <c r="R47" s="307" t="s">
        <v>554</v>
      </c>
      <c r="S47" s="308">
        <f>(51.5*6)+(51.5*110%*6)</f>
        <v>648.90000000000009</v>
      </c>
      <c r="T47" s="308"/>
      <c r="U47" s="308"/>
      <c r="V47" s="308">
        <f t="shared" si="1"/>
        <v>648.90000000000009</v>
      </c>
      <c r="W47" s="15"/>
      <c r="X47" s="309" t="s">
        <v>569</v>
      </c>
      <c r="Y47" s="310">
        <f>(7.36*6)+(7.36*110%*6)</f>
        <v>92.736000000000018</v>
      </c>
      <c r="Z47" s="310"/>
      <c r="AA47" s="310"/>
      <c r="AB47" s="310">
        <f t="shared" si="2"/>
        <v>92.736000000000018</v>
      </c>
      <c r="AC47" s="5"/>
    </row>
    <row r="48" spans="1:29" ht="13.5" customHeight="1">
      <c r="A48" s="7">
        <f t="shared" si="3"/>
        <v>44</v>
      </c>
      <c r="B48" s="3" t="str">
        <f>Personnel!B48</f>
        <v>Vacant</v>
      </c>
      <c r="C48" s="3">
        <f>Personnel!C48</f>
        <v>0</v>
      </c>
      <c r="D48" s="3">
        <f>Personnel!F48</f>
        <v>0</v>
      </c>
      <c r="E48" s="172">
        <f>Personnel!Q48</f>
        <v>0</v>
      </c>
      <c r="F48" s="172"/>
      <c r="G48" s="3"/>
      <c r="H48" s="5"/>
      <c r="I48" s="5"/>
      <c r="J48" s="5"/>
      <c r="K48" s="5"/>
      <c r="L48" s="305"/>
      <c r="M48" s="306"/>
      <c r="N48" s="306"/>
      <c r="O48" s="306"/>
      <c r="P48" s="306">
        <f t="shared" si="0"/>
        <v>0</v>
      </c>
      <c r="Q48" s="15"/>
      <c r="R48" s="307"/>
      <c r="S48" s="308"/>
      <c r="T48" s="308"/>
      <c r="U48" s="308"/>
      <c r="V48" s="308">
        <f t="shared" si="1"/>
        <v>0</v>
      </c>
      <c r="W48" s="15"/>
      <c r="X48" s="309"/>
      <c r="Y48" s="310"/>
      <c r="Z48" s="310"/>
      <c r="AA48" s="310"/>
      <c r="AB48" s="310">
        <f t="shared" si="2"/>
        <v>0</v>
      </c>
      <c r="AC48" s="5"/>
    </row>
    <row r="49" spans="1:29" ht="13.5" customHeight="1">
      <c r="A49" s="7">
        <f t="shared" si="3"/>
        <v>45</v>
      </c>
      <c r="B49" s="3" t="str">
        <f>Personnel!B49</f>
        <v>Vacant</v>
      </c>
      <c r="C49" s="3">
        <f>Personnel!C49</f>
        <v>0</v>
      </c>
      <c r="D49" s="3">
        <f>Personnel!F49</f>
        <v>0</v>
      </c>
      <c r="E49" s="172">
        <f>Personnel!L49</f>
        <v>0</v>
      </c>
      <c r="F49" s="172"/>
      <c r="G49" s="3"/>
      <c r="H49" s="5"/>
      <c r="I49" s="5"/>
      <c r="J49" s="5"/>
      <c r="K49" s="5"/>
      <c r="L49" s="305"/>
      <c r="M49" s="306"/>
      <c r="N49" s="306"/>
      <c r="O49" s="306"/>
      <c r="P49" s="306">
        <f t="shared" si="0"/>
        <v>0</v>
      </c>
      <c r="Q49" s="15"/>
      <c r="R49" s="307"/>
      <c r="S49" s="308"/>
      <c r="T49" s="308"/>
      <c r="U49" s="308"/>
      <c r="V49" s="308">
        <f t="shared" si="1"/>
        <v>0</v>
      </c>
      <c r="W49" s="15"/>
      <c r="X49" s="309"/>
      <c r="Y49" s="310"/>
      <c r="Z49" s="310"/>
      <c r="AA49" s="310"/>
      <c r="AB49" s="310">
        <f t="shared" si="2"/>
        <v>0</v>
      </c>
      <c r="AC49" s="5"/>
    </row>
    <row r="50" spans="1:29" ht="13.5" customHeight="1">
      <c r="A50" s="7">
        <f t="shared" si="3"/>
        <v>46</v>
      </c>
      <c r="B50" s="3" t="str">
        <f>Personnel!B50</f>
        <v>Vacant</v>
      </c>
      <c r="C50" s="3">
        <f>Personnel!C50</f>
        <v>0</v>
      </c>
      <c r="D50" s="3">
        <f>Personnel!F50</f>
        <v>0</v>
      </c>
      <c r="E50" s="172">
        <f>Personnel!L50</f>
        <v>0</v>
      </c>
      <c r="F50" s="172"/>
      <c r="G50" s="3"/>
      <c r="H50" s="5"/>
      <c r="I50" s="5"/>
      <c r="J50" s="5"/>
      <c r="K50" s="5"/>
      <c r="L50" s="305"/>
      <c r="M50" s="306"/>
      <c r="N50" s="306"/>
      <c r="O50" s="306"/>
      <c r="P50" s="306">
        <f t="shared" si="0"/>
        <v>0</v>
      </c>
      <c r="Q50" s="15"/>
      <c r="R50" s="307"/>
      <c r="S50" s="308"/>
      <c r="T50" s="308"/>
      <c r="U50" s="308"/>
      <c r="V50" s="308">
        <f t="shared" si="1"/>
        <v>0</v>
      </c>
      <c r="W50" s="15"/>
      <c r="X50" s="309"/>
      <c r="Y50" s="310"/>
      <c r="Z50" s="310"/>
      <c r="AA50" s="310"/>
      <c r="AB50" s="310">
        <f t="shared" si="2"/>
        <v>0</v>
      </c>
      <c r="AC50" s="5"/>
    </row>
    <row r="51" spans="1:29" ht="13.5" customHeight="1">
      <c r="A51" s="7">
        <f t="shared" si="3"/>
        <v>47</v>
      </c>
      <c r="B51" s="3" t="str">
        <f>Personnel!B51</f>
        <v>Vacant</v>
      </c>
      <c r="C51" s="3">
        <f>Personnel!C51</f>
        <v>0</v>
      </c>
      <c r="D51" s="3">
        <f>Personnel!F51</f>
        <v>0</v>
      </c>
      <c r="E51" s="172">
        <f>Personnel!L51</f>
        <v>0</v>
      </c>
      <c r="F51" s="172"/>
      <c r="G51" s="3"/>
      <c r="H51" s="5"/>
      <c r="I51" s="5"/>
      <c r="J51" s="5"/>
      <c r="K51" s="5"/>
      <c r="L51" s="305"/>
      <c r="M51" s="306"/>
      <c r="N51" s="306"/>
      <c r="O51" s="306"/>
      <c r="P51" s="306">
        <f t="shared" si="0"/>
        <v>0</v>
      </c>
      <c r="Q51" s="15"/>
      <c r="R51" s="307"/>
      <c r="S51" s="308"/>
      <c r="T51" s="308"/>
      <c r="U51" s="308"/>
      <c r="V51" s="308">
        <f t="shared" si="1"/>
        <v>0</v>
      </c>
      <c r="W51" s="15"/>
      <c r="X51" s="309"/>
      <c r="Y51" s="310"/>
      <c r="Z51" s="310"/>
      <c r="AA51" s="310"/>
      <c r="AB51" s="310">
        <f t="shared" si="2"/>
        <v>0</v>
      </c>
      <c r="AC51" s="5"/>
    </row>
    <row r="52" spans="1:29" ht="13.5" customHeight="1">
      <c r="A52" s="7">
        <f t="shared" si="3"/>
        <v>48</v>
      </c>
      <c r="B52" s="3" t="str">
        <f>Personnel!B52</f>
        <v>Vacant</v>
      </c>
      <c r="C52" s="3">
        <f>Personnel!C52</f>
        <v>0</v>
      </c>
      <c r="D52" s="3">
        <f>Personnel!F52</f>
        <v>0</v>
      </c>
      <c r="E52" s="172">
        <f>Personnel!L52</f>
        <v>0</v>
      </c>
      <c r="F52" s="172"/>
      <c r="G52" s="3"/>
      <c r="H52" s="5"/>
      <c r="I52" s="5"/>
      <c r="J52" s="5"/>
      <c r="K52" s="5"/>
      <c r="L52" s="305"/>
      <c r="M52" s="306"/>
      <c r="N52" s="306"/>
      <c r="O52" s="306"/>
      <c r="P52" s="306">
        <f t="shared" si="0"/>
        <v>0</v>
      </c>
      <c r="Q52" s="15"/>
      <c r="R52" s="307"/>
      <c r="S52" s="308"/>
      <c r="T52" s="308"/>
      <c r="U52" s="308"/>
      <c r="V52" s="308">
        <f t="shared" si="1"/>
        <v>0</v>
      </c>
      <c r="W52" s="15"/>
      <c r="X52" s="309"/>
      <c r="Y52" s="310"/>
      <c r="Z52" s="310"/>
      <c r="AA52" s="310"/>
      <c r="AB52" s="310">
        <f t="shared" si="2"/>
        <v>0</v>
      </c>
      <c r="AC52" s="5"/>
    </row>
    <row r="53" spans="1:29" ht="13.5" customHeight="1">
      <c r="A53" s="7">
        <f t="shared" si="3"/>
        <v>49</v>
      </c>
      <c r="B53" s="3" t="str">
        <f>Personnel!B53</f>
        <v>Vacant</v>
      </c>
      <c r="C53" s="3">
        <f>Personnel!C53</f>
        <v>0</v>
      </c>
      <c r="D53" s="3">
        <f>Personnel!F53</f>
        <v>0</v>
      </c>
      <c r="E53" s="172">
        <f>Personnel!L53</f>
        <v>0</v>
      </c>
      <c r="F53" s="172"/>
      <c r="G53" s="3"/>
      <c r="H53" s="5"/>
      <c r="I53" s="5"/>
      <c r="J53" s="5"/>
      <c r="K53" s="5"/>
      <c r="L53" s="305"/>
      <c r="M53" s="306"/>
      <c r="N53" s="306"/>
      <c r="O53" s="306"/>
      <c r="P53" s="306">
        <f t="shared" si="0"/>
        <v>0</v>
      </c>
      <c r="Q53" s="15"/>
      <c r="R53" s="307"/>
      <c r="S53" s="308"/>
      <c r="T53" s="308"/>
      <c r="U53" s="308"/>
      <c r="V53" s="308">
        <f t="shared" si="1"/>
        <v>0</v>
      </c>
      <c r="W53" s="15"/>
      <c r="X53" s="309"/>
      <c r="Y53" s="310"/>
      <c r="Z53" s="310"/>
      <c r="AA53" s="310"/>
      <c r="AB53" s="310">
        <f t="shared" si="2"/>
        <v>0</v>
      </c>
      <c r="AC53" s="5"/>
    </row>
    <row r="54" spans="1:29" ht="13.5" customHeight="1">
      <c r="A54" s="7"/>
      <c r="B54" s="3"/>
      <c r="C54" s="3"/>
      <c r="D54" s="3"/>
      <c r="E54" s="311"/>
      <c r="F54" s="311"/>
      <c r="G54" s="3"/>
      <c r="H54" s="5"/>
      <c r="I54" s="312"/>
      <c r="J54" s="312"/>
      <c r="K54" s="5"/>
      <c r="L54" s="305"/>
      <c r="M54" s="306"/>
      <c r="N54" s="306"/>
      <c r="O54" s="313"/>
      <c r="P54" s="313"/>
      <c r="Q54" s="15"/>
      <c r="R54" s="307"/>
      <c r="S54" s="307"/>
      <c r="T54" s="307"/>
      <c r="U54" s="314"/>
      <c r="V54" s="314"/>
      <c r="W54" s="15"/>
      <c r="X54" s="309"/>
      <c r="Y54" s="309"/>
      <c r="Z54" s="309"/>
      <c r="AA54" s="315"/>
      <c r="AB54" s="315"/>
      <c r="AC54" s="5"/>
    </row>
    <row r="55" spans="1:29" ht="13.5" customHeight="1">
      <c r="A55" s="5"/>
      <c r="B55" s="3"/>
      <c r="C55" s="3"/>
      <c r="D55" s="3"/>
      <c r="E55" s="316">
        <f t="shared" ref="E55:F55" si="22">SUM(E5:E54)</f>
        <v>2733946.5192</v>
      </c>
      <c r="F55" s="316">
        <f t="shared" si="22"/>
        <v>0</v>
      </c>
      <c r="G55" s="317"/>
      <c r="H55" s="274"/>
      <c r="I55" s="318">
        <f t="shared" ref="I55:J55" si="23">SUM(I5:I54)</f>
        <v>9600</v>
      </c>
      <c r="J55" s="318">
        <f t="shared" si="23"/>
        <v>107832</v>
      </c>
      <c r="K55" s="274"/>
      <c r="L55" s="274"/>
      <c r="M55" s="274"/>
      <c r="N55" s="274"/>
      <c r="O55" s="318">
        <f t="shared" ref="O55:P55" si="24">SUM(O5:O54)</f>
        <v>14400</v>
      </c>
      <c r="P55" s="318">
        <f t="shared" si="24"/>
        <v>277833.3</v>
      </c>
      <c r="Q55" s="274"/>
      <c r="R55" s="274"/>
      <c r="S55" s="274"/>
      <c r="T55" s="274"/>
      <c r="U55" s="318">
        <f t="shared" ref="U55:V55" si="25">SUM(U5:U54)</f>
        <v>0</v>
      </c>
      <c r="V55" s="318">
        <f t="shared" si="25"/>
        <v>16410.959999999995</v>
      </c>
      <c r="W55" s="5"/>
      <c r="X55" s="274"/>
      <c r="Y55" s="274"/>
      <c r="Z55" s="274"/>
      <c r="AA55" s="318">
        <f t="shared" ref="AA55:AB55" si="26">SUM(AA5:AA54)</f>
        <v>0</v>
      </c>
      <c r="AB55" s="318">
        <f t="shared" si="26"/>
        <v>2543.2200000000003</v>
      </c>
      <c r="AC55" s="5"/>
    </row>
    <row r="56" spans="1:29" ht="13.5" customHeight="1">
      <c r="A56" s="5"/>
      <c r="B56" s="3"/>
      <c r="C56" s="3"/>
      <c r="D56" s="3"/>
      <c r="E56" s="316"/>
      <c r="F56" s="316"/>
      <c r="G56" s="317"/>
      <c r="H56" s="274"/>
      <c r="I56" s="318"/>
      <c r="J56" s="318"/>
      <c r="K56" s="274"/>
      <c r="L56" s="274"/>
      <c r="M56" s="274"/>
      <c r="N56" s="274"/>
      <c r="O56" s="318"/>
      <c r="P56" s="318"/>
      <c r="Q56" s="274"/>
      <c r="R56" s="274"/>
      <c r="S56" s="274"/>
      <c r="T56" s="274"/>
      <c r="U56" s="318"/>
      <c r="V56" s="318"/>
      <c r="W56" s="5"/>
      <c r="X56" s="274"/>
      <c r="Y56" s="274"/>
      <c r="Z56" s="274"/>
      <c r="AA56" s="318"/>
      <c r="AB56" s="318"/>
      <c r="AC56" s="5"/>
    </row>
    <row r="57" spans="1:29" ht="13.5" customHeight="1">
      <c r="A57" s="5"/>
      <c r="B57" s="3"/>
      <c r="C57" s="3"/>
      <c r="D57" s="3"/>
      <c r="E57" s="316"/>
      <c r="F57" s="316"/>
      <c r="G57" s="317"/>
      <c r="H57" s="274"/>
      <c r="I57" s="318"/>
      <c r="J57" s="318"/>
      <c r="K57" s="274"/>
      <c r="L57" s="274"/>
      <c r="M57" s="274"/>
      <c r="N57" s="274"/>
      <c r="O57" s="318"/>
      <c r="P57" s="318"/>
      <c r="Q57" s="274"/>
      <c r="R57" s="274"/>
      <c r="S57" s="274"/>
      <c r="T57" s="274"/>
      <c r="U57" s="318"/>
      <c r="V57" s="318"/>
      <c r="W57" s="5"/>
      <c r="X57" s="274"/>
      <c r="Y57" s="274"/>
      <c r="Z57" s="274"/>
      <c r="AA57" s="318"/>
      <c r="AB57" s="318"/>
      <c r="AC57" s="5"/>
    </row>
    <row r="58" spans="1:29" ht="13.5" customHeight="1">
      <c r="A58" s="5"/>
      <c r="B58" s="3"/>
      <c r="C58" s="3"/>
      <c r="D58" s="3"/>
      <c r="E58" s="316"/>
      <c r="F58" s="316"/>
      <c r="G58" s="317"/>
      <c r="H58" s="274"/>
      <c r="I58" s="318"/>
      <c r="J58" s="318"/>
      <c r="K58" s="274"/>
      <c r="L58" s="274"/>
      <c r="M58" s="274"/>
      <c r="N58" s="274"/>
      <c r="O58" s="318"/>
      <c r="P58" s="318"/>
      <c r="Q58" s="274"/>
      <c r="R58" s="274"/>
      <c r="S58" s="274"/>
      <c r="T58" s="274"/>
      <c r="U58" s="318"/>
      <c r="V58" s="318"/>
      <c r="W58" s="5"/>
      <c r="X58" s="274"/>
      <c r="Y58" s="274"/>
      <c r="Z58" s="274"/>
      <c r="AA58" s="318"/>
      <c r="AB58" s="318"/>
      <c r="AC58" s="5"/>
    </row>
    <row r="59" spans="1:29" ht="13.5" customHeight="1">
      <c r="A59" s="5"/>
      <c r="B59" s="3"/>
      <c r="C59" s="3"/>
      <c r="D59" s="3"/>
      <c r="E59" s="316"/>
      <c r="F59" s="316"/>
      <c r="G59" s="317"/>
      <c r="H59" s="274"/>
      <c r="I59" s="318"/>
      <c r="J59" s="318"/>
      <c r="K59" s="274"/>
      <c r="L59" s="274"/>
      <c r="M59" s="274"/>
      <c r="N59" s="274"/>
      <c r="O59" s="318"/>
      <c r="P59" s="318"/>
      <c r="Q59" s="274"/>
      <c r="R59" s="274"/>
      <c r="S59" s="274"/>
      <c r="T59" s="274"/>
      <c r="U59" s="318"/>
      <c r="V59" s="318"/>
      <c r="W59" s="5"/>
      <c r="X59" s="274"/>
      <c r="Y59" s="274"/>
      <c r="Z59" s="274"/>
      <c r="AA59" s="318"/>
      <c r="AB59" s="318"/>
      <c r="AC59" s="5"/>
    </row>
    <row r="60" spans="1:29" ht="13.5" customHeight="1">
      <c r="A60" s="5"/>
      <c r="B60" s="3"/>
      <c r="C60" s="3"/>
      <c r="D60" s="3"/>
      <c r="E60" s="316"/>
      <c r="F60" s="316"/>
      <c r="G60" s="317"/>
      <c r="H60" s="274"/>
      <c r="I60" s="318"/>
      <c r="J60" s="318"/>
      <c r="K60" s="274"/>
      <c r="L60" s="274"/>
      <c r="M60" s="274"/>
      <c r="N60" s="274"/>
      <c r="O60" s="318"/>
      <c r="P60" s="318"/>
      <c r="Q60" s="274"/>
      <c r="R60" s="274"/>
      <c r="S60" s="274"/>
      <c r="T60" s="274"/>
      <c r="U60" s="318"/>
      <c r="V60" s="318"/>
      <c r="W60" s="5"/>
      <c r="X60" s="274"/>
      <c r="Y60" s="274"/>
      <c r="Z60" s="274"/>
      <c r="AA60" s="318"/>
      <c r="AB60" s="318"/>
      <c r="AC60" s="5"/>
    </row>
    <row r="61" spans="1:29" ht="13.5" customHeight="1">
      <c r="A61" s="5"/>
      <c r="B61" s="3"/>
      <c r="C61" s="3"/>
      <c r="D61" s="3"/>
      <c r="E61" s="316"/>
      <c r="F61" s="316"/>
      <c r="G61" s="317"/>
      <c r="H61" s="274"/>
      <c r="I61" s="318"/>
      <c r="J61" s="318"/>
      <c r="K61" s="274"/>
      <c r="L61" s="274"/>
      <c r="M61" s="274"/>
      <c r="N61" s="274"/>
      <c r="O61" s="318"/>
      <c r="P61" s="318"/>
      <c r="Q61" s="274"/>
      <c r="R61" s="274"/>
      <c r="S61" s="274"/>
      <c r="T61" s="274"/>
      <c r="U61" s="318"/>
      <c r="V61" s="318"/>
      <c r="W61" s="5"/>
      <c r="X61" s="274"/>
      <c r="Y61" s="274"/>
      <c r="Z61" s="274"/>
      <c r="AA61" s="318"/>
      <c r="AB61" s="318"/>
      <c r="AC61" s="5"/>
    </row>
    <row r="62" spans="1:29" ht="13.5" customHeight="1">
      <c r="A62" s="5"/>
      <c r="B62" s="3"/>
      <c r="C62" s="3"/>
      <c r="D62" s="3"/>
      <c r="E62" s="316"/>
      <c r="F62" s="316"/>
      <c r="G62" s="317"/>
      <c r="H62" s="274"/>
      <c r="I62" s="318"/>
      <c r="J62" s="318"/>
      <c r="K62" s="274"/>
      <c r="L62" s="274"/>
      <c r="M62" s="274"/>
      <c r="N62" s="274"/>
      <c r="O62" s="318"/>
      <c r="P62" s="318"/>
      <c r="Q62" s="274"/>
      <c r="R62" s="274"/>
      <c r="S62" s="274"/>
      <c r="T62" s="274"/>
      <c r="U62" s="318"/>
      <c r="V62" s="318"/>
      <c r="W62" s="5"/>
      <c r="X62" s="274"/>
      <c r="Y62" s="274"/>
      <c r="Z62" s="274"/>
      <c r="AA62" s="318"/>
      <c r="AB62" s="318"/>
      <c r="AC62" s="5"/>
    </row>
    <row r="63" spans="1:29" ht="13.5" customHeight="1">
      <c r="A63" s="5"/>
      <c r="B63" s="3"/>
      <c r="C63" s="3"/>
      <c r="D63" s="3"/>
      <c r="E63" s="316"/>
      <c r="F63" s="316"/>
      <c r="G63" s="317"/>
      <c r="H63" s="274"/>
      <c r="I63" s="318"/>
      <c r="J63" s="318"/>
      <c r="K63" s="274"/>
      <c r="L63" s="274"/>
      <c r="M63" s="274"/>
      <c r="N63" s="274"/>
      <c r="O63" s="318"/>
      <c r="P63" s="318"/>
      <c r="Q63" s="274"/>
      <c r="R63" s="274"/>
      <c r="S63" s="274"/>
      <c r="T63" s="274"/>
      <c r="U63" s="318"/>
      <c r="V63" s="318"/>
      <c r="W63" s="5"/>
      <c r="X63" s="274"/>
      <c r="Y63" s="274"/>
      <c r="Z63" s="274"/>
      <c r="AA63" s="318"/>
      <c r="AB63" s="318"/>
      <c r="AC63" s="5"/>
    </row>
    <row r="64" spans="1:29" ht="13.5" customHeight="1">
      <c r="A64" s="5"/>
      <c r="B64" s="3"/>
      <c r="C64" s="3"/>
      <c r="D64" s="3"/>
      <c r="E64" s="316"/>
      <c r="F64" s="316"/>
      <c r="G64" s="317"/>
      <c r="H64" s="274"/>
      <c r="I64" s="318"/>
      <c r="J64" s="318"/>
      <c r="K64" s="274"/>
      <c r="L64" s="274"/>
      <c r="M64" s="274"/>
      <c r="N64" s="274"/>
      <c r="O64" s="318"/>
      <c r="P64" s="318"/>
      <c r="Q64" s="274"/>
      <c r="R64" s="274"/>
      <c r="S64" s="274"/>
      <c r="T64" s="274"/>
      <c r="U64" s="318"/>
      <c r="V64" s="318"/>
      <c r="W64" s="5"/>
      <c r="X64" s="274"/>
      <c r="Y64" s="274"/>
      <c r="Z64" s="274"/>
      <c r="AA64" s="318"/>
      <c r="AB64" s="318"/>
      <c r="AC64" s="5"/>
    </row>
    <row r="65" spans="1:29" ht="13.5" customHeight="1">
      <c r="A65" s="5"/>
      <c r="B65" s="3"/>
      <c r="C65" s="3"/>
      <c r="D65" s="3"/>
      <c r="E65" s="316"/>
      <c r="F65" s="316"/>
      <c r="G65" s="317"/>
      <c r="H65" s="274"/>
      <c r="I65" s="318"/>
      <c r="J65" s="318"/>
      <c r="K65" s="274"/>
      <c r="L65" s="274"/>
      <c r="M65" s="274"/>
      <c r="N65" s="274"/>
      <c r="O65" s="318"/>
      <c r="P65" s="318"/>
      <c r="Q65" s="274"/>
      <c r="R65" s="274"/>
      <c r="S65" s="274"/>
      <c r="T65" s="274"/>
      <c r="U65" s="318"/>
      <c r="V65" s="318"/>
      <c r="W65" s="5"/>
      <c r="X65" s="274"/>
      <c r="Y65" s="274"/>
      <c r="Z65" s="274"/>
      <c r="AA65" s="318"/>
      <c r="AB65" s="318"/>
      <c r="AC65" s="5"/>
    </row>
  </sheetData>
  <mergeCells count="4">
    <mergeCell ref="G3:J3"/>
    <mergeCell ref="L3:P3"/>
    <mergeCell ref="R3:V3"/>
    <mergeCell ref="X3:AB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</sheetPr>
  <dimension ref="A1:Z54"/>
  <sheetViews>
    <sheetView workbookViewId="0"/>
  </sheetViews>
  <sheetFormatPr defaultColWidth="14.44140625" defaultRowHeight="15" customHeight="1"/>
  <cols>
    <col min="1" max="1" width="22.109375" customWidth="1"/>
    <col min="2" max="2" width="30.109375" customWidth="1"/>
    <col min="3" max="4" width="14" customWidth="1"/>
    <col min="5" max="5" width="33.44140625" customWidth="1"/>
    <col min="6" max="6" width="28.5546875" customWidth="1"/>
    <col min="7" max="26" width="9.109375" customWidth="1"/>
  </cols>
  <sheetData>
    <row r="1" spans="1:26" ht="13.5" customHeight="1">
      <c r="A1" s="319" t="s">
        <v>574</v>
      </c>
      <c r="B1" s="31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>
      <c r="A2" s="319" t="s">
        <v>575</v>
      </c>
      <c r="B2" s="31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>
      <c r="A3" s="319" t="s">
        <v>576</v>
      </c>
      <c r="B3" s="31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>
      <c r="A4" s="319"/>
      <c r="B4" s="31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>
      <c r="A6" s="5"/>
      <c r="B6" s="5"/>
      <c r="C6" s="5"/>
      <c r="D6" s="32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>
      <c r="A7" s="5"/>
      <c r="B7" s="5"/>
      <c r="C7" s="320" t="s">
        <v>577</v>
      </c>
      <c r="D7" s="320" t="s">
        <v>578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>
      <c r="A8" s="295" t="s">
        <v>579</v>
      </c>
      <c r="B8" s="295" t="s">
        <v>580</v>
      </c>
      <c r="C8" s="295" t="s">
        <v>581</v>
      </c>
      <c r="D8" s="295" t="s">
        <v>466</v>
      </c>
      <c r="E8" s="295" t="s">
        <v>582</v>
      </c>
      <c r="F8" s="295" t="s">
        <v>583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>
      <c r="A9" s="274" t="s">
        <v>584</v>
      </c>
      <c r="B9" s="5"/>
      <c r="C9" s="41"/>
      <c r="D9" s="4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>
      <c r="A10" s="5"/>
      <c r="B10" s="5" t="s">
        <v>585</v>
      </c>
      <c r="C10" s="5"/>
      <c r="D10" s="4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>
      <c r="A11" s="5"/>
      <c r="B11" s="5" t="s">
        <v>586</v>
      </c>
      <c r="C11" s="321">
        <v>28897.23</v>
      </c>
      <c r="D11" s="32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>
      <c r="A12" s="5"/>
      <c r="B12" s="5"/>
      <c r="C12" s="322">
        <f t="shared" ref="C12:D12" si="0">SUM(C10:C11)</f>
        <v>28897.23</v>
      </c>
      <c r="D12" s="322">
        <f t="shared" si="0"/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>
      <c r="A13" s="274" t="s">
        <v>587</v>
      </c>
      <c r="B13" s="5"/>
      <c r="C13" s="41"/>
      <c r="D13" s="4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>
      <c r="A14" s="5"/>
      <c r="B14" s="5" t="s">
        <v>588</v>
      </c>
      <c r="C14" s="41">
        <v>91912.27</v>
      </c>
      <c r="D14" s="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>
      <c r="A15" s="5"/>
      <c r="B15" s="5" t="s">
        <v>589</v>
      </c>
      <c r="C15" s="321"/>
      <c r="D15" s="3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>
      <c r="A16" s="5"/>
      <c r="B16" s="5"/>
      <c r="C16" s="322">
        <f t="shared" ref="C16:D16" si="1">SUM(C14:C15)</f>
        <v>91912.27</v>
      </c>
      <c r="D16" s="322">
        <f t="shared" si="1"/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>
      <c r="A17" s="274" t="s">
        <v>590</v>
      </c>
      <c r="B17" s="5"/>
      <c r="C17" s="41"/>
      <c r="D17" s="4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>
      <c r="A18" s="5"/>
      <c r="B18" s="5" t="s">
        <v>591</v>
      </c>
      <c r="C18" s="41">
        <v>164013</v>
      </c>
      <c r="D18" s="41">
        <f>SUM(288*70)</f>
        <v>20160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>
      <c r="A19" s="5"/>
      <c r="B19" s="5" t="s">
        <v>592</v>
      </c>
      <c r="C19" s="41">
        <v>41614.15</v>
      </c>
      <c r="D19" s="41">
        <v>10000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>
      <c r="A20" s="5"/>
      <c r="B20" s="5" t="s">
        <v>593</v>
      </c>
      <c r="C20" s="41">
        <v>1705</v>
      </c>
      <c r="D20" s="41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>
      <c r="A21" s="5"/>
      <c r="B21" s="5" t="s">
        <v>594</v>
      </c>
      <c r="C21" s="41">
        <v>33265</v>
      </c>
      <c r="D21" s="4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>
      <c r="A22" s="5"/>
      <c r="B22" s="5" t="s">
        <v>595</v>
      </c>
      <c r="C22" s="41">
        <v>9245</v>
      </c>
      <c r="D22" s="4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>
      <c r="A23" s="5"/>
      <c r="B23" s="5" t="s">
        <v>596</v>
      </c>
      <c r="C23" s="41"/>
      <c r="D23" s="4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>
      <c r="A24" s="5"/>
      <c r="B24" s="5" t="s">
        <v>597</v>
      </c>
      <c r="C24" s="41"/>
      <c r="D24" s="4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>
      <c r="A25" s="5"/>
      <c r="B25" s="5" t="s">
        <v>598</v>
      </c>
      <c r="C25" s="41">
        <v>43815</v>
      </c>
      <c r="D25" s="4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>
      <c r="A26" s="5"/>
      <c r="B26" s="5" t="s">
        <v>599</v>
      </c>
      <c r="C26" s="41">
        <v>13738</v>
      </c>
      <c r="D26" s="41">
        <v>75000</v>
      </c>
      <c r="E26" s="5" t="s">
        <v>600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>
      <c r="A27" s="5"/>
      <c r="B27" s="5" t="s">
        <v>601</v>
      </c>
      <c r="C27" s="41"/>
      <c r="D27" s="4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>
      <c r="A28" s="5"/>
      <c r="B28" s="5" t="s">
        <v>602</v>
      </c>
      <c r="C28" s="41"/>
      <c r="D28" s="41">
        <v>15000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>
      <c r="A29" s="5"/>
      <c r="B29" s="5" t="s">
        <v>603</v>
      </c>
      <c r="C29" s="321">
        <v>19562</v>
      </c>
      <c r="D29" s="32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5" customHeight="1">
      <c r="A30" s="5"/>
      <c r="B30" s="5"/>
      <c r="C30" s="322">
        <f t="shared" ref="C30:D30" si="2">SUM(C18:C29)</f>
        <v>326957.15000000002</v>
      </c>
      <c r="D30" s="322">
        <f t="shared" si="2"/>
        <v>120160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>
      <c r="A31" s="274" t="s">
        <v>604</v>
      </c>
      <c r="B31" s="5"/>
      <c r="C31" s="41"/>
      <c r="D31" s="4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>
      <c r="A32" s="5"/>
      <c r="B32" s="5" t="s">
        <v>605</v>
      </c>
      <c r="C32" s="41"/>
      <c r="D32" s="4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>
      <c r="A33" s="5"/>
      <c r="B33" s="5" t="s">
        <v>606</v>
      </c>
      <c r="C33" s="321">
        <v>206173</v>
      </c>
      <c r="D33" s="32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>
      <c r="A34" s="5"/>
      <c r="B34" s="5"/>
      <c r="C34" s="322">
        <f t="shared" ref="C34:D34" si="3">SUM(C32:C33)</f>
        <v>206173</v>
      </c>
      <c r="D34" s="322">
        <f t="shared" si="3"/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5" customHeight="1">
      <c r="A35" s="5"/>
      <c r="B35" s="5"/>
      <c r="C35" s="321"/>
      <c r="D35" s="32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>
      <c r="A36" s="5"/>
      <c r="B36" s="5"/>
      <c r="C36" s="41"/>
      <c r="D36" s="4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5"/>
      <c r="B37" s="5"/>
      <c r="C37" s="323">
        <f t="shared" ref="C37:D37" si="4">C12+C16+C30+C34</f>
        <v>653939.65</v>
      </c>
      <c r="D37" s="323">
        <f t="shared" si="4"/>
        <v>120160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5"/>
      <c r="B38" s="5"/>
      <c r="C38" s="41"/>
      <c r="D38" s="4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>
      <c r="A39" s="5"/>
      <c r="B39" s="5"/>
      <c r="C39" s="41"/>
      <c r="D39" s="4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5" customHeight="1">
      <c r="A40" s="5"/>
      <c r="B40" s="5"/>
      <c r="C40" s="41"/>
      <c r="D40" s="4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5" customHeight="1">
      <c r="A41" s="5"/>
      <c r="B41" s="5"/>
      <c r="C41" s="41"/>
      <c r="D41" s="4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5" customHeight="1">
      <c r="A42" s="5"/>
      <c r="B42" s="5"/>
      <c r="C42" s="41"/>
      <c r="D42" s="4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5" customHeight="1">
      <c r="A43" s="5"/>
      <c r="B43" s="5"/>
      <c r="C43" s="41"/>
      <c r="D43" s="4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>
      <c r="A44" s="5"/>
      <c r="B44" s="5"/>
      <c r="C44" s="41"/>
      <c r="D44" s="4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5" customHeight="1">
      <c r="A45" s="5"/>
      <c r="B45" s="5"/>
      <c r="C45" s="41"/>
      <c r="D45" s="4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5" customHeight="1">
      <c r="A46" s="5"/>
      <c r="B46" s="5"/>
      <c r="C46" s="41"/>
      <c r="D46" s="4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5" customHeight="1">
      <c r="A47" s="5"/>
      <c r="B47" s="5"/>
      <c r="C47" s="41"/>
      <c r="D47" s="4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5" customHeight="1">
      <c r="A48" s="5"/>
      <c r="B48" s="5"/>
      <c r="C48" s="41"/>
      <c r="D48" s="4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>
      <c r="A49" s="5"/>
      <c r="B49" s="5"/>
      <c r="C49" s="41"/>
      <c r="D49" s="4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>
      <c r="A50" s="5"/>
      <c r="B50" s="5"/>
      <c r="C50" s="41"/>
      <c r="D50" s="4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5" customHeight="1">
      <c r="A51" s="5"/>
      <c r="B51" s="5"/>
      <c r="C51" s="41"/>
      <c r="D51" s="4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5" customHeight="1">
      <c r="A52" s="5"/>
      <c r="B52" s="5"/>
      <c r="C52" s="41"/>
      <c r="D52" s="4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5" customHeight="1">
      <c r="A53" s="5"/>
      <c r="B53" s="5"/>
      <c r="C53" s="41"/>
      <c r="D53" s="4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5" customHeight="1">
      <c r="A54" s="5"/>
      <c r="B54" s="5"/>
      <c r="C54" s="41"/>
      <c r="D54" s="4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</sheetPr>
  <dimension ref="A1:Z24"/>
  <sheetViews>
    <sheetView workbookViewId="0"/>
  </sheetViews>
  <sheetFormatPr defaultColWidth="14.44140625" defaultRowHeight="15" customHeight="1"/>
  <cols>
    <col min="1" max="1" width="3.44140625" customWidth="1"/>
    <col min="2" max="2" width="16" customWidth="1"/>
    <col min="3" max="4" width="14.5546875" hidden="1" customWidth="1"/>
    <col min="5" max="5" width="15.77734375" hidden="1" customWidth="1"/>
    <col min="6" max="7" width="13.77734375" customWidth="1"/>
    <col min="8" max="8" width="14.109375" customWidth="1"/>
    <col min="9" max="10" width="8.44140625" customWidth="1"/>
    <col min="11" max="11" width="12" customWidth="1"/>
    <col min="12" max="26" width="8.44140625" customWidth="1"/>
  </cols>
  <sheetData>
    <row r="1" spans="1:26" ht="16.5" customHeight="1">
      <c r="A1" s="319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6.5" customHeight="1">
      <c r="A2" s="324" t="s">
        <v>607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6.5" customHeight="1">
      <c r="A4" s="5"/>
      <c r="B4" s="5"/>
      <c r="C4" s="5" t="s">
        <v>608</v>
      </c>
      <c r="D4" s="5" t="s">
        <v>609</v>
      </c>
      <c r="E4" s="5" t="s">
        <v>610</v>
      </c>
      <c r="F4" s="295" t="s">
        <v>611</v>
      </c>
      <c r="G4" s="295" t="s">
        <v>612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6.5" customHeight="1">
      <c r="A5" s="5">
        <v>1</v>
      </c>
      <c r="B5" s="5" t="s">
        <v>613</v>
      </c>
      <c r="C5" s="325">
        <v>375000</v>
      </c>
      <c r="D5" s="325">
        <v>26000</v>
      </c>
      <c r="E5" s="325">
        <v>125000</v>
      </c>
      <c r="F5" s="325">
        <f>SUM(C5:E5)</f>
        <v>526000</v>
      </c>
      <c r="G5" s="325">
        <f t="shared" ref="G5:G19" si="0">$C$22-F5</f>
        <v>925938.20863992791</v>
      </c>
      <c r="H5" s="325">
        <f t="shared" ref="H5:H19" si="1">F5+G5</f>
        <v>1451938.2086399279</v>
      </c>
      <c r="I5" s="5"/>
      <c r="J5" s="5"/>
      <c r="K5" s="32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6.5" customHeight="1">
      <c r="A6" s="5">
        <f t="shared" ref="A6:A19" si="2">A5+1</f>
        <v>2</v>
      </c>
      <c r="B6" s="5" t="s">
        <v>614</v>
      </c>
      <c r="C6" s="325">
        <v>550000</v>
      </c>
      <c r="D6" s="325"/>
      <c r="E6" s="325">
        <v>200000</v>
      </c>
      <c r="F6" s="325">
        <f t="shared" ref="F6:F19" si="3">C6+E6</f>
        <v>750000</v>
      </c>
      <c r="G6" s="325">
        <f t="shared" si="0"/>
        <v>701938.20863992791</v>
      </c>
      <c r="H6" s="325">
        <f t="shared" si="1"/>
        <v>1451938.2086399279</v>
      </c>
      <c r="I6" s="5"/>
      <c r="J6" s="32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6.5" customHeight="1">
      <c r="A7" s="5">
        <f t="shared" si="2"/>
        <v>3</v>
      </c>
      <c r="B7" s="5" t="s">
        <v>615</v>
      </c>
      <c r="C7" s="325">
        <v>750000</v>
      </c>
      <c r="D7" s="325"/>
      <c r="E7" s="325">
        <v>250000</v>
      </c>
      <c r="F7" s="325">
        <f t="shared" si="3"/>
        <v>1000000</v>
      </c>
      <c r="G7" s="325">
        <f t="shared" si="0"/>
        <v>451938.20863992791</v>
      </c>
      <c r="H7" s="325">
        <f t="shared" si="1"/>
        <v>1451938.2086399279</v>
      </c>
      <c r="I7" s="5"/>
      <c r="J7" s="5"/>
      <c r="K7" s="32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6.5" customHeight="1">
      <c r="A8" s="5">
        <f t="shared" si="2"/>
        <v>4</v>
      </c>
      <c r="B8" s="5" t="s">
        <v>616</v>
      </c>
      <c r="C8" s="325">
        <v>925000</v>
      </c>
      <c r="D8" s="325"/>
      <c r="E8" s="325">
        <v>325000</v>
      </c>
      <c r="F8" s="325">
        <f t="shared" si="3"/>
        <v>1250000</v>
      </c>
      <c r="G8" s="325">
        <f t="shared" si="0"/>
        <v>201938.20863992791</v>
      </c>
      <c r="H8" s="325">
        <f t="shared" si="1"/>
        <v>1451938.2086399279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6.5" customHeight="1">
      <c r="A9" s="5">
        <f t="shared" si="2"/>
        <v>5</v>
      </c>
      <c r="B9" s="5" t="s">
        <v>617</v>
      </c>
      <c r="C9" s="325">
        <v>1125000</v>
      </c>
      <c r="D9" s="325"/>
      <c r="E9" s="325">
        <v>375000</v>
      </c>
      <c r="F9" s="325">
        <f t="shared" si="3"/>
        <v>1500000</v>
      </c>
      <c r="G9" s="325">
        <f t="shared" si="0"/>
        <v>-48061.791360072093</v>
      </c>
      <c r="H9" s="325">
        <f t="shared" si="1"/>
        <v>1451938.2086399279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6.5" customHeight="1">
      <c r="A10" s="5">
        <f t="shared" si="2"/>
        <v>6</v>
      </c>
      <c r="B10" s="5" t="s">
        <v>618</v>
      </c>
      <c r="C10" s="325">
        <f t="shared" ref="C10:C19" si="4">C9*1.02</f>
        <v>1147500</v>
      </c>
      <c r="D10" s="325"/>
      <c r="E10" s="325">
        <f t="shared" ref="E10:E19" si="5">E9*1.02</f>
        <v>382500</v>
      </c>
      <c r="F10" s="325">
        <f t="shared" si="3"/>
        <v>1530000</v>
      </c>
      <c r="G10" s="325">
        <f t="shared" si="0"/>
        <v>-78061.791360072093</v>
      </c>
      <c r="H10" s="325">
        <f t="shared" si="1"/>
        <v>1451938.2086399279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6.5" customHeight="1">
      <c r="A11" s="5">
        <f t="shared" si="2"/>
        <v>7</v>
      </c>
      <c r="B11" s="5" t="s">
        <v>619</v>
      </c>
      <c r="C11" s="325">
        <f t="shared" si="4"/>
        <v>1170450</v>
      </c>
      <c r="D11" s="325"/>
      <c r="E11" s="325">
        <f t="shared" si="5"/>
        <v>390150</v>
      </c>
      <c r="F11" s="325">
        <f t="shared" si="3"/>
        <v>1560600</v>
      </c>
      <c r="G11" s="325">
        <f t="shared" si="0"/>
        <v>-108661.79136007209</v>
      </c>
      <c r="H11" s="325">
        <f t="shared" si="1"/>
        <v>1451938.2086399279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6.5" customHeight="1">
      <c r="A12" s="5">
        <f t="shared" si="2"/>
        <v>8</v>
      </c>
      <c r="B12" s="5" t="s">
        <v>620</v>
      </c>
      <c r="C12" s="325">
        <f t="shared" si="4"/>
        <v>1193859</v>
      </c>
      <c r="D12" s="325"/>
      <c r="E12" s="325">
        <f t="shared" si="5"/>
        <v>397953</v>
      </c>
      <c r="F12" s="325">
        <f t="shared" si="3"/>
        <v>1591812</v>
      </c>
      <c r="G12" s="325">
        <f t="shared" si="0"/>
        <v>-139873.79136007209</v>
      </c>
      <c r="H12" s="325">
        <f t="shared" si="1"/>
        <v>1451938.2086399279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6.5" customHeight="1">
      <c r="A13" s="5">
        <f t="shared" si="2"/>
        <v>9</v>
      </c>
      <c r="B13" s="5" t="s">
        <v>621</v>
      </c>
      <c r="C13" s="325">
        <f t="shared" si="4"/>
        <v>1217736.18</v>
      </c>
      <c r="D13" s="325"/>
      <c r="E13" s="325">
        <f t="shared" si="5"/>
        <v>405912.06</v>
      </c>
      <c r="F13" s="325">
        <f t="shared" si="3"/>
        <v>1623648.24</v>
      </c>
      <c r="G13" s="325">
        <f t="shared" si="0"/>
        <v>-171710.03136007208</v>
      </c>
      <c r="H13" s="325">
        <f t="shared" si="1"/>
        <v>1451938.2086399279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6.5" customHeight="1">
      <c r="A14" s="5">
        <f t="shared" si="2"/>
        <v>10</v>
      </c>
      <c r="B14" s="5" t="s">
        <v>622</v>
      </c>
      <c r="C14" s="325">
        <f t="shared" si="4"/>
        <v>1242090.9035999998</v>
      </c>
      <c r="D14" s="325"/>
      <c r="E14" s="325">
        <f t="shared" si="5"/>
        <v>414030.30119999999</v>
      </c>
      <c r="F14" s="325">
        <f t="shared" si="3"/>
        <v>1656121.2047999999</v>
      </c>
      <c r="G14" s="325">
        <f t="shared" si="0"/>
        <v>-204182.99616007204</v>
      </c>
      <c r="H14" s="325">
        <f t="shared" si="1"/>
        <v>1451938.2086399279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6.5" customHeight="1">
      <c r="A15" s="5">
        <f t="shared" si="2"/>
        <v>11</v>
      </c>
      <c r="B15" s="5" t="s">
        <v>623</v>
      </c>
      <c r="C15" s="325">
        <f t="shared" si="4"/>
        <v>1266932.7216719999</v>
      </c>
      <c r="D15" s="325"/>
      <c r="E15" s="325">
        <f t="shared" si="5"/>
        <v>422310.90722399997</v>
      </c>
      <c r="F15" s="325">
        <f t="shared" si="3"/>
        <v>1689243.6288959999</v>
      </c>
      <c r="G15" s="325">
        <f t="shared" si="0"/>
        <v>-237305.42025607196</v>
      </c>
      <c r="H15" s="325">
        <f t="shared" si="1"/>
        <v>1451938.2086399279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6.5" customHeight="1">
      <c r="A16" s="5">
        <f t="shared" si="2"/>
        <v>12</v>
      </c>
      <c r="B16" s="5" t="s">
        <v>624</v>
      </c>
      <c r="C16" s="325">
        <f t="shared" si="4"/>
        <v>1292271.3761054398</v>
      </c>
      <c r="D16" s="325"/>
      <c r="E16" s="325">
        <f t="shared" si="5"/>
        <v>430757.12536847999</v>
      </c>
      <c r="F16" s="325">
        <f t="shared" si="3"/>
        <v>1723028.50147392</v>
      </c>
      <c r="G16" s="325">
        <f t="shared" si="0"/>
        <v>-271090.29283399205</v>
      </c>
      <c r="H16" s="325">
        <f t="shared" si="1"/>
        <v>1451938.2086399279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6.5" customHeight="1">
      <c r="A17" s="5">
        <f t="shared" si="2"/>
        <v>13</v>
      </c>
      <c r="B17" s="5" t="s">
        <v>625</v>
      </c>
      <c r="C17" s="325">
        <f t="shared" si="4"/>
        <v>1318116.8036275487</v>
      </c>
      <c r="D17" s="325"/>
      <c r="E17" s="325">
        <f t="shared" si="5"/>
        <v>439372.26787584962</v>
      </c>
      <c r="F17" s="325">
        <f t="shared" si="3"/>
        <v>1757489.0715033985</v>
      </c>
      <c r="G17" s="325">
        <f t="shared" si="0"/>
        <v>-305550.86286347057</v>
      </c>
      <c r="H17" s="325">
        <f t="shared" si="1"/>
        <v>1451938.2086399279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6.5" customHeight="1">
      <c r="A18" s="5">
        <f t="shared" si="2"/>
        <v>14</v>
      </c>
      <c r="B18" s="5" t="s">
        <v>626</v>
      </c>
      <c r="C18" s="325">
        <f t="shared" si="4"/>
        <v>1344479.1397000998</v>
      </c>
      <c r="D18" s="325"/>
      <c r="E18" s="325">
        <f t="shared" si="5"/>
        <v>448159.71323336661</v>
      </c>
      <c r="F18" s="325">
        <f t="shared" si="3"/>
        <v>1792638.8529334664</v>
      </c>
      <c r="G18" s="325">
        <f t="shared" si="0"/>
        <v>-340700.64429353853</v>
      </c>
      <c r="H18" s="325">
        <f t="shared" si="1"/>
        <v>1451938.2086399279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6.5" customHeight="1">
      <c r="A19" s="5">
        <f t="shared" si="2"/>
        <v>15</v>
      </c>
      <c r="B19" s="5" t="s">
        <v>627</v>
      </c>
      <c r="C19" s="325">
        <f t="shared" si="4"/>
        <v>1371368.7224941019</v>
      </c>
      <c r="D19" s="325"/>
      <c r="E19" s="325">
        <f t="shared" si="5"/>
        <v>457122.90749803395</v>
      </c>
      <c r="F19" s="325">
        <f t="shared" si="3"/>
        <v>1828491.6299921358</v>
      </c>
      <c r="G19" s="325">
        <f t="shared" si="0"/>
        <v>-376553.42135220789</v>
      </c>
      <c r="H19" s="325">
        <f t="shared" si="1"/>
        <v>1451938.2086399279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6.5" customHeight="1">
      <c r="A20" s="5"/>
      <c r="B20" s="5"/>
      <c r="C20" s="325"/>
      <c r="D20" s="325"/>
      <c r="E20" s="325"/>
      <c r="F20" s="325"/>
      <c r="G20" s="325"/>
      <c r="H20" s="32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6.5" customHeight="1">
      <c r="A21" s="5"/>
      <c r="B21" s="5" t="s">
        <v>628</v>
      </c>
      <c r="C21" s="325">
        <f>SUM(F5:F19)</f>
        <v>21779073.129598919</v>
      </c>
      <c r="D21" s="325"/>
      <c r="E21" s="325"/>
      <c r="F21" s="325"/>
      <c r="G21" s="325"/>
      <c r="H21" s="32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6.5" customHeight="1">
      <c r="A22" s="5"/>
      <c r="B22" s="5" t="s">
        <v>629</v>
      </c>
      <c r="C22" s="325">
        <f>C21/COUNT(F5:F19)</f>
        <v>1451938.2086399279</v>
      </c>
      <c r="D22" s="325"/>
      <c r="E22" s="325"/>
      <c r="F22" s="325"/>
      <c r="G22" s="325"/>
      <c r="H22" s="32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6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6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FY 2023-24 Budget</vt:lpstr>
      <vt:lpstr>Stipend</vt:lpstr>
      <vt:lpstr>P&amp;L (QB)</vt:lpstr>
      <vt:lpstr>Personnel</vt:lpstr>
      <vt:lpstr>Taxes</vt:lpstr>
      <vt:lpstr>Benefits</vt:lpstr>
      <vt:lpstr>Capital</vt:lpstr>
      <vt:lpstr>Rent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Juned Haque</dc:creator>
  <cp:lastModifiedBy>Nancy Olisma</cp:lastModifiedBy>
  <dcterms:created xsi:type="dcterms:W3CDTF">2017-11-22T00:21:30Z</dcterms:created>
  <dcterms:modified xsi:type="dcterms:W3CDTF">2023-05-16T20:24:25Z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dad89-2096-47a1-b1b1-c9d057667e94_Enabled">
    <vt:lpwstr>True</vt:lpwstr>
  </property>
  <property fmtid="{D5CDD505-2E9C-101B-9397-08002B2CF9AE}" pid="3" name="MSIP_Label_645dad89-2096-47a1-b1b1-c9d057667e94_SiteId">
    <vt:lpwstr>e4e1abd9-eac7-4a71-ab52-da5c998aa7ba</vt:lpwstr>
  </property>
  <property fmtid="{D5CDD505-2E9C-101B-9397-08002B2CF9AE}" pid="4" name="MSIP_Label_645dad89-2096-47a1-b1b1-c9d057667e94_Owner">
    <vt:lpwstr>n.ayanna.williams@loreal.com</vt:lpwstr>
  </property>
  <property fmtid="{D5CDD505-2E9C-101B-9397-08002B2CF9AE}" pid="5" name="MSIP_Label_645dad89-2096-47a1-b1b1-c9d057667e94_SetDate">
    <vt:lpwstr>2019-09-23T18:17:45.0294631Z</vt:lpwstr>
  </property>
  <property fmtid="{D5CDD505-2E9C-101B-9397-08002B2CF9AE}" pid="6" name="MSIP_Label_645dad89-2096-47a1-b1b1-c9d057667e94_Name">
    <vt:lpwstr>C1 - Internal use</vt:lpwstr>
  </property>
  <property fmtid="{D5CDD505-2E9C-101B-9397-08002B2CF9AE}" pid="7" name="MSIP_Label_645dad89-2096-47a1-b1b1-c9d057667e94_Application">
    <vt:lpwstr>Microsoft Azure Information Protection</vt:lpwstr>
  </property>
  <property fmtid="{D5CDD505-2E9C-101B-9397-08002B2CF9AE}" pid="8" name="MSIP_Label_645dad89-2096-47a1-b1b1-c9d057667e94_Extended_MSFT_Method">
    <vt:lpwstr>Automatic</vt:lpwstr>
  </property>
  <property fmtid="{D5CDD505-2E9C-101B-9397-08002B2CF9AE}" pid="9" name="Sensitivity">
    <vt:lpwstr>C1 - Internal use</vt:lpwstr>
  </property>
</Properties>
</file>