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brianandre/Desktop/Ivy Hill finance/Financial reporting/October 2021/Ivy Hill October 2021 unaudited financial statements/"/>
    </mc:Choice>
  </mc:AlternateContent>
  <xr:revisionPtr revIDLastSave="0" documentId="13_ncr:1_{33FB5D78-4DB3-E34D-B396-90F9FD536087}" xr6:coauthVersionLast="47" xr6:coauthVersionMax="47" xr10:uidLastSave="{00000000-0000-0000-0000-000000000000}"/>
  <bookViews>
    <workbookView xWindow="31080" yWindow="-12780" windowWidth="31300" windowHeight="17500" activeTab="4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P&amp;L (QB)" sheetId="13" state="hidden" r:id="rId6"/>
    <sheet name="Cash Flow Projection" sheetId="19" r:id="rId7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Sheet'!$A$1:$E$42</definedName>
    <definedName name="_xlnm.Print_Area" localSheetId="4">'Budget Vs. Actuals Detail'!$B$1:$G$269</definedName>
    <definedName name="_xlnm.Print_Titles" localSheetId="4">'Budget Vs. Actuals Detail'!$1:$6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9" i="4"/>
  <c r="D8" i="4"/>
  <c r="D7" i="4"/>
  <c r="D286" i="13"/>
  <c r="D285" i="13"/>
  <c r="D256" i="13"/>
  <c r="D254" i="13"/>
  <c r="D250" i="13"/>
  <c r="D249" i="13"/>
  <c r="D252" i="13" s="1"/>
  <c r="D248" i="13"/>
  <c r="D246" i="13"/>
  <c r="D245" i="13"/>
  <c r="D243" i="13"/>
  <c r="D241" i="13"/>
  <c r="D239" i="13"/>
  <c r="D234" i="13"/>
  <c r="D232" i="13"/>
  <c r="D229" i="13"/>
  <c r="D225" i="13"/>
  <c r="D224" i="13"/>
  <c r="D222" i="13"/>
  <c r="D221" i="13"/>
  <c r="D219" i="13"/>
  <c r="D218" i="13"/>
  <c r="D213" i="13"/>
  <c r="D215" i="13" s="1"/>
  <c r="D212" i="13"/>
  <c r="D211" i="13"/>
  <c r="D216" i="13" s="1"/>
  <c r="D207" i="13"/>
  <c r="D209" i="13" s="1"/>
  <c r="D203" i="13"/>
  <c r="D205" i="13" s="1"/>
  <c r="D201" i="13"/>
  <c r="D196" i="13"/>
  <c r="D195" i="13"/>
  <c r="D189" i="13"/>
  <c r="D188" i="13"/>
  <c r="D187" i="13"/>
  <c r="D186" i="13"/>
  <c r="D193" i="13" s="1"/>
  <c r="D181" i="13"/>
  <c r="D183" i="13" s="1"/>
  <c r="D178" i="13"/>
  <c r="D177" i="13"/>
  <c r="D176" i="13"/>
  <c r="D175" i="13"/>
  <c r="D174" i="13"/>
  <c r="D179" i="13" s="1"/>
  <c r="D173" i="13"/>
  <c r="D170" i="13"/>
  <c r="D168" i="13"/>
  <c r="D171" i="13" s="1"/>
  <c r="D164" i="13"/>
  <c r="D163" i="13"/>
  <c r="D166" i="13" s="1"/>
  <c r="D160" i="13"/>
  <c r="D159" i="13"/>
  <c r="D153" i="13"/>
  <c r="D149" i="13"/>
  <c r="D157" i="13" s="1"/>
  <c r="D148" i="13"/>
  <c r="D145" i="13"/>
  <c r="D144" i="13"/>
  <c r="D146" i="13" s="1"/>
  <c r="D138" i="13"/>
  <c r="D137" i="13"/>
  <c r="D135" i="13"/>
  <c r="D134" i="13"/>
  <c r="D130" i="13"/>
  <c r="D129" i="13"/>
  <c r="D142" i="13" s="1"/>
  <c r="D125" i="13"/>
  <c r="D111" i="13"/>
  <c r="D107" i="13"/>
  <c r="D120" i="13" s="1"/>
  <c r="D96" i="13"/>
  <c r="D95" i="13"/>
  <c r="D94" i="13"/>
  <c r="D105" i="13" s="1"/>
  <c r="D91" i="13"/>
  <c r="D87" i="13"/>
  <c r="D86" i="13"/>
  <c r="D85" i="13"/>
  <c r="D83" i="13"/>
  <c r="D80" i="13"/>
  <c r="D78" i="13"/>
  <c r="D88" i="13" s="1"/>
  <c r="D68" i="13"/>
  <c r="D67" i="13"/>
  <c r="D65" i="13"/>
  <c r="D64" i="13"/>
  <c r="D63" i="13"/>
  <c r="D61" i="13"/>
  <c r="D60" i="13"/>
  <c r="D72" i="13" s="1"/>
  <c r="D55" i="13"/>
  <c r="D45" i="13"/>
  <c r="D41" i="13"/>
  <c r="D39" i="13"/>
  <c r="D38" i="13"/>
  <c r="D36" i="13"/>
  <c r="D30" i="13"/>
  <c r="D33" i="13" s="1"/>
  <c r="D26" i="13"/>
  <c r="D23" i="13"/>
  <c r="D20" i="13"/>
  <c r="D27" i="13" s="1"/>
  <c r="D10" i="13"/>
  <c r="D9" i="13"/>
  <c r="D8" i="13"/>
  <c r="D17" i="13" s="1"/>
  <c r="D50" i="13" l="1"/>
  <c r="D56" i="13" s="1"/>
  <c r="D126" i="13"/>
  <c r="D280" i="13" s="1"/>
  <c r="D281" i="13" l="1"/>
  <c r="D287" i="13" s="1"/>
  <c r="B111" i="12" l="1"/>
  <c r="B107" i="12"/>
  <c r="B112" i="12" s="1"/>
  <c r="B106" i="12"/>
  <c r="B102" i="12"/>
  <c r="B103" i="12" s="1"/>
  <c r="B101" i="12"/>
  <c r="B95" i="12"/>
  <c r="B94" i="12"/>
  <c r="B93" i="12"/>
  <c r="B89" i="12"/>
  <c r="B88" i="12"/>
  <c r="B87" i="12"/>
  <c r="B86" i="12"/>
  <c r="B85" i="12"/>
  <c r="B84" i="12"/>
  <c r="B96" i="12" s="1"/>
  <c r="B83" i="12"/>
  <c r="B82" i="12"/>
  <c r="B77" i="12"/>
  <c r="B78" i="12" s="1"/>
  <c r="B68" i="12"/>
  <c r="B69" i="12" s="1"/>
  <c r="B67" i="12"/>
  <c r="B66" i="12"/>
  <c r="B63" i="12"/>
  <c r="B62" i="12"/>
  <c r="B59" i="12"/>
  <c r="B58" i="12"/>
  <c r="B55" i="12"/>
  <c r="B54" i="12"/>
  <c r="B53" i="12"/>
  <c r="B52" i="12"/>
  <c r="B51" i="12"/>
  <c r="B64" i="12" s="1"/>
  <c r="B48" i="12"/>
  <c r="B47" i="12"/>
  <c r="B49" i="12" s="1"/>
  <c r="B44" i="12"/>
  <c r="B71" i="12" s="1"/>
  <c r="B42" i="12"/>
  <c r="B41" i="12"/>
  <c r="B31" i="12"/>
  <c r="B28" i="12"/>
  <c r="B27" i="12"/>
  <c r="B26" i="12"/>
  <c r="B30" i="12" s="1"/>
  <c r="B36" i="12" s="1"/>
  <c r="B24" i="12"/>
  <c r="B23" i="12"/>
  <c r="B21" i="12"/>
  <c r="B20" i="12"/>
  <c r="B17" i="12"/>
  <c r="B14" i="12"/>
  <c r="B13" i="12"/>
  <c r="B12" i="12"/>
  <c r="B10" i="12"/>
  <c r="B15" i="12" s="1"/>
  <c r="B18" i="12" s="1"/>
  <c r="B37" i="12" s="1"/>
  <c r="D34" i="5"/>
  <c r="D111" i="12"/>
  <c r="D112" i="12" s="1"/>
  <c r="D107" i="12"/>
  <c r="D106" i="12"/>
  <c r="D102" i="12"/>
  <c r="D101" i="12"/>
  <c r="D103" i="12" s="1"/>
  <c r="D95" i="12"/>
  <c r="D94" i="12"/>
  <c r="D93" i="12"/>
  <c r="D89" i="12"/>
  <c r="D88" i="12"/>
  <c r="D87" i="12"/>
  <c r="D86" i="12"/>
  <c r="D85" i="12"/>
  <c r="D83" i="12"/>
  <c r="D82" i="12"/>
  <c r="D84" i="12" s="1"/>
  <c r="D96" i="12" s="1"/>
  <c r="D77" i="12"/>
  <c r="D78" i="12" s="1"/>
  <c r="D97" i="12" s="1"/>
  <c r="D104" i="12" s="1"/>
  <c r="D69" i="12"/>
  <c r="D68" i="12"/>
  <c r="D67" i="12"/>
  <c r="D66" i="12"/>
  <c r="D63" i="12"/>
  <c r="D62" i="12"/>
  <c r="D59" i="12"/>
  <c r="D58" i="12"/>
  <c r="D55" i="12"/>
  <c r="D54" i="12"/>
  <c r="D53" i="12"/>
  <c r="D52" i="12"/>
  <c r="D51" i="12"/>
  <c r="D64" i="12" s="1"/>
  <c r="D48" i="12"/>
  <c r="D47" i="12"/>
  <c r="D49" i="12" s="1"/>
  <c r="D42" i="12"/>
  <c r="D41" i="12"/>
  <c r="D44" i="12" s="1"/>
  <c r="D71" i="12" s="1"/>
  <c r="D31" i="12"/>
  <c r="D28" i="12"/>
  <c r="D30" i="12" s="1"/>
  <c r="D27" i="12"/>
  <c r="D26" i="12"/>
  <c r="D24" i="12"/>
  <c r="D23" i="12"/>
  <c r="D20" i="12"/>
  <c r="D21" i="12" s="1"/>
  <c r="D17" i="12"/>
  <c r="D14" i="12"/>
  <c r="D13" i="12"/>
  <c r="D12" i="12"/>
  <c r="D10" i="12"/>
  <c r="D15" i="12" s="1"/>
  <c r="D18" i="12" s="1"/>
  <c r="B34" i="5"/>
  <c r="B72" i="12" l="1"/>
  <c r="B97" i="12"/>
  <c r="B104" i="12" s="1"/>
  <c r="B113" i="12" s="1"/>
  <c r="D113" i="12"/>
  <c r="D36" i="12"/>
  <c r="D37" i="12" s="1"/>
  <c r="D72" i="12" s="1"/>
  <c r="E248" i="14"/>
  <c r="E247" i="14"/>
  <c r="F144" i="14" l="1"/>
  <c r="F143" i="14"/>
  <c r="F142" i="14"/>
  <c r="F141" i="14"/>
  <c r="F4" i="19"/>
  <c r="G4" i="19" s="1"/>
  <c r="G221" i="14" l="1"/>
  <c r="G188" i="14"/>
  <c r="G183" i="14"/>
  <c r="G107" i="14"/>
  <c r="G104" i="14"/>
  <c r="G103" i="14"/>
  <c r="G98" i="14"/>
  <c r="G96" i="14"/>
  <c r="G95" i="14"/>
  <c r="G94" i="14"/>
  <c r="G93" i="14"/>
  <c r="G92" i="14"/>
  <c r="F9" i="4" l="1"/>
  <c r="E90" i="14"/>
  <c r="E238" i="14"/>
  <c r="C238" i="14"/>
  <c r="E234" i="14"/>
  <c r="C234" i="14"/>
  <c r="E226" i="14"/>
  <c r="C226" i="14"/>
  <c r="E222" i="14"/>
  <c r="C222" i="14"/>
  <c r="E214" i="14"/>
  <c r="E211" i="14"/>
  <c r="E207" i="14"/>
  <c r="E204" i="14"/>
  <c r="E201" i="14"/>
  <c r="E198" i="14"/>
  <c r="E193" i="14"/>
  <c r="E189" i="14"/>
  <c r="F185" i="14"/>
  <c r="E185" i="14"/>
  <c r="E181" i="14"/>
  <c r="E178" i="14"/>
  <c r="E171" i="14"/>
  <c r="E167" i="14"/>
  <c r="E159" i="14"/>
  <c r="E154" i="14"/>
  <c r="E148" i="14"/>
  <c r="E143" i="14"/>
  <c r="E142" i="14"/>
  <c r="E145" i="14" s="1"/>
  <c r="E136" i="14"/>
  <c r="E132" i="14"/>
  <c r="E115" i="14"/>
  <c r="E110" i="14"/>
  <c r="E100" i="14"/>
  <c r="E74" i="14"/>
  <c r="E83" i="14"/>
  <c r="F68" i="14"/>
  <c r="G68" i="14" s="1"/>
  <c r="F69" i="14"/>
  <c r="G69" i="14" s="1"/>
  <c r="E31" i="14"/>
  <c r="E45" i="14"/>
  <c r="E51" i="14"/>
  <c r="E57" i="14"/>
  <c r="E40" i="14"/>
  <c r="E41" i="14" s="1"/>
  <c r="E58" i="14" s="1"/>
  <c r="F206" i="14"/>
  <c r="C166" i="14"/>
  <c r="C106" i="14"/>
  <c r="C40" i="14"/>
  <c r="B285" i="13"/>
  <c r="B286" i="13" s="1"/>
  <c r="B256" i="13"/>
  <c r="B254" i="13"/>
  <c r="B252" i="13"/>
  <c r="B250" i="13"/>
  <c r="B249" i="13"/>
  <c r="B248" i="13"/>
  <c r="B247" i="13"/>
  <c r="B246" i="13"/>
  <c r="B245" i="13"/>
  <c r="B241" i="13"/>
  <c r="B243" i="13" s="1"/>
  <c r="B239" i="13"/>
  <c r="B234" i="13"/>
  <c r="B232" i="13"/>
  <c r="B231" i="13"/>
  <c r="B228" i="13"/>
  <c r="B229" i="13" s="1"/>
  <c r="B225" i="13"/>
  <c r="B222" i="13"/>
  <c r="B221" i="13"/>
  <c r="B218" i="13"/>
  <c r="B219" i="13" s="1"/>
  <c r="B213" i="13"/>
  <c r="B215" i="13" s="1"/>
  <c r="B212" i="13"/>
  <c r="B211" i="13"/>
  <c r="B216" i="13" s="1"/>
  <c r="B209" i="13"/>
  <c r="B208" i="13"/>
  <c r="B207" i="13"/>
  <c r="B203" i="13"/>
  <c r="B205" i="13" s="1"/>
  <c r="B201" i="13"/>
  <c r="B195" i="13"/>
  <c r="B196" i="13" s="1"/>
  <c r="B189" i="13"/>
  <c r="B188" i="13"/>
  <c r="B187" i="13"/>
  <c r="B186" i="13"/>
  <c r="B185" i="13"/>
  <c r="B193" i="13" s="1"/>
  <c r="B181" i="13"/>
  <c r="B183" i="13" s="1"/>
  <c r="B178" i="13"/>
  <c r="B177" i="13"/>
  <c r="B175" i="13"/>
  <c r="B174" i="13"/>
  <c r="B173" i="13"/>
  <c r="B179" i="13" s="1"/>
  <c r="B170" i="13"/>
  <c r="B171" i="13" s="1"/>
  <c r="B168" i="13"/>
  <c r="B164" i="13"/>
  <c r="B163" i="13"/>
  <c r="B166" i="13" s="1"/>
  <c r="B159" i="13"/>
  <c r="B160" i="13" s="1"/>
  <c r="B153" i="13"/>
  <c r="B157" i="13" s="1"/>
  <c r="B150" i="13"/>
  <c r="B149" i="13"/>
  <c r="B148" i="13"/>
  <c r="B146" i="13"/>
  <c r="B141" i="13"/>
  <c r="B138" i="13"/>
  <c r="B135" i="13"/>
  <c r="B134" i="13"/>
  <c r="B130" i="13"/>
  <c r="B129" i="13"/>
  <c r="B128" i="13"/>
  <c r="B142" i="13" s="1"/>
  <c r="B125" i="13"/>
  <c r="B115" i="13"/>
  <c r="B120" i="13" s="1"/>
  <c r="B114" i="13"/>
  <c r="B111" i="13"/>
  <c r="B110" i="13"/>
  <c r="B109" i="13"/>
  <c r="B108" i="13"/>
  <c r="B107" i="13"/>
  <c r="B104" i="13"/>
  <c r="B105" i="13" s="1"/>
  <c r="B102" i="13"/>
  <c r="B96" i="13"/>
  <c r="B95" i="13"/>
  <c r="B94" i="13"/>
  <c r="B91" i="13"/>
  <c r="B87" i="13"/>
  <c r="B86" i="13"/>
  <c r="B88" i="13" s="1"/>
  <c r="B85" i="13"/>
  <c r="B83" i="13"/>
  <c r="B80" i="13"/>
  <c r="B78" i="13"/>
  <c r="B67" i="13"/>
  <c r="B64" i="13"/>
  <c r="B63" i="13"/>
  <c r="B60" i="13"/>
  <c r="B72" i="13" s="1"/>
  <c r="B55" i="13"/>
  <c r="B45" i="13"/>
  <c r="B38" i="13"/>
  <c r="B39" i="13" s="1"/>
  <c r="B36" i="13"/>
  <c r="B33" i="13"/>
  <c r="B30" i="13"/>
  <c r="B26" i="13"/>
  <c r="B23" i="13"/>
  <c r="B22" i="13"/>
  <c r="B21" i="13"/>
  <c r="B20" i="13"/>
  <c r="B19" i="13"/>
  <c r="B27" i="13" s="1"/>
  <c r="B10" i="13"/>
  <c r="B9" i="13"/>
  <c r="B8" i="13"/>
  <c r="B17" i="13" s="1"/>
  <c r="B50" i="13" s="1"/>
  <c r="B56" i="13" s="1"/>
  <c r="G23" i="19"/>
  <c r="F23" i="19"/>
  <c r="E23" i="19"/>
  <c r="G22" i="19"/>
  <c r="F22" i="19"/>
  <c r="E22" i="19"/>
  <c r="I23" i="19"/>
  <c r="I22" i="19"/>
  <c r="I21" i="19"/>
  <c r="G21" i="19"/>
  <c r="F21" i="19"/>
  <c r="E21" i="19"/>
  <c r="I16" i="19"/>
  <c r="I15" i="19"/>
  <c r="G16" i="19"/>
  <c r="F16" i="19"/>
  <c r="E16" i="19"/>
  <c r="G15" i="19"/>
  <c r="F15" i="19"/>
  <c r="E15" i="19"/>
  <c r="F207" i="14" l="1"/>
  <c r="G206" i="14"/>
  <c r="D115" i="12"/>
  <c r="E116" i="14"/>
  <c r="E239" i="14" s="1"/>
  <c r="E59" i="14"/>
  <c r="B126" i="13"/>
  <c r="B280" i="13" s="1"/>
  <c r="B281" i="13" s="1"/>
  <c r="B287" i="13" s="1"/>
  <c r="G26" i="19"/>
  <c r="F26" i="19"/>
  <c r="I18" i="19"/>
  <c r="G18" i="19"/>
  <c r="F18" i="19"/>
  <c r="I9" i="19"/>
  <c r="E240" i="14" l="1"/>
  <c r="C12" i="7"/>
  <c r="C13" i="7" s="1"/>
  <c r="G28" i="19"/>
  <c r="F28" i="19"/>
  <c r="F6" i="14" l="1"/>
  <c r="B23" i="5" l="1"/>
  <c r="B115" i="12" l="1"/>
  <c r="F187" i="14" l="1"/>
  <c r="F189" i="14" l="1"/>
  <c r="G187" i="14"/>
  <c r="F174" i="14"/>
  <c r="G174" i="14" s="1"/>
  <c r="F236" i="14" l="1"/>
  <c r="F233" i="14"/>
  <c r="G233" i="14" s="1"/>
  <c r="F232" i="14"/>
  <c r="F231" i="14"/>
  <c r="G231" i="14" s="1"/>
  <c r="F230" i="14"/>
  <c r="G230" i="14" s="1"/>
  <c r="F229" i="14"/>
  <c r="G229" i="14" s="1"/>
  <c r="F228" i="14"/>
  <c r="G228" i="14" s="1"/>
  <c r="F225" i="14"/>
  <c r="F224" i="14"/>
  <c r="F220" i="14"/>
  <c r="F219" i="14"/>
  <c r="F218" i="14"/>
  <c r="F217" i="14"/>
  <c r="F216" i="14"/>
  <c r="F213" i="14"/>
  <c r="F210" i="14"/>
  <c r="G210" i="14" s="1"/>
  <c r="F209" i="14"/>
  <c r="F203" i="14"/>
  <c r="F200" i="14"/>
  <c r="G216" i="14" l="1"/>
  <c r="F222" i="14"/>
  <c r="F214" i="14"/>
  <c r="G213" i="14"/>
  <c r="F201" i="14"/>
  <c r="G200" i="14"/>
  <c r="F204" i="14"/>
  <c r="G203" i="14"/>
  <c r="F211" i="14"/>
  <c r="G209" i="14"/>
  <c r="G224" i="14"/>
  <c r="F226" i="14"/>
  <c r="G236" i="14"/>
  <c r="F238" i="14"/>
  <c r="G238" i="14" s="1"/>
  <c r="G232" i="14"/>
  <c r="F234" i="14"/>
  <c r="F195" i="14"/>
  <c r="G195" i="14" s="1"/>
  <c r="F191" i="14"/>
  <c r="G191" i="14" s="1"/>
  <c r="F197" i="14" l="1"/>
  <c r="G197" i="14" s="1"/>
  <c r="F196" i="14"/>
  <c r="F180" i="14"/>
  <c r="F177" i="14"/>
  <c r="G177" i="14" s="1"/>
  <c r="F175" i="14"/>
  <c r="G175" i="14" s="1"/>
  <c r="F138" i="14"/>
  <c r="F192" i="14"/>
  <c r="G192" i="14" s="1"/>
  <c r="F176" i="14"/>
  <c r="G176" i="14" s="1"/>
  <c r="F173" i="14"/>
  <c r="G173" i="14" s="1"/>
  <c r="F170" i="14"/>
  <c r="G170" i="14" s="1"/>
  <c r="F169" i="14"/>
  <c r="F166" i="14"/>
  <c r="G166" i="14" s="1"/>
  <c r="F165" i="14"/>
  <c r="G165" i="14" s="1"/>
  <c r="F164" i="14"/>
  <c r="G164" i="14" s="1"/>
  <c r="F163" i="14"/>
  <c r="G163" i="14" s="1"/>
  <c r="F162" i="14"/>
  <c r="G162" i="14" s="1"/>
  <c r="F161" i="14"/>
  <c r="G161" i="14" s="1"/>
  <c r="F158" i="14"/>
  <c r="G158" i="14" s="1"/>
  <c r="F157" i="14"/>
  <c r="G157" i="14" s="1"/>
  <c r="F156" i="14"/>
  <c r="F153" i="14"/>
  <c r="G153" i="14" s="1"/>
  <c r="F152" i="14"/>
  <c r="G152" i="14" s="1"/>
  <c r="F151" i="14"/>
  <c r="G151" i="14" s="1"/>
  <c r="F150" i="14"/>
  <c r="F147" i="14"/>
  <c r="G143" i="14"/>
  <c r="G142" i="14"/>
  <c r="G141" i="14"/>
  <c r="F140" i="14"/>
  <c r="G140" i="14" s="1"/>
  <c r="F139" i="14"/>
  <c r="G139" i="14" s="1"/>
  <c r="F135" i="14"/>
  <c r="G135" i="14" s="1"/>
  <c r="F134" i="14"/>
  <c r="F131" i="14"/>
  <c r="F130" i="14"/>
  <c r="G130" i="14" s="1"/>
  <c r="F129" i="14"/>
  <c r="F128" i="14"/>
  <c r="G128" i="14" s="1"/>
  <c r="F127" i="14"/>
  <c r="G127" i="14" s="1"/>
  <c r="F126" i="14"/>
  <c r="F125" i="14"/>
  <c r="G125" i="14" s="1"/>
  <c r="F123" i="14"/>
  <c r="G123" i="14" s="1"/>
  <c r="F122" i="14"/>
  <c r="G122" i="14" s="1"/>
  <c r="F121" i="14"/>
  <c r="G121" i="14" s="1"/>
  <c r="F120" i="14"/>
  <c r="G120" i="14" s="1"/>
  <c r="F119" i="14"/>
  <c r="G119" i="14" s="1"/>
  <c r="F118" i="14"/>
  <c r="G118" i="14" s="1"/>
  <c r="F193" i="14" l="1"/>
  <c r="F145" i="14"/>
  <c r="G138" i="14"/>
  <c r="F159" i="14"/>
  <c r="G156" i="14"/>
  <c r="F198" i="14"/>
  <c r="G196" i="14"/>
  <c r="F148" i="14"/>
  <c r="G147" i="14"/>
  <c r="F171" i="14"/>
  <c r="G169" i="14"/>
  <c r="F181" i="14"/>
  <c r="G180" i="14"/>
  <c r="F136" i="14"/>
  <c r="G134" i="14"/>
  <c r="F167" i="14"/>
  <c r="F178" i="14"/>
  <c r="F154" i="14"/>
  <c r="F124" i="14"/>
  <c r="F132" i="14" l="1"/>
  <c r="G124" i="14"/>
  <c r="F40" i="14"/>
  <c r="G40" i="14" s="1"/>
  <c r="D23" i="5" l="1"/>
  <c r="C109" i="14" l="1"/>
  <c r="F261" i="14" l="1"/>
  <c r="F106" i="14" l="1"/>
  <c r="G106" i="14" s="1"/>
  <c r="B25" i="5" l="1"/>
  <c r="B33" i="5" l="1"/>
  <c r="D33" i="5"/>
  <c r="D24" i="5" l="1"/>
  <c r="D14" i="5"/>
  <c r="D9" i="5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8" i="4"/>
  <c r="F7" i="4"/>
  <c r="D25" i="5" l="1"/>
  <c r="D26" i="5" s="1"/>
  <c r="D10" i="5"/>
  <c r="D8" i="5"/>
  <c r="D28" i="5"/>
  <c r="D11" i="5"/>
  <c r="D35" i="5"/>
  <c r="D36" i="5" s="1"/>
  <c r="F10" i="4"/>
  <c r="F40" i="4"/>
  <c r="F264" i="14"/>
  <c r="F268" i="14"/>
  <c r="F114" i="14"/>
  <c r="F113" i="14"/>
  <c r="F112" i="14"/>
  <c r="F108" i="14"/>
  <c r="G108" i="14" s="1"/>
  <c r="F105" i="14"/>
  <c r="G105" i="14" s="1"/>
  <c r="F102" i="14"/>
  <c r="G102" i="14" s="1"/>
  <c r="F99" i="14"/>
  <c r="F97" i="14"/>
  <c r="G97" i="14" s="1"/>
  <c r="F91" i="14"/>
  <c r="G91" i="14" s="1"/>
  <c r="F90" i="14"/>
  <c r="G90" i="14" s="1"/>
  <c r="F89" i="14"/>
  <c r="G89" i="14" s="1"/>
  <c r="F88" i="14"/>
  <c r="F85" i="14"/>
  <c r="F86" i="14" s="1"/>
  <c r="F82" i="14"/>
  <c r="G82" i="14" s="1"/>
  <c r="F81" i="14"/>
  <c r="G81" i="14" s="1"/>
  <c r="F80" i="14"/>
  <c r="G80" i="14" s="1"/>
  <c r="F79" i="14"/>
  <c r="G79" i="14" s="1"/>
  <c r="F78" i="14"/>
  <c r="G78" i="14" s="1"/>
  <c r="F77" i="14"/>
  <c r="G77" i="14" s="1"/>
  <c r="F76" i="14"/>
  <c r="G76" i="14" s="1"/>
  <c r="F73" i="14"/>
  <c r="G73" i="14" s="1"/>
  <c r="F72" i="14"/>
  <c r="F71" i="14"/>
  <c r="F70" i="14"/>
  <c r="G70" i="14" s="1"/>
  <c r="F67" i="14"/>
  <c r="G67" i="14" s="1"/>
  <c r="F66" i="14"/>
  <c r="G66" i="14" s="1"/>
  <c r="F64" i="14"/>
  <c r="G64" i="14" s="1"/>
  <c r="F63" i="14"/>
  <c r="G63" i="14" s="1"/>
  <c r="F55" i="14"/>
  <c r="G55" i="14" s="1"/>
  <c r="F54" i="14"/>
  <c r="F53" i="14"/>
  <c r="F50" i="14"/>
  <c r="F47" i="14"/>
  <c r="F48" i="14" s="1"/>
  <c r="F44" i="14"/>
  <c r="F43" i="14"/>
  <c r="G43" i="14" s="1"/>
  <c r="F39" i="14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0" i="14"/>
  <c r="F29" i="14"/>
  <c r="F28" i="14"/>
  <c r="F27" i="14"/>
  <c r="F26" i="14"/>
  <c r="F25" i="14"/>
  <c r="F24" i="14"/>
  <c r="G24" i="14" s="1"/>
  <c r="F23" i="14"/>
  <c r="G23" i="14" s="1"/>
  <c r="F22" i="14"/>
  <c r="G22" i="14" s="1"/>
  <c r="E261" i="14"/>
  <c r="F115" i="14" l="1"/>
  <c r="F57" i="14"/>
  <c r="G57" i="14" s="1"/>
  <c r="F51" i="14"/>
  <c r="G50" i="14"/>
  <c r="F74" i="14"/>
  <c r="F110" i="14"/>
  <c r="F31" i="14"/>
  <c r="F45" i="14"/>
  <c r="F83" i="14"/>
  <c r="F100" i="14"/>
  <c r="F41" i="14"/>
  <c r="F41" i="4"/>
  <c r="G214" i="14"/>
  <c r="D12" i="5"/>
  <c r="D30" i="5"/>
  <c r="D38" i="5" s="1"/>
  <c r="D15" i="5"/>
  <c r="G181" i="14"/>
  <c r="C26" i="4"/>
  <c r="G26" i="4" s="1"/>
  <c r="G201" i="14"/>
  <c r="C31" i="4"/>
  <c r="G31" i="4" s="1"/>
  <c r="C39" i="4"/>
  <c r="G39" i="4" s="1"/>
  <c r="G148" i="14"/>
  <c r="C20" i="4"/>
  <c r="G20" i="4" s="1"/>
  <c r="F267" i="14"/>
  <c r="C9" i="4" l="1"/>
  <c r="F116" i="14"/>
  <c r="F239" i="14" s="1"/>
  <c r="G239" i="14" s="1"/>
  <c r="F58" i="14"/>
  <c r="C35" i="4"/>
  <c r="G35" i="4" s="1"/>
  <c r="D17" i="5"/>
  <c r="D39" i="5" s="1"/>
  <c r="G132" i="14"/>
  <c r="C17" i="4"/>
  <c r="G17" i="4" s="1"/>
  <c r="G110" i="14"/>
  <c r="C16" i="4"/>
  <c r="G16" i="4" s="1"/>
  <c r="G31" i="14"/>
  <c r="C7" i="4"/>
  <c r="G7" i="4" s="1"/>
  <c r="G136" i="14"/>
  <c r="C18" i="4"/>
  <c r="G18" i="4" s="1"/>
  <c r="G234" i="14"/>
  <c r="C38" i="4"/>
  <c r="G38" i="4" s="1"/>
  <c r="G185" i="14"/>
  <c r="C27" i="4"/>
  <c r="G27" i="4" s="1"/>
  <c r="G83" i="14"/>
  <c r="C14" i="4"/>
  <c r="G14" i="4" s="1"/>
  <c r="G159" i="14"/>
  <c r="C22" i="4"/>
  <c r="G22" i="4" s="1"/>
  <c r="G100" i="14"/>
  <c r="C15" i="4"/>
  <c r="G15" i="4" s="1"/>
  <c r="G167" i="14"/>
  <c r="C23" i="4"/>
  <c r="G23" i="4" s="1"/>
  <c r="G171" i="14"/>
  <c r="C24" i="4"/>
  <c r="G24" i="4" s="1"/>
  <c r="G211" i="14"/>
  <c r="C34" i="4"/>
  <c r="G34" i="4" s="1"/>
  <c r="G178" i="14"/>
  <c r="C25" i="4"/>
  <c r="G25" i="4" s="1"/>
  <c r="G193" i="14"/>
  <c r="C29" i="4"/>
  <c r="G29" i="4" s="1"/>
  <c r="G41" i="14"/>
  <c r="C8" i="4"/>
  <c r="G8" i="4" s="1"/>
  <c r="G226" i="14"/>
  <c r="C37" i="4"/>
  <c r="G37" i="4" s="1"/>
  <c r="G222" i="14"/>
  <c r="C36" i="4"/>
  <c r="G36" i="4" s="1"/>
  <c r="G45" i="14"/>
  <c r="G9" i="4"/>
  <c r="G198" i="14"/>
  <c r="C30" i="4"/>
  <c r="G30" i="4" s="1"/>
  <c r="G154" i="14"/>
  <c r="C21" i="4"/>
  <c r="G21" i="4" s="1"/>
  <c r="G145" i="14"/>
  <c r="C19" i="4"/>
  <c r="G19" i="4" s="1"/>
  <c r="G207" i="14"/>
  <c r="C33" i="4"/>
  <c r="G33" i="4" s="1"/>
  <c r="G74" i="14"/>
  <c r="C13" i="4"/>
  <c r="G13" i="4" s="1"/>
  <c r="G189" i="14"/>
  <c r="C28" i="4"/>
  <c r="G28" i="4" s="1"/>
  <c r="G204" i="14"/>
  <c r="C32" i="4"/>
  <c r="G32" i="4" s="1"/>
  <c r="E18" i="19"/>
  <c r="F59" i="14" l="1"/>
  <c r="G58" i="14"/>
  <c r="G116" i="14"/>
  <c r="F16" i="14"/>
  <c r="G16" i="14" s="1"/>
  <c r="G59" i="14" l="1"/>
  <c r="F240" i="14"/>
  <c r="G240" i="14" s="1"/>
  <c r="F17" i="14"/>
  <c r="F263" i="14" l="1"/>
  <c r="F18" i="14"/>
  <c r="B8" i="5"/>
  <c r="E6" i="19" s="1"/>
  <c r="D289" i="13" l="1"/>
  <c r="D290" i="13" s="1"/>
  <c r="I6" i="19"/>
  <c r="E12" i="19"/>
  <c r="C261" i="14"/>
  <c r="C144" i="14"/>
  <c r="B28" i="5" l="1"/>
  <c r="B24" i="5"/>
  <c r="B35" i="5"/>
  <c r="B14" i="5"/>
  <c r="E24" i="19" l="1"/>
  <c r="B15" i="5"/>
  <c r="I24" i="19" l="1"/>
  <c r="I26" i="19" s="1"/>
  <c r="I28" i="19" s="1"/>
  <c r="E26" i="19"/>
  <c r="E28" i="19" s="1"/>
  <c r="E31" i="19" s="1"/>
  <c r="C231" i="14"/>
  <c r="C209" i="14"/>
  <c r="C200" i="14"/>
  <c r="C197" i="14"/>
  <c r="C175" i="14"/>
  <c r="C163" i="14"/>
  <c r="C161" i="14"/>
  <c r="C141" i="14"/>
  <c r="C124" i="14"/>
  <c r="C97" i="14"/>
  <c r="C82" i="14"/>
  <c r="C216" i="14"/>
  <c r="C236" i="14"/>
  <c r="C267" i="14" s="1"/>
  <c r="C229" i="14"/>
  <c r="C230" i="14"/>
  <c r="C232" i="14"/>
  <c r="C233" i="14"/>
  <c r="C225" i="14"/>
  <c r="C217" i="14"/>
  <c r="C213" i="14"/>
  <c r="C214" i="14" s="1"/>
  <c r="C210" i="14"/>
  <c r="C206" i="14"/>
  <c r="C207" i="14" s="1"/>
  <c r="C203" i="14"/>
  <c r="C204" i="14" s="1"/>
  <c r="C196" i="14"/>
  <c r="C195" i="14"/>
  <c r="C192" i="14"/>
  <c r="C191" i="14"/>
  <c r="C187" i="14"/>
  <c r="C189" i="14" s="1"/>
  <c r="C184" i="14"/>
  <c r="C183" i="14"/>
  <c r="C180" i="14"/>
  <c r="C181" i="14" s="1"/>
  <c r="C174" i="14"/>
  <c r="C176" i="14"/>
  <c r="C177" i="14"/>
  <c r="C173" i="14"/>
  <c r="C170" i="14"/>
  <c r="C169" i="14"/>
  <c r="C171" i="14" s="1"/>
  <c r="C162" i="14"/>
  <c r="C164" i="14"/>
  <c r="C165" i="14"/>
  <c r="C157" i="14"/>
  <c r="C158" i="14"/>
  <c r="C156" i="14"/>
  <c r="C151" i="14"/>
  <c r="C152" i="14"/>
  <c r="C153" i="14"/>
  <c r="C150" i="14"/>
  <c r="C147" i="14"/>
  <c r="C148" i="14" s="1"/>
  <c r="C142" i="14"/>
  <c r="C143" i="14"/>
  <c r="C139" i="14"/>
  <c r="C140" i="14"/>
  <c r="C138" i="14"/>
  <c r="C145" i="14" s="1"/>
  <c r="C134" i="14"/>
  <c r="C123" i="14"/>
  <c r="C125" i="14"/>
  <c r="C126" i="14"/>
  <c r="C127" i="14"/>
  <c r="C128" i="14"/>
  <c r="C129" i="14"/>
  <c r="C130" i="14"/>
  <c r="C131" i="14"/>
  <c r="C119" i="14"/>
  <c r="C120" i="14"/>
  <c r="C121" i="14"/>
  <c r="C122" i="14"/>
  <c r="C118" i="14"/>
  <c r="C113" i="14"/>
  <c r="C114" i="14"/>
  <c r="C112" i="14"/>
  <c r="C108" i="14"/>
  <c r="C105" i="14"/>
  <c r="C102" i="14"/>
  <c r="C99" i="14"/>
  <c r="C90" i="14"/>
  <c r="C91" i="14"/>
  <c r="C89" i="14"/>
  <c r="C88" i="14"/>
  <c r="C85" i="14"/>
  <c r="C86" i="14" s="1"/>
  <c r="C81" i="14"/>
  <c r="C80" i="14"/>
  <c r="C79" i="14"/>
  <c r="C78" i="14"/>
  <c r="C77" i="14"/>
  <c r="C76" i="14"/>
  <c r="C83" i="14" s="1"/>
  <c r="C70" i="14"/>
  <c r="C71" i="14"/>
  <c r="C72" i="14"/>
  <c r="C73" i="14"/>
  <c r="C69" i="14"/>
  <c r="C68" i="14"/>
  <c r="C67" i="14"/>
  <c r="C66" i="14"/>
  <c r="C64" i="14"/>
  <c r="C54" i="14"/>
  <c r="C55" i="14"/>
  <c r="C53" i="14"/>
  <c r="C57" i="14" s="1"/>
  <c r="C50" i="14"/>
  <c r="C51" i="14" s="1"/>
  <c r="C47" i="14"/>
  <c r="C48" i="14" s="1"/>
  <c r="C44" i="14"/>
  <c r="C43" i="14"/>
  <c r="C34" i="14"/>
  <c r="C35" i="14"/>
  <c r="C36" i="14"/>
  <c r="C37" i="14"/>
  <c r="C38" i="14"/>
  <c r="C39" i="14"/>
  <c r="C33" i="14"/>
  <c r="C26" i="14"/>
  <c r="C27" i="14"/>
  <c r="C28" i="14"/>
  <c r="C29" i="14"/>
  <c r="C30" i="14"/>
  <c r="C25" i="14"/>
  <c r="C24" i="14"/>
  <c r="C23" i="14"/>
  <c r="C22" i="14"/>
  <c r="C31" i="14" s="1"/>
  <c r="B3" i="14"/>
  <c r="D268" i="14"/>
  <c r="D232" i="14"/>
  <c r="D226" i="14"/>
  <c r="D222" i="14"/>
  <c r="D214" i="14"/>
  <c r="D211" i="14"/>
  <c r="D207" i="14"/>
  <c r="D204" i="14"/>
  <c r="D201" i="14"/>
  <c r="D196" i="14"/>
  <c r="D195" i="14"/>
  <c r="D192" i="14"/>
  <c r="D187" i="14"/>
  <c r="D189" i="14" s="1"/>
  <c r="D185" i="14"/>
  <c r="D181" i="14"/>
  <c r="D177" i="14"/>
  <c r="D176" i="14"/>
  <c r="D174" i="14"/>
  <c r="D173" i="14"/>
  <c r="D169" i="14"/>
  <c r="D161" i="14"/>
  <c r="D159" i="14"/>
  <c r="D147" i="14"/>
  <c r="D140" i="14"/>
  <c r="D139" i="14"/>
  <c r="D136" i="14"/>
  <c r="D131" i="14"/>
  <c r="D129" i="14"/>
  <c r="D124" i="14"/>
  <c r="D115" i="14"/>
  <c r="D86" i="14"/>
  <c r="D57" i="14"/>
  <c r="D51" i="14"/>
  <c r="D48" i="14"/>
  <c r="D45" i="14"/>
  <c r="D37" i="14"/>
  <c r="D35" i="14"/>
  <c r="D34" i="14"/>
  <c r="D30" i="14"/>
  <c r="D29" i="14"/>
  <c r="D22" i="14"/>
  <c r="D24" i="14" s="1"/>
  <c r="E15" i="14"/>
  <c r="E14" i="14"/>
  <c r="E12" i="14"/>
  <c r="D138" i="14"/>
  <c r="C100" i="14" l="1"/>
  <c r="C185" i="14"/>
  <c r="I27" i="4" s="1"/>
  <c r="C41" i="14"/>
  <c r="C132" i="14"/>
  <c r="I17" i="4" s="1"/>
  <c r="C159" i="14"/>
  <c r="I22" i="4" s="1"/>
  <c r="C178" i="14"/>
  <c r="I25" i="4" s="1"/>
  <c r="C193" i="14"/>
  <c r="I29" i="4" s="1"/>
  <c r="C201" i="14"/>
  <c r="I31" i="4" s="1"/>
  <c r="C211" i="14"/>
  <c r="I34" i="4" s="1"/>
  <c r="C110" i="14"/>
  <c r="C198" i="14"/>
  <c r="I30" i="4" s="1"/>
  <c r="C154" i="14"/>
  <c r="I21" i="4" s="1"/>
  <c r="C167" i="14"/>
  <c r="I23" i="4" s="1"/>
  <c r="E33" i="19"/>
  <c r="F6" i="19"/>
  <c r="D167" i="14"/>
  <c r="D171" i="14"/>
  <c r="D148" i="14"/>
  <c r="D120" i="14"/>
  <c r="D132" i="14" s="1"/>
  <c r="D198" i="14"/>
  <c r="D41" i="14"/>
  <c r="C268" i="14"/>
  <c r="I28" i="4"/>
  <c r="D110" i="14"/>
  <c r="D83" i="14"/>
  <c r="I39" i="4"/>
  <c r="D261" i="14"/>
  <c r="D264" i="14" s="1"/>
  <c r="D193" i="14"/>
  <c r="I24" i="4"/>
  <c r="D234" i="14"/>
  <c r="D27" i="14"/>
  <c r="D143" i="14" s="1"/>
  <c r="C224" i="14"/>
  <c r="C115" i="14"/>
  <c r="C135" i="14"/>
  <c r="C136" i="14" s="1"/>
  <c r="C228" i="14"/>
  <c r="I38" i="4" s="1"/>
  <c r="C63" i="14"/>
  <c r="I15" i="4"/>
  <c r="I7" i="4"/>
  <c r="E264" i="14"/>
  <c r="D26" i="14"/>
  <c r="I26" i="4"/>
  <c r="I36" i="4"/>
  <c r="D23" i="14"/>
  <c r="I8" i="4"/>
  <c r="C45" i="14"/>
  <c r="D74" i="14"/>
  <c r="I33" i="4"/>
  <c r="D25" i="14"/>
  <c r="I19" i="4"/>
  <c r="I32" i="4"/>
  <c r="I14" i="4"/>
  <c r="I20" i="4"/>
  <c r="I35" i="4"/>
  <c r="D178" i="14"/>
  <c r="C74" i="14" l="1"/>
  <c r="I13" i="4" s="1"/>
  <c r="I16" i="4"/>
  <c r="I9" i="4"/>
  <c r="E268" i="14"/>
  <c r="D236" i="14"/>
  <c r="I37" i="4"/>
  <c r="D31" i="14"/>
  <c r="D58" i="14" s="1"/>
  <c r="I18" i="4"/>
  <c r="D142" i="14"/>
  <c r="C58" i="14"/>
  <c r="C116" i="14"/>
  <c r="D90" i="14"/>
  <c r="D89" i="14"/>
  <c r="D91" i="14"/>
  <c r="D153" i="14"/>
  <c r="C239" i="14" l="1"/>
  <c r="D267" i="14"/>
  <c r="D238" i="14"/>
  <c r="E20" i="4"/>
  <c r="E27" i="4"/>
  <c r="E35" i="4"/>
  <c r="E33" i="4"/>
  <c r="E26" i="4"/>
  <c r="D145" i="14"/>
  <c r="D100" i="14"/>
  <c r="D16" i="14"/>
  <c r="D59" i="14"/>
  <c r="D154" i="14"/>
  <c r="E267" i="14"/>
  <c r="C59" i="14"/>
  <c r="C16" i="14"/>
  <c r="E39" i="4" l="1"/>
  <c r="C40" i="4"/>
  <c r="G40" i="4" s="1"/>
  <c r="C240" i="14"/>
  <c r="D116" i="14"/>
  <c r="C17" i="14"/>
  <c r="C18" i="14" s="1"/>
  <c r="B289" i="13" l="1"/>
  <c r="B290" i="13" s="1"/>
  <c r="E16" i="14"/>
  <c r="I10" i="4"/>
  <c r="C263" i="14"/>
  <c r="D239" i="14"/>
  <c r="I40" i="4" l="1"/>
  <c r="D40" i="4"/>
  <c r="D17" i="14"/>
  <c r="D18" i="14" s="1"/>
  <c r="D240" i="14"/>
  <c r="E263" i="14" l="1"/>
  <c r="E17" i="14"/>
  <c r="G17" i="14" s="1"/>
  <c r="D263" i="14"/>
  <c r="D269" i="14" s="1"/>
  <c r="D19" i="14" s="1"/>
  <c r="E18" i="14" l="1"/>
  <c r="B11" i="5"/>
  <c r="B10" i="5"/>
  <c r="F10" i="19" s="1"/>
  <c r="B9" i="5"/>
  <c r="F269" i="14" s="1"/>
  <c r="F19" i="14" s="1"/>
  <c r="I10" i="19" l="1"/>
  <c r="I12" i="19" s="1"/>
  <c r="I31" i="19" s="1"/>
  <c r="F12" i="19"/>
  <c r="F31" i="19" s="1"/>
  <c r="E269" i="14"/>
  <c r="E19" i="14" s="1"/>
  <c r="G19" i="14" s="1"/>
  <c r="C11" i="7"/>
  <c r="C14" i="7" s="1"/>
  <c r="B26" i="5"/>
  <c r="C7" i="7" s="1"/>
  <c r="B36" i="5"/>
  <c r="B12" i="5"/>
  <c r="G6" i="19" l="1"/>
  <c r="G12" i="19" s="1"/>
  <c r="G31" i="19" s="1"/>
  <c r="G33" i="19" s="1"/>
  <c r="F33" i="19"/>
  <c r="B17" i="5"/>
  <c r="C6" i="7"/>
  <c r="B30" i="5"/>
  <c r="C22" i="7" s="1"/>
  <c r="C23" i="7" l="1"/>
  <c r="B38" i="5"/>
  <c r="B39" i="5" s="1"/>
  <c r="E7" i="4" l="1"/>
  <c r="C10" i="4"/>
  <c r="G10" i="4" l="1"/>
  <c r="C18" i="7"/>
  <c r="C41" i="4"/>
  <c r="C17" i="7" l="1"/>
  <c r="A3" i="4" l="1"/>
  <c r="E22" i="4" l="1"/>
  <c r="E28" i="4" l="1"/>
  <c r="E21" i="4"/>
  <c r="E19" i="4"/>
  <c r="E24" i="4"/>
  <c r="E23" i="4"/>
  <c r="E38" i="4"/>
  <c r="E14" i="4"/>
  <c r="E16" i="4" l="1"/>
  <c r="E34" i="4" l="1"/>
  <c r="C8" i="7" l="1"/>
  <c r="C24" i="7" l="1"/>
  <c r="E13" i="4" l="1"/>
  <c r="D10" i="4"/>
  <c r="E10" i="4" s="1"/>
  <c r="E8" i="4"/>
  <c r="E15" i="4" l="1"/>
  <c r="E9" i="4"/>
  <c r="E17" i="4" l="1"/>
  <c r="E25" i="4" l="1"/>
  <c r="E18" i="4"/>
  <c r="E31" i="4" l="1"/>
  <c r="E29" i="4"/>
  <c r="E30" i="4" l="1"/>
  <c r="D41" i="4" l="1"/>
  <c r="E36" i="4"/>
  <c r="E32" i="4"/>
  <c r="E37" i="4"/>
  <c r="E40" i="4" l="1"/>
  <c r="E41" i="4" s="1"/>
  <c r="I41" i="4" l="1"/>
  <c r="C19" i="7" l="1"/>
  <c r="C264" i="14" l="1"/>
  <c r="C269" i="14" s="1"/>
  <c r="C19" i="14" s="1"/>
</calcChain>
</file>

<file path=xl/sharedStrings.xml><?xml version="1.0" encoding="utf-8"?>
<sst xmlns="http://schemas.openxmlformats.org/spreadsheetml/2006/main" count="823" uniqueCount="566">
  <si>
    <t>Budget</t>
  </si>
  <si>
    <t>Gross Profit</t>
  </si>
  <si>
    <t>Variance</t>
  </si>
  <si>
    <t>Income</t>
  </si>
  <si>
    <t>Total Income</t>
  </si>
  <si>
    <t>Expenses</t>
  </si>
  <si>
    <t>Total Expenses</t>
  </si>
  <si>
    <t>Comments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</si>
  <si>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</si>
  <si>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</si>
  <si>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</si>
  <si>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</si>
  <si>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</si>
  <si>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</si>
  <si>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</si>
  <si>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</si>
  <si>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</si>
  <si>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</si>
  <si>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</si>
  <si>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</si>
  <si>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</si>
  <si>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</si>
  <si>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</si>
  <si>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</si>
  <si>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</si>
  <si>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</si>
  <si>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</si>
  <si>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</si>
  <si>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</si>
  <si>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</si>
  <si>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</si>
  <si>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</si>
  <si>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</si>
  <si>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</si>
  <si>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</si>
  <si>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</si>
  <si>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</si>
  <si>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</si>
  <si>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Days Cash on Hand 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</si>
  <si>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</si>
  <si>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</si>
  <si>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</si>
  <si>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</si>
  <si>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</si>
  <si>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</si>
  <si>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</si>
  <si>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</si>
  <si>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</si>
  <si>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</si>
  <si>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</si>
  <si>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</si>
  <si>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</si>
  <si>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</si>
  <si>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</si>
  <si>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</si>
  <si>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</si>
  <si>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</si>
  <si>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</si>
  <si>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</si>
  <si>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</si>
  <si>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</si>
  <si>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</si>
  <si>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</si>
  <si>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</si>
  <si>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</si>
  <si>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</si>
  <si>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</si>
  <si>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</si>
  <si>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</si>
  <si>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</si>
  <si>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</si>
  <si>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</si>
  <si>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</si>
  <si>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</si>
  <si>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</si>
  <si>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</si>
  <si>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</si>
  <si>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</si>
  <si>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</si>
  <si>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</si>
  <si>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</si>
  <si>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</si>
  <si>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</si>
  <si>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</si>
  <si>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</si>
  <si>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</si>
  <si>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</si>
  <si>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</si>
  <si>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</si>
  <si>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</si>
  <si>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</si>
  <si>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</si>
  <si>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</si>
  <si>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</si>
  <si>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</si>
  <si>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</si>
  <si>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</si>
  <si>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</si>
  <si>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</si>
  <si>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</si>
  <si>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</si>
  <si>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</si>
  <si>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</si>
  <si>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</si>
  <si>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</si>
  <si>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</si>
  <si>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</si>
  <si>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</si>
  <si>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</si>
  <si>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</si>
  <si>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</si>
  <si>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</si>
  <si>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</si>
  <si>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</si>
  <si>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</si>
  <si>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</si>
  <si>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</si>
  <si>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</si>
  <si>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</si>
  <si>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</si>
  <si>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</si>
  <si>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</si>
  <si>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</si>
  <si>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</si>
  <si>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</si>
  <si>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</si>
  <si>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</si>
  <si>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</si>
  <si>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</si>
  <si>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</si>
  <si>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</si>
  <si>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</si>
  <si>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</si>
  <si>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</si>
  <si>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</si>
  <si>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</si>
  <si>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</si>
  <si>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</si>
  <si>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</si>
  <si>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</si>
  <si>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</si>
  <si>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</si>
  <si>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</si>
  <si>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</si>
  <si>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</si>
  <si>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</si>
  <si>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</si>
  <si>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</si>
  <si>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</si>
  <si>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</si>
  <si>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</si>
  <si>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</si>
  <si>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</si>
  <si>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</si>
  <si>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</si>
  <si>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</si>
  <si>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</si>
  <si>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 xml:space="preserve">      6815 Software (non capitalized)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</si>
  <si>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</si>
  <si>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</si>
  <si>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</si>
  <si>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</si>
  <si>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7100 Student Services</t>
  </si>
  <si>
    <t xml:space="preserve">   Total 7100 Student Services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</si>
  <si>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</si>
  <si>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</si>
  <si>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</si>
  <si>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</si>
  <si>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</si>
  <si>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</si>
  <si>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</si>
  <si>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</si>
  <si>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</si>
  <si>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</si>
  <si>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</si>
  <si>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</si>
  <si>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</si>
  <si>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</si>
  <si>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</si>
  <si>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</si>
  <si>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</si>
  <si>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</si>
  <si>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</si>
  <si>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</si>
  <si>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 xml:space="preserve">      6045 Substitute Teaching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</si>
  <si>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</si>
  <si>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</si>
  <si>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</si>
  <si>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</si>
  <si>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</si>
  <si>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</si>
  <si>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</si>
  <si>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</si>
  <si>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</si>
  <si>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</si>
  <si>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</si>
  <si>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</si>
  <si>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</si>
  <si>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</si>
  <si>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</si>
  <si>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</si>
  <si>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</si>
  <si>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</si>
  <si>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</si>
  <si>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</si>
  <si>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</si>
  <si>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</si>
  <si>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</si>
  <si>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</si>
  <si>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</si>
  <si>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</si>
  <si>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</si>
  <si>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</si>
  <si>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</si>
  <si>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</si>
  <si>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</si>
  <si>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</si>
  <si>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</si>
  <si>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</si>
  <si>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</si>
  <si>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</si>
  <si>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</si>
  <si>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</si>
  <si>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</si>
  <si>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</si>
  <si>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</si>
  <si>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</si>
  <si>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</si>
  <si>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</si>
  <si>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</si>
  <si>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</si>
  <si>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</si>
  <si>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</si>
  <si>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</si>
  <si>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</si>
  <si>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</si>
  <si>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</si>
  <si>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</si>
  <si>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</si>
  <si>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</si>
  <si>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</si>
  <si>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</si>
  <si>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</si>
  <si>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</si>
  <si>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</si>
  <si>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</si>
  <si>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</si>
  <si>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</si>
  <si>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</si>
  <si>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</si>
  <si>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</si>
  <si>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</si>
  <si>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</si>
  <si>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</si>
  <si>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</si>
  <si>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</si>
  <si>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</si>
  <si>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</si>
  <si>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</si>
  <si>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</si>
  <si>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</si>
  <si>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</si>
  <si>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</si>
  <si>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</si>
  <si>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</si>
  <si>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</si>
  <si>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</si>
  <si>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</si>
  <si>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</si>
  <si>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</si>
  <si>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</si>
  <si>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</si>
  <si>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</si>
  <si>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</si>
  <si>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</si>
  <si>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</si>
  <si>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</si>
  <si>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</si>
  <si>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</si>
  <si>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</si>
  <si>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</si>
  <si>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</si>
  <si>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</si>
  <si>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</si>
  <si>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</si>
  <si>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</si>
  <si>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</si>
  <si>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</si>
  <si>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</si>
  <si>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</si>
  <si>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</si>
  <si>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</si>
  <si>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</si>
  <si>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</si>
  <si>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</si>
  <si>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</si>
  <si>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</si>
  <si>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</si>
  <si>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</si>
  <si>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</si>
  <si>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</si>
  <si>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</si>
  <si>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</si>
  <si>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</si>
  <si>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</si>
  <si>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</si>
  <si>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</si>
  <si>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</si>
  <si>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</si>
  <si>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</si>
  <si>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</si>
  <si>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</si>
  <si>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</si>
  <si>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</si>
  <si>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</si>
  <si>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</si>
  <si>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</si>
  <si>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</si>
  <si>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</si>
  <si>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</si>
  <si>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</si>
  <si>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</si>
  <si>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</si>
  <si>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</si>
  <si>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</si>
  <si>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</si>
  <si>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</si>
  <si>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</si>
  <si>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</si>
  <si>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</si>
  <si>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</si>
  <si>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</si>
  <si>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</si>
  <si>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</si>
  <si>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</si>
  <si>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</si>
  <si>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</si>
  <si>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</si>
  <si>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</si>
  <si>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</si>
  <si>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</si>
  <si>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</si>
  <si>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</si>
  <si>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</si>
  <si>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</si>
  <si>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</si>
  <si>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</si>
  <si>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</si>
  <si>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</si>
  <si>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</si>
  <si>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</si>
  <si>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</si>
  <si>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</si>
  <si>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</si>
  <si>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</si>
  <si>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</si>
  <si>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</si>
  <si>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</si>
  <si>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</si>
  <si>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</si>
  <si>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</si>
  <si>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</si>
  <si>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</si>
  <si>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</si>
  <si>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</si>
  <si>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</si>
  <si>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</si>
  <si>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</si>
  <si>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</si>
  <si>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</si>
  <si>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</si>
  <si>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</si>
  <si>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</si>
  <si>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</si>
  <si>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</si>
  <si>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</si>
  <si>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</si>
  <si>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</si>
  <si>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</si>
  <si>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</si>
  <si>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</si>
  <si>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</si>
  <si>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</si>
  <si>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</si>
  <si>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</si>
  <si>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</si>
  <si>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</si>
  <si>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</si>
  <si>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</si>
  <si>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</si>
  <si>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</si>
  <si>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</si>
  <si>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</si>
  <si>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</si>
  <si>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</si>
  <si>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</si>
  <si>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</si>
  <si>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</si>
  <si>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</si>
  <si>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</si>
  <si>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</si>
  <si>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</si>
  <si>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</si>
  <si>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</si>
  <si>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</si>
  <si>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</si>
  <si>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</si>
  <si>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</si>
  <si>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</si>
  <si>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</si>
  <si>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</si>
  <si>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</si>
  <si>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</si>
  <si>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</si>
  <si>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</si>
  <si>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</si>
  <si>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</si>
  <si>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</si>
  <si>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</si>
  <si>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</si>
  <si>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</si>
  <si>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</si>
  <si>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</si>
  <si>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</si>
  <si>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Approved Budget</t>
  </si>
  <si>
    <t>Staff Count</t>
  </si>
  <si>
    <t>Authorized Enrollment</t>
  </si>
  <si>
    <t>Total Enrollment</t>
  </si>
  <si>
    <t>SpEd Enrollment 
(20-60%)</t>
  </si>
  <si>
    <t>SpEd Enrollment 
(&gt;60%)</t>
  </si>
  <si>
    <t>FRPL%</t>
  </si>
  <si>
    <t>Per Pupil Allocation</t>
  </si>
  <si>
    <t>Sped Allocation
(20-60%)</t>
  </si>
  <si>
    <t>Sped Allocation 
(&gt;60%)</t>
  </si>
  <si>
    <t xml:space="preserve">REVENUE </t>
  </si>
  <si>
    <t>EXPENSES</t>
  </si>
  <si>
    <t>NET INCOME/(DEFICIT)</t>
  </si>
  <si>
    <t>CASH INCOME/(DEFICIT)</t>
  </si>
  <si>
    <t>INCOME</t>
  </si>
  <si>
    <t xml:space="preserve">         5115 Dean of Students</t>
  </si>
  <si>
    <t xml:space="preserve">         5520 STD, LTD, Life Insur. and NYS Disability Insur., HSA and AD&amp;D</t>
  </si>
  <si>
    <t xml:space="preserve">      8116 Pest Control </t>
  </si>
  <si>
    <t>CAPITAL BUDGET vs. ACTUAL</t>
  </si>
  <si>
    <t xml:space="preserve">       1501 Office Equipment</t>
  </si>
  <si>
    <t xml:space="preserve">       1502 Office Furniture &amp; Fixtures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</si>
  <si>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</si>
  <si>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</si>
  <si>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</si>
  <si>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</si>
  <si>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</si>
  <si>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</si>
  <si>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</si>
  <si>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</si>
  <si>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</si>
  <si>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</si>
  <si>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</si>
  <si>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</si>
  <si>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</si>
  <si>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</si>
  <si>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 xml:space="preserve">TOTAL </t>
  </si>
  <si>
    <t>Net Income:</t>
  </si>
  <si>
    <t>Subtract Capital Costs</t>
  </si>
  <si>
    <t>Subtract Rent Deposit</t>
  </si>
  <si>
    <t>Subtract Escrow</t>
  </si>
  <si>
    <t>Add back Depreciation</t>
  </si>
  <si>
    <t>Add back Deferred Rent</t>
  </si>
  <si>
    <t>Cash Income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</si>
  <si>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</si>
  <si>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</si>
  <si>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</si>
  <si>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</si>
  <si>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</si>
  <si>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</si>
  <si>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Unaudited Profit &amp; Loss Summary</t>
  </si>
  <si>
    <t>Unaudited Profit &amp; Loss Detailed</t>
  </si>
  <si>
    <t xml:space="preserve">         5530 FSA, Transit Check, and HRA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</si>
  <si>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</si>
  <si>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</si>
  <si>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</si>
  <si>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 xml:space="preserve">         5520 STD, LTD, Life and AD&amp;D and Others</t>
  </si>
  <si>
    <t>standard of 0.9 or less is low risk</t>
  </si>
  <si>
    <t xml:space="preserve">   8500 In-Kind Expenses</t>
  </si>
  <si>
    <t>Unrestricted cash balance at the beginning of the month</t>
  </si>
  <si>
    <t>Cash in-flows:</t>
  </si>
  <si>
    <t>DOE Payments</t>
  </si>
  <si>
    <t>Federal Grants</t>
  </si>
  <si>
    <t>Total cash available</t>
  </si>
  <si>
    <t>Cash out-flows:</t>
  </si>
  <si>
    <t>Personnel</t>
  </si>
  <si>
    <t>Taxes and Benefits</t>
  </si>
  <si>
    <t>Total Compensation Expense</t>
  </si>
  <si>
    <t>Other Than Personnel Costs (OTPS) - Ongoing</t>
  </si>
  <si>
    <t>Consultants and other Professionals</t>
  </si>
  <si>
    <t>School operations and other materials</t>
  </si>
  <si>
    <t>Facility operations and maintenance</t>
  </si>
  <si>
    <t>Payment on existing accounts payable</t>
  </si>
  <si>
    <t xml:space="preserve">Total OTPS costs </t>
  </si>
  <si>
    <t>Total cash outflow</t>
  </si>
  <si>
    <t>Total unrestricted cash balance at the end of the month</t>
  </si>
  <si>
    <t>Days of cash on hand</t>
  </si>
  <si>
    <t xml:space="preserve">         1561 Construction in Progress</t>
  </si>
  <si>
    <t>-</t>
  </si>
  <si>
    <t>School Year 2020-2021 (Year 2)</t>
  </si>
  <si>
    <t xml:space="preserve">         5570 Other Employee Benefits</t>
  </si>
  <si>
    <t xml:space="preserve">Annual </t>
  </si>
  <si>
    <t>FY 2020-21</t>
  </si>
  <si>
    <t>Current Period</t>
  </si>
  <si>
    <t xml:space="preserve">      3100 Retained Earnings</t>
  </si>
  <si>
    <t xml:space="preserve">      3150 Net Assets with Donor Restrictions</t>
  </si>
  <si>
    <t xml:space="preserve">      6612 COVID-19 Related Expenditures</t>
  </si>
  <si>
    <t xml:space="preserve">            23600 Payable to DOE</t>
  </si>
  <si>
    <t xml:space="preserve">      4108 Cares Act.</t>
  </si>
  <si>
    <t>Notes about current period</t>
  </si>
  <si>
    <t>Upfront payment</t>
  </si>
  <si>
    <t xml:space="preserve">      6810 Technology Equipment &amp; Supplies</t>
  </si>
  <si>
    <t xml:space="preserve">         Staff development</t>
  </si>
  <si>
    <t xml:space="preserve">      Total 7310 Team Building &amp; Staff Appreciation</t>
  </si>
  <si>
    <t xml:space="preserve">         Undeposited Funds</t>
  </si>
  <si>
    <t>Daily Cash Expenditures</t>
  </si>
  <si>
    <t>Total</t>
  </si>
  <si>
    <t>Budget
July 1, 21-June 30, 22</t>
  </si>
  <si>
    <t>FY 2020-21 Actuals</t>
  </si>
  <si>
    <t>Actuals for period: 
7.1.20-6.30.21</t>
  </si>
  <si>
    <t>FY 2021-22</t>
  </si>
  <si>
    <t xml:space="preserve">         5105 Director of Curriculum &amp; Instructions</t>
  </si>
  <si>
    <t xml:space="preserve">         5130 Director of Finance</t>
  </si>
  <si>
    <t xml:space="preserve">      AFTER SCHOOL</t>
  </si>
  <si>
    <t xml:space="preserve">      Loss at Disposal</t>
  </si>
  <si>
    <t>Budgeted Cash Expenditures</t>
  </si>
  <si>
    <t>Year-end event, back to school BBQ, (old invoices from 2019) spring show video editing and clowns.com</t>
  </si>
  <si>
    <t>Upfront payment of $19,700 to New City Charter School Center</t>
  </si>
  <si>
    <t>Preparedness for school opening</t>
  </si>
  <si>
    <t>Upfront payments to Uchicago and NWEA</t>
  </si>
  <si>
    <t>Estimated Summer Pay Accruals</t>
  </si>
  <si>
    <t xml:space="preserve">   Net Assets with Donor Restrictions</t>
  </si>
  <si>
    <t>Martial arts uniforms - will be coded to the ARP grant once approved</t>
  </si>
  <si>
    <t>McGraw Hill purchases</t>
  </si>
  <si>
    <t>Statement of Cash Flow Projection for period: 10/1/2021-12/31/21</t>
  </si>
  <si>
    <r>
      <t xml:space="preserve">Amounts As of 
June 30, 2021
</t>
    </r>
    <r>
      <rPr>
        <b/>
        <u/>
        <sz val="11"/>
        <rFont val="Avenir Book"/>
        <family val="2"/>
      </rPr>
      <t>(unaudited)</t>
    </r>
  </si>
  <si>
    <r>
      <t>Defered Revenue</t>
    </r>
    <r>
      <rPr>
        <vertAlign val="superscript"/>
        <sz val="11"/>
        <color rgb="FFFF0000"/>
        <rFont val="Avenir Book"/>
        <family val="2"/>
      </rPr>
      <t xml:space="preserve"> </t>
    </r>
  </si>
  <si>
    <t>FY2022</t>
  </si>
  <si>
    <t>FY2021</t>
  </si>
  <si>
    <r>
      <t xml:space="preserve">goal of 90 days of cash on hand
</t>
    </r>
    <r>
      <rPr>
        <i/>
        <sz val="10"/>
        <color rgb="FF1F497D"/>
        <rFont val=" avenir"/>
      </rPr>
      <t>(September 2021: 208 days of cash)</t>
    </r>
  </si>
  <si>
    <r>
      <t xml:space="preserve">Amounts As of 
October 31, 2021
</t>
    </r>
    <r>
      <rPr>
        <b/>
        <u/>
        <sz val="11"/>
        <rFont val="Avenir Book"/>
        <family val="2"/>
      </rPr>
      <t>(unaudited)</t>
    </r>
  </si>
  <si>
    <t>Prepaid expenses include the following:  
November rent - $83,333
Legal Fee (retainer) - $1,182
Taxes receivable - $4,288
NYC Charter School Center - $1,470
PowerSchool - $5,045
Board on Track - $4,000
SchoolMint - $4,630
OnSolve - $36
Prepaid Insurance - $16,700</t>
  </si>
  <si>
    <t>Cares Act (ESSER I), Title IA, IIA and IVA grant deposits received (expenses to be tagged)</t>
  </si>
  <si>
    <t>A schedule of AP aging is included.
Accrued Expenses include the balance on the audit fee of $15,500. 
Payable of $23,745.28 to the DOE (reconciliation of overpayment) now reflected in net payment from DOE (Nov and Dec 2021 revenue)</t>
  </si>
  <si>
    <t>DOE deposit for November and December 2021</t>
  </si>
  <si>
    <t>Actuals
July 1, 21- Oct 31, 21</t>
  </si>
  <si>
    <t>Budget
July 1, 21-Oct 31, 21</t>
  </si>
  <si>
    <t>School Year 2021-2022 (Year 3)</t>
  </si>
  <si>
    <t>Positive variance due to GenEd overenrollment</t>
  </si>
  <si>
    <t>Positive variance due to SpEd overenrollment (60+)</t>
  </si>
  <si>
    <t>Cares Act. ESSER I Grant</t>
  </si>
  <si>
    <t>In-kind donations of 70 laptops received from The Bronx Community Foundation.</t>
  </si>
  <si>
    <t>Scheduled pay: November 2021 and May 2022 ($2,500 per payment per matron)</t>
  </si>
  <si>
    <t>% 
Achieved/Utilized
=33.3%</t>
  </si>
  <si>
    <t>FY21 revenue received in October (FY22 payments as yet received)</t>
  </si>
  <si>
    <t>Summer School Stipends</t>
  </si>
  <si>
    <t>Due to the extra time spent for the audit and continued assistance to Director of Finance</t>
  </si>
  <si>
    <t>Debit card transactions from Uline and PC Richard (ARP grant reimbursable)</t>
  </si>
  <si>
    <t>Upfront utilization of the total funds (grant reimbursable); see detailed transaction report provided</t>
  </si>
  <si>
    <t>Oct exp: poster printer ($1,400; ARP grant reimbursable) + mini projectors (for missing Specials / Martial Arts fill-in)</t>
  </si>
  <si>
    <t>LinkedIn and other costs (Director of Operations search)</t>
  </si>
  <si>
    <t>$500 for Storybook Character Day snacks</t>
  </si>
  <si>
    <t>Preparedness for school opening; older billings processed in September 2021 (Manuel B. $11,500)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</si>
</sst>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</numFmts>
  <fonts count="6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  <font>
      <b/>
      <sz val="8"/>
      <color indexed="8"/>
      <name val="Arial"/>
      <family val="2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theme="3" tint="-0.249977111117893"/>
      <name val="Avenir Book"/>
      <family val="2"/>
    </font>
    <font>
      <sz val="11"/>
      <color indexed="8"/>
      <name val="Avenir Book"/>
      <family val="2"/>
    </font>
    <font>
      <b/>
      <sz val="16"/>
      <color theme="3" tint="-0.249977111117893"/>
      <name val="Avenir Book"/>
      <family val="2"/>
    </font>
    <font>
      <b/>
      <sz val="13"/>
      <color theme="3" tint="-0.249977111117893"/>
      <name val="Avenir Book"/>
      <family val="2"/>
    </font>
    <font>
      <b/>
      <sz val="12"/>
      <color theme="3" tint="-0.249977111117893"/>
      <name val="Avenir Book"/>
      <family val="2"/>
    </font>
    <font>
      <sz val="12"/>
      <name val="Avenir Book"/>
      <family val="2"/>
    </font>
    <font>
      <b/>
      <sz val="11"/>
      <name val="Avenir Book"/>
      <family val="2"/>
    </font>
    <font>
      <b/>
      <u/>
      <sz val="11"/>
      <name val="Avenir Book"/>
      <family val="2"/>
    </font>
    <font>
      <sz val="10"/>
      <name val="Avenir Book"/>
      <family val="2"/>
    </font>
    <font>
      <b/>
      <u/>
      <sz val="11"/>
      <color indexed="8"/>
      <name val="Avenir Book"/>
      <family val="2"/>
    </font>
    <font>
      <b/>
      <sz val="8"/>
      <color indexed="8"/>
      <name val="Avenir Book"/>
      <family val="2"/>
    </font>
    <font>
      <sz val="8"/>
      <color indexed="8"/>
      <name val="Avenir Book"/>
      <family val="2"/>
    </font>
    <font>
      <sz val="11"/>
      <name val="Avenir Book"/>
      <family val="2"/>
    </font>
    <font>
      <b/>
      <sz val="11"/>
      <color indexed="8"/>
      <name val="Avenir Book"/>
      <family val="2"/>
    </font>
    <font>
      <vertAlign val="superscript"/>
      <sz val="11"/>
      <color rgb="FFFF0000"/>
      <name val="Avenir Book"/>
      <family val="2"/>
    </font>
    <font>
      <i/>
      <sz val="11"/>
      <name val="Avenir Book"/>
      <family val="2"/>
    </font>
    <font>
      <b/>
      <sz val="26"/>
      <color theme="3" tint="-0.249977111117893"/>
      <name val=" avenir"/>
    </font>
    <font>
      <sz val="11"/>
      <color indexed="8"/>
      <name val=" avenir"/>
    </font>
    <font>
      <b/>
      <i/>
      <sz val="22"/>
      <color theme="3" tint="-0.249977111117893"/>
      <name val=" avenir"/>
    </font>
    <font>
      <b/>
      <sz val="10"/>
      <color theme="3" tint="-0.249977111117893"/>
      <name val=" avenir"/>
    </font>
    <font>
      <b/>
      <sz val="12"/>
      <color theme="3" tint="-0.249977111117893"/>
      <name val=" avenir"/>
    </font>
    <font>
      <b/>
      <sz val="10"/>
      <color rgb="FFFF0000"/>
      <name val=" avenir"/>
    </font>
    <font>
      <sz val="10"/>
      <color theme="1"/>
      <name val=" avenir"/>
    </font>
    <font>
      <b/>
      <sz val="10"/>
      <color rgb="FF1F497D"/>
      <name val=" avenir"/>
    </font>
    <font>
      <sz val="10"/>
      <color rgb="FF1F497D"/>
      <name val=" avenir"/>
    </font>
    <font>
      <sz val="10"/>
      <name val=" avenir"/>
    </font>
    <font>
      <b/>
      <sz val="10"/>
      <name val=" avenir"/>
    </font>
    <font>
      <i/>
      <sz val="10"/>
      <color rgb="FF1F497D"/>
      <name val=" avenir"/>
    </font>
    <font>
      <b/>
      <sz val="10"/>
      <name val="Avenir Book"/>
      <family val="2"/>
    </font>
    <font>
      <b/>
      <sz val="22"/>
      <name val="Avenir Book"/>
      <family val="2"/>
    </font>
    <font>
      <b/>
      <sz val="18"/>
      <name val="Avenir Book"/>
      <family val="2"/>
    </font>
    <font>
      <b/>
      <sz val="13"/>
      <name val="Avenir Book"/>
      <family val="2"/>
    </font>
    <font>
      <b/>
      <sz val="11"/>
      <color theme="0"/>
      <name val="Avenir Book"/>
      <family val="2"/>
    </font>
    <font>
      <sz val="11"/>
      <color rgb="FF0070C0"/>
      <name val="Avenir Book"/>
      <family val="2"/>
    </font>
    <font>
      <b/>
      <i/>
      <sz val="11"/>
      <color theme="0"/>
      <name val="Avenir Book"/>
      <family val="2"/>
    </font>
    <font>
      <b/>
      <sz val="22"/>
      <color theme="3" tint="-0.249977111117893"/>
      <name val="Avenir Book"/>
      <family val="2"/>
    </font>
    <font>
      <sz val="13"/>
      <color theme="3" tint="-0.249977111117893"/>
      <name val="Avenir Book"/>
      <family val="2"/>
    </font>
    <font>
      <sz val="10"/>
      <color indexed="8"/>
      <name val="Avenir Book"/>
      <family val="2"/>
    </font>
    <font>
      <b/>
      <sz val="10"/>
      <color indexed="8"/>
      <name val="Avenir Book"/>
      <family val="2"/>
    </font>
    <font>
      <b/>
      <sz val="12"/>
      <name val="Avenir Book"/>
      <family val="2"/>
    </font>
    <font>
      <b/>
      <sz val="11"/>
      <color theme="1"/>
      <name val="Avenir Boo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164" fontId="7" fillId="0" borderId="0" xfId="0" applyNumberFormat="1" applyFont="1" applyAlignment="1">
      <alignment wrapText="1"/>
    </xf>
    <xf numFmtId="0" fontId="0" fillId="0" borderId="0" xfId="0"/>
    <xf numFmtId="0" fontId="10" fillId="0" borderId="0" xfId="0" applyFont="1"/>
    <xf numFmtId="0" fontId="11" fillId="0" borderId="0" xfId="0" applyFont="1"/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8" fontId="13" fillId="0" borderId="0" xfId="2" applyNumberFormat="1" applyFont="1"/>
    <xf numFmtId="0" fontId="13" fillId="0" borderId="0" xfId="0" applyFont="1"/>
    <xf numFmtId="167" fontId="10" fillId="0" borderId="0" xfId="1" applyNumberFormat="1" applyFont="1"/>
    <xf numFmtId="167" fontId="10" fillId="0" borderId="12" xfId="1" applyNumberFormat="1" applyFont="1" applyBorder="1"/>
    <xf numFmtId="167" fontId="13" fillId="0" borderId="0" xfId="1" applyNumberFormat="1" applyFont="1"/>
    <xf numFmtId="0" fontId="10" fillId="0" borderId="0" xfId="0" applyFont="1" applyAlignment="1">
      <alignment horizontal="right"/>
    </xf>
    <xf numFmtId="168" fontId="13" fillId="0" borderId="0" xfId="0" applyNumberFormat="1" applyFont="1"/>
    <xf numFmtId="0" fontId="14" fillId="0" borderId="0" xfId="0" applyFont="1"/>
    <xf numFmtId="0" fontId="0" fillId="0" borderId="0" xfId="0"/>
    <xf numFmtId="164" fontId="3" fillId="0" borderId="0" xfId="0" applyNumberFormat="1" applyFont="1" applyAlignment="1">
      <alignment wrapText="1"/>
    </xf>
    <xf numFmtId="0" fontId="0" fillId="0" borderId="0" xfId="0"/>
    <xf numFmtId="0" fontId="15" fillId="0" borderId="0" xfId="0" applyFont="1" applyAlignment="1">
      <alignment horizontal="left"/>
    </xf>
    <xf numFmtId="0" fontId="0" fillId="0" borderId="0" xfId="0"/>
    <xf numFmtId="0" fontId="15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44" fontId="0" fillId="0" borderId="0" xfId="0" applyNumberFormat="1"/>
    <xf numFmtId="167" fontId="13" fillId="10" borderId="16" xfId="1" applyNumberFormat="1" applyFont="1" applyFill="1" applyBorder="1"/>
    <xf numFmtId="170" fontId="0" fillId="0" borderId="0" xfId="0" applyNumberFormat="1" applyFill="1"/>
    <xf numFmtId="170" fontId="16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7" fontId="13" fillId="0" borderId="12" xfId="1" applyNumberFormat="1" applyFont="1" applyBorder="1"/>
    <xf numFmtId="167" fontId="13" fillId="0" borderId="12" xfId="0" applyNumberFormat="1" applyFont="1" applyBorder="1"/>
    <xf numFmtId="167" fontId="10" fillId="0" borderId="0" xfId="0" applyNumberFormat="1" applyFont="1"/>
    <xf numFmtId="167" fontId="10" fillId="0" borderId="12" xfId="0" applyNumberFormat="1" applyFont="1" applyBorder="1"/>
    <xf numFmtId="167" fontId="10" fillId="0" borderId="0" xfId="1" applyNumberFormat="1" applyFont="1" applyFill="1"/>
    <xf numFmtId="164" fontId="3" fillId="0" borderId="0" xfId="0" applyNumberFormat="1" applyFont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wrapText="1"/>
    </xf>
    <xf numFmtId="165" fontId="19" fillId="0" borderId="1" xfId="0" applyNumberFormat="1" applyFont="1" applyBorder="1" applyAlignment="1">
      <alignment horizontal="right" wrapText="1"/>
    </xf>
    <xf numFmtId="0" fontId="21" fillId="0" borderId="0" xfId="0" applyFont="1" applyFill="1" applyBorder="1"/>
    <xf numFmtId="0" fontId="21" fillId="0" borderId="0" xfId="0" applyFont="1"/>
    <xf numFmtId="43" fontId="23" fillId="0" borderId="0" xfId="1" applyFont="1" applyFill="1" applyBorder="1" applyAlignment="1" applyProtection="1">
      <alignment horizontal="centerContinuous" vertical="top"/>
    </xf>
    <xf numFmtId="0" fontId="25" fillId="0" borderId="21" xfId="3" applyFont="1" applyBorder="1" applyAlignment="1" applyProtection="1">
      <alignment vertical="top"/>
    </xf>
    <xf numFmtId="167" fontId="25" fillId="0" borderId="0" xfId="1" applyNumberFormat="1" applyFont="1" applyBorder="1" applyAlignment="1" applyProtection="1">
      <alignment vertical="top"/>
    </xf>
    <xf numFmtId="167" fontId="25" fillId="0" borderId="0" xfId="1" applyNumberFormat="1" applyFont="1" applyFill="1" applyBorder="1" applyAlignment="1" applyProtection="1">
      <alignment vertical="top"/>
    </xf>
    <xf numFmtId="0" fontId="25" fillId="0" borderId="22" xfId="3" applyFont="1" applyBorder="1" applyAlignment="1" applyProtection="1">
      <alignment vertical="top"/>
    </xf>
    <xf numFmtId="0" fontId="21" fillId="0" borderId="0" xfId="0" applyFont="1" applyBorder="1"/>
    <xf numFmtId="0" fontId="26" fillId="0" borderId="21" xfId="8" applyFont="1" applyBorder="1" applyAlignment="1">
      <alignment horizontal="center"/>
    </xf>
    <xf numFmtId="0" fontId="26" fillId="7" borderId="0" xfId="8" applyFont="1" applyFill="1" applyBorder="1" applyAlignment="1">
      <alignment horizontal="center" wrapText="1"/>
    </xf>
    <xf numFmtId="167" fontId="28" fillId="0" borderId="0" xfId="1" applyNumberFormat="1" applyFont="1" applyFill="1" applyBorder="1" applyAlignment="1" applyProtection="1">
      <alignment vertical="top" wrapText="1"/>
    </xf>
    <xf numFmtId="0" fontId="26" fillId="0" borderId="0" xfId="8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30" fillId="0" borderId="0" xfId="0" applyFont="1" applyBorder="1" applyAlignment="1">
      <alignment horizontal="left"/>
    </xf>
    <xf numFmtId="164" fontId="31" fillId="0" borderId="0" xfId="0" applyNumberFormat="1" applyFont="1" applyBorder="1" applyAlignment="1"/>
    <xf numFmtId="0" fontId="32" fillId="0" borderId="21" xfId="8" applyFont="1" applyBorder="1"/>
    <xf numFmtId="0" fontId="32" fillId="0" borderId="0" xfId="8" applyFont="1" applyBorder="1" applyAlignment="1">
      <alignment horizontal="right"/>
    </xf>
    <xf numFmtId="0" fontId="28" fillId="0" borderId="22" xfId="3" applyFont="1" applyFill="1" applyBorder="1" applyAlignment="1" applyProtection="1">
      <alignment vertical="top"/>
      <protection locked="0"/>
    </xf>
    <xf numFmtId="41" fontId="32" fillId="0" borderId="0" xfId="8" applyNumberFormat="1" applyFont="1" applyBorder="1" applyAlignment="1">
      <alignment horizontal="right"/>
    </xf>
    <xf numFmtId="167" fontId="32" fillId="0" borderId="0" xfId="1" applyNumberFormat="1" applyFont="1" applyFill="1" applyBorder="1" applyAlignment="1" applyProtection="1">
      <alignment vertical="top" wrapText="1"/>
    </xf>
    <xf numFmtId="0" fontId="32" fillId="0" borderId="22" xfId="3" applyFont="1" applyFill="1" applyBorder="1" applyAlignment="1" applyProtection="1">
      <alignment vertical="top"/>
      <protection locked="0"/>
    </xf>
    <xf numFmtId="0" fontId="32" fillId="0" borderId="21" xfId="8" applyFont="1" applyBorder="1" applyAlignment="1">
      <alignment horizontal="left" wrapText="1" indent="2"/>
    </xf>
    <xf numFmtId="168" fontId="32" fillId="0" borderId="0" xfId="2" applyNumberFormat="1" applyFont="1" applyBorder="1" applyAlignment="1">
      <alignment horizontal="right"/>
    </xf>
    <xf numFmtId="4" fontId="32" fillId="0" borderId="0" xfId="5" applyNumberFormat="1" applyFont="1" applyFill="1" applyBorder="1" applyAlignment="1" applyProtection="1">
      <alignment horizontal="right" vertical="top" wrapText="1"/>
    </xf>
    <xf numFmtId="0" fontId="32" fillId="0" borderId="21" xfId="8" applyFont="1" applyBorder="1" applyAlignment="1">
      <alignment horizontal="left" indent="2"/>
    </xf>
    <xf numFmtId="43" fontId="32" fillId="0" borderId="0" xfId="5" applyNumberFormat="1" applyFont="1" applyFill="1" applyBorder="1" applyAlignment="1" applyProtection="1">
      <alignment horizontal="right" vertical="top" wrapText="1"/>
    </xf>
    <xf numFmtId="164" fontId="31" fillId="0" borderId="0" xfId="0" applyNumberFormat="1" applyFont="1" applyBorder="1" applyAlignment="1">
      <alignment horizontal="right"/>
    </xf>
    <xf numFmtId="0" fontId="32" fillId="0" borderId="22" xfId="3" applyFont="1" applyFill="1" applyBorder="1" applyAlignment="1" applyProtection="1">
      <alignment vertical="top" wrapText="1"/>
      <protection locked="0"/>
    </xf>
    <xf numFmtId="41" fontId="32" fillId="0" borderId="12" xfId="8" applyNumberFormat="1" applyFont="1" applyBorder="1" applyAlignment="1">
      <alignment horizontal="right"/>
    </xf>
    <xf numFmtId="43" fontId="30" fillId="0" borderId="0" xfId="1" applyFont="1" applyBorder="1" applyAlignment="1">
      <alignment horizontal="left"/>
    </xf>
    <xf numFmtId="165" fontId="30" fillId="0" borderId="0" xfId="0" applyNumberFormat="1" applyFont="1" applyBorder="1" applyAlignment="1">
      <alignment horizontal="right"/>
    </xf>
    <xf numFmtId="0" fontId="26" fillId="0" borderId="21" xfId="8" applyFont="1" applyBorder="1"/>
    <xf numFmtId="41" fontId="26" fillId="0" borderId="0" xfId="8" applyNumberFormat="1" applyFont="1" applyBorder="1" applyAlignment="1">
      <alignment horizontal="right"/>
    </xf>
    <xf numFmtId="43" fontId="26" fillId="0" borderId="0" xfId="5" applyNumberFormat="1" applyFont="1" applyFill="1" applyBorder="1" applyAlignment="1" applyProtection="1">
      <alignment horizontal="right" vertical="top" wrapText="1"/>
    </xf>
    <xf numFmtId="0" fontId="26" fillId="0" borderId="22" xfId="3" applyFont="1" applyFill="1" applyBorder="1" applyAlignment="1" applyProtection="1">
      <alignment vertical="top"/>
      <protection locked="0"/>
    </xf>
    <xf numFmtId="164" fontId="30" fillId="0" borderId="0" xfId="0" applyNumberFormat="1" applyFont="1" applyBorder="1" applyAlignment="1">
      <alignment horizontal="right"/>
    </xf>
    <xf numFmtId="0" fontId="33" fillId="0" borderId="0" xfId="0" applyFont="1"/>
    <xf numFmtId="44" fontId="26" fillId="0" borderId="0" xfId="5" applyNumberFormat="1" applyFont="1" applyFill="1" applyBorder="1" applyAlignment="1" applyProtection="1">
      <alignment horizontal="right" vertical="top" wrapText="1"/>
    </xf>
    <xf numFmtId="43" fontId="32" fillId="0" borderId="0" xfId="5" applyNumberFormat="1" applyFont="1" applyFill="1" applyBorder="1" applyAlignment="1" applyProtection="1">
      <alignment vertical="top" wrapText="1"/>
    </xf>
    <xf numFmtId="0" fontId="32" fillId="0" borderId="21" xfId="8" applyFont="1" applyBorder="1" applyAlignment="1">
      <alignment horizontal="left" indent="1"/>
    </xf>
    <xf numFmtId="0" fontId="26" fillId="0" borderId="21" xfId="8" applyFont="1" applyBorder="1" applyAlignment="1">
      <alignment horizontal="left" indent="5"/>
    </xf>
    <xf numFmtId="168" fontId="26" fillId="0" borderId="18" xfId="2" applyNumberFormat="1" applyFont="1" applyBorder="1" applyAlignment="1">
      <alignment horizontal="right"/>
    </xf>
    <xf numFmtId="44" fontId="32" fillId="0" borderId="22" xfId="3" applyNumberFormat="1" applyFont="1" applyFill="1" applyBorder="1" applyAlignment="1" applyProtection="1">
      <alignment vertical="top"/>
      <protection locked="0"/>
    </xf>
    <xf numFmtId="41" fontId="26" fillId="0" borderId="0" xfId="8" applyNumberFormat="1" applyFont="1" applyBorder="1" applyAlignment="1">
      <alignment horizontal="center"/>
    </xf>
    <xf numFmtId="0" fontId="26" fillId="0" borderId="22" xfId="3" applyFont="1" applyFill="1" applyBorder="1" applyAlignment="1" applyProtection="1">
      <alignment vertical="top" wrapText="1"/>
      <protection locked="0"/>
    </xf>
    <xf numFmtId="41" fontId="26" fillId="0" borderId="12" xfId="8" applyNumberFormat="1" applyFont="1" applyBorder="1" applyAlignment="1">
      <alignment horizontal="right"/>
    </xf>
    <xf numFmtId="41" fontId="32" fillId="0" borderId="0" xfId="8" applyNumberFormat="1" applyFont="1" applyBorder="1"/>
    <xf numFmtId="41" fontId="32" fillId="0" borderId="12" xfId="8" applyNumberFormat="1" applyFont="1" applyBorder="1"/>
    <xf numFmtId="41" fontId="26" fillId="0" borderId="15" xfId="8" applyNumberFormat="1" applyFont="1" applyBorder="1" applyAlignment="1">
      <alignment horizontal="right"/>
    </xf>
    <xf numFmtId="168" fontId="32" fillId="0" borderId="22" xfId="3" applyNumberFormat="1" applyFont="1" applyFill="1" applyBorder="1" applyAlignment="1" applyProtection="1">
      <alignment vertical="top"/>
      <protection locked="0"/>
    </xf>
    <xf numFmtId="0" fontId="25" fillId="0" borderId="24" xfId="3" applyFont="1" applyBorder="1" applyAlignment="1" applyProtection="1">
      <alignment vertical="top"/>
    </xf>
    <xf numFmtId="167" fontId="25" fillId="0" borderId="12" xfId="1" applyNumberFormat="1" applyFont="1" applyBorder="1" applyAlignment="1" applyProtection="1">
      <alignment vertical="top"/>
    </xf>
    <xf numFmtId="167" fontId="25" fillId="0" borderId="12" xfId="1" applyNumberFormat="1" applyFont="1" applyFill="1" applyBorder="1" applyAlignment="1" applyProtection="1">
      <alignment vertical="top"/>
    </xf>
    <xf numFmtId="0" fontId="25" fillId="0" borderId="23" xfId="3" applyFont="1" applyBorder="1" applyAlignment="1" applyProtection="1">
      <alignment vertical="top"/>
    </xf>
    <xf numFmtId="0" fontId="25" fillId="0" borderId="0" xfId="3" applyFont="1" applyBorder="1" applyAlignment="1" applyProtection="1">
      <alignment vertical="top"/>
    </xf>
    <xf numFmtId="0" fontId="25" fillId="0" borderId="0" xfId="3" applyFont="1" applyAlignment="1" applyProtection="1">
      <alignment vertical="top"/>
    </xf>
    <xf numFmtId="167" fontId="25" fillId="0" borderId="0" xfId="1" applyNumberFormat="1" applyFont="1" applyAlignment="1" applyProtection="1">
      <alignment vertical="top"/>
    </xf>
    <xf numFmtId="167" fontId="35" fillId="0" borderId="0" xfId="1" applyNumberFormat="1" applyFont="1" applyBorder="1" applyAlignment="1" applyProtection="1">
      <alignment horizontal="center" vertical="top"/>
    </xf>
    <xf numFmtId="167" fontId="35" fillId="0" borderId="0" xfId="1" applyNumberFormat="1" applyFont="1" applyFill="1" applyBorder="1" applyAlignment="1" applyProtection="1">
      <alignment horizontal="center" vertical="top"/>
    </xf>
    <xf numFmtId="0" fontId="37" fillId="0" borderId="0" xfId="0" applyFont="1"/>
    <xf numFmtId="166" fontId="39" fillId="4" borderId="9" xfId="0" applyNumberFormat="1" applyFont="1" applyFill="1" applyBorder="1" applyAlignment="1">
      <alignment vertical="center"/>
    </xf>
    <xf numFmtId="0" fontId="40" fillId="4" borderId="11" xfId="0" applyFont="1" applyFill="1" applyBorder="1" applyAlignment="1">
      <alignment horizontal="center" vertical="center" wrapText="1"/>
    </xf>
    <xf numFmtId="0" fontId="42" fillId="4" borderId="7" xfId="0" applyFont="1" applyFill="1" applyBorder="1"/>
    <xf numFmtId="0" fontId="43" fillId="4" borderId="7" xfId="0" applyFont="1" applyFill="1" applyBorder="1" applyAlignment="1">
      <alignment vertical="center"/>
    </xf>
    <xf numFmtId="0" fontId="42" fillId="4" borderId="4" xfId="0" applyFont="1" applyFill="1" applyBorder="1" applyAlignment="1">
      <alignment horizontal="left"/>
    </xf>
    <xf numFmtId="0" fontId="43" fillId="4" borderId="0" xfId="0" applyFont="1" applyFill="1" applyBorder="1" applyAlignment="1">
      <alignment vertical="center"/>
    </xf>
    <xf numFmtId="0" fontId="44" fillId="4" borderId="0" xfId="0" applyFont="1" applyFill="1" applyBorder="1" applyAlignment="1">
      <alignment vertical="center"/>
    </xf>
    <xf numFmtId="0" fontId="42" fillId="4" borderId="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left" vertical="center" indent="2"/>
    </xf>
    <xf numFmtId="5" fontId="42" fillId="4" borderId="0" xfId="2" applyNumberFormat="1" applyFont="1" applyFill="1" applyBorder="1" applyAlignment="1"/>
    <xf numFmtId="0" fontId="44" fillId="4" borderId="5" xfId="0" applyFont="1" applyFill="1" applyBorder="1" applyAlignment="1">
      <alignment horizontal="left" vertical="center"/>
    </xf>
    <xf numFmtId="0" fontId="46" fillId="3" borderId="15" xfId="0" applyFont="1" applyFill="1" applyBorder="1" applyAlignment="1">
      <alignment horizontal="left" vertical="center" indent="2"/>
    </xf>
    <xf numFmtId="43" fontId="46" fillId="3" borderId="15" xfId="1" applyFont="1" applyFill="1" applyBorder="1" applyAlignment="1">
      <alignment vertical="center"/>
    </xf>
    <xf numFmtId="0" fontId="44" fillId="0" borderId="5" xfId="0" applyFont="1" applyBorder="1" applyAlignment="1">
      <alignment horizontal="left" vertical="center"/>
    </xf>
    <xf numFmtId="0" fontId="42" fillId="4" borderId="0" xfId="0" applyFont="1" applyFill="1" applyBorder="1" applyAlignment="1"/>
    <xf numFmtId="6" fontId="42" fillId="4" borderId="0" xfId="2" applyNumberFormat="1" applyFont="1" applyFill="1" applyBorder="1" applyAlignment="1"/>
    <xf numFmtId="41" fontId="42" fillId="0" borderId="0" xfId="2" applyNumberFormat="1" applyFont="1" applyFill="1" applyBorder="1" applyAlignment="1"/>
    <xf numFmtId="43" fontId="45" fillId="4" borderId="0" xfId="0" applyNumberFormat="1" applyFont="1" applyFill="1" applyBorder="1" applyAlignment="1">
      <alignment vertical="center"/>
    </xf>
    <xf numFmtId="167" fontId="46" fillId="3" borderId="15" xfId="1" applyNumberFormat="1" applyFont="1" applyFill="1" applyBorder="1" applyAlignment="1">
      <alignment vertical="center"/>
    </xf>
    <xf numFmtId="0" fontId="43" fillId="4" borderId="4" xfId="0" applyFont="1" applyFill="1" applyBorder="1" applyAlignment="1">
      <alignment horizontal="left" vertical="center"/>
    </xf>
    <xf numFmtId="40" fontId="46" fillId="3" borderId="13" xfId="1" applyNumberFormat="1" applyFont="1" applyFill="1" applyBorder="1" applyAlignment="1">
      <alignment vertical="center"/>
    </xf>
    <xf numFmtId="0" fontId="46" fillId="3" borderId="25" xfId="0" applyFont="1" applyFill="1" applyBorder="1" applyAlignment="1">
      <alignment horizontal="left" vertical="center" indent="2"/>
    </xf>
    <xf numFmtId="43" fontId="46" fillId="3" borderId="26" xfId="1" applyNumberFormat="1" applyFont="1" applyFill="1" applyBorder="1" applyAlignment="1">
      <alignment vertical="center"/>
    </xf>
    <xf numFmtId="0" fontId="44" fillId="4" borderId="14" xfId="0" applyFont="1" applyFill="1" applyBorder="1" applyAlignment="1">
      <alignment horizontal="left" vertical="center"/>
    </xf>
    <xf numFmtId="0" fontId="42" fillId="0" borderId="0" xfId="0" applyFont="1"/>
    <xf numFmtId="0" fontId="42" fillId="0" borderId="0" xfId="0" applyFont="1" applyAlignment="1">
      <alignment horizontal="left"/>
    </xf>
    <xf numFmtId="0" fontId="44" fillId="4" borderId="5" xfId="0" applyFont="1" applyFill="1" applyBorder="1" applyAlignment="1">
      <alignment horizontal="left" vertical="center" wrapText="1"/>
    </xf>
    <xf numFmtId="0" fontId="48" fillId="0" borderId="0" xfId="8" applyFont="1" applyFill="1" applyBorder="1" applyAlignment="1"/>
    <xf numFmtId="0" fontId="32" fillId="0" borderId="0" xfId="0" applyFont="1" applyBorder="1"/>
    <xf numFmtId="43" fontId="23" fillId="0" borderId="0" xfId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Continuous"/>
    </xf>
    <xf numFmtId="43" fontId="23" fillId="0" borderId="0" xfId="1" applyFont="1" applyFill="1" applyBorder="1" applyAlignment="1"/>
    <xf numFmtId="0" fontId="2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wrapText="1"/>
    </xf>
    <xf numFmtId="38" fontId="28" fillId="0" borderId="0" xfId="3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167" fontId="57" fillId="0" borderId="0" xfId="1" applyNumberFormat="1" applyFont="1" applyBorder="1" applyAlignment="1">
      <alignment horizontal="right" wrapText="1"/>
    </xf>
    <xf numFmtId="0" fontId="48" fillId="11" borderId="0" xfId="0" applyFont="1" applyFill="1" applyBorder="1" applyAlignment="1">
      <alignment horizontal="left" wrapText="1"/>
    </xf>
    <xf numFmtId="167" fontId="58" fillId="11" borderId="0" xfId="1" applyNumberFormat="1" applyFont="1" applyFill="1" applyBorder="1" applyAlignment="1">
      <alignment horizontal="right" wrapText="1"/>
    </xf>
    <xf numFmtId="10" fontId="58" fillId="2" borderId="0" xfId="6" applyNumberFormat="1" applyFont="1" applyFill="1" applyBorder="1" applyAlignment="1">
      <alignment horizontal="center" wrapText="1"/>
    </xf>
    <xf numFmtId="168" fontId="58" fillId="0" borderId="0" xfId="2" applyNumberFormat="1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25" fillId="0" borderId="0" xfId="0" applyFont="1" applyFill="1" applyBorder="1"/>
    <xf numFmtId="0" fontId="25" fillId="0" borderId="0" xfId="0" applyFont="1" applyBorder="1" applyAlignment="1">
      <alignment wrapText="1"/>
    </xf>
    <xf numFmtId="167" fontId="57" fillId="0" borderId="27" xfId="1" applyNumberFormat="1" applyFont="1" applyBorder="1" applyAlignment="1">
      <alignment horizontal="right" wrapText="1"/>
    </xf>
    <xf numFmtId="167" fontId="28" fillId="0" borderId="27" xfId="1" applyNumberFormat="1" applyFont="1" applyFill="1" applyBorder="1" applyAlignment="1">
      <alignment horizontal="right" vertical="top" wrapText="1"/>
    </xf>
    <xf numFmtId="10" fontId="28" fillId="0" borderId="27" xfId="6" applyNumberFormat="1" applyFont="1" applyFill="1" applyBorder="1" applyAlignment="1">
      <alignment horizontal="center" vertical="top" wrapText="1"/>
    </xf>
    <xf numFmtId="167" fontId="57" fillId="0" borderId="27" xfId="1" applyNumberFormat="1" applyFont="1" applyFill="1" applyBorder="1" applyAlignment="1">
      <alignment horizontal="right" wrapText="1"/>
    </xf>
    <xf numFmtId="10" fontId="57" fillId="0" borderId="27" xfId="6" applyNumberFormat="1" applyFont="1" applyBorder="1" applyAlignment="1">
      <alignment horizontal="center" wrapText="1"/>
    </xf>
    <xf numFmtId="10" fontId="57" fillId="0" borderId="27" xfId="6" applyNumberFormat="1" applyFont="1" applyFill="1" applyBorder="1" applyAlignment="1">
      <alignment horizontal="center" wrapText="1"/>
    </xf>
    <xf numFmtId="0" fontId="28" fillId="0" borderId="28" xfId="0" applyFont="1" applyBorder="1" applyAlignment="1">
      <alignment horizontal="centerContinuous"/>
    </xf>
    <xf numFmtId="38" fontId="28" fillId="2" borderId="0" xfId="3" applyNumberFormat="1" applyFont="1" applyFill="1" applyBorder="1" applyAlignment="1">
      <alignment horizontal="center" vertical="top" wrapText="1"/>
    </xf>
    <xf numFmtId="9" fontId="28" fillId="2" borderId="27" xfId="6" applyFont="1" applyFill="1" applyBorder="1" applyAlignment="1">
      <alignment horizontal="center" vertical="top" wrapText="1"/>
    </xf>
    <xf numFmtId="9" fontId="58" fillId="2" borderId="0" xfId="6" applyFont="1" applyFill="1" applyBorder="1" applyAlignment="1">
      <alignment horizontal="center" wrapText="1"/>
    </xf>
    <xf numFmtId="167" fontId="57" fillId="2" borderId="0" xfId="1" applyNumberFormat="1" applyFont="1" applyFill="1" applyBorder="1" applyAlignment="1">
      <alignment horizontal="right" wrapText="1"/>
    </xf>
    <xf numFmtId="168" fontId="58" fillId="2" borderId="0" xfId="2" applyNumberFormat="1" applyFont="1" applyFill="1" applyBorder="1" applyAlignment="1">
      <alignment horizontal="right" wrapText="1"/>
    </xf>
    <xf numFmtId="9" fontId="57" fillId="2" borderId="27" xfId="6" applyFont="1" applyFill="1" applyBorder="1" applyAlignment="1">
      <alignment horizontal="center" wrapText="1"/>
    </xf>
    <xf numFmtId="167" fontId="58" fillId="2" borderId="0" xfId="1" applyNumberFormat="1" applyFont="1" applyFill="1" applyBorder="1" applyAlignment="1">
      <alignment horizontal="right" wrapText="1"/>
    </xf>
    <xf numFmtId="167" fontId="57" fillId="2" borderId="27" xfId="1" applyNumberFormat="1" applyFont="1" applyFill="1" applyBorder="1" applyAlignment="1">
      <alignment horizontal="right" wrapText="1"/>
    </xf>
    <xf numFmtId="38" fontId="48" fillId="7" borderId="27" xfId="0" applyNumberFormat="1" applyFont="1" applyFill="1" applyBorder="1" applyAlignment="1" applyProtection="1">
      <alignment horizontal="center" wrapText="1"/>
    </xf>
    <xf numFmtId="43" fontId="23" fillId="6" borderId="0" xfId="1" applyFont="1" applyFill="1" applyBorder="1" applyAlignment="1" applyProtection="1">
      <alignment vertical="top"/>
    </xf>
    <xf numFmtId="43" fontId="23" fillId="6" borderId="0" xfId="1" applyFont="1" applyFill="1" applyBorder="1" applyAlignment="1">
      <alignment horizontal="centerContinuous"/>
    </xf>
    <xf numFmtId="43" fontId="23" fillId="6" borderId="0" xfId="1" applyFont="1" applyFill="1" applyBorder="1" applyAlignment="1"/>
    <xf numFmtId="166" fontId="48" fillId="0" borderId="0" xfId="1" applyNumberFormat="1" applyFont="1" applyBorder="1" applyAlignment="1" applyProtection="1"/>
    <xf numFmtId="0" fontId="57" fillId="0" borderId="0" xfId="0" applyFont="1" applyBorder="1"/>
    <xf numFmtId="0" fontId="48" fillId="6" borderId="0" xfId="0" applyFont="1" applyFill="1" applyBorder="1" applyAlignment="1">
      <alignment horizontal="center"/>
    </xf>
    <xf numFmtId="10" fontId="57" fillId="0" borderId="0" xfId="6" applyNumberFormat="1" applyFont="1" applyBorder="1"/>
    <xf numFmtId="41" fontId="28" fillId="0" borderId="0" xfId="5" applyNumberFormat="1" applyFont="1" applyFill="1" applyBorder="1" applyAlignment="1" applyProtection="1">
      <alignment horizontal="left" wrapText="1"/>
      <protection locked="0"/>
    </xf>
    <xf numFmtId="49" fontId="28" fillId="0" borderId="0" xfId="5" applyNumberFormat="1" applyFont="1" applyFill="1" applyBorder="1" applyAlignment="1" applyProtection="1">
      <alignment horizontal="left" wrapText="1"/>
      <protection locked="0"/>
    </xf>
    <xf numFmtId="167" fontId="58" fillId="7" borderId="0" xfId="1" applyNumberFormat="1" applyFont="1" applyFill="1" applyBorder="1" applyAlignment="1">
      <alignment horizontal="right" wrapText="1"/>
    </xf>
    <xf numFmtId="9" fontId="57" fillId="0" borderId="0" xfId="6" applyFont="1" applyBorder="1"/>
    <xf numFmtId="167" fontId="58" fillId="0" borderId="0" xfId="1" applyNumberFormat="1" applyFont="1" applyBorder="1" applyAlignment="1">
      <alignment horizontal="right" wrapText="1"/>
    </xf>
    <xf numFmtId="167" fontId="58" fillId="12" borderId="0" xfId="1" applyNumberFormat="1" applyFont="1" applyFill="1" applyBorder="1" applyAlignment="1">
      <alignment horizontal="right" wrapText="1"/>
    </xf>
    <xf numFmtId="0" fontId="59" fillId="0" borderId="0" xfId="0" applyNumberFormat="1" applyFont="1" applyBorder="1"/>
    <xf numFmtId="0" fontId="25" fillId="0" borderId="0" xfId="0" applyFont="1" applyBorder="1"/>
    <xf numFmtId="38" fontId="25" fillId="0" borderId="0" xfId="1" applyNumberFormat="1" applyFont="1" applyBorder="1"/>
    <xf numFmtId="38" fontId="48" fillId="11" borderId="27" xfId="3" applyNumberFormat="1" applyFont="1" applyFill="1" applyBorder="1" applyAlignment="1">
      <alignment horizontal="center" wrapText="1"/>
    </xf>
    <xf numFmtId="38" fontId="48" fillId="2" borderId="27" xfId="0" applyNumberFormat="1" applyFont="1" applyFill="1" applyBorder="1" applyAlignment="1" applyProtection="1">
      <alignment horizontal="center" wrapText="1"/>
    </xf>
    <xf numFmtId="166" fontId="48" fillId="0" borderId="31" xfId="1" applyNumberFormat="1" applyFont="1" applyBorder="1" applyAlignment="1" applyProtection="1">
      <alignment horizontal="centerContinuous"/>
    </xf>
    <xf numFmtId="38" fontId="48" fillId="2" borderId="28" xfId="0" applyNumberFormat="1" applyFont="1" applyFill="1" applyBorder="1" applyAlignment="1" applyProtection="1">
      <alignment horizontal="center" wrapText="1"/>
    </xf>
    <xf numFmtId="38" fontId="48" fillId="7" borderId="28" xfId="0" applyNumberFormat="1" applyFont="1" applyFill="1" applyBorder="1" applyAlignment="1" applyProtection="1">
      <alignment horizontal="center" wrapText="1"/>
    </xf>
    <xf numFmtId="166" fontId="48" fillId="0" borderId="32" xfId="1" applyNumberFormat="1" applyFont="1" applyFill="1" applyBorder="1" applyAlignment="1" applyProtection="1"/>
    <xf numFmtId="49" fontId="48" fillId="0" borderId="33" xfId="0" applyNumberFormat="1" applyFont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58" fillId="0" borderId="33" xfId="0" applyFont="1" applyBorder="1" applyAlignment="1">
      <alignment horizontal="left" wrapText="1"/>
    </xf>
    <xf numFmtId="0" fontId="48" fillId="0" borderId="34" xfId="0" applyFont="1" applyFill="1" applyBorder="1" applyAlignment="1">
      <alignment horizontal="left" wrapText="1"/>
    </xf>
    <xf numFmtId="0" fontId="58" fillId="11" borderId="33" xfId="0" applyFont="1" applyFill="1" applyBorder="1" applyAlignment="1">
      <alignment horizontal="left" wrapText="1"/>
    </xf>
    <xf numFmtId="0" fontId="58" fillId="0" borderId="33" xfId="0" applyFont="1" applyFill="1" applyBorder="1" applyAlignment="1">
      <alignment horizontal="left" wrapText="1"/>
    </xf>
    <xf numFmtId="0" fontId="48" fillId="0" borderId="35" xfId="0" applyNumberFormat="1" applyFont="1" applyBorder="1"/>
    <xf numFmtId="0" fontId="28" fillId="0" borderId="29" xfId="0" applyFont="1" applyBorder="1"/>
    <xf numFmtId="38" fontId="28" fillId="0" borderId="29" xfId="1" applyNumberFormat="1" applyFont="1" applyBorder="1"/>
    <xf numFmtId="0" fontId="28" fillId="0" borderId="29" xfId="0" applyFont="1" applyFill="1" applyBorder="1"/>
    <xf numFmtId="0" fontId="28" fillId="0" borderId="36" xfId="0" applyFont="1" applyFill="1" applyBorder="1"/>
    <xf numFmtId="38" fontId="48" fillId="14" borderId="27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/>
    <xf numFmtId="0" fontId="26" fillId="0" borderId="0" xfId="0" applyFont="1" applyBorder="1" applyAlignment="1" applyProtection="1">
      <alignment vertical="center" wrapText="1"/>
      <protection locked="0"/>
    </xf>
    <xf numFmtId="41" fontId="26" fillId="0" borderId="0" xfId="0" applyNumberFormat="1" applyFont="1" applyBorder="1" applyAlignment="1" applyProtection="1">
      <alignment horizontal="right" vertical="center" wrapText="1" indent="2"/>
      <protection locked="0"/>
    </xf>
    <xf numFmtId="0" fontId="26" fillId="0" borderId="0" xfId="0" applyFont="1" applyBorder="1" applyAlignment="1" applyProtection="1">
      <alignment horizontal="right" vertical="center" wrapText="1" indent="2"/>
      <protection locked="0"/>
    </xf>
    <xf numFmtId="167" fontId="21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41" fontId="52" fillId="5" borderId="0" xfId="0" applyNumberFormat="1" applyFont="1" applyFill="1" applyBorder="1"/>
    <xf numFmtId="167" fontId="26" fillId="9" borderId="0" xfId="0" applyNumberFormat="1" applyFont="1" applyFill="1" applyBorder="1"/>
    <xf numFmtId="167" fontId="26" fillId="2" borderId="0" xfId="0" applyNumberFormat="1" applyFont="1" applyFill="1" applyBorder="1"/>
    <xf numFmtId="0" fontId="29" fillId="9" borderId="0" xfId="0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43" fontId="21" fillId="0" borderId="0" xfId="0" applyNumberFormat="1" applyFont="1" applyBorder="1"/>
    <xf numFmtId="43" fontId="21" fillId="5" borderId="0" xfId="1" applyFont="1" applyFill="1" applyBorder="1" applyAlignment="1">
      <alignment horizontal="right" wrapText="1"/>
    </xf>
    <xf numFmtId="170" fontId="32" fillId="9" borderId="0" xfId="0" applyNumberFormat="1" applyFont="1" applyFill="1" applyBorder="1" applyAlignment="1">
      <alignment horizontal="right" wrapText="1"/>
    </xf>
    <xf numFmtId="170" fontId="32" fillId="2" borderId="0" xfId="0" applyNumberFormat="1" applyFont="1" applyFill="1" applyBorder="1" applyAlignment="1">
      <alignment horizontal="right" wrapText="1"/>
    </xf>
    <xf numFmtId="43" fontId="21" fillId="2" borderId="0" xfId="1" applyFont="1" applyFill="1" applyBorder="1" applyAlignment="1">
      <alignment horizontal="right" wrapText="1"/>
    </xf>
    <xf numFmtId="10" fontId="32" fillId="2" borderId="0" xfId="6" applyNumberFormat="1" applyFont="1" applyFill="1" applyBorder="1" applyAlignment="1">
      <alignment horizontal="right" wrapText="1"/>
    </xf>
    <xf numFmtId="171" fontId="33" fillId="5" borderId="0" xfId="0" applyNumberFormat="1" applyFont="1" applyFill="1" applyBorder="1" applyAlignment="1">
      <alignment horizontal="right" wrapText="1"/>
    </xf>
    <xf numFmtId="171" fontId="26" fillId="9" borderId="0" xfId="0" applyNumberFormat="1" applyFont="1" applyFill="1" applyBorder="1" applyAlignment="1">
      <alignment horizontal="right" wrapText="1"/>
    </xf>
    <xf numFmtId="171" fontId="26" fillId="2" borderId="0" xfId="0" applyNumberFormat="1" applyFont="1" applyFill="1" applyBorder="1" applyAlignment="1">
      <alignment horizontal="right" wrapText="1"/>
    </xf>
    <xf numFmtId="171" fontId="33" fillId="2" borderId="0" xfId="0" applyNumberFormat="1" applyFont="1" applyFill="1" applyBorder="1" applyAlignment="1">
      <alignment horizontal="right" wrapText="1"/>
    </xf>
    <xf numFmtId="10" fontId="26" fillId="2" borderId="0" xfId="6" applyNumberFormat="1" applyFont="1" applyFill="1" applyBorder="1" applyAlignment="1">
      <alignment horizontal="right" wrapText="1"/>
    </xf>
    <xf numFmtId="171" fontId="21" fillId="0" borderId="0" xfId="0" applyNumberFormat="1" applyFont="1" applyBorder="1"/>
    <xf numFmtId="167" fontId="21" fillId="0" borderId="0" xfId="0" applyNumberFormat="1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54" fillId="8" borderId="0" xfId="0" applyFont="1" applyFill="1" applyBorder="1" applyAlignment="1">
      <alignment horizontal="left" wrapText="1"/>
    </xf>
    <xf numFmtId="6" fontId="52" fillId="8" borderId="0" xfId="0" applyNumberFormat="1" applyFont="1" applyFill="1" applyBorder="1" applyAlignment="1">
      <alignment horizontal="right" wrapText="1"/>
    </xf>
    <xf numFmtId="6" fontId="26" fillId="8" borderId="0" xfId="0" applyNumberFormat="1" applyFont="1" applyFill="1" applyBorder="1" applyAlignment="1">
      <alignment horizontal="right" wrapText="1"/>
    </xf>
    <xf numFmtId="10" fontId="26" fillId="8" borderId="0" xfId="6" applyNumberFormat="1" applyFont="1" applyFill="1" applyBorder="1" applyAlignment="1">
      <alignment horizontal="right" wrapText="1"/>
    </xf>
    <xf numFmtId="172" fontId="21" fillId="5" borderId="0" xfId="1" applyNumberFormat="1" applyFont="1" applyFill="1" applyBorder="1"/>
    <xf numFmtId="172" fontId="32" fillId="9" borderId="0" xfId="1" applyNumberFormat="1" applyFont="1" applyFill="1" applyBorder="1"/>
    <xf numFmtId="172" fontId="32" fillId="2" borderId="0" xfId="1" applyNumberFormat="1" applyFont="1" applyFill="1" applyBorder="1"/>
    <xf numFmtId="172" fontId="32" fillId="2" borderId="0" xfId="6" applyNumberFormat="1" applyFont="1" applyFill="1" applyBorder="1"/>
    <xf numFmtId="171" fontId="21" fillId="0" borderId="0" xfId="0" applyNumberFormat="1" applyFont="1" applyFill="1" applyBorder="1"/>
    <xf numFmtId="6" fontId="33" fillId="5" borderId="0" xfId="0" applyNumberFormat="1" applyFont="1" applyFill="1" applyBorder="1" applyAlignment="1">
      <alignment horizontal="right" wrapText="1"/>
    </xf>
    <xf numFmtId="6" fontId="32" fillId="9" borderId="0" xfId="0" applyNumberFormat="1" applyFont="1" applyFill="1" applyBorder="1"/>
    <xf numFmtId="6" fontId="32" fillId="2" borderId="0" xfId="0" applyNumberFormat="1" applyFont="1" applyFill="1" applyBorder="1"/>
    <xf numFmtId="6" fontId="32" fillId="2" borderId="0" xfId="6" applyNumberFormat="1" applyFont="1" applyFill="1" applyBorder="1"/>
    <xf numFmtId="6" fontId="26" fillId="8" borderId="0" xfId="2" applyNumberFormat="1" applyFont="1" applyFill="1" applyBorder="1" applyAlignment="1">
      <alignment horizontal="right" wrapText="1"/>
    </xf>
    <xf numFmtId="6" fontId="26" fillId="8" borderId="0" xfId="6" applyNumberFormat="1" applyFont="1" applyFill="1" applyBorder="1" applyAlignment="1">
      <alignment horizontal="right" wrapText="1"/>
    </xf>
    <xf numFmtId="171" fontId="32" fillId="0" borderId="0" xfId="0" applyNumberFormat="1" applyFont="1" applyBorder="1"/>
    <xf numFmtId="0" fontId="60" fillId="10" borderId="30" xfId="0" applyFont="1" applyFill="1" applyBorder="1" applyAlignment="1" applyProtection="1">
      <alignment horizontal="center" vertical="center" wrapText="1"/>
      <protection locked="0"/>
    </xf>
    <xf numFmtId="0" fontId="33" fillId="5" borderId="37" xfId="0" applyFont="1" applyFill="1" applyBorder="1" applyAlignment="1">
      <alignment horizontal="center" wrapText="1"/>
    </xf>
    <xf numFmtId="0" fontId="33" fillId="9" borderId="37" xfId="0" applyFont="1" applyFill="1" applyBorder="1" applyAlignment="1">
      <alignment horizontal="center"/>
    </xf>
    <xf numFmtId="41" fontId="26" fillId="5" borderId="37" xfId="0" applyNumberFormat="1" applyFont="1" applyFill="1" applyBorder="1" applyAlignment="1" applyProtection="1">
      <alignment horizontal="center" vertical="center" wrapText="1"/>
      <protection locked="0"/>
    </xf>
    <xf numFmtId="41" fontId="26" fillId="9" borderId="37" xfId="0" applyNumberFormat="1" applyFont="1" applyFill="1" applyBorder="1" applyAlignment="1" applyProtection="1">
      <alignment horizontal="center" vertical="center" wrapText="1"/>
      <protection locked="0"/>
    </xf>
    <xf numFmtId="41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43" fontId="26" fillId="5" borderId="37" xfId="1" applyFont="1" applyFill="1" applyBorder="1" applyAlignment="1" applyProtection="1">
      <alignment horizontal="center" vertical="center" wrapText="1"/>
      <protection locked="0"/>
    </xf>
    <xf numFmtId="43" fontId="26" fillId="9" borderId="37" xfId="1" applyFont="1" applyFill="1" applyBorder="1" applyAlignment="1" applyProtection="1">
      <alignment horizontal="center" vertical="center" wrapText="1"/>
      <protection locked="0"/>
    </xf>
    <xf numFmtId="43" fontId="26" fillId="2" borderId="37" xfId="1" applyFont="1" applyFill="1" applyBorder="1" applyAlignment="1" applyProtection="1">
      <alignment horizontal="center" vertical="center" wrapText="1"/>
      <protection locked="0"/>
    </xf>
    <xf numFmtId="43" fontId="26" fillId="2" borderId="37" xfId="1" applyFont="1" applyFill="1" applyBorder="1" applyAlignment="1" applyProtection="1">
      <alignment horizontal="right" vertical="center" wrapText="1" indent="1"/>
      <protection locked="0"/>
    </xf>
    <xf numFmtId="1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169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43" fontId="26" fillId="5" borderId="37" xfId="1" applyFont="1" applyFill="1" applyBorder="1" applyAlignment="1" applyProtection="1">
      <alignment horizontal="right" vertical="center" wrapText="1"/>
      <protection locked="0"/>
    </xf>
    <xf numFmtId="9" fontId="26" fillId="5" borderId="37" xfId="6" applyFont="1" applyFill="1" applyBorder="1" applyAlignment="1" applyProtection="1">
      <alignment horizontal="center" vertical="center" wrapText="1"/>
      <protection locked="0"/>
    </xf>
    <xf numFmtId="9" fontId="26" fillId="9" borderId="37" xfId="0" applyNumberFormat="1" applyFont="1" applyFill="1" applyBorder="1" applyAlignment="1" applyProtection="1">
      <alignment horizontal="center" vertical="center" wrapText="1"/>
      <protection locked="0"/>
    </xf>
    <xf numFmtId="9" fontId="26" fillId="2" borderId="37" xfId="0" applyNumberFormat="1" applyFont="1" applyFill="1" applyBorder="1" applyAlignment="1" applyProtection="1">
      <alignment horizontal="right" vertical="center" wrapText="1" indent="1"/>
      <protection locked="0"/>
    </xf>
    <xf numFmtId="9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167" fontId="26" fillId="5" borderId="37" xfId="1" applyNumberFormat="1" applyFont="1" applyFill="1" applyBorder="1" applyAlignment="1" applyProtection="1">
      <alignment horizontal="center" vertical="center" wrapText="1"/>
      <protection locked="0"/>
    </xf>
    <xf numFmtId="167" fontId="26" fillId="9" borderId="37" xfId="1" applyNumberFormat="1" applyFont="1" applyFill="1" applyBorder="1" applyAlignment="1" applyProtection="1">
      <alignment vertical="center" wrapText="1"/>
      <protection locked="0"/>
    </xf>
    <xf numFmtId="167" fontId="26" fillId="2" borderId="37" xfId="1" applyNumberFormat="1" applyFont="1" applyFill="1" applyBorder="1" applyAlignment="1" applyProtection="1">
      <alignment vertical="center" wrapText="1"/>
      <protection locked="0"/>
    </xf>
    <xf numFmtId="167" fontId="26" fillId="2" borderId="37" xfId="1" applyNumberFormat="1" applyFont="1" applyFill="1" applyBorder="1" applyAlignment="1" applyProtection="1">
      <alignment horizontal="right" vertical="center" wrapText="1" indent="1"/>
      <protection locked="0"/>
    </xf>
    <xf numFmtId="41" fontId="60" fillId="10" borderId="37" xfId="0" applyNumberFormat="1" applyFont="1" applyFill="1" applyBorder="1"/>
    <xf numFmtId="167" fontId="60" fillId="10" borderId="37" xfId="0" applyNumberFormat="1" applyFont="1" applyFill="1" applyBorder="1"/>
    <xf numFmtId="167" fontId="60" fillId="10" borderId="37" xfId="1" applyNumberFormat="1" applyFont="1" applyFill="1" applyBorder="1"/>
    <xf numFmtId="10" fontId="60" fillId="10" borderId="37" xfId="6" applyNumberFormat="1" applyFont="1" applyFill="1" applyBorder="1" applyProtection="1"/>
    <xf numFmtId="38" fontId="60" fillId="10" borderId="37" xfId="0" applyNumberFormat="1" applyFont="1" applyFill="1" applyBorder="1"/>
    <xf numFmtId="0" fontId="33" fillId="0" borderId="37" xfId="0" applyFont="1" applyBorder="1" applyAlignment="1">
      <alignment horizontal="left" wrapText="1"/>
    </xf>
    <xf numFmtId="0" fontId="33" fillId="5" borderId="37" xfId="0" applyFont="1" applyFill="1" applyBorder="1" applyAlignment="1">
      <alignment horizontal="left" wrapText="1"/>
    </xf>
    <xf numFmtId="167" fontId="32" fillId="9" borderId="37" xfId="0" applyNumberFormat="1" applyFont="1" applyFill="1" applyBorder="1" applyAlignment="1">
      <alignment wrapText="1"/>
    </xf>
    <xf numFmtId="167" fontId="32" fillId="2" borderId="37" xfId="0" applyNumberFormat="1" applyFont="1" applyFill="1" applyBorder="1" applyAlignment="1">
      <alignment wrapText="1"/>
    </xf>
    <xf numFmtId="167" fontId="21" fillId="5" borderId="37" xfId="1" applyNumberFormat="1" applyFont="1" applyFill="1" applyBorder="1" applyAlignment="1">
      <alignment horizontal="right" wrapText="1"/>
    </xf>
    <xf numFmtId="167" fontId="32" fillId="2" borderId="37" xfId="1" applyNumberFormat="1" applyFont="1" applyFill="1" applyBorder="1" applyAlignment="1">
      <alignment wrapText="1"/>
    </xf>
    <xf numFmtId="167" fontId="21" fillId="2" borderId="37" xfId="1" applyNumberFormat="1" applyFont="1" applyFill="1" applyBorder="1" applyAlignment="1">
      <alignment horizontal="right" wrapText="1"/>
    </xf>
    <xf numFmtId="10" fontId="32" fillId="2" borderId="37" xfId="6" applyNumberFormat="1" applyFont="1" applyFill="1" applyBorder="1" applyAlignment="1">
      <alignment wrapText="1"/>
    </xf>
    <xf numFmtId="170" fontId="32" fillId="9" borderId="37" xfId="0" applyNumberFormat="1" applyFont="1" applyFill="1" applyBorder="1" applyAlignment="1">
      <alignment wrapText="1"/>
    </xf>
    <xf numFmtId="170" fontId="32" fillId="2" borderId="37" xfId="0" applyNumberFormat="1" applyFont="1" applyFill="1" applyBorder="1" applyAlignment="1">
      <alignment wrapText="1"/>
    </xf>
    <xf numFmtId="0" fontId="33" fillId="12" borderId="0" xfId="0" applyFont="1" applyFill="1" applyBorder="1" applyAlignment="1">
      <alignment horizontal="left" wrapText="1"/>
    </xf>
    <xf numFmtId="171" fontId="26" fillId="12" borderId="0" xfId="0" applyNumberFormat="1" applyFont="1" applyFill="1" applyBorder="1" applyAlignment="1">
      <alignment horizontal="right" wrapText="1"/>
    </xf>
    <xf numFmtId="10" fontId="26" fillId="12" borderId="0" xfId="6" applyNumberFormat="1" applyFont="1" applyFill="1" applyBorder="1" applyAlignment="1">
      <alignment horizontal="right" wrapText="1"/>
    </xf>
    <xf numFmtId="168" fontId="26" fillId="12" borderId="0" xfId="2" applyNumberFormat="1" applyFont="1" applyFill="1" applyBorder="1" applyAlignment="1">
      <alignment horizontal="right" wrapText="1"/>
    </xf>
    <xf numFmtId="171" fontId="33" fillId="12" borderId="0" xfId="0" applyNumberFormat="1" applyFont="1" applyFill="1" applyBorder="1" applyAlignment="1">
      <alignment horizontal="right" wrapText="1"/>
    </xf>
    <xf numFmtId="171" fontId="33" fillId="12" borderId="0" xfId="2" applyNumberFormat="1" applyFont="1" applyFill="1" applyBorder="1" applyAlignment="1">
      <alignment horizontal="right" wrapText="1"/>
    </xf>
    <xf numFmtId="0" fontId="33" fillId="12" borderId="0" xfId="0" applyFont="1" applyFill="1" applyBorder="1" applyAlignment="1">
      <alignment horizontal="left"/>
    </xf>
    <xf numFmtId="10" fontId="33" fillId="12" borderId="0" xfId="6" applyNumberFormat="1" applyFont="1" applyFill="1" applyBorder="1" applyAlignment="1">
      <alignment horizontal="right" wrapText="1"/>
    </xf>
    <xf numFmtId="10" fontId="26" fillId="12" borderId="0" xfId="0" applyNumberFormat="1" applyFont="1" applyFill="1" applyBorder="1" applyAlignment="1">
      <alignment horizontal="right" wrapText="1"/>
    </xf>
    <xf numFmtId="170" fontId="21" fillId="5" borderId="37" xfId="0" applyNumberFormat="1" applyFont="1" applyFill="1" applyBorder="1" applyAlignment="1">
      <alignment wrapText="1"/>
    </xf>
    <xf numFmtId="170" fontId="21" fillId="2" borderId="37" xfId="0" applyNumberFormat="1" applyFont="1" applyFill="1" applyBorder="1" applyAlignment="1">
      <alignment wrapText="1"/>
    </xf>
    <xf numFmtId="9" fontId="32" fillId="2" borderId="37" xfId="6" applyFont="1" applyFill="1" applyBorder="1" applyAlignment="1">
      <alignment wrapText="1"/>
    </xf>
    <xf numFmtId="0" fontId="33" fillId="0" borderId="37" xfId="0" applyFont="1" applyFill="1" applyBorder="1" applyAlignment="1">
      <alignment horizontal="left" wrapText="1"/>
    </xf>
    <xf numFmtId="167" fontId="21" fillId="5" borderId="37" xfId="1" applyNumberFormat="1" applyFont="1" applyFill="1" applyBorder="1" applyAlignment="1">
      <alignment wrapText="1"/>
    </xf>
    <xf numFmtId="170" fontId="32" fillId="13" borderId="37" xfId="0" applyNumberFormat="1" applyFont="1" applyFill="1" applyBorder="1" applyAlignment="1">
      <alignment wrapText="1"/>
    </xf>
    <xf numFmtId="167" fontId="21" fillId="13" borderId="37" xfId="1" applyNumberFormat="1" applyFont="1" applyFill="1" applyBorder="1" applyAlignment="1">
      <alignment wrapText="1"/>
    </xf>
    <xf numFmtId="10" fontId="32" fillId="13" borderId="37" xfId="6" applyNumberFormat="1" applyFont="1" applyFill="1" applyBorder="1" applyAlignment="1">
      <alignment wrapText="1"/>
    </xf>
    <xf numFmtId="43" fontId="32" fillId="13" borderId="37" xfId="1" applyFont="1" applyFill="1" applyBorder="1" applyAlignment="1">
      <alignment wrapText="1"/>
    </xf>
    <xf numFmtId="167" fontId="21" fillId="2" borderId="37" xfId="1" applyNumberFormat="1" applyFont="1" applyFill="1" applyBorder="1" applyAlignment="1">
      <alignment wrapText="1"/>
    </xf>
    <xf numFmtId="43" fontId="21" fillId="5" borderId="37" xfId="1" applyFont="1" applyFill="1" applyBorder="1" applyAlignment="1">
      <alignment horizontal="right" wrapText="1"/>
    </xf>
    <xf numFmtId="170" fontId="32" fillId="9" borderId="37" xfId="0" applyNumberFormat="1" applyFont="1" applyFill="1" applyBorder="1" applyAlignment="1">
      <alignment horizontal="right" wrapText="1"/>
    </xf>
    <xf numFmtId="170" fontId="32" fillId="2" borderId="37" xfId="0" applyNumberFormat="1" applyFont="1" applyFill="1" applyBorder="1" applyAlignment="1">
      <alignment horizontal="right" wrapText="1"/>
    </xf>
    <xf numFmtId="43" fontId="21" fillId="2" borderId="37" xfId="1" applyFont="1" applyFill="1" applyBorder="1" applyAlignment="1">
      <alignment horizontal="right" wrapText="1"/>
    </xf>
    <xf numFmtId="10" fontId="32" fillId="2" borderId="37" xfId="6" applyNumberFormat="1" applyFont="1" applyFill="1" applyBorder="1" applyAlignment="1">
      <alignment horizontal="right" wrapText="1"/>
    </xf>
    <xf numFmtId="43" fontId="21" fillId="13" borderId="37" xfId="1" applyFont="1" applyFill="1" applyBorder="1" applyAlignment="1">
      <alignment horizontal="right" wrapText="1"/>
    </xf>
    <xf numFmtId="0" fontId="33" fillId="0" borderId="37" xfId="0" applyFont="1" applyBorder="1" applyAlignment="1">
      <alignment horizontal="left"/>
    </xf>
    <xf numFmtId="167" fontId="32" fillId="9" borderId="37" xfId="1" applyNumberFormat="1" applyFont="1" applyFill="1" applyBorder="1" applyAlignment="1">
      <alignment wrapText="1"/>
    </xf>
    <xf numFmtId="167" fontId="32" fillId="9" borderId="37" xfId="1" applyNumberFormat="1" applyFont="1" applyFill="1" applyBorder="1" applyAlignment="1">
      <alignment horizontal="right" wrapText="1"/>
    </xf>
    <xf numFmtId="167" fontId="32" fillId="2" borderId="37" xfId="1" applyNumberFormat="1" applyFont="1" applyFill="1" applyBorder="1" applyAlignment="1">
      <alignment horizontal="right" wrapText="1"/>
    </xf>
    <xf numFmtId="0" fontId="33" fillId="0" borderId="37" xfId="0" applyFont="1" applyFill="1" applyBorder="1" applyAlignment="1">
      <alignment horizontal="left"/>
    </xf>
    <xf numFmtId="0" fontId="26" fillId="0" borderId="37" xfId="0" applyFont="1" applyBorder="1" applyAlignment="1">
      <alignment horizontal="left"/>
    </xf>
    <xf numFmtId="167" fontId="32" fillId="5" borderId="37" xfId="1" applyNumberFormat="1" applyFont="1" applyFill="1" applyBorder="1" applyAlignment="1">
      <alignment horizontal="right" wrapText="1"/>
    </xf>
    <xf numFmtId="0" fontId="33" fillId="0" borderId="38" xfId="0" applyFont="1" applyBorder="1" applyAlignment="1">
      <alignment horizontal="left" wrapText="1"/>
    </xf>
    <xf numFmtId="0" fontId="26" fillId="0" borderId="37" xfId="0" applyFont="1" applyFill="1" applyBorder="1" applyAlignment="1">
      <alignment horizontal="left" wrapText="1"/>
    </xf>
    <xf numFmtId="167" fontId="53" fillId="9" borderId="37" xfId="1" applyNumberFormat="1" applyFont="1" applyFill="1" applyBorder="1" applyAlignment="1">
      <alignment wrapText="1"/>
    </xf>
    <xf numFmtId="0" fontId="33" fillId="4" borderId="37" xfId="0" applyFont="1" applyFill="1" applyBorder="1" applyAlignment="1">
      <alignment horizontal="left" wrapText="1"/>
    </xf>
    <xf numFmtId="0" fontId="33" fillId="9" borderId="37" xfId="0" applyFont="1" applyFill="1" applyBorder="1" applyAlignment="1">
      <alignment horizontal="left" wrapText="1"/>
    </xf>
    <xf numFmtId="167" fontId="21" fillId="9" borderId="37" xfId="1" applyNumberFormat="1" applyFont="1" applyFill="1" applyBorder="1" applyAlignment="1">
      <alignment wrapText="1"/>
    </xf>
    <xf numFmtId="10" fontId="32" fillId="9" borderId="37" xfId="6" applyNumberFormat="1" applyFont="1" applyFill="1" applyBorder="1" applyAlignment="1">
      <alignment wrapText="1"/>
    </xf>
    <xf numFmtId="0" fontId="33" fillId="0" borderId="37" xfId="0" applyFont="1" applyFill="1" applyBorder="1" applyAlignment="1">
      <alignment horizontal="left" vertical="center" wrapText="1"/>
    </xf>
    <xf numFmtId="167" fontId="32" fillId="9" borderId="37" xfId="1" applyNumberFormat="1" applyFont="1" applyFill="1" applyBorder="1" applyAlignment="1">
      <alignment vertical="center" wrapText="1"/>
    </xf>
    <xf numFmtId="10" fontId="32" fillId="2" borderId="37" xfId="6" applyNumberFormat="1" applyFont="1" applyFill="1" applyBorder="1" applyAlignment="1">
      <alignment vertical="center" wrapText="1"/>
    </xf>
    <xf numFmtId="167" fontId="32" fillId="10" borderId="37" xfId="1" applyNumberFormat="1" applyFont="1" applyFill="1" applyBorder="1" applyAlignment="1">
      <alignment horizontal="right" wrapText="1"/>
    </xf>
    <xf numFmtId="167" fontId="21" fillId="10" borderId="37" xfId="1" applyNumberFormat="1" applyFont="1" applyFill="1" applyBorder="1" applyAlignment="1">
      <alignment horizontal="right" wrapText="1"/>
    </xf>
    <xf numFmtId="10" fontId="32" fillId="10" borderId="37" xfId="6" applyNumberFormat="1" applyFont="1" applyFill="1" applyBorder="1" applyAlignment="1">
      <alignment horizontal="right" wrapText="1"/>
    </xf>
    <xf numFmtId="167" fontId="21" fillId="9" borderId="37" xfId="1" applyNumberFormat="1" applyFont="1" applyFill="1" applyBorder="1" applyAlignment="1">
      <alignment horizontal="right" wrapText="1"/>
    </xf>
    <xf numFmtId="10" fontId="32" fillId="9" borderId="37" xfId="6" applyNumberFormat="1" applyFont="1" applyFill="1" applyBorder="1" applyAlignment="1">
      <alignment horizontal="right" wrapText="1"/>
    </xf>
    <xf numFmtId="44" fontId="33" fillId="0" borderId="37" xfId="0" applyNumberFormat="1" applyFont="1" applyBorder="1" applyAlignment="1">
      <alignment horizontal="left" wrapText="1"/>
    </xf>
    <xf numFmtId="44" fontId="33" fillId="0" borderId="37" xfId="0" applyNumberFormat="1" applyFont="1" applyFill="1" applyBorder="1" applyAlignment="1">
      <alignment horizontal="left" wrapText="1"/>
    </xf>
    <xf numFmtId="9" fontId="32" fillId="2" borderId="37" xfId="6" applyFont="1" applyFill="1" applyBorder="1" applyAlignment="1">
      <alignment horizontal="right" wrapText="1"/>
    </xf>
    <xf numFmtId="167" fontId="33" fillId="12" borderId="0" xfId="0" applyNumberFormat="1" applyFont="1" applyFill="1" applyBorder="1" applyAlignment="1">
      <alignment horizontal="right" wrapText="1"/>
    </xf>
    <xf numFmtId="6" fontId="26" fillId="12" borderId="0" xfId="0" applyNumberFormat="1" applyFont="1" applyFill="1" applyBorder="1" applyAlignment="1">
      <alignment horizontal="right" wrapText="1"/>
    </xf>
    <xf numFmtId="167" fontId="26" fillId="12" borderId="0" xfId="0" applyNumberFormat="1" applyFont="1" applyFill="1" applyBorder="1" applyAlignment="1">
      <alignment horizontal="right" wrapText="1"/>
    </xf>
    <xf numFmtId="9" fontId="26" fillId="12" borderId="0" xfId="6" applyFont="1" applyFill="1" applyBorder="1" applyAlignment="1">
      <alignment horizontal="right" wrapText="1"/>
    </xf>
    <xf numFmtId="6" fontId="26" fillId="5" borderId="37" xfId="0" applyNumberFormat="1" applyFont="1" applyFill="1" applyBorder="1" applyAlignment="1">
      <alignment horizontal="right" wrapText="1"/>
    </xf>
    <xf numFmtId="6" fontId="26" fillId="9" borderId="37" xfId="0" applyNumberFormat="1" applyFont="1" applyFill="1" applyBorder="1" applyAlignment="1">
      <alignment horizontal="right" wrapText="1"/>
    </xf>
    <xf numFmtId="6" fontId="26" fillId="2" borderId="37" xfId="0" applyNumberFormat="1" applyFont="1" applyFill="1" applyBorder="1" applyAlignment="1">
      <alignment horizontal="right" wrapText="1"/>
    </xf>
    <xf numFmtId="6" fontId="26" fillId="2" borderId="37" xfId="6" applyNumberFormat="1" applyFont="1" applyFill="1" applyBorder="1" applyAlignment="1">
      <alignment horizontal="right" wrapText="1"/>
    </xf>
    <xf numFmtId="41" fontId="26" fillId="2" borderId="37" xfId="0" applyNumberFormat="1" applyFont="1" applyFill="1" applyBorder="1" applyAlignment="1">
      <alignment horizontal="right" wrapText="1"/>
    </xf>
    <xf numFmtId="167" fontId="26" fillId="5" borderId="37" xfId="0" applyNumberFormat="1" applyFont="1" applyFill="1" applyBorder="1" applyAlignment="1">
      <alignment horizontal="right" wrapText="1"/>
    </xf>
    <xf numFmtId="0" fontId="26" fillId="6" borderId="37" xfId="0" applyFont="1" applyFill="1" applyBorder="1" applyAlignment="1">
      <alignment horizontal="right" wrapText="1" indent="2"/>
    </xf>
    <xf numFmtId="0" fontId="26" fillId="8" borderId="0" xfId="0" applyFont="1" applyFill="1" applyBorder="1" applyAlignment="1">
      <alignment horizontal="right" wrapText="1" indent="2"/>
    </xf>
    <xf numFmtId="0" fontId="36" fillId="4" borderId="6" xfId="5" applyFont="1" applyFill="1" applyBorder="1" applyAlignment="1" applyProtection="1">
      <alignment horizontal="center" vertical="center"/>
    </xf>
    <xf numFmtId="0" fontId="36" fillId="4" borderId="7" xfId="5" applyFont="1" applyFill="1" applyBorder="1" applyAlignment="1" applyProtection="1">
      <alignment horizontal="center" vertical="center"/>
    </xf>
    <xf numFmtId="0" fontId="36" fillId="4" borderId="8" xfId="5" applyFont="1" applyFill="1" applyBorder="1" applyAlignment="1" applyProtection="1">
      <alignment horizontal="center" vertical="center"/>
    </xf>
    <xf numFmtId="0" fontId="38" fillId="4" borderId="2" xfId="5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 applyProtection="1">
      <alignment horizontal="center" vertical="center"/>
    </xf>
    <xf numFmtId="0" fontId="38" fillId="4" borderId="3" xfId="5" applyFont="1" applyFill="1" applyBorder="1" applyAlignment="1" applyProtection="1">
      <alignment horizontal="center" vertical="center"/>
    </xf>
    <xf numFmtId="0" fontId="41" fillId="0" borderId="4" xfId="0" applyFont="1" applyBorder="1" applyAlignment="1">
      <alignment horizontal="center" vertical="center" textRotation="90"/>
    </xf>
    <xf numFmtId="0" fontId="41" fillId="0" borderId="5" xfId="0" applyFont="1" applyBorder="1" applyAlignment="1">
      <alignment horizontal="center" vertical="center" textRotation="90"/>
    </xf>
    <xf numFmtId="0" fontId="41" fillId="4" borderId="4" xfId="0" applyFont="1" applyFill="1" applyBorder="1" applyAlignment="1">
      <alignment horizontal="center" vertical="center" textRotation="90"/>
    </xf>
    <xf numFmtId="0" fontId="41" fillId="4" borderId="5" xfId="0" applyFont="1" applyFill="1" applyBorder="1" applyAlignment="1">
      <alignment horizontal="center" vertical="center" textRotation="90"/>
    </xf>
    <xf numFmtId="0" fontId="41" fillId="4" borderId="14" xfId="0" applyFont="1" applyFill="1" applyBorder="1" applyAlignment="1">
      <alignment horizontal="center" vertical="center" textRotation="90"/>
    </xf>
    <xf numFmtId="166" fontId="40" fillId="4" borderId="10" xfId="0" applyNumberFormat="1" applyFont="1" applyFill="1" applyBorder="1" applyAlignment="1">
      <alignment horizontal="center" vertical="center"/>
    </xf>
    <xf numFmtId="0" fontId="20" fillId="4" borderId="19" xfId="5" applyFont="1" applyFill="1" applyBorder="1" applyAlignment="1" applyProtection="1">
      <alignment horizontal="center" vertical="center"/>
    </xf>
    <xf numFmtId="0" fontId="20" fillId="4" borderId="1" xfId="5" applyFont="1" applyFill="1" applyBorder="1" applyAlignment="1" applyProtection="1">
      <alignment horizontal="center" vertical="center"/>
    </xf>
    <xf numFmtId="0" fontId="20" fillId="4" borderId="20" xfId="5" applyFont="1" applyFill="1" applyBorder="1" applyAlignment="1" applyProtection="1">
      <alignment horizontal="center" vertical="center"/>
    </xf>
    <xf numFmtId="0" fontId="22" fillId="4" borderId="21" xfId="5" applyFont="1" applyFill="1" applyBorder="1" applyAlignment="1" applyProtection="1">
      <alignment horizontal="center" vertical="center"/>
    </xf>
    <xf numFmtId="0" fontId="22" fillId="4" borderId="0" xfId="5" applyFont="1" applyFill="1" applyBorder="1" applyAlignment="1" applyProtection="1">
      <alignment horizontal="center" vertical="center"/>
    </xf>
    <xf numFmtId="0" fontId="22" fillId="4" borderId="22" xfId="5" applyFont="1" applyFill="1" applyBorder="1" applyAlignment="1" applyProtection="1">
      <alignment horizontal="center" vertical="center"/>
    </xf>
    <xf numFmtId="166" fontId="24" fillId="4" borderId="21" xfId="5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22" xfId="5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166" fontId="48" fillId="11" borderId="28" xfId="3" applyNumberFormat="1" applyFont="1" applyFill="1" applyBorder="1" applyAlignment="1">
      <alignment horizontal="center" wrapText="1"/>
    </xf>
    <xf numFmtId="43" fontId="55" fillId="4" borderId="0" xfId="1" applyFont="1" applyFill="1" applyBorder="1" applyAlignment="1" applyProtection="1">
      <alignment horizontal="center" vertical="top"/>
    </xf>
    <xf numFmtId="43" fontId="20" fillId="4" borderId="0" xfId="1" applyFont="1" applyFill="1" applyBorder="1" applyAlignment="1" applyProtection="1">
      <alignment horizontal="center" vertical="top"/>
    </xf>
    <xf numFmtId="166" fontId="48" fillId="14" borderId="28" xfId="3" applyNumberFormat="1" applyFont="1" applyFill="1" applyBorder="1" applyAlignment="1">
      <alignment horizontal="center" wrapText="1"/>
    </xf>
    <xf numFmtId="14" fontId="49" fillId="5" borderId="39" xfId="1" applyNumberFormat="1" applyFont="1" applyFill="1" applyBorder="1" applyAlignment="1" applyProtection="1">
      <alignment horizontal="center" vertical="top"/>
    </xf>
    <xf numFmtId="14" fontId="49" fillId="5" borderId="40" xfId="1" applyNumberFormat="1" applyFont="1" applyFill="1" applyBorder="1" applyAlignment="1" applyProtection="1">
      <alignment horizontal="center" vertical="top"/>
    </xf>
    <xf numFmtId="14" fontId="49" fillId="5" borderId="41" xfId="1" applyNumberFormat="1" applyFont="1" applyFill="1" applyBorder="1" applyAlignment="1" applyProtection="1">
      <alignment horizontal="center" vertical="top"/>
    </xf>
    <xf numFmtId="14" fontId="50" fillId="5" borderId="42" xfId="1" applyNumberFormat="1" applyFont="1" applyFill="1" applyBorder="1" applyAlignment="1" applyProtection="1">
      <alignment horizontal="center" vertical="top"/>
    </xf>
    <xf numFmtId="14" fontId="50" fillId="5" borderId="0" xfId="1" applyNumberFormat="1" applyFont="1" applyFill="1" applyBorder="1" applyAlignment="1" applyProtection="1">
      <alignment horizontal="center" vertical="top"/>
    </xf>
    <xf numFmtId="14" fontId="50" fillId="5" borderId="43" xfId="1" applyNumberFormat="1" applyFont="1" applyFill="1" applyBorder="1" applyAlignment="1" applyProtection="1">
      <alignment horizontal="center" vertical="top"/>
    </xf>
    <xf numFmtId="166" fontId="51" fillId="5" borderId="44" xfId="1" applyNumberFormat="1" applyFont="1" applyFill="1" applyBorder="1" applyAlignment="1" applyProtection="1">
      <alignment horizontal="center" vertical="top"/>
    </xf>
    <xf numFmtId="166" fontId="51" fillId="5" borderId="45" xfId="1" applyNumberFormat="1" applyFont="1" applyFill="1" applyBorder="1" applyAlignment="1" applyProtection="1">
      <alignment horizontal="center" vertical="top"/>
    </xf>
    <xf numFmtId="166" fontId="51" fillId="5" borderId="17" xfId="1" applyNumberFormat="1" applyFont="1" applyFill="1" applyBorder="1" applyAlignment="1" applyProtection="1">
      <alignment horizontal="center" vertical="top"/>
    </xf>
    <xf numFmtId="0" fontId="33" fillId="12" borderId="37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3</xdr:row>
      <xdr:rowOff>192982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326292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96766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24"/>
  <sheetViews>
    <sheetView topLeftCell="A3" zoomScale="160" zoomScaleNormal="160" workbookViewId="0">
      <selection activeCell="B35" sqref="B35"/>
    </sheetView>
  </sheetViews>
  <sheetFormatPr baseColWidth="10" defaultColWidth="8.83203125" defaultRowHeight="16"/>
  <cols>
    <col min="1" max="1" width="5.1640625" style="132" customWidth="1"/>
    <col min="2" max="2" width="63.5" style="132" bestFit="1" customWidth="1"/>
    <col min="3" max="3" width="11" style="132" bestFit="1" customWidth="1"/>
    <col min="4" max="4" width="67.5" style="133" bestFit="1" customWidth="1"/>
    <col min="5" max="16384" width="8.83203125" style="107"/>
  </cols>
  <sheetData>
    <row r="1" spans="1:4" ht="32.25" customHeight="1">
      <c r="A1" s="341" t="s">
        <v>90</v>
      </c>
      <c r="B1" s="342"/>
      <c r="C1" s="342"/>
      <c r="D1" s="343"/>
    </row>
    <row r="2" spans="1:4" ht="42" customHeight="1">
      <c r="A2" s="344" t="s">
        <v>49</v>
      </c>
      <c r="B2" s="345"/>
      <c r="C2" s="345"/>
      <c r="D2" s="346"/>
    </row>
    <row r="3" spans="1:4" ht="27.75" customHeight="1" thickBot="1">
      <c r="A3" s="108"/>
      <c r="B3" s="352">
        <v>44500</v>
      </c>
      <c r="C3" s="352"/>
      <c r="D3" s="109" t="s">
        <v>50</v>
      </c>
    </row>
    <row r="4" spans="1:4">
      <c r="A4" s="347" t="s">
        <v>30</v>
      </c>
      <c r="B4" s="110"/>
      <c r="C4" s="111"/>
      <c r="D4" s="112"/>
    </row>
    <row r="5" spans="1:4">
      <c r="A5" s="348"/>
      <c r="B5" s="113" t="s">
        <v>31</v>
      </c>
      <c r="C5" s="114"/>
      <c r="D5" s="115"/>
    </row>
    <row r="6" spans="1:4">
      <c r="A6" s="348"/>
      <c r="B6" s="116" t="s">
        <v>32</v>
      </c>
      <c r="C6" s="117">
        <f>'Balance Sheet'!B12</f>
        <v>3436687.59</v>
      </c>
      <c r="D6" s="118"/>
    </row>
    <row r="7" spans="1:4">
      <c r="A7" s="348"/>
      <c r="B7" s="116" t="s">
        <v>33</v>
      </c>
      <c r="C7" s="117">
        <f>'Balance Sheet'!B26</f>
        <v>983406.36</v>
      </c>
      <c r="D7" s="118"/>
    </row>
    <row r="8" spans="1:4">
      <c r="A8" s="348"/>
      <c r="B8" s="119" t="s">
        <v>34</v>
      </c>
      <c r="C8" s="120">
        <f>IFERROR(C6/C7,"")</f>
        <v>3.4946770020889431</v>
      </c>
      <c r="D8" s="121" t="s">
        <v>35</v>
      </c>
    </row>
    <row r="9" spans="1:4">
      <c r="A9" s="348"/>
      <c r="B9" s="122"/>
      <c r="C9" s="114"/>
      <c r="D9" s="118"/>
    </row>
    <row r="10" spans="1:4">
      <c r="A10" s="348"/>
      <c r="B10" s="113" t="s">
        <v>36</v>
      </c>
      <c r="C10" s="114"/>
      <c r="D10" s="118"/>
    </row>
    <row r="11" spans="1:4">
      <c r="A11" s="348"/>
      <c r="B11" s="116" t="s">
        <v>37</v>
      </c>
      <c r="C11" s="123">
        <f>'Balance Sheet'!B8</f>
        <v>3240449.96</v>
      </c>
      <c r="D11" s="118"/>
    </row>
    <row r="12" spans="1:4">
      <c r="A12" s="348"/>
      <c r="B12" s="116" t="s">
        <v>528</v>
      </c>
      <c r="C12" s="124">
        <f>'Budget Vs. Actuals Detail'!E239-('Budget Vs. Actuals Detail'!E236+'Budget Vs. Actuals Detail'!E233)</f>
        <v>4663928.76</v>
      </c>
      <c r="D12" s="118"/>
    </row>
    <row r="13" spans="1:4">
      <c r="A13" s="348"/>
      <c r="B13" s="116" t="s">
        <v>518</v>
      </c>
      <c r="C13" s="125">
        <f>C12/365</f>
        <v>12777.88701369863</v>
      </c>
      <c r="D13" s="118"/>
    </row>
    <row r="14" spans="1:4" ht="33" thickBot="1">
      <c r="A14" s="348"/>
      <c r="B14" s="119" t="s">
        <v>38</v>
      </c>
      <c r="C14" s="126">
        <f>C11/C13</f>
        <v>253.59826366644589</v>
      </c>
      <c r="D14" s="134" t="s">
        <v>542</v>
      </c>
    </row>
    <row r="15" spans="1:4">
      <c r="A15" s="349" t="s">
        <v>39</v>
      </c>
      <c r="B15" s="110"/>
      <c r="C15" s="111"/>
      <c r="D15" s="127"/>
    </row>
    <row r="16" spans="1:4">
      <c r="A16" s="350"/>
      <c r="B16" s="113" t="s">
        <v>40</v>
      </c>
      <c r="C16" s="114"/>
      <c r="D16" s="115"/>
    </row>
    <row r="17" spans="1:4">
      <c r="A17" s="350"/>
      <c r="B17" s="116" t="s">
        <v>41</v>
      </c>
      <c r="C17" s="123">
        <f>'P&amp;L Summary'!C41</f>
        <v>372373.03</v>
      </c>
      <c r="D17" s="118"/>
    </row>
    <row r="18" spans="1:4">
      <c r="A18" s="350"/>
      <c r="B18" s="116" t="s">
        <v>42</v>
      </c>
      <c r="C18" s="123">
        <f>'P&amp;L Summary'!C10</f>
        <v>1847091.3</v>
      </c>
      <c r="D18" s="118"/>
    </row>
    <row r="19" spans="1:4">
      <c r="A19" s="350"/>
      <c r="B19" s="119" t="s">
        <v>43</v>
      </c>
      <c r="C19" s="128">
        <f>C17/C18</f>
        <v>0.20159968811503795</v>
      </c>
      <c r="D19" s="118" t="s">
        <v>44</v>
      </c>
    </row>
    <row r="20" spans="1:4">
      <c r="A20" s="350"/>
      <c r="B20" s="114"/>
      <c r="C20" s="114"/>
      <c r="D20" s="118"/>
    </row>
    <row r="21" spans="1:4">
      <c r="A21" s="350"/>
      <c r="B21" s="113" t="s">
        <v>45</v>
      </c>
      <c r="C21" s="114"/>
      <c r="D21" s="115"/>
    </row>
    <row r="22" spans="1:4">
      <c r="A22" s="350"/>
      <c r="B22" s="116" t="s">
        <v>46</v>
      </c>
      <c r="C22" s="123">
        <f>'Balance Sheet'!B30</f>
        <v>2761928.88</v>
      </c>
      <c r="D22" s="118"/>
    </row>
    <row r="23" spans="1:4">
      <c r="A23" s="350"/>
      <c r="B23" s="116" t="s">
        <v>47</v>
      </c>
      <c r="C23" s="123">
        <f>'Balance Sheet'!B17</f>
        <v>3840831.6999999997</v>
      </c>
      <c r="D23" s="118"/>
    </row>
    <row r="24" spans="1:4" ht="17" thickBot="1">
      <c r="A24" s="351"/>
      <c r="B24" s="129" t="s">
        <v>48</v>
      </c>
      <c r="C24" s="130">
        <f>C22/C23</f>
        <v>0.71909656442379399</v>
      </c>
      <c r="D24" s="131" t="s">
        <v>480</v>
      </c>
    </row>
  </sheetData>
  <mergeCells count="5">
    <mergeCell ref="A1:D1"/>
    <mergeCell ref="A2:D2"/>
    <mergeCell ref="A4:A14"/>
    <mergeCell ref="A15:A24"/>
    <mergeCell ref="B3:C3"/>
  </mergeCells>
  <conditionalFormatting sqref="C8">
    <cfRule type="cellIs" dxfId="9" priority="2" operator="lessThan">
      <formula>1</formula>
    </cfRule>
  </conditionalFormatting>
  <conditionalFormatting sqref="C14">
    <cfRule type="cellIs" dxfId="8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G46"/>
  <sheetViews>
    <sheetView topLeftCell="A18" zoomScale="150" zoomScaleNormal="140" workbookViewId="0">
      <selection activeCell="B25" sqref="B25"/>
    </sheetView>
  </sheetViews>
  <sheetFormatPr baseColWidth="10" defaultColWidth="8.83203125" defaultRowHeight="17"/>
  <cols>
    <col min="1" max="1" width="66.1640625" style="103" customWidth="1"/>
    <col min="2" max="2" width="18.6640625" style="104" customWidth="1"/>
    <col min="3" max="3" width="0.83203125" style="53" customWidth="1"/>
    <col min="4" max="4" width="18.6640625" style="53" customWidth="1"/>
    <col min="5" max="5" width="79.33203125" style="103" customWidth="1"/>
    <col min="6" max="6" width="28.83203125" style="55" customWidth="1"/>
    <col min="7" max="7" width="11.5" style="55" customWidth="1"/>
    <col min="8" max="16384" width="8.83203125" style="49"/>
  </cols>
  <sheetData>
    <row r="1" spans="1:7" ht="26">
      <c r="A1" s="353" t="s">
        <v>90</v>
      </c>
      <c r="B1" s="354"/>
      <c r="C1" s="354"/>
      <c r="D1" s="354"/>
      <c r="E1" s="355"/>
      <c r="F1" s="48"/>
      <c r="G1" s="48"/>
    </row>
    <row r="2" spans="1:7" ht="23">
      <c r="A2" s="356" t="s">
        <v>86</v>
      </c>
      <c r="B2" s="357"/>
      <c r="C2" s="357"/>
      <c r="D2" s="357"/>
      <c r="E2" s="358"/>
      <c r="F2" s="48"/>
      <c r="G2" s="50"/>
    </row>
    <row r="3" spans="1:7">
      <c r="A3" s="359"/>
      <c r="B3" s="360"/>
      <c r="C3" s="360"/>
      <c r="D3" s="360"/>
      <c r="E3" s="361"/>
      <c r="F3" s="48"/>
      <c r="G3" s="48"/>
    </row>
    <row r="4" spans="1:7">
      <c r="A4" s="51"/>
      <c r="B4" s="105" t="s">
        <v>540</v>
      </c>
      <c r="C4" s="106"/>
      <c r="D4" s="106" t="s">
        <v>541</v>
      </c>
      <c r="E4" s="54"/>
    </row>
    <row r="5" spans="1:7" ht="51">
      <c r="A5" s="56" t="s">
        <v>8</v>
      </c>
      <c r="B5" s="57" t="s">
        <v>543</v>
      </c>
      <c r="C5" s="58"/>
      <c r="D5" s="59" t="s">
        <v>538</v>
      </c>
      <c r="E5" s="60" t="s">
        <v>512</v>
      </c>
      <c r="F5" s="61"/>
      <c r="G5" s="62"/>
    </row>
    <row r="6" spans="1:7" ht="16">
      <c r="A6" s="63"/>
      <c r="B6" s="64"/>
      <c r="C6" s="58"/>
      <c r="D6" s="64"/>
      <c r="E6" s="65"/>
      <c r="F6" s="61"/>
      <c r="G6" s="62"/>
    </row>
    <row r="7" spans="1:7" ht="16">
      <c r="A7" s="63" t="s">
        <v>261</v>
      </c>
      <c r="B7" s="66"/>
      <c r="C7" s="67"/>
      <c r="D7" s="66"/>
      <c r="E7" s="68"/>
      <c r="F7" s="61"/>
      <c r="G7" s="62"/>
    </row>
    <row r="8" spans="1:7">
      <c r="A8" s="69" t="s">
        <v>262</v>
      </c>
      <c r="B8" s="70">
        <f>'BS-QB'!B10+'BS-QB'!B12+'BS-QB'!B13+'BS-QB'!B17</f>
        <v>3240449.96</v>
      </c>
      <c r="C8" s="71"/>
      <c r="D8" s="70">
        <f>'BS-QB'!D10+'BS-QB'!D12+'BS-QB'!D13+'BS-QB'!D17</f>
        <v>1924272.9</v>
      </c>
      <c r="E8" s="68"/>
      <c r="F8" s="61"/>
      <c r="G8" s="62"/>
    </row>
    <row r="9" spans="1:7" ht="16">
      <c r="A9" s="72" t="s">
        <v>263</v>
      </c>
      <c r="B9" s="66">
        <f>'BS-QB'!B14</f>
        <v>75000</v>
      </c>
      <c r="C9" s="73"/>
      <c r="D9" s="66">
        <f>'BS-QB'!D14</f>
        <v>50000</v>
      </c>
      <c r="E9" s="68"/>
      <c r="F9" s="61"/>
      <c r="G9" s="74"/>
    </row>
    <row r="10" spans="1:7">
      <c r="A10" s="72" t="s">
        <v>264</v>
      </c>
      <c r="B10" s="66">
        <f>'BS-QB'!B21+'BS-QB'!B23</f>
        <v>0</v>
      </c>
      <c r="C10" s="73"/>
      <c r="D10" s="66">
        <f>'BS-QB'!D21+'BS-QB'!D23</f>
        <v>45165.19</v>
      </c>
      <c r="E10" s="75" t="s">
        <v>545</v>
      </c>
      <c r="F10" s="61"/>
      <c r="G10" s="74"/>
    </row>
    <row r="11" spans="1:7" ht="170">
      <c r="A11" s="72" t="s">
        <v>265</v>
      </c>
      <c r="B11" s="76">
        <f>'BS-QB'!B24+'BS-QB'!B26+'BS-QB'!B27+'BS-QB'!B28+'BS-QB'!B29</f>
        <v>121237.63</v>
      </c>
      <c r="C11" s="73"/>
      <c r="D11" s="76">
        <f>'BS-QB'!D24+'BS-QB'!D26+'BS-QB'!D27+'BS-QB'!D28+'BS-QB'!D29</f>
        <v>89498.82</v>
      </c>
      <c r="E11" s="75" t="s">
        <v>544</v>
      </c>
      <c r="F11" s="77"/>
      <c r="G11" s="78"/>
    </row>
    <row r="12" spans="1:7" s="84" customFormat="1" ht="16">
      <c r="A12" s="79" t="s">
        <v>266</v>
      </c>
      <c r="B12" s="80">
        <f>SUM(B8:B11)</f>
        <v>3436687.59</v>
      </c>
      <c r="C12" s="81"/>
      <c r="D12" s="80">
        <f>SUM(D8:D11)</f>
        <v>2108936.9099999997</v>
      </c>
      <c r="E12" s="82"/>
      <c r="F12" s="77"/>
      <c r="G12" s="83"/>
    </row>
    <row r="13" spans="1:7" ht="16">
      <c r="A13" s="63"/>
      <c r="B13" s="66"/>
      <c r="C13" s="85"/>
      <c r="D13" s="66"/>
      <c r="E13" s="68"/>
      <c r="F13" s="61"/>
      <c r="G13" s="78"/>
    </row>
    <row r="14" spans="1:7" ht="16">
      <c r="A14" s="72" t="s">
        <v>280</v>
      </c>
      <c r="B14" s="66">
        <f>'BS-QB'!B31</f>
        <v>93750</v>
      </c>
      <c r="C14" s="85"/>
      <c r="D14" s="66">
        <f>'BS-QB'!D31</f>
        <v>93750</v>
      </c>
      <c r="E14" s="68"/>
      <c r="F14" s="61"/>
      <c r="G14" s="78"/>
    </row>
    <row r="15" spans="1:7" ht="16">
      <c r="A15" s="72" t="s">
        <v>267</v>
      </c>
      <c r="B15" s="76">
        <f>'BS-QB'!B71</f>
        <v>310394.11</v>
      </c>
      <c r="C15" s="86"/>
      <c r="D15" s="76">
        <f>'BS-QB'!D71</f>
        <v>303994.06999999995</v>
      </c>
      <c r="E15" s="68"/>
      <c r="F15" s="61"/>
      <c r="G15" s="62"/>
    </row>
    <row r="16" spans="1:7" ht="16">
      <c r="A16" s="87"/>
      <c r="B16" s="66"/>
      <c r="C16" s="86"/>
      <c r="D16" s="66"/>
      <c r="E16" s="68"/>
      <c r="F16" s="61"/>
      <c r="G16" s="62"/>
    </row>
    <row r="17" spans="1:7" thickBot="1">
      <c r="A17" s="88" t="s">
        <v>268</v>
      </c>
      <c r="B17" s="89">
        <f>SUM(B12+B14+B15)</f>
        <v>3840831.6999999997</v>
      </c>
      <c r="C17" s="86"/>
      <c r="D17" s="89">
        <f>SUM(D12+D14+D15)</f>
        <v>2506680.9799999995</v>
      </c>
      <c r="E17" s="90"/>
      <c r="F17" s="61"/>
      <c r="G17" s="62"/>
    </row>
    <row r="18" spans="1:7" thickTop="1">
      <c r="A18" s="63"/>
      <c r="B18" s="66"/>
      <c r="C18" s="86"/>
      <c r="D18" s="66"/>
      <c r="E18" s="68"/>
      <c r="F18" s="61"/>
      <c r="G18" s="62"/>
    </row>
    <row r="19" spans="1:7" ht="16">
      <c r="A19" s="63"/>
      <c r="B19" s="66"/>
      <c r="C19" s="86"/>
      <c r="D19" s="66"/>
      <c r="E19" s="68"/>
      <c r="F19" s="61"/>
      <c r="G19" s="62"/>
    </row>
    <row r="20" spans="1:7" ht="16">
      <c r="A20" s="56" t="s">
        <v>269</v>
      </c>
      <c r="B20" s="91"/>
      <c r="C20" s="86"/>
      <c r="D20" s="91"/>
      <c r="E20" s="68"/>
      <c r="F20" s="61"/>
      <c r="G20" s="62"/>
    </row>
    <row r="21" spans="1:7" ht="16">
      <c r="A21" s="56"/>
      <c r="B21" s="91"/>
      <c r="C21" s="86"/>
      <c r="D21" s="91"/>
      <c r="E21" s="68"/>
      <c r="F21" s="61"/>
      <c r="G21" s="62"/>
    </row>
    <row r="22" spans="1:7" ht="16">
      <c r="A22" s="63" t="s">
        <v>270</v>
      </c>
      <c r="B22" s="66"/>
      <c r="C22" s="86"/>
      <c r="D22" s="66"/>
      <c r="E22" s="68"/>
      <c r="F22" s="61"/>
      <c r="G22" s="62"/>
    </row>
    <row r="23" spans="1:7" ht="68">
      <c r="A23" s="87" t="s">
        <v>271</v>
      </c>
      <c r="B23" s="70">
        <f>'BS-QB'!B78+'BS-QB'!B83+'BS-QB'!B85+'BS-QB'!B87</f>
        <v>50603.87</v>
      </c>
      <c r="C23" s="86"/>
      <c r="D23" s="70">
        <f>'BS-QB'!D78+'BS-QB'!D83+'BS-QB'!D85+'BS-QB'!D87</f>
        <v>105751.61</v>
      </c>
      <c r="E23" s="75" t="s">
        <v>546</v>
      </c>
      <c r="F23" s="61"/>
      <c r="G23" s="62"/>
    </row>
    <row r="24" spans="1:7">
      <c r="A24" s="87" t="s">
        <v>539</v>
      </c>
      <c r="B24" s="66">
        <f>'BS-QB'!B89</f>
        <v>901184.46</v>
      </c>
      <c r="C24" s="73"/>
      <c r="D24" s="66">
        <f>'BS-QB'!D89</f>
        <v>0</v>
      </c>
      <c r="E24" s="75" t="s">
        <v>547</v>
      </c>
      <c r="F24" s="61"/>
      <c r="G24" s="74"/>
    </row>
    <row r="25" spans="1:7">
      <c r="A25" s="87" t="s">
        <v>281</v>
      </c>
      <c r="B25" s="76">
        <f>'BS-QB'!B94+'BS-QB'!B95+'BS-QB'!B88+'BS-QB'!B82</f>
        <v>31618.03</v>
      </c>
      <c r="C25" s="73"/>
      <c r="D25" s="76">
        <f>'BS-QB'!D82+'BS-QB'!D88+'BS-QB'!D94+'BS-QB'!D95</f>
        <v>66523.14</v>
      </c>
      <c r="E25" s="75" t="s">
        <v>533</v>
      </c>
      <c r="F25" s="61"/>
      <c r="G25" s="74"/>
    </row>
    <row r="26" spans="1:7" s="84" customFormat="1" ht="16">
      <c r="A26" s="79" t="s">
        <v>272</v>
      </c>
      <c r="B26" s="80">
        <f>SUM(B23:B25)</f>
        <v>983406.36</v>
      </c>
      <c r="C26" s="85"/>
      <c r="D26" s="80">
        <f>SUM(D23:D25)</f>
        <v>172274.75</v>
      </c>
      <c r="E26" s="92"/>
      <c r="F26" s="61"/>
      <c r="G26" s="83"/>
    </row>
    <row r="27" spans="1:7" ht="16">
      <c r="A27" s="87"/>
      <c r="B27" s="66"/>
      <c r="C27" s="85"/>
      <c r="D27" s="66"/>
      <c r="E27" s="75"/>
      <c r="F27" s="61"/>
      <c r="G27" s="74"/>
    </row>
    <row r="28" spans="1:7" ht="16">
      <c r="A28" s="87" t="s">
        <v>273</v>
      </c>
      <c r="B28" s="76">
        <f>'BS-QB'!B103</f>
        <v>1778522.52</v>
      </c>
      <c r="C28" s="85"/>
      <c r="D28" s="76">
        <f>'BS-QB'!D103</f>
        <v>1627876.44</v>
      </c>
      <c r="E28" s="75"/>
      <c r="F28" s="61"/>
      <c r="G28" s="74"/>
    </row>
    <row r="29" spans="1:7" ht="16">
      <c r="A29" s="87"/>
      <c r="B29" s="66"/>
      <c r="C29" s="85"/>
      <c r="D29" s="66"/>
      <c r="E29" s="75"/>
      <c r="F29" s="61"/>
      <c r="G29" s="74"/>
    </row>
    <row r="30" spans="1:7" ht="16">
      <c r="A30" s="88" t="s">
        <v>274</v>
      </c>
      <c r="B30" s="93">
        <f>B26+B28</f>
        <v>2761928.88</v>
      </c>
      <c r="C30" s="86"/>
      <c r="D30" s="93">
        <f>D26+D28</f>
        <v>1800151.19</v>
      </c>
      <c r="E30" s="68"/>
      <c r="F30" s="61"/>
      <c r="G30" s="78"/>
    </row>
    <row r="31" spans="1:7" ht="16">
      <c r="A31" s="63"/>
      <c r="B31" s="94"/>
      <c r="C31" s="86"/>
      <c r="D31" s="94"/>
      <c r="E31" s="68"/>
      <c r="F31" s="61"/>
      <c r="G31" s="62"/>
    </row>
    <row r="32" spans="1:7" ht="16">
      <c r="A32" s="63" t="s">
        <v>275</v>
      </c>
      <c r="B32" s="94"/>
      <c r="C32" s="86"/>
      <c r="D32" s="94"/>
      <c r="E32" s="68"/>
      <c r="F32" s="61"/>
      <c r="G32" s="62"/>
    </row>
    <row r="33" spans="1:7" ht="16">
      <c r="A33" s="63" t="s">
        <v>276</v>
      </c>
      <c r="B33" s="94">
        <f>'BS-QB'!B106</f>
        <v>696529.79</v>
      </c>
      <c r="C33" s="86"/>
      <c r="D33" s="94">
        <f>'BS-QB'!D106</f>
        <v>232281.60000000001</v>
      </c>
      <c r="E33" s="68"/>
      <c r="F33" s="61"/>
      <c r="G33" s="62"/>
    </row>
    <row r="34" spans="1:7" ht="16">
      <c r="A34" s="63" t="s">
        <v>534</v>
      </c>
      <c r="B34" s="94">
        <f>'BS-QB'!B107</f>
        <v>10000</v>
      </c>
      <c r="C34" s="86"/>
      <c r="D34" s="94">
        <f>'BS-QB'!D107</f>
        <v>10000</v>
      </c>
      <c r="E34" s="68"/>
      <c r="F34" s="61"/>
      <c r="G34" s="62"/>
    </row>
    <row r="35" spans="1:7" ht="16">
      <c r="A35" s="63" t="s">
        <v>277</v>
      </c>
      <c r="B35" s="95">
        <f>'BS-QB'!B111</f>
        <v>372373.03</v>
      </c>
      <c r="C35" s="86"/>
      <c r="D35" s="95">
        <f>'BS-QB'!D111</f>
        <v>464248.19</v>
      </c>
      <c r="E35" s="68"/>
      <c r="F35" s="61"/>
      <c r="G35" s="62"/>
    </row>
    <row r="36" spans="1:7" ht="16">
      <c r="A36" s="88" t="s">
        <v>278</v>
      </c>
      <c r="B36" s="96">
        <f>SUM(B33:B35)</f>
        <v>1078902.82</v>
      </c>
      <c r="C36" s="86"/>
      <c r="D36" s="96">
        <f>SUM(D33:D35)</f>
        <v>706529.79</v>
      </c>
      <c r="E36" s="68"/>
      <c r="F36" s="61"/>
      <c r="G36" s="74"/>
    </row>
    <row r="37" spans="1:7" ht="16">
      <c r="A37" s="63"/>
      <c r="B37" s="66"/>
      <c r="C37" s="86"/>
      <c r="D37" s="66"/>
      <c r="E37" s="68"/>
      <c r="F37" s="61"/>
      <c r="G37" s="74"/>
    </row>
    <row r="38" spans="1:7" thickBot="1">
      <c r="A38" s="88" t="s">
        <v>279</v>
      </c>
      <c r="B38" s="89">
        <f>SUM(B30+B36)</f>
        <v>3840831.7</v>
      </c>
      <c r="C38" s="86"/>
      <c r="D38" s="89">
        <f>SUM(D30+D36)</f>
        <v>2506680.98</v>
      </c>
      <c r="E38" s="97"/>
      <c r="F38" s="61"/>
      <c r="G38" s="78"/>
    </row>
    <row r="39" spans="1:7" ht="18" thickTop="1">
      <c r="A39" s="98"/>
      <c r="B39" s="99">
        <f>B17-B38</f>
        <v>0</v>
      </c>
      <c r="C39" s="100"/>
      <c r="D39" s="99">
        <f>D17-D38</f>
        <v>0</v>
      </c>
      <c r="E39" s="101"/>
    </row>
    <row r="40" spans="1:7">
      <c r="A40" s="102"/>
      <c r="B40" s="52"/>
      <c r="E40" s="102"/>
    </row>
    <row r="41" spans="1:7">
      <c r="A41" s="102"/>
      <c r="B41" s="52"/>
      <c r="E41" s="102"/>
    </row>
    <row r="42" spans="1:7">
      <c r="A42" s="102"/>
      <c r="B42" s="52"/>
      <c r="E42" s="102"/>
    </row>
    <row r="43" spans="1:7">
      <c r="B43" s="52"/>
    </row>
    <row r="44" spans="1:7">
      <c r="B44" s="52"/>
    </row>
    <row r="45" spans="1:7">
      <c r="B45" s="52"/>
    </row>
    <row r="46" spans="1:7">
      <c r="B46" s="52"/>
    </row>
  </sheetData>
  <mergeCells count="3">
    <mergeCell ref="A1:E1"/>
    <mergeCell ref="A2:E2"/>
    <mergeCell ref="A3:E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"/>
  <sheetViews>
    <sheetView zoomScale="120" zoomScaleNormal="120" workbookViewId="0">
      <selection activeCell="B24" sqref="B24"/>
    </sheetView>
  </sheetViews>
  <sheetFormatPr baseColWidth="10" defaultColWidth="8.6640625" defaultRowHeight="15"/>
  <cols>
    <col min="1" max="1" width="55.83203125" style="6" customWidth="1"/>
    <col min="2" max="2" width="11.33203125" style="6" bestFit="1" customWidth="1"/>
    <col min="3" max="3" width="0.5" style="6" customWidth="1"/>
    <col min="4" max="4" width="11.5" style="6" bestFit="1" customWidth="1"/>
    <col min="5" max="16384" width="8.6640625" style="6"/>
  </cols>
  <sheetData>
    <row r="1" spans="1:4" ht="18">
      <c r="A1" s="362" t="s">
        <v>90</v>
      </c>
      <c r="B1" s="363"/>
    </row>
    <row r="2" spans="1:4" ht="18">
      <c r="A2" s="362" t="s">
        <v>86</v>
      </c>
      <c r="B2" s="363"/>
    </row>
    <row r="3" spans="1:4">
      <c r="A3" s="364"/>
      <c r="B3" s="363"/>
    </row>
    <row r="5" spans="1:4">
      <c r="A5" s="3"/>
      <c r="B5" s="27" t="s">
        <v>523</v>
      </c>
      <c r="D5" s="26" t="s">
        <v>505</v>
      </c>
    </row>
    <row r="6" spans="1:4">
      <c r="A6" s="1" t="s">
        <v>8</v>
      </c>
      <c r="B6" s="20"/>
    </row>
    <row r="7" spans="1:4">
      <c r="A7" s="1" t="s">
        <v>9</v>
      </c>
      <c r="B7" s="20"/>
    </row>
    <row r="8" spans="1:4">
      <c r="A8" s="1" t="s">
        <v>10</v>
      </c>
      <c r="B8" s="20"/>
    </row>
    <row r="9" spans="1:4">
      <c r="A9" s="1" t="s">
        <v>11</v>
      </c>
      <c r="B9" s="20"/>
    </row>
    <row r="10" spans="1:4">
      <c r="A10" s="1" t="s">
        <v>91</v>
      </c>
      <c r="B10" s="43">
        <f>2700432.4</f>
        <v>2700432.4</v>
      </c>
      <c r="D10" s="45">
        <f>1382789.85</f>
        <v>1382789.85</v>
      </c>
    </row>
    <row r="11" spans="1:4">
      <c r="A11" s="1" t="s">
        <v>206</v>
      </c>
      <c r="B11" s="20"/>
      <c r="D11" s="46"/>
    </row>
    <row r="12" spans="1:4">
      <c r="A12" s="1" t="s">
        <v>92</v>
      </c>
      <c r="B12" s="43">
        <f>1066.8</f>
        <v>1066.8</v>
      </c>
      <c r="D12" s="45">
        <f>2420.98</f>
        <v>2420.98</v>
      </c>
    </row>
    <row r="13" spans="1:4">
      <c r="A13" s="1" t="s">
        <v>207</v>
      </c>
      <c r="B13" s="43">
        <f>538950.76</f>
        <v>538950.76</v>
      </c>
      <c r="D13" s="45">
        <f>538862.07</f>
        <v>538862.06999999995</v>
      </c>
    </row>
    <row r="14" spans="1:4">
      <c r="A14" s="1" t="s">
        <v>208</v>
      </c>
      <c r="B14" s="43">
        <f>75000</f>
        <v>75000</v>
      </c>
      <c r="D14" s="45">
        <f>50000</f>
        <v>50000</v>
      </c>
    </row>
    <row r="15" spans="1:4">
      <c r="A15" s="1" t="s">
        <v>12</v>
      </c>
      <c r="B15" s="44">
        <f>(((((B9)+(B10))+(B11))+(B12))+(B13))+(B14)</f>
        <v>3315449.96</v>
      </c>
      <c r="D15" s="47">
        <f>(((((D9)+(D10))+(D11))+(D12))+(D13))+(D14)</f>
        <v>1974072.9</v>
      </c>
    </row>
    <row r="16" spans="1:4">
      <c r="A16" s="1" t="s">
        <v>209</v>
      </c>
      <c r="B16" s="20"/>
      <c r="D16" s="46"/>
    </row>
    <row r="17" spans="1:4">
      <c r="A17" s="1" t="s">
        <v>87</v>
      </c>
      <c r="B17" s="43">
        <f>0</f>
        <v>0</v>
      </c>
      <c r="D17" s="45">
        <f>200</f>
        <v>200</v>
      </c>
    </row>
    <row r="18" spans="1:4">
      <c r="A18" s="1" t="s">
        <v>13</v>
      </c>
      <c r="B18" s="44">
        <f>((B15)+(B16))+(B17)</f>
        <v>3315449.96</v>
      </c>
      <c r="D18" s="47">
        <f>((D15)+(D16))+(D17)</f>
        <v>1974272.9</v>
      </c>
    </row>
    <row r="19" spans="1:4">
      <c r="A19" s="1" t="s">
        <v>210</v>
      </c>
      <c r="B19" s="20"/>
      <c r="D19" s="46"/>
    </row>
    <row r="20" spans="1:4">
      <c r="A20" s="1" t="s">
        <v>211</v>
      </c>
      <c r="B20" s="43">
        <f>0</f>
        <v>0</v>
      </c>
      <c r="D20" s="45">
        <f>0</f>
        <v>0</v>
      </c>
    </row>
    <row r="21" spans="1:4">
      <c r="A21" s="1" t="s">
        <v>212</v>
      </c>
      <c r="B21" s="44">
        <f>B20</f>
        <v>0</v>
      </c>
      <c r="D21" s="47">
        <f>D20</f>
        <v>0</v>
      </c>
    </row>
    <row r="22" spans="1:4">
      <c r="A22" s="1" t="s">
        <v>101</v>
      </c>
      <c r="B22" s="20"/>
      <c r="D22" s="46"/>
    </row>
    <row r="23" spans="1:4">
      <c r="A23" s="1" t="s">
        <v>134</v>
      </c>
      <c r="B23" s="43">
        <f>0</f>
        <v>0</v>
      </c>
      <c r="D23" s="45">
        <f>45165.19</f>
        <v>45165.19</v>
      </c>
    </row>
    <row r="24" spans="1:4">
      <c r="A24" s="1" t="s">
        <v>149</v>
      </c>
      <c r="B24" s="43">
        <f>4288.32</f>
        <v>4288.32</v>
      </c>
      <c r="D24" s="45">
        <f>4288.32</f>
        <v>4288.32</v>
      </c>
    </row>
    <row r="25" spans="1:4">
      <c r="A25" s="1" t="s">
        <v>102</v>
      </c>
      <c r="B25" s="20"/>
      <c r="D25" s="46"/>
    </row>
    <row r="26" spans="1:4">
      <c r="A26" s="1" t="s">
        <v>106</v>
      </c>
      <c r="B26" s="43">
        <f>100249.72</f>
        <v>100249.72</v>
      </c>
      <c r="D26" s="45">
        <f>85210.5</f>
        <v>85210.5</v>
      </c>
    </row>
    <row r="27" spans="1:4">
      <c r="A27" s="1" t="s">
        <v>135</v>
      </c>
      <c r="B27" s="43">
        <f>16699.59</f>
        <v>16699.59</v>
      </c>
      <c r="D27" s="45">
        <f>0</f>
        <v>0</v>
      </c>
    </row>
    <row r="28" spans="1:4">
      <c r="A28" s="1" t="s">
        <v>103</v>
      </c>
      <c r="B28" s="43">
        <f>0</f>
        <v>0</v>
      </c>
      <c r="D28" s="45">
        <f>0</f>
        <v>0</v>
      </c>
    </row>
    <row r="29" spans="1:4">
      <c r="A29" s="1" t="s">
        <v>213</v>
      </c>
      <c r="B29" s="20"/>
      <c r="D29" s="46"/>
    </row>
    <row r="30" spans="1:4">
      <c r="A30" s="1" t="s">
        <v>104</v>
      </c>
      <c r="B30" s="44">
        <f>((((B25)+(B26))+(B27))+(B28))+(B29)</f>
        <v>116949.31</v>
      </c>
      <c r="D30" s="47">
        <f>((((D25)+(D26))+(D27))+(D28))+(D29)</f>
        <v>85210.5</v>
      </c>
    </row>
    <row r="31" spans="1:4">
      <c r="A31" s="1" t="s">
        <v>214</v>
      </c>
      <c r="B31" s="43">
        <f>93750</f>
        <v>93750</v>
      </c>
      <c r="D31" s="45">
        <f>93750</f>
        <v>93750</v>
      </c>
    </row>
    <row r="32" spans="1:4">
      <c r="A32" s="1" t="s">
        <v>215</v>
      </c>
      <c r="B32" s="20"/>
      <c r="D32" s="46"/>
    </row>
    <row r="33" spans="1:4">
      <c r="A33" s="1" t="s">
        <v>216</v>
      </c>
      <c r="B33" s="20"/>
      <c r="D33" s="46"/>
    </row>
    <row r="34" spans="1:4">
      <c r="A34" s="1" t="s">
        <v>217</v>
      </c>
      <c r="B34" s="20"/>
      <c r="D34" s="46"/>
    </row>
    <row r="35" spans="1:4" s="32" customFormat="1">
      <c r="A35" s="22" t="s">
        <v>517</v>
      </c>
      <c r="B35" s="20"/>
      <c r="D35" s="46"/>
    </row>
    <row r="36" spans="1:4">
      <c r="A36" s="1" t="s">
        <v>105</v>
      </c>
      <c r="B36" s="44">
        <f>(((((((B23)+(B24))+(B30))+(B31))+(B32))+(B33))+(B34))+(B35)</f>
        <v>214987.63</v>
      </c>
      <c r="D36" s="47">
        <f>(((((((D23)+(D24))+(D30))+(D31))+(D32))+(D33))+(D34))+(D35)</f>
        <v>228414.01</v>
      </c>
    </row>
    <row r="37" spans="1:4">
      <c r="A37" s="1" t="s">
        <v>14</v>
      </c>
      <c r="B37" s="44">
        <f>((B18)+(B21))+(B36)</f>
        <v>3530437.59</v>
      </c>
      <c r="D37" s="47">
        <f>((D18)+(D21))+(D36)</f>
        <v>2202686.91</v>
      </c>
    </row>
    <row r="38" spans="1:4">
      <c r="A38" s="1" t="s">
        <v>150</v>
      </c>
      <c r="B38" s="20"/>
      <c r="D38" s="46"/>
    </row>
    <row r="39" spans="1:4">
      <c r="A39" s="1" t="s">
        <v>218</v>
      </c>
      <c r="B39" s="20"/>
      <c r="D39" s="46"/>
    </row>
    <row r="40" spans="1:4">
      <c r="A40" s="1" t="s">
        <v>219</v>
      </c>
      <c r="B40" s="20"/>
      <c r="D40" s="46"/>
    </row>
    <row r="41" spans="1:4">
      <c r="A41" s="1" t="s">
        <v>220</v>
      </c>
      <c r="B41" s="43">
        <f>21901.23</f>
        <v>21901.23</v>
      </c>
      <c r="D41" s="45">
        <f>21901.23</f>
        <v>21901.23</v>
      </c>
    </row>
    <row r="42" spans="1:4">
      <c r="A42" s="1" t="s">
        <v>221</v>
      </c>
      <c r="B42" s="43">
        <f>-6586.15</f>
        <v>-6586.15</v>
      </c>
      <c r="D42" s="45">
        <f>-5543.23</f>
        <v>-5543.23</v>
      </c>
    </row>
    <row r="43" spans="1:4">
      <c r="A43" s="1" t="s">
        <v>222</v>
      </c>
      <c r="B43" s="20"/>
      <c r="D43" s="46"/>
    </row>
    <row r="44" spans="1:4">
      <c r="A44" s="1" t="s">
        <v>223</v>
      </c>
      <c r="B44" s="44">
        <f>((((B39)+(B40))+(B41))+(B42))+(B43)</f>
        <v>15315.08</v>
      </c>
      <c r="D44" s="47">
        <f>((((D39)+(D40))+(D41))+(D42))+(D43)</f>
        <v>16358</v>
      </c>
    </row>
    <row r="45" spans="1:4">
      <c r="A45" s="1" t="s">
        <v>224</v>
      </c>
      <c r="B45" s="20"/>
      <c r="D45" s="46"/>
    </row>
    <row r="46" spans="1:4">
      <c r="A46" s="1" t="s">
        <v>158</v>
      </c>
      <c r="B46" s="20"/>
      <c r="D46" s="46"/>
    </row>
    <row r="47" spans="1:4">
      <c r="A47" s="1" t="s">
        <v>225</v>
      </c>
      <c r="B47" s="43">
        <f>91912.27</f>
        <v>91912.27</v>
      </c>
      <c r="D47" s="45">
        <f>91912.27</f>
        <v>91912.27</v>
      </c>
    </row>
    <row r="48" spans="1:4">
      <c r="A48" s="1" t="s">
        <v>226</v>
      </c>
      <c r="B48" s="43">
        <f>-20880.75</f>
        <v>-20880.75</v>
      </c>
      <c r="D48" s="45">
        <f>-16889.67</f>
        <v>-16889.669999999998</v>
      </c>
    </row>
    <row r="49" spans="1:4">
      <c r="A49" s="1" t="s">
        <v>227</v>
      </c>
      <c r="B49" s="44">
        <f>(((B45)+(B46))+(B47))+(B48)</f>
        <v>71031.520000000004</v>
      </c>
      <c r="D49" s="47">
        <f>(((D45)+(D46))+(D47))+(D48)</f>
        <v>75022.600000000006</v>
      </c>
    </row>
    <row r="50" spans="1:4">
      <c r="A50" s="1" t="s">
        <v>228</v>
      </c>
      <c r="B50" s="20"/>
      <c r="D50" s="46"/>
    </row>
    <row r="51" spans="1:4">
      <c r="A51" s="1" t="s">
        <v>229</v>
      </c>
      <c r="B51" s="43">
        <f>65295</f>
        <v>65295</v>
      </c>
      <c r="D51" s="45">
        <f>45295</f>
        <v>45295</v>
      </c>
    </row>
    <row r="52" spans="1:4">
      <c r="A52" s="1" t="s">
        <v>164</v>
      </c>
      <c r="B52" s="43">
        <f>34452.15</f>
        <v>34452.15</v>
      </c>
      <c r="D52" s="45">
        <f>23313.15</f>
        <v>23313.15</v>
      </c>
    </row>
    <row r="53" spans="1:4">
      <c r="A53" s="1" t="s">
        <v>230</v>
      </c>
      <c r="B53" s="43">
        <f>1705</f>
        <v>1705</v>
      </c>
      <c r="D53" s="45">
        <f>1705</f>
        <v>1705</v>
      </c>
    </row>
    <row r="54" spans="1:4">
      <c r="A54" s="1" t="s">
        <v>231</v>
      </c>
      <c r="B54" s="43">
        <f>9410</f>
        <v>9410</v>
      </c>
      <c r="D54" s="45">
        <f>9410</f>
        <v>9410</v>
      </c>
    </row>
    <row r="55" spans="1:4">
      <c r="A55" s="1" t="s">
        <v>232</v>
      </c>
      <c r="B55" s="43">
        <f>9245</f>
        <v>9245</v>
      </c>
      <c r="D55" s="45">
        <f>9245</f>
        <v>9245</v>
      </c>
    </row>
    <row r="56" spans="1:4">
      <c r="A56" s="1" t="s">
        <v>233</v>
      </c>
      <c r="B56" s="20"/>
      <c r="D56" s="46"/>
    </row>
    <row r="57" spans="1:4">
      <c r="A57" s="1" t="s">
        <v>234</v>
      </c>
      <c r="B57" s="20"/>
      <c r="D57" s="46"/>
    </row>
    <row r="58" spans="1:4">
      <c r="A58" s="1" t="s">
        <v>235</v>
      </c>
      <c r="B58" s="43">
        <f>21005</f>
        <v>21005</v>
      </c>
      <c r="D58" s="45">
        <f>21005</f>
        <v>21005</v>
      </c>
    </row>
    <row r="59" spans="1:4">
      <c r="A59" s="1" t="s">
        <v>165</v>
      </c>
      <c r="B59" s="43">
        <f>13738</f>
        <v>13738</v>
      </c>
      <c r="D59" s="45">
        <f>13738</f>
        <v>13738</v>
      </c>
    </row>
    <row r="60" spans="1:4">
      <c r="A60" s="1" t="s">
        <v>236</v>
      </c>
      <c r="B60" s="20"/>
      <c r="D60" s="46"/>
    </row>
    <row r="61" spans="1:4">
      <c r="A61" s="1" t="s">
        <v>237</v>
      </c>
      <c r="B61" s="20"/>
      <c r="D61" s="46"/>
    </row>
    <row r="62" spans="1:4">
      <c r="A62" s="1" t="s">
        <v>238</v>
      </c>
      <c r="B62" s="43">
        <f>19562</f>
        <v>19562</v>
      </c>
      <c r="D62" s="45">
        <f>19562</f>
        <v>19562</v>
      </c>
    </row>
    <row r="63" spans="1:4">
      <c r="A63" s="1" t="s">
        <v>239</v>
      </c>
      <c r="B63" s="43">
        <f>-95168.26</f>
        <v>-95168.26</v>
      </c>
      <c r="D63" s="45">
        <f>-79249.02</f>
        <v>-79249.02</v>
      </c>
    </row>
    <row r="64" spans="1:4">
      <c r="A64" s="1" t="s">
        <v>240</v>
      </c>
      <c r="B64" s="44">
        <f>(((((((((((((B50)+(B51))+(B52))+(B53))+(B54))+(B55))+(B56))+(B57))+(B58))+(B59))+(B60))+(B61))+(B62))+(B63)</f>
        <v>79243.89</v>
      </c>
      <c r="D64" s="47">
        <f>(((((((((((((D50)+(D51))+(D52))+(D53))+(D54))+(D55))+(D56))+(D57))+(D58))+(D59))+(D60))+(D61))+(D62))+(D63)</f>
        <v>64024.12999999999</v>
      </c>
    </row>
    <row r="65" spans="1:4">
      <c r="A65" s="1" t="s">
        <v>241</v>
      </c>
      <c r="B65" s="20"/>
      <c r="D65" s="46"/>
    </row>
    <row r="66" spans="1:4">
      <c r="A66" s="1" t="s">
        <v>500</v>
      </c>
      <c r="B66" s="43">
        <f>0</f>
        <v>0</v>
      </c>
      <c r="D66" s="45">
        <f>0</f>
        <v>0</v>
      </c>
    </row>
    <row r="67" spans="1:4">
      <c r="A67" s="1" t="s">
        <v>242</v>
      </c>
      <c r="B67" s="43">
        <f>159000</f>
        <v>159000</v>
      </c>
      <c r="D67" s="45">
        <f>159000</f>
        <v>159000</v>
      </c>
    </row>
    <row r="68" spans="1:4">
      <c r="A68" s="1" t="s">
        <v>476</v>
      </c>
      <c r="B68" s="43">
        <f>-14196.38</f>
        <v>-14196.38</v>
      </c>
      <c r="D68" s="45">
        <f>-10410.66</f>
        <v>-10410.66</v>
      </c>
    </row>
    <row r="69" spans="1:4">
      <c r="A69" s="1" t="s">
        <v>243</v>
      </c>
      <c r="B69" s="44">
        <f>(((B65)+(B66))+(B67))+(B68)</f>
        <v>144803.62</v>
      </c>
      <c r="D69" s="47">
        <f>(((D65)+(D66))+(D67))+(D68)</f>
        <v>148589.34</v>
      </c>
    </row>
    <row r="70" spans="1:4">
      <c r="A70" s="1" t="s">
        <v>244</v>
      </c>
      <c r="B70" s="20"/>
      <c r="D70" s="46"/>
    </row>
    <row r="71" spans="1:4">
      <c r="A71" s="1" t="s">
        <v>151</v>
      </c>
      <c r="B71" s="44">
        <f>((((B44)+(B49))+(B64))+(B69))+(B70)</f>
        <v>310394.11</v>
      </c>
      <c r="D71" s="47">
        <f>((((D44)+(D49))+(D64))+(D69))+(D70)</f>
        <v>303994.06999999995</v>
      </c>
    </row>
    <row r="72" spans="1:4">
      <c r="A72" s="1" t="s">
        <v>15</v>
      </c>
      <c r="B72" s="44">
        <f>(B37)+(B71)</f>
        <v>3840831.6999999997</v>
      </c>
      <c r="D72" s="47">
        <f>(D37)+(D71)</f>
        <v>2506680.98</v>
      </c>
    </row>
    <row r="73" spans="1:4">
      <c r="A73" s="1" t="s">
        <v>16</v>
      </c>
      <c r="B73" s="20"/>
      <c r="D73" s="46"/>
    </row>
    <row r="74" spans="1:4">
      <c r="A74" s="1" t="s">
        <v>17</v>
      </c>
      <c r="B74" s="20"/>
      <c r="D74" s="46"/>
    </row>
    <row r="75" spans="1:4">
      <c r="A75" s="1" t="s">
        <v>18</v>
      </c>
      <c r="B75" s="20"/>
      <c r="D75" s="46"/>
    </row>
    <row r="76" spans="1:4">
      <c r="A76" s="1" t="s">
        <v>19</v>
      </c>
      <c r="B76" s="20"/>
      <c r="D76" s="46"/>
    </row>
    <row r="77" spans="1:4">
      <c r="A77" s="1" t="s">
        <v>28</v>
      </c>
      <c r="B77" s="43">
        <f>29494.47</f>
        <v>29494.47</v>
      </c>
      <c r="D77" s="45">
        <f>36041.73</f>
        <v>36041.730000000003</v>
      </c>
    </row>
    <row r="78" spans="1:4">
      <c r="A78" s="1" t="s">
        <v>20</v>
      </c>
      <c r="B78" s="44">
        <f>B77</f>
        <v>29494.47</v>
      </c>
      <c r="D78" s="47">
        <f>D77</f>
        <v>36041.730000000003</v>
      </c>
    </row>
    <row r="79" spans="1:4">
      <c r="A79" s="1" t="s">
        <v>21</v>
      </c>
      <c r="B79" s="20"/>
      <c r="D79" s="46"/>
    </row>
    <row r="80" spans="1:4">
      <c r="A80" s="1" t="s">
        <v>245</v>
      </c>
      <c r="B80" s="20"/>
      <c r="D80" s="46"/>
    </row>
    <row r="81" spans="1:4">
      <c r="A81" s="1" t="s">
        <v>246</v>
      </c>
      <c r="B81" s="20"/>
      <c r="D81" s="46"/>
    </row>
    <row r="82" spans="1:4">
      <c r="A82" s="1" t="s">
        <v>247</v>
      </c>
      <c r="B82" s="43">
        <f>30068.61</f>
        <v>30068.61</v>
      </c>
      <c r="D82" s="45">
        <f>65452.8</f>
        <v>65452.800000000003</v>
      </c>
    </row>
    <row r="83" spans="1:4">
      <c r="A83" s="1" t="s">
        <v>248</v>
      </c>
      <c r="B83" s="43">
        <f>21109.4</f>
        <v>21109.4</v>
      </c>
      <c r="D83" s="45">
        <f>45964.6</f>
        <v>45964.6</v>
      </c>
    </row>
    <row r="84" spans="1:4">
      <c r="A84" s="1" t="s">
        <v>249</v>
      </c>
      <c r="B84" s="44">
        <f>((B81)+(B82))+(B83)</f>
        <v>51178.01</v>
      </c>
      <c r="D84" s="47">
        <f>((D81)+(D82))+(D83)</f>
        <v>111417.4</v>
      </c>
    </row>
    <row r="85" spans="1:4">
      <c r="A85" s="1" t="s">
        <v>89</v>
      </c>
      <c r="B85" s="43">
        <f>0</f>
        <v>0</v>
      </c>
      <c r="D85" s="45">
        <f>0</f>
        <v>0</v>
      </c>
    </row>
    <row r="86" spans="1:4">
      <c r="A86" s="1" t="s">
        <v>477</v>
      </c>
      <c r="B86" s="43">
        <f>0</f>
        <v>0</v>
      </c>
      <c r="D86" s="45">
        <f>0</f>
        <v>0</v>
      </c>
    </row>
    <row r="87" spans="1:4">
      <c r="A87" s="2" t="s">
        <v>510</v>
      </c>
      <c r="B87" s="43">
        <f>0</f>
        <v>0</v>
      </c>
      <c r="C87" s="25"/>
      <c r="D87" s="45">
        <f>23745.28</f>
        <v>23745.279999999999</v>
      </c>
    </row>
    <row r="88" spans="1:4">
      <c r="A88" s="1" t="s">
        <v>478</v>
      </c>
      <c r="B88" s="43">
        <f>322</f>
        <v>322</v>
      </c>
      <c r="D88" s="45">
        <f>322</f>
        <v>322</v>
      </c>
    </row>
    <row r="89" spans="1:4">
      <c r="A89" s="1" t="s">
        <v>166</v>
      </c>
      <c r="B89" s="43">
        <f>901184.46</f>
        <v>901184.46</v>
      </c>
      <c r="D89" s="45">
        <f>0</f>
        <v>0</v>
      </c>
    </row>
    <row r="90" spans="1:4">
      <c r="A90" s="1" t="s">
        <v>250</v>
      </c>
      <c r="B90" s="20"/>
      <c r="D90" s="46"/>
    </row>
    <row r="91" spans="1:4">
      <c r="A91" s="1" t="s">
        <v>251</v>
      </c>
      <c r="B91" s="20"/>
      <c r="D91" s="46"/>
    </row>
    <row r="92" spans="1:4">
      <c r="A92" s="1" t="s">
        <v>252</v>
      </c>
      <c r="B92" s="20"/>
      <c r="D92" s="46"/>
    </row>
    <row r="93" spans="1:4">
      <c r="A93" s="1" t="s">
        <v>253</v>
      </c>
      <c r="B93" s="44">
        <f>((B90)+(B91))+(B92)</f>
        <v>0</v>
      </c>
      <c r="D93" s="47">
        <f>((D90)+(D91))+(D92)</f>
        <v>0</v>
      </c>
    </row>
    <row r="94" spans="1:4">
      <c r="A94" s="1" t="s">
        <v>167</v>
      </c>
      <c r="B94" s="43">
        <f>865.42</f>
        <v>865.42</v>
      </c>
      <c r="D94" s="45">
        <f>486.34</f>
        <v>486.34</v>
      </c>
    </row>
    <row r="95" spans="1:4">
      <c r="A95" s="1" t="s">
        <v>168</v>
      </c>
      <c r="B95" s="43">
        <f>362</f>
        <v>362</v>
      </c>
      <c r="D95" s="45">
        <f>262</f>
        <v>262</v>
      </c>
    </row>
    <row r="96" spans="1:4">
      <c r="A96" s="1" t="s">
        <v>22</v>
      </c>
      <c r="B96" s="44">
        <f>(((((((((B80)+(B84))+(B85))+(B86))+(B87))+(B88))+(B89))+(B93))+(B94))+(B95)</f>
        <v>953911.89</v>
      </c>
      <c r="D96" s="47">
        <f>(((((((((D80)+(D84))+(D85))+(D86))+(D87))+(D88))+(D89))+(D93))+(D94))+(D95)</f>
        <v>136233.01999999999</v>
      </c>
    </row>
    <row r="97" spans="1:4">
      <c r="A97" s="1" t="s">
        <v>23</v>
      </c>
      <c r="B97" s="44">
        <f>(B78)+(B96)</f>
        <v>983406.36</v>
      </c>
      <c r="D97" s="47">
        <f>(D78)+(D96)</f>
        <v>172274.75</v>
      </c>
    </row>
    <row r="98" spans="1:4">
      <c r="A98" s="1" t="s">
        <v>254</v>
      </c>
      <c r="B98" s="20"/>
      <c r="D98" s="46"/>
    </row>
    <row r="99" spans="1:4">
      <c r="A99" s="1" t="s">
        <v>255</v>
      </c>
      <c r="B99" s="20"/>
      <c r="D99" s="46"/>
    </row>
    <row r="100" spans="1:4">
      <c r="A100" s="1" t="s">
        <v>256</v>
      </c>
      <c r="B100" s="20"/>
      <c r="D100" s="46"/>
    </row>
    <row r="101" spans="1:4">
      <c r="A101" s="1" t="s">
        <v>257</v>
      </c>
      <c r="B101" s="44">
        <f>(B99)+(B100)</f>
        <v>0</v>
      </c>
      <c r="D101" s="47">
        <f>(D99)+(D100)</f>
        <v>0</v>
      </c>
    </row>
    <row r="102" spans="1:4">
      <c r="A102" s="1" t="s">
        <v>169</v>
      </c>
      <c r="B102" s="43">
        <f>1778522.52</f>
        <v>1778522.52</v>
      </c>
      <c r="D102" s="45">
        <f>1627876.44</f>
        <v>1627876.44</v>
      </c>
    </row>
    <row r="103" spans="1:4">
      <c r="A103" s="1" t="s">
        <v>170</v>
      </c>
      <c r="B103" s="44">
        <f>(B101)+(B102)</f>
        <v>1778522.52</v>
      </c>
      <c r="C103" s="44"/>
      <c r="D103" s="47">
        <f>(D101)+(D102)</f>
        <v>1627876.44</v>
      </c>
    </row>
    <row r="104" spans="1:4">
      <c r="A104" s="1" t="s">
        <v>24</v>
      </c>
      <c r="B104" s="44">
        <f>(B97)+(B103)</f>
        <v>2761928.88</v>
      </c>
      <c r="C104" s="44"/>
      <c r="D104" s="47">
        <f>(D97)+(D103)</f>
        <v>1800151.19</v>
      </c>
    </row>
    <row r="105" spans="1:4" s="21" customFormat="1">
      <c r="A105" s="1" t="s">
        <v>25</v>
      </c>
      <c r="B105" s="20"/>
      <c r="C105" s="6"/>
      <c r="D105" s="46"/>
    </row>
    <row r="106" spans="1:4" s="21" customFormat="1">
      <c r="A106" s="22" t="s">
        <v>507</v>
      </c>
      <c r="B106" s="43">
        <f>696529.79</f>
        <v>696529.79</v>
      </c>
      <c r="D106" s="45">
        <f>232281.6</f>
        <v>232281.60000000001</v>
      </c>
    </row>
    <row r="107" spans="1:4">
      <c r="A107" s="22" t="s">
        <v>508</v>
      </c>
      <c r="B107" s="43">
        <f>10000</f>
        <v>10000</v>
      </c>
      <c r="C107" s="21"/>
      <c r="D107" s="45">
        <f>10000</f>
        <v>10000</v>
      </c>
    </row>
    <row r="108" spans="1:4">
      <c r="A108" s="1" t="s">
        <v>258</v>
      </c>
      <c r="B108" s="20"/>
      <c r="D108" s="46"/>
    </row>
    <row r="109" spans="1:4">
      <c r="A109" s="1" t="s">
        <v>259</v>
      </c>
      <c r="B109" s="20"/>
      <c r="D109" s="46"/>
    </row>
    <row r="110" spans="1:4">
      <c r="A110" s="1" t="s">
        <v>260</v>
      </c>
      <c r="B110" s="20"/>
      <c r="D110" s="46"/>
    </row>
    <row r="111" spans="1:4">
      <c r="A111" s="1" t="s">
        <v>88</v>
      </c>
      <c r="B111" s="43">
        <f>372373.03</f>
        <v>372373.03</v>
      </c>
      <c r="D111" s="45">
        <f>464248.19</f>
        <v>464248.19</v>
      </c>
    </row>
    <row r="112" spans="1:4">
      <c r="A112" s="1" t="s">
        <v>26</v>
      </c>
      <c r="B112" s="44">
        <f>(((((B106)+(B107))+(B108))+(B109))+(B110))+(B111)</f>
        <v>1078902.82</v>
      </c>
      <c r="D112" s="47">
        <f>(((((D106)+(D107))+(D108))+(D109))+(D110))+(D111)</f>
        <v>706529.79</v>
      </c>
    </row>
    <row r="113" spans="1:4">
      <c r="A113" s="1" t="s">
        <v>27</v>
      </c>
      <c r="B113" s="44">
        <f>(B104)+(B112)</f>
        <v>3840831.7</v>
      </c>
      <c r="D113" s="47">
        <f>(D104)+(D112)</f>
        <v>2506680.98</v>
      </c>
    </row>
    <row r="114" spans="1:4">
      <c r="A114" s="4"/>
      <c r="B114" s="5"/>
    </row>
    <row r="115" spans="1:4">
      <c r="B115" s="33">
        <f>B72-B113</f>
        <v>0</v>
      </c>
      <c r="D115" s="33">
        <f>D72-D113</f>
        <v>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M42"/>
  <sheetViews>
    <sheetView showGridLines="0" topLeftCell="A5" zoomScale="118" zoomScaleNormal="120" workbookViewId="0">
      <selection activeCell="G31" sqref="G31"/>
    </sheetView>
  </sheetViews>
  <sheetFormatPr baseColWidth="10" defaultColWidth="8.83203125" defaultRowHeight="17"/>
  <cols>
    <col min="1" max="1" width="46.5" style="181" customWidth="1" collapsed="1"/>
    <col min="2" max="2" width="1.5" style="182" customWidth="1"/>
    <col min="3" max="3" width="22.33203125" style="183" customWidth="1"/>
    <col min="4" max="4" width="20.33203125" style="183" customWidth="1"/>
    <col min="5" max="5" width="13.83203125" style="183" customWidth="1"/>
    <col min="6" max="6" width="17.5" style="183" customWidth="1"/>
    <col min="7" max="7" width="17.5" style="150" customWidth="1"/>
    <col min="8" max="8" width="0.5" style="150" customWidth="1"/>
    <col min="9" max="9" width="13.83203125" style="183" customWidth="1"/>
    <col min="10" max="10" width="0.1640625" style="150" customWidth="1"/>
    <col min="11" max="11" width="9.5" style="151" hidden="1" customWidth="1"/>
    <col min="12" max="12" width="0.83203125" style="55" customWidth="1"/>
    <col min="13" max="16384" width="8.83203125" style="55"/>
  </cols>
  <sheetData>
    <row r="1" spans="1:13" ht="31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137"/>
      <c r="K1" s="168"/>
    </row>
    <row r="2" spans="1:13" ht="26">
      <c r="A2" s="367" t="s">
        <v>473</v>
      </c>
      <c r="B2" s="367"/>
      <c r="C2" s="367"/>
      <c r="D2" s="367"/>
      <c r="E2" s="367"/>
      <c r="F2" s="367"/>
      <c r="G2" s="367"/>
      <c r="H2" s="367"/>
      <c r="I2" s="367"/>
      <c r="J2" s="138"/>
      <c r="K2" s="169"/>
    </row>
    <row r="3" spans="1:13" ht="32.25" customHeight="1">
      <c r="A3" s="360">
        <f>Indicators!B3</f>
        <v>44500</v>
      </c>
      <c r="B3" s="360"/>
      <c r="C3" s="360"/>
      <c r="D3" s="360"/>
      <c r="E3" s="360"/>
      <c r="F3" s="360"/>
      <c r="G3" s="360"/>
      <c r="H3" s="360"/>
      <c r="I3" s="360"/>
      <c r="J3" s="139"/>
      <c r="K3" s="170"/>
    </row>
    <row r="4" spans="1:13" s="172" customFormat="1" ht="15">
      <c r="A4" s="186"/>
      <c r="B4" s="158"/>
      <c r="C4" s="365" t="s">
        <v>506</v>
      </c>
      <c r="D4" s="365"/>
      <c r="E4" s="365"/>
      <c r="F4" s="368" t="s">
        <v>504</v>
      </c>
      <c r="G4" s="368"/>
      <c r="H4" s="187"/>
      <c r="I4" s="188"/>
      <c r="J4" s="189"/>
      <c r="K4" s="171"/>
    </row>
    <row r="5" spans="1:13" s="172" customFormat="1" ht="48">
      <c r="A5" s="190"/>
      <c r="B5" s="140"/>
      <c r="C5" s="184" t="s">
        <v>548</v>
      </c>
      <c r="D5" s="184" t="s">
        <v>549</v>
      </c>
      <c r="E5" s="184" t="s">
        <v>2</v>
      </c>
      <c r="F5" s="201" t="s">
        <v>520</v>
      </c>
      <c r="G5" s="201" t="s">
        <v>556</v>
      </c>
      <c r="H5" s="185"/>
      <c r="I5" s="167" t="s">
        <v>521</v>
      </c>
      <c r="J5" s="191"/>
      <c r="K5" s="173" t="s">
        <v>7</v>
      </c>
      <c r="M5" s="174"/>
    </row>
    <row r="6" spans="1:13" s="172" customFormat="1" ht="16">
      <c r="A6" s="192" t="s">
        <v>3</v>
      </c>
      <c r="B6" s="141"/>
      <c r="C6" s="142"/>
      <c r="D6" s="142"/>
      <c r="E6" s="142"/>
      <c r="F6" s="142"/>
      <c r="G6" s="142"/>
      <c r="H6" s="159"/>
      <c r="I6" s="142"/>
      <c r="J6" s="193"/>
      <c r="K6" s="175"/>
      <c r="M6" s="174"/>
    </row>
    <row r="7" spans="1:13" s="172" customFormat="1" ht="16">
      <c r="A7" s="192" t="s">
        <v>171</v>
      </c>
      <c r="B7" s="141"/>
      <c r="C7" s="152">
        <f>'Budget Vs. Actuals Detail'!F31</f>
        <v>1777568.34</v>
      </c>
      <c r="D7" s="152">
        <f>('Budget Vs. Actuals Detail'!E31/12)*4</f>
        <v>1625204.2266666666</v>
      </c>
      <c r="E7" s="152">
        <f>C7-D7</f>
        <v>152364.11333333352</v>
      </c>
      <c r="F7" s="153">
        <f>'Budget Vs. Actuals Detail'!E31</f>
        <v>4875612.68</v>
      </c>
      <c r="G7" s="154">
        <f>C7/F7</f>
        <v>0.36458358296008048</v>
      </c>
      <c r="H7" s="160"/>
      <c r="I7" s="153">
        <f>'Budget Vs. Actuals Detail'!C31</f>
        <v>3778055.58</v>
      </c>
      <c r="J7" s="193"/>
      <c r="K7" s="175"/>
      <c r="M7" s="174"/>
    </row>
    <row r="8" spans="1:13" s="172" customFormat="1" ht="16">
      <c r="A8" s="192" t="s">
        <v>52</v>
      </c>
      <c r="B8" s="141"/>
      <c r="C8" s="155">
        <f>'Budget Vs. Actuals Detail'!F41</f>
        <v>46738.81</v>
      </c>
      <c r="D8" s="155">
        <f>('Budget Vs. Actuals Detail'!E41/12)*4</f>
        <v>107124.33333333333</v>
      </c>
      <c r="E8" s="155">
        <f>C8-D8</f>
        <v>-60385.523333333331</v>
      </c>
      <c r="F8" s="155">
        <f>'Budget Vs. Actuals Detail'!E41</f>
        <v>321373</v>
      </c>
      <c r="G8" s="154">
        <f t="shared" ref="G8:G10" si="0">C8/F8</f>
        <v>0.14543477516779568</v>
      </c>
      <c r="H8" s="160"/>
      <c r="I8" s="152">
        <f>'Budget Vs. Actuals Detail'!C41</f>
        <v>156141.19</v>
      </c>
      <c r="J8" s="193"/>
      <c r="K8" s="176"/>
    </row>
    <row r="9" spans="1:13" s="172" customFormat="1" ht="16">
      <c r="A9" s="192" t="s">
        <v>54</v>
      </c>
      <c r="B9" s="141"/>
      <c r="C9" s="155">
        <f>'Budget Vs. Actuals Detail'!F45+'Budget Vs. Actuals Detail'!F55+'Budget Vs. Actuals Detail'!F53+'Budget Vs. Actuals Detail'!F51+'Budget Vs. Actuals Detail'!F55</f>
        <v>22784.149999999998</v>
      </c>
      <c r="D9" s="155">
        <f>('Budget Vs. Actuals Detail'!E45+'Budget Vs. Actuals Detail'!E57+'Budget Vs. Actuals Detail'!E51/12)*4</f>
        <v>104066.66666666667</v>
      </c>
      <c r="E9" s="155">
        <f>C9-D9</f>
        <v>-81282.516666666677</v>
      </c>
      <c r="F9" s="155">
        <f>'Budget Vs. Actuals Detail'!E45+'Budget Vs. Actuals Detail'!E57+'Budget Vs. Actuals Detail'!E51</f>
        <v>26200</v>
      </c>
      <c r="G9" s="154">
        <f t="shared" si="0"/>
        <v>0.86962404580152664</v>
      </c>
      <c r="H9" s="160"/>
      <c r="I9" s="152">
        <f>'Budget Vs. Actuals Detail'!C45+'Budget Vs. Actuals Detail'!C51+'Budget Vs. Actuals Detail'!C57</f>
        <v>14004.1</v>
      </c>
      <c r="J9" s="193"/>
      <c r="K9" s="176"/>
    </row>
    <row r="10" spans="1:13" s="172" customFormat="1" ht="16">
      <c r="A10" s="194" t="s">
        <v>4</v>
      </c>
      <c r="B10" s="145"/>
      <c r="C10" s="146">
        <f>SUM(C7:C9)</f>
        <v>1847091.3</v>
      </c>
      <c r="D10" s="146">
        <f>SUM(D7:D9)</f>
        <v>1836395.2266666666</v>
      </c>
      <c r="E10" s="146">
        <f>C10-D10</f>
        <v>10696.073333333479</v>
      </c>
      <c r="F10" s="165">
        <f>SUM(F7:F9)</f>
        <v>5223185.68</v>
      </c>
      <c r="G10" s="147">
        <f t="shared" si="0"/>
        <v>0.35363309159631484</v>
      </c>
      <c r="H10" s="161"/>
      <c r="I10" s="177">
        <f>SUM(I7:I9)</f>
        <v>3948200.87</v>
      </c>
      <c r="J10" s="193"/>
      <c r="K10" s="176"/>
      <c r="L10" s="174"/>
      <c r="M10" s="178"/>
    </row>
    <row r="11" spans="1:13" s="172" customFormat="1" ht="15">
      <c r="A11" s="192"/>
      <c r="B11" s="141"/>
      <c r="C11" s="144"/>
      <c r="D11" s="144"/>
      <c r="E11" s="144"/>
      <c r="F11" s="144"/>
      <c r="G11" s="144"/>
      <c r="H11" s="162"/>
      <c r="I11" s="144"/>
      <c r="J11" s="193"/>
      <c r="K11" s="176"/>
    </row>
    <row r="12" spans="1:13" s="172" customFormat="1" ht="16">
      <c r="A12" s="192" t="s">
        <v>5</v>
      </c>
      <c r="B12" s="141"/>
      <c r="C12" s="144"/>
      <c r="D12" s="144"/>
      <c r="E12" s="144"/>
      <c r="F12" s="179"/>
      <c r="G12" s="148"/>
      <c r="H12" s="163"/>
      <c r="I12" s="179"/>
      <c r="J12" s="193"/>
      <c r="K12" s="176"/>
    </row>
    <row r="13" spans="1:13" s="172" customFormat="1" ht="16">
      <c r="A13" s="195" t="s">
        <v>471</v>
      </c>
      <c r="B13" s="141"/>
      <c r="C13" s="152">
        <f>'Budget Vs. Actuals Detail'!F74</f>
        <v>166948.18</v>
      </c>
      <c r="D13" s="152">
        <f>('Budget Vs. Actuals Detail'!E74/12)*4</f>
        <v>221978.36</v>
      </c>
      <c r="E13" s="152">
        <f>D13-C13</f>
        <v>55030.179999999993</v>
      </c>
      <c r="F13" s="152">
        <f>'Budget Vs. Actuals Detail'!E74</f>
        <v>665935.07999999996</v>
      </c>
      <c r="G13" s="156">
        <f t="shared" ref="G13:G40" si="1">C13/F13</f>
        <v>0.25069738029118394</v>
      </c>
      <c r="H13" s="164"/>
      <c r="I13" s="152">
        <f>'Budget Vs. Actuals Detail'!C74</f>
        <v>340565.12</v>
      </c>
      <c r="J13" s="193"/>
      <c r="K13" s="176"/>
    </row>
    <row r="14" spans="1:13" s="172" customFormat="1" ht="16">
      <c r="A14" s="195" t="s">
        <v>472</v>
      </c>
      <c r="B14" s="141"/>
      <c r="C14" s="152">
        <f>'Budget Vs. Actuals Detail'!F83</f>
        <v>374622.97</v>
      </c>
      <c r="D14" s="152">
        <f>('Budget Vs. Actuals Detail'!E83/12)*4</f>
        <v>531050.33333333337</v>
      </c>
      <c r="E14" s="152">
        <f t="shared" ref="E14:E39" si="2">D14-C14</f>
        <v>156427.3633333334</v>
      </c>
      <c r="F14" s="152">
        <f>'Budget Vs. Actuals Detail'!E83</f>
        <v>1593151</v>
      </c>
      <c r="G14" s="156">
        <f t="shared" si="1"/>
        <v>0.23514592778713378</v>
      </c>
      <c r="H14" s="164"/>
      <c r="I14" s="152">
        <f>'Budget Vs. Actuals Detail'!C83</f>
        <v>805879.84000000008</v>
      </c>
      <c r="J14" s="193"/>
      <c r="K14" s="176"/>
    </row>
    <row r="15" spans="1:13" s="172" customFormat="1" ht="16">
      <c r="A15" s="195" t="s">
        <v>470</v>
      </c>
      <c r="B15" s="141"/>
      <c r="C15" s="152">
        <f>'Budget Vs. Actuals Detail'!F100</f>
        <v>51661.109999999993</v>
      </c>
      <c r="D15" s="152">
        <f>('Budget Vs. Actuals Detail'!E100/12)*4</f>
        <v>70408.333333333328</v>
      </c>
      <c r="E15" s="152">
        <f t="shared" si="2"/>
        <v>18747.223333333335</v>
      </c>
      <c r="F15" s="152">
        <f>'Budget Vs. Actuals Detail'!E100</f>
        <v>211225</v>
      </c>
      <c r="G15" s="156">
        <f t="shared" si="1"/>
        <v>0.24457857734643149</v>
      </c>
      <c r="H15" s="164"/>
      <c r="I15" s="152">
        <f>'Budget Vs. Actuals Detail'!C100</f>
        <v>100279.19999999998</v>
      </c>
      <c r="J15" s="193"/>
      <c r="K15" s="176"/>
    </row>
    <row r="16" spans="1:13" s="172" customFormat="1" ht="16">
      <c r="A16" s="192" t="s">
        <v>469</v>
      </c>
      <c r="B16" s="141"/>
      <c r="C16" s="152">
        <f>'Budget Vs. Actuals Detail'!F110</f>
        <v>53965.88</v>
      </c>
      <c r="D16" s="152">
        <f>('Budget Vs. Actuals Detail'!E110/12)*4</f>
        <v>92256</v>
      </c>
      <c r="E16" s="152">
        <f t="shared" si="2"/>
        <v>38290.120000000003</v>
      </c>
      <c r="F16" s="152">
        <f>'Budget Vs. Actuals Detail'!E110</f>
        <v>276768</v>
      </c>
      <c r="G16" s="156">
        <f t="shared" si="1"/>
        <v>0.19498598103827031</v>
      </c>
      <c r="H16" s="164"/>
      <c r="I16" s="152">
        <f>'Budget Vs. Actuals Detail'!C110</f>
        <v>139550.01999999999</v>
      </c>
      <c r="J16" s="193"/>
      <c r="K16" s="176"/>
    </row>
    <row r="17" spans="1:11" s="172" customFormat="1" ht="16">
      <c r="A17" s="195" t="s">
        <v>62</v>
      </c>
      <c r="B17" s="141"/>
      <c r="C17" s="155">
        <f>'Budget Vs. Actuals Detail'!F132</f>
        <v>66614.540000000008</v>
      </c>
      <c r="D17" s="155">
        <f>('Budget Vs. Actuals Detail'!E132/12)*4</f>
        <v>52446.666666666664</v>
      </c>
      <c r="E17" s="155">
        <f t="shared" si="2"/>
        <v>-14167.873333333344</v>
      </c>
      <c r="F17" s="155">
        <f>'Budget Vs. Actuals Detail'!E132</f>
        <v>157340</v>
      </c>
      <c r="G17" s="157">
        <f t="shared" si="1"/>
        <v>0.42337956018812767</v>
      </c>
      <c r="H17" s="164"/>
      <c r="I17" s="152">
        <f>'Budget Vs. Actuals Detail'!C132</f>
        <v>138910.54</v>
      </c>
      <c r="J17" s="193"/>
      <c r="K17" s="176"/>
    </row>
    <row r="18" spans="1:11" s="172" customFormat="1" ht="16">
      <c r="A18" s="195" t="s">
        <v>64</v>
      </c>
      <c r="B18" s="141"/>
      <c r="C18" s="155">
        <f>'Budget Vs. Actuals Detail'!F136</f>
        <v>2156</v>
      </c>
      <c r="D18" s="155">
        <f>('Budget Vs. Actuals Detail'!E136/12)*4</f>
        <v>7066.666666666667</v>
      </c>
      <c r="E18" s="155">
        <f t="shared" si="2"/>
        <v>4910.666666666667</v>
      </c>
      <c r="F18" s="155">
        <f>'Budget Vs. Actuals Detail'!E136</f>
        <v>21200</v>
      </c>
      <c r="G18" s="157">
        <f t="shared" si="1"/>
        <v>0.10169811320754717</v>
      </c>
      <c r="H18" s="164"/>
      <c r="I18" s="152">
        <f>'Budget Vs. Actuals Detail'!C136</f>
        <v>0</v>
      </c>
      <c r="J18" s="193"/>
      <c r="K18" s="176"/>
    </row>
    <row r="19" spans="1:11" s="172" customFormat="1" ht="16">
      <c r="A19" s="195" t="s">
        <v>145</v>
      </c>
      <c r="B19" s="141"/>
      <c r="C19" s="155">
        <f>'Budget Vs. Actuals Detail'!F145</f>
        <v>28282.9</v>
      </c>
      <c r="D19" s="155">
        <f>(('Budget Vs. Actuals Detail'!E145/12)*4)</f>
        <v>21928.559999999998</v>
      </c>
      <c r="E19" s="155">
        <f t="shared" si="2"/>
        <v>-6354.3400000000038</v>
      </c>
      <c r="F19" s="155">
        <f>'Budget Vs. Actuals Detail'!E145</f>
        <v>65785.679999999993</v>
      </c>
      <c r="G19" s="157">
        <f t="shared" si="1"/>
        <v>0.42992487118777223</v>
      </c>
      <c r="H19" s="164"/>
      <c r="I19" s="152">
        <f>'Budget Vs. Actuals Detail'!C145</f>
        <v>17982.760000000002</v>
      </c>
      <c r="J19" s="193"/>
      <c r="K19" s="176"/>
    </row>
    <row r="20" spans="1:11" s="172" customFormat="1" ht="16">
      <c r="A20" s="195" t="s">
        <v>362</v>
      </c>
      <c r="B20" s="141"/>
      <c r="C20" s="155">
        <f>'Budget Vs. Actuals Detail'!F148</f>
        <v>110.53</v>
      </c>
      <c r="D20" s="155">
        <f>('Budget Vs. Actuals Detail'!E148/12)*4</f>
        <v>600</v>
      </c>
      <c r="E20" s="155">
        <f t="shared" si="2"/>
        <v>489.47</v>
      </c>
      <c r="F20" s="155">
        <f>'Budget Vs. Actuals Detail'!E148</f>
        <v>1800</v>
      </c>
      <c r="G20" s="157">
        <f t="shared" si="1"/>
        <v>6.1405555555555554E-2</v>
      </c>
      <c r="H20" s="164"/>
      <c r="I20" s="152">
        <f>'Budget Vs. Actuals Detail'!C148</f>
        <v>100</v>
      </c>
      <c r="J20" s="193"/>
      <c r="K20" s="176"/>
    </row>
    <row r="21" spans="1:11" s="172" customFormat="1" ht="16">
      <c r="A21" s="195" t="s">
        <v>189</v>
      </c>
      <c r="B21" s="141"/>
      <c r="C21" s="155">
        <f>'Budget Vs. Actuals Detail'!F154</f>
        <v>14581.42</v>
      </c>
      <c r="D21" s="155">
        <f>('Budget Vs. Actuals Detail'!E154/12)*4</f>
        <v>12794</v>
      </c>
      <c r="E21" s="155">
        <f t="shared" si="2"/>
        <v>-1787.42</v>
      </c>
      <c r="F21" s="155">
        <f>'Budget Vs. Actuals Detail'!E154</f>
        <v>38382</v>
      </c>
      <c r="G21" s="157">
        <f t="shared" si="1"/>
        <v>0.37990255849095933</v>
      </c>
      <c r="H21" s="164"/>
      <c r="I21" s="152">
        <f>'Budget Vs. Actuals Detail'!C154</f>
        <v>8889.4</v>
      </c>
      <c r="J21" s="193"/>
      <c r="K21" s="176"/>
    </row>
    <row r="22" spans="1:11" s="172" customFormat="1" ht="16">
      <c r="A22" s="195" t="s">
        <v>194</v>
      </c>
      <c r="B22" s="141"/>
      <c r="C22" s="155">
        <f>'Budget Vs. Actuals Detail'!F159</f>
        <v>3880.67</v>
      </c>
      <c r="D22" s="155">
        <f>('Budget Vs. Actuals Detail'!E159/12)*4</f>
        <v>3600</v>
      </c>
      <c r="E22" s="155">
        <f t="shared" si="2"/>
        <v>-280.67000000000007</v>
      </c>
      <c r="F22" s="155">
        <f>'Budget Vs. Actuals Detail'!E159</f>
        <v>10800</v>
      </c>
      <c r="G22" s="157">
        <f t="shared" si="1"/>
        <v>0.35932129629629628</v>
      </c>
      <c r="H22" s="164"/>
      <c r="I22" s="152">
        <f>'Budget Vs. Actuals Detail'!C159</f>
        <v>2136.38</v>
      </c>
      <c r="J22" s="193"/>
      <c r="K22" s="176"/>
    </row>
    <row r="23" spans="1:11" s="172" customFormat="1" ht="16">
      <c r="A23" s="195" t="s">
        <v>140</v>
      </c>
      <c r="B23" s="143"/>
      <c r="C23" s="155">
        <f>'Budget Vs. Actuals Detail'!F167</f>
        <v>26298.82</v>
      </c>
      <c r="D23" s="155">
        <f>('Budget Vs. Actuals Detail'!E167/12)*4</f>
        <v>14800</v>
      </c>
      <c r="E23" s="155">
        <f t="shared" si="2"/>
        <v>-11498.82</v>
      </c>
      <c r="F23" s="155">
        <f>'Budget Vs. Actuals Detail'!E167</f>
        <v>44400</v>
      </c>
      <c r="G23" s="157">
        <f t="shared" si="1"/>
        <v>0.59231576576576572</v>
      </c>
      <c r="H23" s="164"/>
      <c r="I23" s="155">
        <f>'Budget Vs. Actuals Detail'!C167</f>
        <v>45957.710000000006</v>
      </c>
      <c r="J23" s="193"/>
      <c r="K23" s="176"/>
    </row>
    <row r="24" spans="1:11" s="172" customFormat="1" ht="16">
      <c r="A24" s="195" t="s">
        <v>195</v>
      </c>
      <c r="B24" s="143"/>
      <c r="C24" s="155">
        <f>'Budget Vs. Actuals Detail'!F171</f>
        <v>3322.83</v>
      </c>
      <c r="D24" s="155">
        <f>('Budget Vs. Actuals Detail'!E171/12)*4</f>
        <v>4633.333333333333</v>
      </c>
      <c r="E24" s="155">
        <f t="shared" si="2"/>
        <v>1310.5033333333331</v>
      </c>
      <c r="F24" s="155">
        <f>'Budget Vs. Actuals Detail'!E171</f>
        <v>13900</v>
      </c>
      <c r="G24" s="157">
        <f t="shared" si="1"/>
        <v>0.2390525179856115</v>
      </c>
      <c r="H24" s="164"/>
      <c r="I24" s="155">
        <f>'Budget Vs. Actuals Detail'!C171</f>
        <v>3808.31</v>
      </c>
      <c r="J24" s="193"/>
      <c r="K24" s="176"/>
    </row>
    <row r="25" spans="1:11" s="172" customFormat="1" ht="16">
      <c r="A25" s="195" t="s">
        <v>67</v>
      </c>
      <c r="B25" s="143"/>
      <c r="C25" s="155">
        <f>'Budget Vs. Actuals Detail'!F178</f>
        <v>30363.649999999998</v>
      </c>
      <c r="D25" s="155">
        <f>('Budget Vs. Actuals Detail'!E178/12)*4</f>
        <v>39363.666666666664</v>
      </c>
      <c r="E25" s="155">
        <f t="shared" si="2"/>
        <v>9000.0166666666664</v>
      </c>
      <c r="F25" s="155">
        <f>'Budget Vs. Actuals Detail'!E178</f>
        <v>118091</v>
      </c>
      <c r="G25" s="157">
        <f t="shared" si="1"/>
        <v>0.2571207797376599</v>
      </c>
      <c r="H25" s="164"/>
      <c r="I25" s="155">
        <f>'Budget Vs. Actuals Detail'!C178</f>
        <v>97990.82</v>
      </c>
      <c r="J25" s="193"/>
      <c r="K25" s="176"/>
    </row>
    <row r="26" spans="1:11" s="172" customFormat="1" ht="16">
      <c r="A26" s="195" t="s">
        <v>375</v>
      </c>
      <c r="B26" s="143"/>
      <c r="C26" s="155">
        <f>'Budget Vs. Actuals Detail'!F181</f>
        <v>5756.2</v>
      </c>
      <c r="D26" s="155">
        <f>('Budget Vs. Actuals Detail'!E181/12)*4</f>
        <v>6777</v>
      </c>
      <c r="E26" s="155">
        <f t="shared" si="2"/>
        <v>1020.8000000000002</v>
      </c>
      <c r="F26" s="155">
        <f>'Budget Vs. Actuals Detail'!E181</f>
        <v>20331</v>
      </c>
      <c r="G26" s="157">
        <f t="shared" si="1"/>
        <v>0.2831242929516502</v>
      </c>
      <c r="H26" s="164"/>
      <c r="I26" s="155">
        <f>'Budget Vs. Actuals Detail'!C181</f>
        <v>7498</v>
      </c>
      <c r="J26" s="193"/>
      <c r="K26" s="176"/>
    </row>
    <row r="27" spans="1:11" s="172" customFormat="1" ht="16">
      <c r="A27" s="195" t="s">
        <v>380</v>
      </c>
      <c r="B27" s="143"/>
      <c r="C27" s="155">
        <f>'Budget Vs. Actuals Detail'!F185</f>
        <v>0</v>
      </c>
      <c r="D27" s="155">
        <f>('Budget Vs. Actuals Detail'!E185/12)*4</f>
        <v>1166.6666666666667</v>
      </c>
      <c r="E27" s="155">
        <f t="shared" si="2"/>
        <v>1166.6666666666667</v>
      </c>
      <c r="F27" s="155">
        <f>'Budget Vs. Actuals Detail'!E185</f>
        <v>3500</v>
      </c>
      <c r="G27" s="157">
        <f t="shared" si="1"/>
        <v>0</v>
      </c>
      <c r="H27" s="164"/>
      <c r="I27" s="155">
        <f>'Budget Vs. Actuals Detail'!C185</f>
        <v>0</v>
      </c>
      <c r="J27" s="193"/>
      <c r="K27" s="176"/>
    </row>
    <row r="28" spans="1:11" s="172" customFormat="1" ht="16">
      <c r="A28" s="195" t="s">
        <v>163</v>
      </c>
      <c r="B28" s="143"/>
      <c r="C28" s="155">
        <f>'Budget Vs. Actuals Detail'!F189</f>
        <v>1491.41</v>
      </c>
      <c r="D28" s="155">
        <f>('Budget Vs. Actuals Detail'!E189/12)*4</f>
        <v>19306.666666666668</v>
      </c>
      <c r="E28" s="155">
        <f>D28-C28</f>
        <v>17815.256666666668</v>
      </c>
      <c r="F28" s="155">
        <f>'Budget Vs. Actuals Detail'!E189</f>
        <v>57920</v>
      </c>
      <c r="G28" s="157">
        <f t="shared" si="1"/>
        <v>2.5749482044198895E-2</v>
      </c>
      <c r="H28" s="164"/>
      <c r="I28" s="155">
        <f>'Budget Vs. Actuals Detail'!C189</f>
        <v>1024.8</v>
      </c>
      <c r="J28" s="193"/>
      <c r="K28" s="176"/>
    </row>
    <row r="29" spans="1:11" s="172" customFormat="1" ht="16">
      <c r="A29" s="195" t="s">
        <v>70</v>
      </c>
      <c r="B29" s="143"/>
      <c r="C29" s="155">
        <f>'Budget Vs. Actuals Detail'!F193</f>
        <v>11057.25</v>
      </c>
      <c r="D29" s="155">
        <f>('Budget Vs. Actuals Detail'!E193/12)*4</f>
        <v>10133.333333333334</v>
      </c>
      <c r="E29" s="155">
        <f t="shared" si="2"/>
        <v>-923.91666666666606</v>
      </c>
      <c r="F29" s="155">
        <f>'Budget Vs. Actuals Detail'!E193</f>
        <v>30400</v>
      </c>
      <c r="G29" s="157">
        <f t="shared" si="1"/>
        <v>0.36372532894736842</v>
      </c>
      <c r="H29" s="164"/>
      <c r="I29" s="155">
        <f>'Budget Vs. Actuals Detail'!C193</f>
        <v>13500.470000000001</v>
      </c>
      <c r="J29" s="193"/>
      <c r="K29" s="176"/>
    </row>
    <row r="30" spans="1:11" s="172" customFormat="1" ht="16">
      <c r="A30" s="195" t="s">
        <v>73</v>
      </c>
      <c r="B30" s="143"/>
      <c r="C30" s="155">
        <f>'Budget Vs. Actuals Detail'!F198</f>
        <v>32139.710000000003</v>
      </c>
      <c r="D30" s="155">
        <f>('Budget Vs. Actuals Detail'!E198/12)*4</f>
        <v>21566.666666666668</v>
      </c>
      <c r="E30" s="155">
        <f t="shared" si="2"/>
        <v>-10573.043333333335</v>
      </c>
      <c r="F30" s="155">
        <f>'Budget Vs. Actuals Detail'!E198</f>
        <v>64700</v>
      </c>
      <c r="G30" s="157">
        <f t="shared" si="1"/>
        <v>0.49674976816074196</v>
      </c>
      <c r="H30" s="164"/>
      <c r="I30" s="155">
        <f>'Budget Vs. Actuals Detail'!C198</f>
        <v>35631.799999999996</v>
      </c>
      <c r="J30" s="193"/>
      <c r="K30" s="176"/>
    </row>
    <row r="31" spans="1:11" s="172" customFormat="1" ht="16">
      <c r="A31" s="195" t="s">
        <v>75</v>
      </c>
      <c r="B31" s="143"/>
      <c r="C31" s="155">
        <f>'Budget Vs. Actuals Detail'!F200</f>
        <v>24667.43</v>
      </c>
      <c r="D31" s="155">
        <f>('Budget Vs. Actuals Detail'!E201/12)*4</f>
        <v>5800</v>
      </c>
      <c r="E31" s="155">
        <f t="shared" si="2"/>
        <v>-18867.43</v>
      </c>
      <c r="F31" s="155">
        <f>'Budget Vs. Actuals Detail'!E201</f>
        <v>17400</v>
      </c>
      <c r="G31" s="157">
        <f t="shared" si="1"/>
        <v>1.4176683908045977</v>
      </c>
      <c r="H31" s="164"/>
      <c r="I31" s="155">
        <f>'Budget Vs. Actuals Detail'!C201</f>
        <v>23567.31</v>
      </c>
      <c r="J31" s="193"/>
      <c r="K31" s="176"/>
    </row>
    <row r="32" spans="1:11" s="172" customFormat="1" ht="16">
      <c r="A32" s="195" t="s">
        <v>78</v>
      </c>
      <c r="B32" s="143"/>
      <c r="C32" s="155">
        <f>'Budget Vs. Actuals Detail'!F204</f>
        <v>2440.2199999999998</v>
      </c>
      <c r="D32" s="155">
        <f>('Budget Vs. Actuals Detail'!E204/12)*4</f>
        <v>6750</v>
      </c>
      <c r="E32" s="155">
        <f t="shared" si="2"/>
        <v>4309.7800000000007</v>
      </c>
      <c r="F32" s="155">
        <f>'Budget Vs. Actuals Detail'!E204</f>
        <v>20250</v>
      </c>
      <c r="G32" s="157">
        <f t="shared" si="1"/>
        <v>0.12050469135802468</v>
      </c>
      <c r="H32" s="164"/>
      <c r="I32" s="155">
        <f>'Budget Vs. Actuals Detail'!C204</f>
        <v>8438.2199999999993</v>
      </c>
      <c r="J32" s="193"/>
      <c r="K32" s="176"/>
    </row>
    <row r="33" spans="1:11" s="172" customFormat="1" ht="16">
      <c r="A33" s="195" t="s">
        <v>385</v>
      </c>
      <c r="B33" s="141"/>
      <c r="C33" s="155">
        <f>'Budget Vs. Actuals Detail'!F207</f>
        <v>1463.78</v>
      </c>
      <c r="D33" s="155">
        <f>('Budget Vs. Actuals Detail'!E207/12)*4</f>
        <v>1600</v>
      </c>
      <c r="E33" s="155">
        <f t="shared" si="2"/>
        <v>136.22000000000003</v>
      </c>
      <c r="F33" s="155">
        <f>'Budget Vs. Actuals Detail'!E207</f>
        <v>4800</v>
      </c>
      <c r="G33" s="157">
        <f t="shared" si="1"/>
        <v>0.30495416666666664</v>
      </c>
      <c r="H33" s="164"/>
      <c r="I33" s="152">
        <f>'Budget Vs. Actuals Detail'!C207</f>
        <v>0</v>
      </c>
      <c r="J33" s="193"/>
      <c r="K33" s="176"/>
    </row>
    <row r="34" spans="1:11" s="172" customFormat="1" ht="16">
      <c r="A34" s="192" t="s">
        <v>100</v>
      </c>
      <c r="B34" s="141"/>
      <c r="C34" s="155">
        <f>'Budget Vs. Actuals Detail'!F211</f>
        <v>0</v>
      </c>
      <c r="D34" s="155">
        <f>('Budget Vs. Actuals Detail'!E211/12)*4</f>
        <v>800</v>
      </c>
      <c r="E34" s="155">
        <f t="shared" si="2"/>
        <v>800</v>
      </c>
      <c r="F34" s="155">
        <f>'Budget Vs. Actuals Detail'!E211</f>
        <v>2400</v>
      </c>
      <c r="G34" s="157">
        <f t="shared" si="1"/>
        <v>0</v>
      </c>
      <c r="H34" s="164"/>
      <c r="I34" s="152">
        <f>'Budget Vs. Actuals Detail'!C211</f>
        <v>253.84</v>
      </c>
      <c r="J34" s="193"/>
      <c r="K34" s="176"/>
    </row>
    <row r="35" spans="1:11" s="172" customFormat="1" ht="16">
      <c r="A35" s="192" t="s">
        <v>388</v>
      </c>
      <c r="B35" s="141"/>
      <c r="C35" s="155">
        <f>'Budget Vs. Actuals Detail'!F214</f>
        <v>0</v>
      </c>
      <c r="D35" s="155">
        <f>('Budget Vs. Actuals Detail'!E214/12)*4</f>
        <v>666.66666666666663</v>
      </c>
      <c r="E35" s="155">
        <f t="shared" si="2"/>
        <v>666.66666666666663</v>
      </c>
      <c r="F35" s="155">
        <f>'Budget Vs. Actuals Detail'!E214</f>
        <v>2000</v>
      </c>
      <c r="G35" s="157">
        <f t="shared" si="1"/>
        <v>0</v>
      </c>
      <c r="H35" s="164"/>
      <c r="I35" s="152">
        <f>'Budget Vs. Actuals Detail'!C214</f>
        <v>159.9</v>
      </c>
      <c r="J35" s="193"/>
      <c r="K35" s="176"/>
    </row>
    <row r="36" spans="1:11" s="172" customFormat="1" ht="16">
      <c r="A36" s="195" t="s">
        <v>81</v>
      </c>
      <c r="B36" s="141"/>
      <c r="C36" s="155">
        <f>'Budget Vs. Actuals Detail'!F222</f>
        <v>106.89</v>
      </c>
      <c r="D36" s="155">
        <f>('Budget Vs. Actuals Detail'!E222/12)*4</f>
        <v>1833.3333333333333</v>
      </c>
      <c r="E36" s="155">
        <f t="shared" si="2"/>
        <v>1726.4433333333332</v>
      </c>
      <c r="F36" s="155">
        <f>'Budget Vs. Actuals Detail'!E222</f>
        <v>5500</v>
      </c>
      <c r="G36" s="157">
        <f t="shared" si="1"/>
        <v>1.9434545454545454E-2</v>
      </c>
      <c r="H36" s="164"/>
      <c r="I36" s="152">
        <f>'Budget Vs. Actuals Detail'!C222</f>
        <v>703.3</v>
      </c>
      <c r="J36" s="193"/>
      <c r="K36" s="176"/>
    </row>
    <row r="37" spans="1:11" s="172" customFormat="1" ht="16">
      <c r="A37" s="195" t="s">
        <v>84</v>
      </c>
      <c r="B37" s="141"/>
      <c r="C37" s="155">
        <f>'Budget Vs. Actuals Detail'!F226</f>
        <v>18588.91</v>
      </c>
      <c r="D37" s="155">
        <f>('Budget Vs. Actuals Detail'!E226/12)*4</f>
        <v>17833.333333333332</v>
      </c>
      <c r="E37" s="155">
        <f t="shared" si="2"/>
        <v>-755.57666666666773</v>
      </c>
      <c r="F37" s="155">
        <f>'Budget Vs. Actuals Detail'!E226</f>
        <v>53500</v>
      </c>
      <c r="G37" s="157">
        <f t="shared" si="1"/>
        <v>0.34745626168224297</v>
      </c>
      <c r="H37" s="164"/>
      <c r="I37" s="152">
        <f>'Budget Vs. Actuals Detail'!C226</f>
        <v>25307.99</v>
      </c>
      <c r="J37" s="193"/>
      <c r="K37" s="176"/>
    </row>
    <row r="38" spans="1:11" s="172" customFormat="1" ht="16">
      <c r="A38" s="192" t="s">
        <v>156</v>
      </c>
      <c r="B38" s="141"/>
      <c r="C38" s="155">
        <f>'Budget Vs. Actuals Detail'!F234</f>
        <v>529458.01</v>
      </c>
      <c r="D38" s="155">
        <f>('Budget Vs. Actuals Detail'!E234/12)*4</f>
        <v>538129.33333333337</v>
      </c>
      <c r="E38" s="155">
        <f t="shared" si="2"/>
        <v>8671.3233333333628</v>
      </c>
      <c r="F38" s="155">
        <f>'Budget Vs. Actuals Detail'!E234</f>
        <v>1614388</v>
      </c>
      <c r="G38" s="157">
        <f t="shared" si="1"/>
        <v>0.32796205744839529</v>
      </c>
      <c r="H38" s="164"/>
      <c r="I38" s="152">
        <f>'Budget Vs. Actuals Detail'!C234</f>
        <v>1545293.02</v>
      </c>
      <c r="J38" s="193"/>
      <c r="K38" s="176"/>
    </row>
    <row r="39" spans="1:11" s="172" customFormat="1" ht="16">
      <c r="A39" s="192" t="s">
        <v>396</v>
      </c>
      <c r="B39" s="141"/>
      <c r="C39" s="155">
        <f>'Budget Vs. Actuals Detail'!F238</f>
        <v>24738.959999999999</v>
      </c>
      <c r="D39" s="155">
        <f>('Budget Vs. Actuals Detail'!E238/12)*4</f>
        <v>27700.666666666668</v>
      </c>
      <c r="E39" s="155">
        <f t="shared" si="2"/>
        <v>2961.7066666666688</v>
      </c>
      <c r="F39" s="155">
        <f>'Budget Vs. Actuals Detail'!E238</f>
        <v>83102</v>
      </c>
      <c r="G39" s="157">
        <f t="shared" si="1"/>
        <v>0.29769391831724867</v>
      </c>
      <c r="H39" s="164"/>
      <c r="I39" s="152">
        <f>'Budget Vs. Actuals Detail'!C238</f>
        <v>72981.38</v>
      </c>
      <c r="J39" s="193"/>
      <c r="K39" s="176"/>
    </row>
    <row r="40" spans="1:11" s="172" customFormat="1" ht="16">
      <c r="A40" s="194" t="s">
        <v>6</v>
      </c>
      <c r="B40" s="145"/>
      <c r="C40" s="146">
        <f>SUM(C13:C39)</f>
        <v>1474718.27</v>
      </c>
      <c r="D40" s="146">
        <f>SUM(D13:D39)</f>
        <v>1732989.5866666667</v>
      </c>
      <c r="E40" s="146">
        <f>SUM(E13:E39)</f>
        <v>258271.31666666665</v>
      </c>
      <c r="F40" s="180">
        <f>SUM(F13:F39)</f>
        <v>5198968.76</v>
      </c>
      <c r="G40" s="147">
        <f t="shared" si="1"/>
        <v>0.28365592064069262</v>
      </c>
      <c r="H40" s="161"/>
      <c r="I40" s="177">
        <f>SUM(I13:I39)</f>
        <v>3436410.13</v>
      </c>
      <c r="J40" s="193"/>
      <c r="K40" s="176"/>
    </row>
    <row r="41" spans="1:11" s="172" customFormat="1" ht="16">
      <c r="A41" s="192" t="s">
        <v>29</v>
      </c>
      <c r="B41" s="141"/>
      <c r="C41" s="152">
        <f>C10-C40</f>
        <v>372373.03</v>
      </c>
      <c r="D41" s="152">
        <f>D10-D40</f>
        <v>103405.6399999999</v>
      </c>
      <c r="E41" s="152">
        <f>E40-E10</f>
        <v>247575.24333333317</v>
      </c>
      <c r="F41" s="152">
        <f>F10-F40</f>
        <v>24216.919999999925</v>
      </c>
      <c r="G41" s="152"/>
      <c r="H41" s="166"/>
      <c r="I41" s="152">
        <f>I10-I40</f>
        <v>511790.74000000022</v>
      </c>
      <c r="J41" s="193"/>
      <c r="K41" s="176"/>
    </row>
    <row r="42" spans="1:11" s="172" customFormat="1" ht="3" customHeight="1">
      <c r="A42" s="196"/>
      <c r="B42" s="197"/>
      <c r="C42" s="198"/>
      <c r="D42" s="198"/>
      <c r="E42" s="198"/>
      <c r="F42" s="198"/>
      <c r="G42" s="199"/>
      <c r="H42" s="199"/>
      <c r="I42" s="198"/>
      <c r="J42" s="200"/>
      <c r="K42" s="149"/>
    </row>
  </sheetData>
  <mergeCells count="5">
    <mergeCell ref="C4:E4"/>
    <mergeCell ref="A1:I1"/>
    <mergeCell ref="A2:I2"/>
    <mergeCell ref="A3:I3"/>
    <mergeCell ref="F4:G4"/>
  </mergeCells>
  <conditionalFormatting sqref="C8:E12 C13:D22 C25:D33 E13:E39 C40:E40 I8:I9 G10:I41">
    <cfRule type="cellIs" dxfId="7" priority="30" operator="lessThan">
      <formula>0</formula>
    </cfRule>
  </conditionalFormatting>
  <conditionalFormatting sqref="C41:E41">
    <cfRule type="cellIs" dxfId="6" priority="33" operator="lessThan">
      <formula>0</formula>
    </cfRule>
  </conditionalFormatting>
  <conditionalFormatting sqref="C36:D39">
    <cfRule type="cellIs" dxfId="5" priority="21" operator="lessThan">
      <formula>0</formula>
    </cfRule>
  </conditionalFormatting>
  <conditionalFormatting sqref="C34:D35">
    <cfRule type="cellIs" dxfId="4" priority="11" operator="lessThan">
      <formula>0</formula>
    </cfRule>
  </conditionalFormatting>
  <conditionalFormatting sqref="C23:D24">
    <cfRule type="cellIs" dxfId="3" priority="7" operator="lessThan">
      <formula>0</formula>
    </cfRule>
  </conditionalFormatting>
  <conditionalFormatting sqref="C7">
    <cfRule type="cellIs" dxfId="2" priority="3" operator="lessThan">
      <formula>0</formula>
    </cfRule>
  </conditionalFormatting>
  <conditionalFormatting sqref="D7:E7">
    <cfRule type="cellIs" dxfId="1" priority="2" operator="lessThan">
      <formula>0</formula>
    </cfRule>
  </conditionalFormatting>
  <conditionalFormatting sqref="F8:F41">
    <cfRule type="cellIs" dxfId="0" priority="1" operator="lessThan">
      <formula>0</formula>
    </cfRule>
  </conditionalFormatting>
  <pageMargins left="0.5" right="0.5" top="0.5" bottom="0.5" header="0" footer="0"/>
  <pageSetup scale="91" orientation="landscape" r:id="rId1"/>
  <headerFooter>
    <oddFooter>&amp;C&amp;1#&amp;"arial"&amp;9&amp;K008000 C1 - Internal use</oddFooter>
  </headerFooter>
  <colBreaks count="1" manualBreakCount="1">
    <brk id="10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I283"/>
  <sheetViews>
    <sheetView showGridLines="0" tabSelected="1" zoomScale="120" zoomScaleNormal="120" workbookViewId="0">
      <pane xSplit="2" ySplit="6" topLeftCell="C222" activePane="bottomRight" state="frozen"/>
      <selection pane="topRight" activeCell="C1" sqref="C1"/>
      <selection pane="bottomLeft" activeCell="A7" sqref="A7"/>
      <selection pane="bottomRight" activeCell="B3" sqref="B3:G3"/>
    </sheetView>
  </sheetViews>
  <sheetFormatPr baseColWidth="10" defaultColWidth="8.83203125" defaultRowHeight="16" outlineLevelRow="1"/>
  <cols>
    <col min="1" max="1" width="1.5" style="55" customWidth="1"/>
    <col min="2" max="2" width="76.33203125" style="55" customWidth="1"/>
    <col min="3" max="3" width="32" style="55" customWidth="1"/>
    <col min="4" max="4" width="11.1640625" style="136" hidden="1" customWidth="1"/>
    <col min="5" max="7" width="20.83203125" style="136" customWidth="1"/>
    <col min="8" max="8" width="0.5" style="55" customWidth="1"/>
    <col min="9" max="9" width="54.33203125" style="55" customWidth="1"/>
    <col min="10" max="16384" width="8.83203125" style="55"/>
  </cols>
  <sheetData>
    <row r="1" spans="1:8" s="202" customFormat="1" ht="27.75" customHeight="1">
      <c r="A1" s="135"/>
      <c r="B1" s="369" t="s">
        <v>90</v>
      </c>
      <c r="C1" s="370"/>
      <c r="D1" s="370"/>
      <c r="E1" s="370"/>
      <c r="F1" s="370"/>
      <c r="G1" s="371"/>
      <c r="H1" s="135"/>
    </row>
    <row r="2" spans="1:8" s="202" customFormat="1" ht="21" customHeight="1">
      <c r="B2" s="372" t="s">
        <v>474</v>
      </c>
      <c r="C2" s="373"/>
      <c r="D2" s="373"/>
      <c r="E2" s="373"/>
      <c r="F2" s="373"/>
      <c r="G2" s="374"/>
    </row>
    <row r="3" spans="1:8" ht="24" customHeight="1">
      <c r="B3" s="375">
        <f>Indicators!B3</f>
        <v>44500</v>
      </c>
      <c r="C3" s="376"/>
      <c r="D3" s="376"/>
      <c r="E3" s="376"/>
      <c r="F3" s="376"/>
      <c r="G3" s="377"/>
    </row>
    <row r="5" spans="1:8" ht="29" customHeight="1">
      <c r="B5" s="203"/>
      <c r="C5" s="244" t="s">
        <v>502</v>
      </c>
      <c r="D5" s="245"/>
      <c r="E5" s="378" t="s">
        <v>550</v>
      </c>
      <c r="F5" s="378"/>
      <c r="G5" s="378"/>
    </row>
    <row r="6" spans="1:8" ht="51">
      <c r="B6" s="203"/>
      <c r="C6" s="246" t="s">
        <v>522</v>
      </c>
      <c r="D6" s="247" t="s">
        <v>0</v>
      </c>
      <c r="E6" s="248" t="s">
        <v>424</v>
      </c>
      <c r="F6" s="248" t="str">
        <f>'P&amp;L Summary'!C5</f>
        <v>Actuals
July 1, 21- Oct 31, 21</v>
      </c>
      <c r="G6" s="248" t="str">
        <f>'P&amp;L Summary'!G5</f>
        <v>% 
Achieved/Utilized
=33.3%</v>
      </c>
    </row>
    <row r="7" spans="1:8" ht="17">
      <c r="B7" s="204" t="s">
        <v>425</v>
      </c>
      <c r="C7" s="249">
        <v>17</v>
      </c>
      <c r="D7" s="250">
        <v>14.5</v>
      </c>
      <c r="E7" s="251">
        <v>35</v>
      </c>
      <c r="F7" s="252">
        <v>29</v>
      </c>
      <c r="G7" s="253"/>
    </row>
    <row r="8" spans="1:8" ht="17">
      <c r="B8" s="204" t="s">
        <v>426</v>
      </c>
      <c r="C8" s="249">
        <v>180</v>
      </c>
      <c r="D8" s="250">
        <v>120</v>
      </c>
      <c r="E8" s="251">
        <v>240</v>
      </c>
      <c r="F8" s="252">
        <v>240</v>
      </c>
      <c r="G8" s="253"/>
    </row>
    <row r="9" spans="1:8" ht="17">
      <c r="B9" s="205" t="s">
        <v>427</v>
      </c>
      <c r="C9" s="249">
        <v>175.78</v>
      </c>
      <c r="D9" s="250">
        <v>106</v>
      </c>
      <c r="E9" s="251">
        <v>216</v>
      </c>
      <c r="F9" s="252">
        <v>240</v>
      </c>
      <c r="G9" s="254"/>
    </row>
    <row r="10" spans="1:8" ht="34">
      <c r="B10" s="205" t="s">
        <v>428</v>
      </c>
      <c r="C10" s="249">
        <v>13.18</v>
      </c>
      <c r="D10" s="250">
        <v>1</v>
      </c>
      <c r="E10" s="251">
        <v>12</v>
      </c>
      <c r="F10" s="252">
        <v>0</v>
      </c>
      <c r="G10" s="253"/>
    </row>
    <row r="11" spans="1:8" ht="34">
      <c r="B11" s="205" t="s">
        <v>429</v>
      </c>
      <c r="C11" s="255">
        <v>3</v>
      </c>
      <c r="D11" s="250">
        <v>10</v>
      </c>
      <c r="E11" s="251">
        <v>5</v>
      </c>
      <c r="F11" s="252">
        <v>26</v>
      </c>
      <c r="G11" s="253"/>
    </row>
    <row r="12" spans="1:8" ht="17">
      <c r="B12" s="205" t="s">
        <v>430</v>
      </c>
      <c r="C12" s="256">
        <v>0.8</v>
      </c>
      <c r="D12" s="257">
        <v>0.8</v>
      </c>
      <c r="E12" s="258">
        <f t="shared" ref="E12:E15" si="0">D12</f>
        <v>0.8</v>
      </c>
      <c r="F12" s="258">
        <v>0.8</v>
      </c>
      <c r="G12" s="259"/>
    </row>
    <row r="13" spans="1:8" ht="17">
      <c r="B13" s="205" t="s">
        <v>431</v>
      </c>
      <c r="C13" s="260">
        <v>16123</v>
      </c>
      <c r="D13" s="261">
        <v>16154</v>
      </c>
      <c r="E13" s="262">
        <v>16845</v>
      </c>
      <c r="F13" s="263">
        <v>16844</v>
      </c>
      <c r="G13" s="262"/>
    </row>
    <row r="14" spans="1:8" ht="34">
      <c r="B14" s="205" t="s">
        <v>432</v>
      </c>
      <c r="C14" s="260">
        <v>10390</v>
      </c>
      <c r="D14" s="261">
        <v>10390</v>
      </c>
      <c r="E14" s="262">
        <f t="shared" si="0"/>
        <v>10390</v>
      </c>
      <c r="F14" s="263">
        <v>10390</v>
      </c>
      <c r="G14" s="262"/>
    </row>
    <row r="15" spans="1:8" ht="34">
      <c r="B15" s="205" t="s">
        <v>433</v>
      </c>
      <c r="C15" s="260">
        <v>19049</v>
      </c>
      <c r="D15" s="261">
        <v>19049</v>
      </c>
      <c r="E15" s="262">
        <f t="shared" si="0"/>
        <v>19049</v>
      </c>
      <c r="F15" s="263">
        <v>19049</v>
      </c>
      <c r="G15" s="262"/>
    </row>
    <row r="16" spans="1:8" ht="17">
      <c r="B16" s="243" t="s">
        <v>434</v>
      </c>
      <c r="C16" s="264">
        <f t="shared" ref="C16:E16" si="1">C58</f>
        <v>3948200.8699999996</v>
      </c>
      <c r="D16" s="265">
        <f t="shared" si="1"/>
        <v>3026229.8000000003</v>
      </c>
      <c r="E16" s="265">
        <f t="shared" si="1"/>
        <v>5223185.68</v>
      </c>
      <c r="F16" s="266">
        <f t="shared" ref="F16" si="2">F58</f>
        <v>1847091.3</v>
      </c>
      <c r="G16" s="267">
        <f>F16/E16</f>
        <v>0.35363309159631484</v>
      </c>
    </row>
    <row r="17" spans="2:9" ht="17">
      <c r="B17" s="243" t="s">
        <v>435</v>
      </c>
      <c r="C17" s="264">
        <f t="shared" ref="C17:E17" si="3">C239</f>
        <v>3436410.13</v>
      </c>
      <c r="D17" s="265" t="e">
        <f t="shared" si="3"/>
        <v>#VALUE!</v>
      </c>
      <c r="E17" s="265">
        <f t="shared" si="3"/>
        <v>5198968.76</v>
      </c>
      <c r="F17" s="266">
        <f t="shared" ref="F17" si="4">F239</f>
        <v>1474718.27</v>
      </c>
      <c r="G17" s="267">
        <f>F17/E17</f>
        <v>0.28365592064069262</v>
      </c>
      <c r="I17" s="206"/>
    </row>
    <row r="18" spans="2:9" ht="17">
      <c r="B18" s="243" t="s">
        <v>436</v>
      </c>
      <c r="C18" s="268">
        <f t="shared" ref="C18:E18" si="5">C16-C17</f>
        <v>511790.73999999976</v>
      </c>
      <c r="D18" s="268" t="e">
        <f t="shared" si="5"/>
        <v>#VALUE!</v>
      </c>
      <c r="E18" s="268">
        <f t="shared" si="5"/>
        <v>24216.919999999925</v>
      </c>
      <c r="F18" s="266">
        <f t="shared" ref="F18" si="6">F16-F17</f>
        <v>372373.03</v>
      </c>
      <c r="G18" s="267"/>
    </row>
    <row r="19" spans="2:9" ht="17">
      <c r="B19" s="243" t="s">
        <v>437</v>
      </c>
      <c r="C19" s="264">
        <f t="shared" ref="C19:E19" si="7">C269</f>
        <v>1238206.3199999998</v>
      </c>
      <c r="D19" s="265" t="e">
        <f t="shared" si="7"/>
        <v>#VALUE!</v>
      </c>
      <c r="E19" s="265">
        <f t="shared" si="7"/>
        <v>505178.91999999993</v>
      </c>
      <c r="F19" s="266">
        <f t="shared" ref="F19" si="8">F269</f>
        <v>491619.07000000007</v>
      </c>
      <c r="G19" s="267">
        <f t="shared" ref="G19:G74" si="9">F19/E19</f>
        <v>0.97315832180804407</v>
      </c>
    </row>
    <row r="20" spans="2:9" ht="17">
      <c r="B20" s="207" t="s">
        <v>438</v>
      </c>
      <c r="C20" s="208"/>
      <c r="D20" s="209"/>
      <c r="E20" s="210"/>
      <c r="F20" s="210"/>
      <c r="G20" s="210"/>
      <c r="I20" s="211" t="s">
        <v>512</v>
      </c>
    </row>
    <row r="21" spans="2:9" ht="17">
      <c r="B21" s="269" t="s">
        <v>172</v>
      </c>
      <c r="C21" s="270"/>
      <c r="D21" s="271"/>
      <c r="E21" s="272"/>
      <c r="F21" s="272"/>
      <c r="G21" s="272"/>
    </row>
    <row r="22" spans="2:9" ht="17">
      <c r="B22" s="269" t="s">
        <v>173</v>
      </c>
      <c r="C22" s="273">
        <f>'P&amp;L (QB)'!B8</f>
        <v>2834020.33</v>
      </c>
      <c r="D22" s="271">
        <f>D9*D13</f>
        <v>1712324</v>
      </c>
      <c r="E22" s="274">
        <v>3638520</v>
      </c>
      <c r="F22" s="275">
        <f>'P&amp;L (QB)'!D8</f>
        <v>1336290.6599999999</v>
      </c>
      <c r="G22" s="276">
        <f>F22/E22</f>
        <v>0.36726214504798654</v>
      </c>
      <c r="I22" s="212" t="s">
        <v>551</v>
      </c>
    </row>
    <row r="23" spans="2:9" ht="17">
      <c r="B23" s="269" t="s">
        <v>175</v>
      </c>
      <c r="C23" s="273">
        <f>'P&amp;L (QB)'!B9</f>
        <v>194035.25</v>
      </c>
      <c r="D23" s="271">
        <f>(D10*D14)+(D11*D15)</f>
        <v>200880</v>
      </c>
      <c r="E23" s="274">
        <v>219925</v>
      </c>
      <c r="F23" s="275">
        <f>'P&amp;L (QB)'!D9</f>
        <v>107944.34</v>
      </c>
      <c r="G23" s="276">
        <f t="shared" ref="G23:G24" si="10">F23/E23</f>
        <v>0.49082341707400251</v>
      </c>
      <c r="I23" s="212" t="s">
        <v>552</v>
      </c>
    </row>
    <row r="24" spans="2:9" ht="17">
      <c r="B24" s="269" t="s">
        <v>174</v>
      </c>
      <c r="C24" s="273">
        <f>'P&amp;L (QB)'!B10</f>
        <v>750000</v>
      </c>
      <c r="D24" s="271">
        <f>MIN(D228,D22*0.3)-125000</f>
        <v>388697.19999999995</v>
      </c>
      <c r="E24" s="274">
        <v>1000000</v>
      </c>
      <c r="F24" s="275">
        <f>'P&amp;L (QB)'!D10</f>
        <v>333333.34000000003</v>
      </c>
      <c r="G24" s="276">
        <f t="shared" si="10"/>
        <v>0.33333334000000003</v>
      </c>
      <c r="I24" s="206"/>
    </row>
    <row r="25" spans="2:9" ht="17">
      <c r="B25" s="269" t="s">
        <v>283</v>
      </c>
      <c r="C25" s="273">
        <f>'P&amp;L (QB)'!B11</f>
        <v>0</v>
      </c>
      <c r="D25" s="271">
        <f>58.25*D8</f>
        <v>6990</v>
      </c>
      <c r="E25" s="274">
        <v>12582</v>
      </c>
      <c r="F25" s="275">
        <f>'P&amp;L (QB)'!D11</f>
        <v>0</v>
      </c>
      <c r="G25" s="276"/>
      <c r="I25" s="213"/>
    </row>
    <row r="26" spans="2:9" ht="17">
      <c r="B26" s="269" t="s">
        <v>284</v>
      </c>
      <c r="C26" s="273">
        <f>'P&amp;L (QB)'!B12</f>
        <v>0</v>
      </c>
      <c r="D26" s="271">
        <f>14.98*D8</f>
        <v>1797.6000000000001</v>
      </c>
      <c r="E26" s="274">
        <v>3235.6800000000003</v>
      </c>
      <c r="F26" s="275">
        <f>'P&amp;L (QB)'!D12</f>
        <v>0</v>
      </c>
      <c r="G26" s="276"/>
    </row>
    <row r="27" spans="2:9" ht="17">
      <c r="B27" s="269" t="s">
        <v>285</v>
      </c>
      <c r="C27" s="273">
        <f>'P&amp;L (QB)'!B13</f>
        <v>0</v>
      </c>
      <c r="D27" s="277">
        <f>6.25*D8</f>
        <v>750</v>
      </c>
      <c r="E27" s="274">
        <v>1350</v>
      </c>
      <c r="F27" s="275">
        <f>'P&amp;L (QB)'!D13</f>
        <v>0</v>
      </c>
      <c r="G27" s="276"/>
    </row>
    <row r="28" spans="2:9" ht="17" hidden="1">
      <c r="B28" s="269" t="s">
        <v>286</v>
      </c>
      <c r="C28" s="273">
        <f>'P&amp;L (QB)'!B14</f>
        <v>0</v>
      </c>
      <c r="D28" s="277"/>
      <c r="E28" s="278"/>
      <c r="F28" s="275">
        <f>'P&amp;L (QB)'!D14</f>
        <v>0</v>
      </c>
      <c r="G28" s="276"/>
    </row>
    <row r="29" spans="2:9" ht="17" hidden="1">
      <c r="B29" s="269" t="s">
        <v>287</v>
      </c>
      <c r="C29" s="273">
        <f>'P&amp;L (QB)'!B15</f>
        <v>0</v>
      </c>
      <c r="D29" s="277">
        <f>185000+(450*D9)</f>
        <v>232700</v>
      </c>
      <c r="E29" s="278" t="s">
        <v>501</v>
      </c>
      <c r="F29" s="275">
        <f>'P&amp;L (QB)'!D15</f>
        <v>0</v>
      </c>
      <c r="G29" s="276"/>
    </row>
    <row r="30" spans="2:9" ht="17">
      <c r="B30" s="269" t="s">
        <v>288</v>
      </c>
      <c r="C30" s="273">
        <f>'P&amp;L (QB)'!B16</f>
        <v>0</v>
      </c>
      <c r="D30" s="277">
        <f>188*D9</f>
        <v>19928</v>
      </c>
      <c r="E30" s="278">
        <v>0</v>
      </c>
      <c r="F30" s="275">
        <f>'P&amp;L (QB)'!D16</f>
        <v>0</v>
      </c>
      <c r="G30" s="276"/>
    </row>
    <row r="31" spans="2:9" ht="17">
      <c r="B31" s="279" t="s">
        <v>171</v>
      </c>
      <c r="C31" s="280">
        <f>SUM(C21:C30)</f>
        <v>3778055.58</v>
      </c>
      <c r="D31" s="280">
        <f t="shared" ref="D31" si="11">(((((((((D21)+(D22))+(D23))+(D24))+(D25))+(D26))+(D27))+(D28))+(D29))+(D30)</f>
        <v>2564066.8000000003</v>
      </c>
      <c r="E31" s="280">
        <f>SUM(E21:E30)</f>
        <v>4875612.68</v>
      </c>
      <c r="F31" s="280">
        <f>SUM(F21:F30)</f>
        <v>1777568.34</v>
      </c>
      <c r="G31" s="281">
        <f t="shared" si="9"/>
        <v>0.36458358296008048</v>
      </c>
    </row>
    <row r="32" spans="2:9" ht="17">
      <c r="B32" s="269" t="s">
        <v>51</v>
      </c>
      <c r="C32" s="288"/>
      <c r="D32" s="277"/>
      <c r="E32" s="278"/>
      <c r="F32" s="289"/>
      <c r="G32" s="290"/>
    </row>
    <row r="33" spans="2:9" ht="17">
      <c r="B33" s="291" t="s">
        <v>289</v>
      </c>
      <c r="C33" s="292">
        <f>'P&amp;L (QB)'!B19</f>
        <v>12911</v>
      </c>
      <c r="D33" s="277"/>
      <c r="E33" s="293">
        <v>12000</v>
      </c>
      <c r="F33" s="294">
        <f>'P&amp;L (QB)'!D19</f>
        <v>0</v>
      </c>
      <c r="G33" s="295">
        <f t="shared" ref="G33:G40" si="12">F33/E33</f>
        <v>0</v>
      </c>
    </row>
    <row r="34" spans="2:9" ht="17">
      <c r="B34" s="291" t="s">
        <v>290</v>
      </c>
      <c r="C34" s="292">
        <f>'P&amp;L (QB)'!B20</f>
        <v>75854.789999999994</v>
      </c>
      <c r="D34" s="277">
        <f>D9*D12*500</f>
        <v>42400.000000000007</v>
      </c>
      <c r="E34" s="293">
        <v>86400</v>
      </c>
      <c r="F34" s="294">
        <f>'P&amp;L (QB)'!D20</f>
        <v>2998.81</v>
      </c>
      <c r="G34" s="295">
        <f t="shared" si="12"/>
        <v>3.4708449074074076E-2</v>
      </c>
      <c r="I34" s="379" t="s">
        <v>557</v>
      </c>
    </row>
    <row r="35" spans="2:9" ht="17">
      <c r="B35" s="291" t="s">
        <v>291</v>
      </c>
      <c r="C35" s="292">
        <f>'P&amp;L (QB)'!B21</f>
        <v>12119.4</v>
      </c>
      <c r="D35" s="277">
        <f>D9*D12*40</f>
        <v>3392.0000000000005</v>
      </c>
      <c r="E35" s="293">
        <v>6912</v>
      </c>
      <c r="F35" s="294">
        <f>'P&amp;L (QB)'!D21</f>
        <v>0</v>
      </c>
      <c r="G35" s="295">
        <f t="shared" si="12"/>
        <v>0</v>
      </c>
      <c r="I35" s="379"/>
    </row>
    <row r="36" spans="2:9" ht="17">
      <c r="B36" s="291" t="s">
        <v>292</v>
      </c>
      <c r="C36" s="292">
        <f>'P&amp;L (QB)'!B22</f>
        <v>10000</v>
      </c>
      <c r="D36" s="277"/>
      <c r="E36" s="293">
        <v>10000</v>
      </c>
      <c r="F36" s="294">
        <f>'P&amp;L (QB)'!D22</f>
        <v>0</v>
      </c>
      <c r="G36" s="295">
        <f t="shared" si="12"/>
        <v>0</v>
      </c>
      <c r="I36" s="379"/>
    </row>
    <row r="37" spans="2:9" ht="17">
      <c r="B37" s="291" t="s">
        <v>293</v>
      </c>
      <c r="C37" s="292">
        <f>'P&amp;L (QB)'!B23</f>
        <v>36533</v>
      </c>
      <c r="D37" s="277">
        <f>(2550*12)*90%</f>
        <v>27540</v>
      </c>
      <c r="E37" s="293">
        <v>40080</v>
      </c>
      <c r="F37" s="294">
        <f>'P&amp;L (QB)'!D23</f>
        <v>9180</v>
      </c>
      <c r="G37" s="295">
        <f t="shared" si="12"/>
        <v>0.22904191616766467</v>
      </c>
      <c r="I37" s="212"/>
    </row>
    <row r="38" spans="2:9" ht="17" hidden="1">
      <c r="B38" s="291" t="s">
        <v>294</v>
      </c>
      <c r="C38" s="292">
        <f>'P&amp;L (QB)'!B24</f>
        <v>0</v>
      </c>
      <c r="D38" s="277"/>
      <c r="E38" s="293" t="s">
        <v>501</v>
      </c>
      <c r="F38" s="294">
        <f>'P&amp;L (QB)'!D24</f>
        <v>0</v>
      </c>
      <c r="G38" s="295" t="e">
        <f t="shared" si="12"/>
        <v>#VALUE!</v>
      </c>
    </row>
    <row r="39" spans="2:9" ht="17">
      <c r="B39" s="291" t="s">
        <v>108</v>
      </c>
      <c r="C39" s="292">
        <f>'P&amp;L (QB)'!B25</f>
        <v>0</v>
      </c>
      <c r="D39" s="277">
        <v>373831</v>
      </c>
      <c r="E39" s="296">
        <v>0</v>
      </c>
      <c r="F39" s="294">
        <f>'P&amp;L (QB)'!D25</f>
        <v>0</v>
      </c>
      <c r="G39" s="295"/>
      <c r="H39" s="207"/>
    </row>
    <row r="40" spans="2:9" ht="17">
      <c r="B40" s="291" t="s">
        <v>511</v>
      </c>
      <c r="C40" s="292">
        <f>'P&amp;L (QB)'!B26</f>
        <v>8723</v>
      </c>
      <c r="D40" s="277"/>
      <c r="E40" s="278">
        <f>132781+33200</f>
        <v>165981</v>
      </c>
      <c r="F40" s="297">
        <f>'P&amp;L (QB)'!D26</f>
        <v>34560</v>
      </c>
      <c r="G40" s="276">
        <f t="shared" si="12"/>
        <v>0.2082166031051747</v>
      </c>
      <c r="H40" s="207"/>
      <c r="I40" s="55" t="s">
        <v>553</v>
      </c>
    </row>
    <row r="41" spans="2:9" ht="17">
      <c r="B41" s="279" t="s">
        <v>52</v>
      </c>
      <c r="C41" s="282">
        <f>SUM(C32:C40)</f>
        <v>156141.19</v>
      </c>
      <c r="D41" s="282">
        <f t="shared" ref="D41" si="13">(((((((D32)+(D33))+(D34))+(D35))+(D36))+(D37))+(D38))+(D39)</f>
        <v>447163</v>
      </c>
      <c r="E41" s="282">
        <f>SUM(E32:E40)</f>
        <v>321373</v>
      </c>
      <c r="F41" s="282">
        <f>SUM(F32:F40)</f>
        <v>46738.81</v>
      </c>
      <c r="G41" s="281">
        <f t="shared" si="9"/>
        <v>0.14543477516779568</v>
      </c>
    </row>
    <row r="42" spans="2:9" ht="17">
      <c r="B42" s="269" t="s">
        <v>53</v>
      </c>
      <c r="C42" s="288"/>
      <c r="D42" s="277"/>
      <c r="E42" s="278"/>
      <c r="F42" s="289"/>
      <c r="G42" s="276"/>
    </row>
    <row r="43" spans="2:9" ht="17">
      <c r="B43" s="291" t="s">
        <v>152</v>
      </c>
      <c r="C43" s="292">
        <f>'P&amp;L (QB)'!B30</f>
        <v>13643.01</v>
      </c>
      <c r="D43" s="277">
        <v>15000</v>
      </c>
      <c r="E43" s="278">
        <v>16000</v>
      </c>
      <c r="F43" s="297">
        <f>'P&amp;L (QB)'!D30</f>
        <v>2695.46</v>
      </c>
      <c r="G43" s="276">
        <f t="shared" ref="G43" si="14">F43/E43</f>
        <v>0.16846625000000001</v>
      </c>
      <c r="I43" s="212"/>
    </row>
    <row r="44" spans="2:9" ht="17">
      <c r="B44" s="269" t="s">
        <v>93</v>
      </c>
      <c r="C44" s="292">
        <f>'P&amp;L (QB)'!B31</f>
        <v>0</v>
      </c>
      <c r="D44" s="277"/>
      <c r="E44" s="278">
        <v>0</v>
      </c>
      <c r="F44" s="297">
        <f>'P&amp;L (QB)'!D31</f>
        <v>0</v>
      </c>
      <c r="G44" s="276"/>
    </row>
    <row r="45" spans="2:9" ht="17">
      <c r="B45" s="279" t="s">
        <v>54</v>
      </c>
      <c r="C45" s="280">
        <f t="shared" ref="C45:D45" si="15">C43+C44</f>
        <v>13643.01</v>
      </c>
      <c r="D45" s="280">
        <f t="shared" si="15"/>
        <v>15000</v>
      </c>
      <c r="E45" s="280">
        <f>E43+E44</f>
        <v>16000</v>
      </c>
      <c r="F45" s="280">
        <f>F43+F44</f>
        <v>2695.46</v>
      </c>
      <c r="G45" s="281">
        <f t="shared" si="9"/>
        <v>0.16846625000000001</v>
      </c>
    </row>
    <row r="46" spans="2:9" ht="17" outlineLevel="1">
      <c r="B46" s="269" t="s">
        <v>297</v>
      </c>
      <c r="C46" s="288"/>
      <c r="D46" s="277"/>
      <c r="E46" s="278"/>
      <c r="F46" s="289"/>
      <c r="G46" s="276"/>
    </row>
    <row r="47" spans="2:9" ht="17" outlineLevel="1">
      <c r="B47" s="269" t="s">
        <v>298</v>
      </c>
      <c r="C47" s="298">
        <f>'P&amp;L (QB)'!B35</f>
        <v>0</v>
      </c>
      <c r="D47" s="299"/>
      <c r="E47" s="300"/>
      <c r="F47" s="301">
        <f>'P&amp;L (QB)'!D35</f>
        <v>0</v>
      </c>
      <c r="G47" s="302"/>
    </row>
    <row r="48" spans="2:9" ht="17" outlineLevel="1">
      <c r="B48" s="279" t="s">
        <v>299</v>
      </c>
      <c r="C48" s="283">
        <f>C47</f>
        <v>0</v>
      </c>
      <c r="D48" s="283">
        <f t="shared" ref="D48" si="16">D47</f>
        <v>0</v>
      </c>
      <c r="E48" s="283">
        <v>0</v>
      </c>
      <c r="F48" s="283">
        <f>F47</f>
        <v>0</v>
      </c>
      <c r="G48" s="281"/>
    </row>
    <row r="49" spans="2:9" ht="17" outlineLevel="1">
      <c r="B49" s="269" t="s">
        <v>300</v>
      </c>
      <c r="C49" s="288"/>
      <c r="D49" s="277"/>
      <c r="E49" s="278"/>
      <c r="F49" s="289"/>
      <c r="G49" s="276"/>
    </row>
    <row r="50" spans="2:9" ht="17" outlineLevel="1">
      <c r="B50" s="269" t="s">
        <v>301</v>
      </c>
      <c r="C50" s="273">
        <f>'P&amp;L (QB)'!B38</f>
        <v>361.09</v>
      </c>
      <c r="D50" s="299">
        <v>0</v>
      </c>
      <c r="E50" s="300">
        <v>200</v>
      </c>
      <c r="F50" s="275">
        <f>'P&amp;L (QB)'!D38</f>
        <v>88.69</v>
      </c>
      <c r="G50" s="302">
        <f t="shared" ref="G50" si="17">F50/E50</f>
        <v>0.44345000000000001</v>
      </c>
    </row>
    <row r="51" spans="2:9" ht="17" outlineLevel="1">
      <c r="B51" s="279" t="s">
        <v>302</v>
      </c>
      <c r="C51" s="283">
        <f>C50</f>
        <v>361.09</v>
      </c>
      <c r="D51" s="283">
        <f t="shared" ref="D51" si="18">D50</f>
        <v>0</v>
      </c>
      <c r="E51" s="283">
        <f>E50</f>
        <v>200</v>
      </c>
      <c r="F51" s="283">
        <f>F50</f>
        <v>88.69</v>
      </c>
      <c r="G51" s="281"/>
    </row>
    <row r="52" spans="2:9" ht="17" outlineLevel="1">
      <c r="B52" s="269" t="s">
        <v>303</v>
      </c>
      <c r="C52" s="288"/>
      <c r="D52" s="277"/>
      <c r="E52" s="278"/>
      <c r="F52" s="289"/>
      <c r="G52" s="276"/>
    </row>
    <row r="53" spans="2:9" ht="34" outlineLevel="1">
      <c r="B53" s="291" t="s">
        <v>304</v>
      </c>
      <c r="C53" s="298">
        <f>'P&amp;L (QB)'!B41</f>
        <v>0</v>
      </c>
      <c r="D53" s="299"/>
      <c r="E53" s="300"/>
      <c r="F53" s="301">
        <f>'P&amp;L (QB)'!D41</f>
        <v>20000</v>
      </c>
      <c r="G53" s="302"/>
      <c r="I53" s="212" t="s">
        <v>554</v>
      </c>
    </row>
    <row r="54" spans="2:9" ht="17" hidden="1" outlineLevel="1">
      <c r="B54" s="269" t="s">
        <v>305</v>
      </c>
      <c r="C54" s="298">
        <f>'P&amp;L (QB)'!B42</f>
        <v>0</v>
      </c>
      <c r="D54" s="299"/>
      <c r="E54" s="300"/>
      <c r="F54" s="301">
        <f>'P&amp;L (QB)'!D42</f>
        <v>0</v>
      </c>
      <c r="G54" s="302"/>
    </row>
    <row r="55" spans="2:9" ht="17" outlineLevel="1">
      <c r="B55" s="269" t="s">
        <v>306</v>
      </c>
      <c r="C55" s="298">
        <f>'P&amp;L (QB)'!B43</f>
        <v>0</v>
      </c>
      <c r="D55" s="299"/>
      <c r="E55" s="300">
        <v>10000</v>
      </c>
      <c r="F55" s="303">
        <f>'P&amp;L (QB)'!D43</f>
        <v>0</v>
      </c>
      <c r="G55" s="302">
        <f t="shared" ref="G55" si="19">F55/E55</f>
        <v>0</v>
      </c>
    </row>
    <row r="56" spans="2:9" ht="17" hidden="1" outlineLevel="1">
      <c r="B56" s="207" t="s">
        <v>307</v>
      </c>
      <c r="C56" s="214">
        <v>0</v>
      </c>
      <c r="D56" s="215"/>
      <c r="E56" s="216"/>
      <c r="F56" s="217">
        <v>0</v>
      </c>
      <c r="G56" s="218"/>
    </row>
    <row r="57" spans="2:9" ht="17" outlineLevel="1">
      <c r="B57" s="279" t="s">
        <v>308</v>
      </c>
      <c r="C57" s="284">
        <f>SUM(C52:C55)</f>
        <v>0</v>
      </c>
      <c r="D57" s="284">
        <f t="shared" ref="D57" si="20">((((D52)+(D53))+(D54))+(D55))+(D56)</f>
        <v>0</v>
      </c>
      <c r="E57" s="284">
        <f>SUM(E52:E55)</f>
        <v>10000</v>
      </c>
      <c r="F57" s="284">
        <f>SUM(F52:F55)</f>
        <v>20000</v>
      </c>
      <c r="G57" s="281">
        <f t="shared" ref="G57:G59" si="21">F57/E57</f>
        <v>2</v>
      </c>
    </row>
    <row r="58" spans="2:9" ht="17">
      <c r="B58" s="279" t="s">
        <v>4</v>
      </c>
      <c r="C58" s="280">
        <f>(((((C31)+(C41))+(C45))+(C48))+(C51))+(C57)</f>
        <v>3948200.8699999996</v>
      </c>
      <c r="D58" s="280">
        <f t="shared" ref="D58:F58" si="22">(((((D31)+(D41))+(D45))+(D48))+(D51))+(D57)</f>
        <v>3026229.8000000003</v>
      </c>
      <c r="E58" s="280">
        <f>(((((E31)+(E41))+(E45))+(E48))+(E51))+(E57)</f>
        <v>5223185.68</v>
      </c>
      <c r="F58" s="280">
        <f t="shared" si="22"/>
        <v>1847091.3</v>
      </c>
      <c r="G58" s="281">
        <f t="shared" si="21"/>
        <v>0.35363309159631484</v>
      </c>
    </row>
    <row r="59" spans="2:9" ht="17">
      <c r="B59" s="207" t="s">
        <v>1</v>
      </c>
      <c r="C59" s="219">
        <f>(C58)-(0)</f>
        <v>3948200.8699999996</v>
      </c>
      <c r="D59" s="220">
        <f t="shared" ref="D59:F59" si="23">(D58)-(0)</f>
        <v>3026229.8000000003</v>
      </c>
      <c r="E59" s="221">
        <f t="shared" si="23"/>
        <v>5223185.68</v>
      </c>
      <c r="F59" s="222">
        <f t="shared" si="23"/>
        <v>1847091.3</v>
      </c>
      <c r="G59" s="223">
        <f t="shared" si="21"/>
        <v>0.35363309159631484</v>
      </c>
    </row>
    <row r="60" spans="2:9" ht="17">
      <c r="B60" s="311" t="s">
        <v>5</v>
      </c>
      <c r="C60" s="292"/>
      <c r="D60" s="305"/>
      <c r="E60" s="274"/>
      <c r="F60" s="297"/>
      <c r="G60" s="276"/>
    </row>
    <row r="61" spans="2:9">
      <c r="B61" s="304" t="s">
        <v>109</v>
      </c>
      <c r="C61" s="292"/>
      <c r="D61" s="305"/>
      <c r="E61" s="274"/>
      <c r="F61" s="297"/>
      <c r="G61" s="276"/>
    </row>
    <row r="62" spans="2:9">
      <c r="B62" s="304" t="s">
        <v>110</v>
      </c>
      <c r="C62" s="292"/>
      <c r="D62" s="305"/>
      <c r="E62" s="274"/>
      <c r="F62" s="297"/>
      <c r="G62" s="276"/>
    </row>
    <row r="63" spans="2:9">
      <c r="B63" s="304" t="s">
        <v>111</v>
      </c>
      <c r="C63" s="273">
        <f>'P&amp;L (QB)'!B60</f>
        <v>133900.07999999999</v>
      </c>
      <c r="D63" s="306" t="e">
        <v>#VALUE!</v>
      </c>
      <c r="E63" s="307">
        <v>133900.07999999999</v>
      </c>
      <c r="F63" s="275">
        <f>'P&amp;L (QB)'!D60</f>
        <v>45972.32</v>
      </c>
      <c r="G63" s="302">
        <f t="shared" ref="G63:G73" si="24">F63/E63</f>
        <v>0.34333302862851167</v>
      </c>
    </row>
    <row r="64" spans="2:9">
      <c r="B64" s="304" t="s">
        <v>524</v>
      </c>
      <c r="C64" s="273">
        <f>'P&amp;L (QB)'!B61</f>
        <v>0</v>
      </c>
      <c r="D64" s="306"/>
      <c r="E64" s="307">
        <v>90000</v>
      </c>
      <c r="F64" s="275">
        <f>'P&amp;L (QB)'!D61</f>
        <v>25909.09</v>
      </c>
      <c r="G64" s="302">
        <f t="shared" si="24"/>
        <v>0.28787877777777776</v>
      </c>
    </row>
    <row r="65" spans="2:9">
      <c r="B65" s="304" t="s">
        <v>439</v>
      </c>
      <c r="C65" s="273"/>
      <c r="D65" s="306"/>
      <c r="E65" s="307">
        <v>0</v>
      </c>
      <c r="F65" s="275"/>
      <c r="G65" s="302"/>
    </row>
    <row r="66" spans="2:9">
      <c r="B66" s="308" t="s">
        <v>176</v>
      </c>
      <c r="C66" s="273">
        <f>'P&amp;L (QB)'!B63</f>
        <v>74613.41</v>
      </c>
      <c r="D66" s="306" t="e">
        <v>#VALUE!</v>
      </c>
      <c r="E66" s="307">
        <v>83718</v>
      </c>
      <c r="F66" s="275">
        <f>'P&amp;L (QB)'!D63</f>
        <v>27906.16</v>
      </c>
      <c r="G66" s="302">
        <f t="shared" si="24"/>
        <v>0.33333524451133567</v>
      </c>
    </row>
    <row r="67" spans="2:9">
      <c r="B67" s="304" t="s">
        <v>112</v>
      </c>
      <c r="C67" s="273">
        <f>'P&amp;L (QB)'!B64</f>
        <v>76564.44</v>
      </c>
      <c r="D67" s="306" t="e">
        <v>#VALUE!</v>
      </c>
      <c r="E67" s="307">
        <v>97500</v>
      </c>
      <c r="F67" s="275">
        <f>'P&amp;L (QB)'!D64</f>
        <v>16188.55</v>
      </c>
      <c r="G67" s="302">
        <f t="shared" si="24"/>
        <v>0.16603641025641025</v>
      </c>
    </row>
    <row r="68" spans="2:9">
      <c r="B68" s="304" t="s">
        <v>525</v>
      </c>
      <c r="C68" s="273">
        <f>'P&amp;L (QB)'!B65</f>
        <v>0</v>
      </c>
      <c r="D68" s="306"/>
      <c r="E68" s="307">
        <v>110000</v>
      </c>
      <c r="F68" s="275">
        <f>'P&amp;L (QB)'!D65</f>
        <v>15340.91</v>
      </c>
      <c r="G68" s="302">
        <f t="shared" si="24"/>
        <v>0.13946281818181819</v>
      </c>
    </row>
    <row r="69" spans="2:9">
      <c r="B69" s="308" t="s">
        <v>113</v>
      </c>
      <c r="C69" s="273">
        <f>'P&amp;L (QB)'!B67</f>
        <v>55487.19</v>
      </c>
      <c r="D69" s="306" t="e">
        <v>#VALUE!</v>
      </c>
      <c r="E69" s="307">
        <v>55097</v>
      </c>
      <c r="F69" s="275">
        <f>'P&amp;L (QB)'!D67</f>
        <v>11277.79</v>
      </c>
      <c r="G69" s="302">
        <f t="shared" si="24"/>
        <v>0.20468972902335883</v>
      </c>
      <c r="I69" s="212"/>
    </row>
    <row r="70" spans="2:9">
      <c r="B70" s="304" t="s">
        <v>322</v>
      </c>
      <c r="C70" s="273">
        <f>'P&amp;L (QB)'!B68</f>
        <v>0</v>
      </c>
      <c r="D70" s="306"/>
      <c r="E70" s="307">
        <v>77000</v>
      </c>
      <c r="F70" s="275">
        <f>'P&amp;L (QB)'!D68</f>
        <v>24353.360000000001</v>
      </c>
      <c r="G70" s="302">
        <f t="shared" si="24"/>
        <v>0.31627740259740261</v>
      </c>
    </row>
    <row r="71" spans="2:9">
      <c r="B71" s="304" t="s">
        <v>323</v>
      </c>
      <c r="C71" s="273">
        <f>'P&amp;L (QB)'!B69</f>
        <v>0</v>
      </c>
      <c r="D71" s="306"/>
      <c r="E71" s="307">
        <v>0</v>
      </c>
      <c r="F71" s="275">
        <f>'P&amp;L (QB)'!D69</f>
        <v>0</v>
      </c>
      <c r="G71" s="302"/>
      <c r="H71" s="207"/>
    </row>
    <row r="72" spans="2:9">
      <c r="B72" s="304" t="s">
        <v>324</v>
      </c>
      <c r="C72" s="273">
        <f>'P&amp;L (QB)'!B70</f>
        <v>0</v>
      </c>
      <c r="D72" s="306"/>
      <c r="E72" s="307">
        <v>0</v>
      </c>
      <c r="F72" s="275">
        <f>'P&amp;L (QB)'!D70</f>
        <v>0</v>
      </c>
      <c r="G72" s="302"/>
    </row>
    <row r="73" spans="2:9" ht="34">
      <c r="B73" s="304" t="s">
        <v>325</v>
      </c>
      <c r="C73" s="273">
        <f>'P&amp;L (QB)'!B71</f>
        <v>0</v>
      </c>
      <c r="D73" s="306" t="e">
        <v>#VALUE!</v>
      </c>
      <c r="E73" s="307">
        <v>18720</v>
      </c>
      <c r="F73" s="275">
        <f>'P&amp;L (QB)'!D71</f>
        <v>0</v>
      </c>
      <c r="G73" s="302">
        <f t="shared" si="24"/>
        <v>0</v>
      </c>
      <c r="I73" s="212" t="s">
        <v>555</v>
      </c>
    </row>
    <row r="74" spans="2:9">
      <c r="B74" s="285" t="s">
        <v>114</v>
      </c>
      <c r="C74" s="283">
        <f>SUM(C62:C73)</f>
        <v>340565.12</v>
      </c>
      <c r="D74" s="283" t="e">
        <f t="shared" ref="D74" si="25">((((((((((D62)+(D63))+(D64))+(D65))+(D66))+(D67))+(D68))+(D69))+(D70))+(D71))+(D72)+D73</f>
        <v>#VALUE!</v>
      </c>
      <c r="E74" s="283">
        <f t="shared" ref="E74:F74" si="26">SUM(E62:E73)</f>
        <v>665935.07999999996</v>
      </c>
      <c r="F74" s="283">
        <f t="shared" si="26"/>
        <v>166948.18</v>
      </c>
      <c r="G74" s="286">
        <f t="shared" si="9"/>
        <v>0.25069738029118394</v>
      </c>
      <c r="I74" s="212"/>
    </row>
    <row r="75" spans="2:9">
      <c r="B75" s="304" t="s">
        <v>141</v>
      </c>
      <c r="C75" s="292"/>
      <c r="D75" s="305"/>
      <c r="E75" s="274"/>
      <c r="F75" s="297"/>
      <c r="G75" s="276"/>
    </row>
    <row r="76" spans="2:9">
      <c r="B76" s="304" t="s">
        <v>177</v>
      </c>
      <c r="C76" s="273">
        <f>'P&amp;L (QB)'!B78</f>
        <v>274765.65000000002</v>
      </c>
      <c r="D76" s="306" t="e">
        <v>#VALUE!</v>
      </c>
      <c r="E76" s="307">
        <v>629776</v>
      </c>
      <c r="F76" s="275">
        <f>'P&amp;L (QB)'!D78</f>
        <v>126940.53</v>
      </c>
      <c r="G76" s="302">
        <f t="shared" ref="G76:G82" si="27">F76/E76</f>
        <v>0.20156457216534132</v>
      </c>
    </row>
    <row r="77" spans="2:9">
      <c r="B77" s="304" t="s">
        <v>178</v>
      </c>
      <c r="C77" s="273">
        <f>'P&amp;L (QB)'!B80</f>
        <v>333908.88</v>
      </c>
      <c r="D77" s="306" t="e">
        <v>#VALUE!</v>
      </c>
      <c r="E77" s="307">
        <v>432050</v>
      </c>
      <c r="F77" s="275">
        <f>'P&amp;L (QB)'!D80</f>
        <v>136614.1</v>
      </c>
      <c r="G77" s="302">
        <f t="shared" si="27"/>
        <v>0.31619974539983797</v>
      </c>
    </row>
    <row r="78" spans="2:9">
      <c r="B78" s="304" t="s">
        <v>179</v>
      </c>
      <c r="C78" s="273">
        <f>'P&amp;L (QB)'!B83</f>
        <v>39375</v>
      </c>
      <c r="D78" s="306"/>
      <c r="E78" s="307">
        <v>134525</v>
      </c>
      <c r="F78" s="275">
        <f>'P&amp;L (QB)'!D83</f>
        <v>21854.5</v>
      </c>
      <c r="G78" s="302">
        <f t="shared" si="27"/>
        <v>0.16245679241776623</v>
      </c>
    </row>
    <row r="79" spans="2:9" s="136" customFormat="1" hidden="1">
      <c r="B79" s="309" t="s">
        <v>180</v>
      </c>
      <c r="C79" s="310">
        <f>'P&amp;L (QB)'!B84</f>
        <v>0</v>
      </c>
      <c r="D79" s="306"/>
      <c r="E79" s="307">
        <v>0</v>
      </c>
      <c r="F79" s="307">
        <f>'P&amp;L (QB)'!D84</f>
        <v>0</v>
      </c>
      <c r="G79" s="302" t="e">
        <f t="shared" si="27"/>
        <v>#DIV/0!</v>
      </c>
    </row>
    <row r="80" spans="2:9">
      <c r="B80" s="308" t="s">
        <v>181</v>
      </c>
      <c r="C80" s="273">
        <f>'P&amp;L (QB)'!B85</f>
        <v>67912.7</v>
      </c>
      <c r="D80" s="306" t="e">
        <v>#VALUE!</v>
      </c>
      <c r="E80" s="307">
        <v>170000</v>
      </c>
      <c r="F80" s="275">
        <f>'P&amp;L (QB)'!D85</f>
        <v>33250.92</v>
      </c>
      <c r="G80" s="302">
        <f t="shared" si="27"/>
        <v>0.19559364705882351</v>
      </c>
      <c r="I80" s="212"/>
    </row>
    <row r="81" spans="2:9">
      <c r="B81" s="304" t="s">
        <v>182</v>
      </c>
      <c r="C81" s="273">
        <f>'P&amp;L (QB)'!B86</f>
        <v>29917.56</v>
      </c>
      <c r="D81" s="306" t="e">
        <v>#VALUE!</v>
      </c>
      <c r="E81" s="307">
        <v>165000</v>
      </c>
      <c r="F81" s="275">
        <f>'P&amp;L (QB)'!D86</f>
        <v>39108.379999999997</v>
      </c>
      <c r="G81" s="302">
        <f t="shared" si="27"/>
        <v>0.23702048484848484</v>
      </c>
      <c r="I81" s="212"/>
    </row>
    <row r="82" spans="2:9">
      <c r="B82" s="304" t="s">
        <v>183</v>
      </c>
      <c r="C82" s="273">
        <f>'P&amp;L (QB)'!B87</f>
        <v>60000.05</v>
      </c>
      <c r="D82" s="306" t="e">
        <v>#VALUE!</v>
      </c>
      <c r="E82" s="307">
        <v>61800</v>
      </c>
      <c r="F82" s="275">
        <f>'P&amp;L (QB)'!D87</f>
        <v>16854.54</v>
      </c>
      <c r="G82" s="302">
        <f t="shared" si="27"/>
        <v>0.27272718446601946</v>
      </c>
    </row>
    <row r="83" spans="2:9">
      <c r="B83" s="285" t="s">
        <v>142</v>
      </c>
      <c r="C83" s="280">
        <f>SUM(C76:C82)</f>
        <v>805879.84000000008</v>
      </c>
      <c r="D83" s="280" t="e">
        <f>((((((D75)+(D76))+(D77))+(D78))+(D80))+(D81))+(D82)</f>
        <v>#VALUE!</v>
      </c>
      <c r="E83" s="280">
        <f>SUM(E76:E82)</f>
        <v>1593151</v>
      </c>
      <c r="F83" s="280">
        <f>SUM(F76:F82)</f>
        <v>374622.97</v>
      </c>
      <c r="G83" s="281">
        <f t="shared" ref="G83:G145" si="28">F83/E83</f>
        <v>0.23514592778713378</v>
      </c>
    </row>
    <row r="84" spans="2:9">
      <c r="B84" s="304" t="s">
        <v>334</v>
      </c>
      <c r="C84" s="292"/>
      <c r="D84" s="305"/>
      <c r="E84" s="274"/>
      <c r="F84" s="297"/>
      <c r="G84" s="276"/>
    </row>
    <row r="85" spans="2:9">
      <c r="B85" s="304" t="s">
        <v>335</v>
      </c>
      <c r="C85" s="273">
        <f>'P&amp;L (QB)'!B90</f>
        <v>0</v>
      </c>
      <c r="D85" s="306"/>
      <c r="E85" s="307">
        <v>0</v>
      </c>
      <c r="F85" s="275">
        <f>'P&amp;L (QB)'!D90</f>
        <v>0</v>
      </c>
      <c r="G85" s="302"/>
    </row>
    <row r="86" spans="2:9">
      <c r="B86" s="285" t="s">
        <v>336</v>
      </c>
      <c r="C86" s="280">
        <f>(C84)+(C85)</f>
        <v>0</v>
      </c>
      <c r="D86" s="280">
        <f>(D84)+(D85)</f>
        <v>0</v>
      </c>
      <c r="E86" s="280">
        <v>0</v>
      </c>
      <c r="F86" s="280">
        <f>(F84)+(F85)</f>
        <v>0</v>
      </c>
      <c r="G86" s="287"/>
    </row>
    <row r="87" spans="2:9" ht="17">
      <c r="B87" s="269" t="s">
        <v>115</v>
      </c>
      <c r="C87" s="292"/>
      <c r="D87" s="305"/>
      <c r="E87" s="274"/>
      <c r="F87" s="297"/>
      <c r="G87" s="276"/>
    </row>
    <row r="88" spans="2:9" ht="17">
      <c r="B88" s="269" t="s">
        <v>337</v>
      </c>
      <c r="C88" s="292">
        <f>'P&amp;L (QB)'!B93</f>
        <v>0</v>
      </c>
      <c r="D88" s="305"/>
      <c r="E88" s="274"/>
      <c r="F88" s="297">
        <f>'P&amp;L (QB)'!D93</f>
        <v>0</v>
      </c>
      <c r="G88" s="276"/>
    </row>
    <row r="89" spans="2:9" ht="17">
      <c r="B89" s="269" t="s">
        <v>116</v>
      </c>
      <c r="C89" s="273">
        <f>'P&amp;L (QB)'!B94</f>
        <v>12668.96</v>
      </c>
      <c r="D89" s="306" t="e">
        <f>(D$74+D$83+D$86)*1%</f>
        <v>#VALUE!</v>
      </c>
      <c r="E89" s="307">
        <v>33886</v>
      </c>
      <c r="F89" s="275">
        <f>'P&amp;L (QB)'!D94</f>
        <v>11289.57</v>
      </c>
      <c r="G89" s="302">
        <f t="shared" ref="G89:G98" si="29">F89/E89</f>
        <v>0.33316325326093371</v>
      </c>
    </row>
    <row r="90" spans="2:9" ht="17">
      <c r="B90" s="269" t="s">
        <v>117</v>
      </c>
      <c r="C90" s="273">
        <f>'P&amp;L (QB)'!B95</f>
        <v>79017.75</v>
      </c>
      <c r="D90" s="306" t="e">
        <f>(D$74+D$83+D$86)*6.2%</f>
        <v>#VALUE!</v>
      </c>
      <c r="E90" s="307">
        <f>140063+1</f>
        <v>140064</v>
      </c>
      <c r="F90" s="275">
        <f>'P&amp;L (QB)'!D95</f>
        <v>32719.439999999999</v>
      </c>
      <c r="G90" s="302">
        <f t="shared" si="29"/>
        <v>0.23360349554489376</v>
      </c>
    </row>
    <row r="91" spans="2:9" ht="17">
      <c r="B91" s="269" t="s">
        <v>118</v>
      </c>
      <c r="C91" s="273">
        <f>'P&amp;L (QB)'!B96</f>
        <v>7914.86</v>
      </c>
      <c r="D91" s="306" t="e">
        <f>(D$74+D$83+D$86)*1.45%</f>
        <v>#VALUE!</v>
      </c>
      <c r="E91" s="307">
        <v>32757</v>
      </c>
      <c r="F91" s="275">
        <f>'P&amp;L (QB)'!D96</f>
        <v>7652.1</v>
      </c>
      <c r="G91" s="302">
        <f t="shared" si="29"/>
        <v>0.23360197820313217</v>
      </c>
    </row>
    <row r="92" spans="2:9" ht="17" hidden="1" outlineLevel="1">
      <c r="B92" s="269" t="s">
        <v>119</v>
      </c>
      <c r="C92" s="273"/>
      <c r="D92" s="306"/>
      <c r="E92" s="307">
        <v>0</v>
      </c>
      <c r="F92" s="275"/>
      <c r="G92" s="302" t="e">
        <f t="shared" si="29"/>
        <v>#DIV/0!</v>
      </c>
    </row>
    <row r="93" spans="2:9" ht="17" hidden="1" outlineLevel="1">
      <c r="B93" s="269" t="s">
        <v>120</v>
      </c>
      <c r="C93" s="273"/>
      <c r="D93" s="306"/>
      <c r="E93" s="307">
        <v>0</v>
      </c>
      <c r="F93" s="275"/>
      <c r="G93" s="302" t="e">
        <f t="shared" si="29"/>
        <v>#DIV/0!</v>
      </c>
    </row>
    <row r="94" spans="2:9" ht="17" hidden="1" outlineLevel="1">
      <c r="B94" s="269" t="s">
        <v>121</v>
      </c>
      <c r="C94" s="273"/>
      <c r="D94" s="306"/>
      <c r="E94" s="307">
        <v>0</v>
      </c>
      <c r="F94" s="275"/>
      <c r="G94" s="302" t="e">
        <f t="shared" si="29"/>
        <v>#DIV/0!</v>
      </c>
    </row>
    <row r="95" spans="2:9" ht="17" hidden="1" outlineLevel="1">
      <c r="B95" s="269" t="s">
        <v>122</v>
      </c>
      <c r="C95" s="273"/>
      <c r="D95" s="306"/>
      <c r="E95" s="307">
        <v>0</v>
      </c>
      <c r="F95" s="275"/>
      <c r="G95" s="302" t="e">
        <f t="shared" si="29"/>
        <v>#DIV/0!</v>
      </c>
    </row>
    <row r="96" spans="2:9" ht="17" hidden="1" outlineLevel="1">
      <c r="B96" s="269" t="s">
        <v>123</v>
      </c>
      <c r="C96" s="273"/>
      <c r="D96" s="306"/>
      <c r="E96" s="307">
        <v>0</v>
      </c>
      <c r="F96" s="275"/>
      <c r="G96" s="302" t="e">
        <f t="shared" si="29"/>
        <v>#DIV/0!</v>
      </c>
    </row>
    <row r="97" spans="2:7" ht="17" collapsed="1">
      <c r="B97" s="269" t="s">
        <v>124</v>
      </c>
      <c r="C97" s="273">
        <f>'P&amp;L (QB)'!B102</f>
        <v>288.68</v>
      </c>
      <c r="D97" s="306">
        <v>1000</v>
      </c>
      <c r="E97" s="307">
        <v>4518</v>
      </c>
      <c r="F97" s="275">
        <f>'P&amp;L (QB)'!D102</f>
        <v>0</v>
      </c>
      <c r="G97" s="302">
        <f t="shared" si="29"/>
        <v>0</v>
      </c>
    </row>
    <row r="98" spans="2:7" ht="17" hidden="1">
      <c r="B98" s="269" t="s">
        <v>338</v>
      </c>
      <c r="C98" s="292"/>
      <c r="D98" s="305"/>
      <c r="E98" s="274">
        <v>0</v>
      </c>
      <c r="F98" s="297"/>
      <c r="G98" s="276" t="e">
        <f t="shared" si="29"/>
        <v>#DIV/0!</v>
      </c>
    </row>
    <row r="99" spans="2:7" ht="17">
      <c r="B99" s="269" t="s">
        <v>125</v>
      </c>
      <c r="C99" s="273">
        <f>'P&amp;L (QB)'!B104</f>
        <v>388.95</v>
      </c>
      <c r="D99" s="306">
        <v>0</v>
      </c>
      <c r="E99" s="307">
        <v>0</v>
      </c>
      <c r="F99" s="275">
        <f>'P&amp;L (QB)'!D104</f>
        <v>0</v>
      </c>
      <c r="G99" s="307"/>
    </row>
    <row r="100" spans="2:7" ht="17">
      <c r="B100" s="279" t="s">
        <v>126</v>
      </c>
      <c r="C100" s="280">
        <f>SUM(C88:C99)</f>
        <v>100279.19999999998</v>
      </c>
      <c r="D100" s="280" t="e">
        <f t="shared" ref="D100" si="30">((((((((((((D87)+(D88))+(D89))+(D90))+(D91))+(D92))+(D93))+(D94))+(D95))+(D96))+(D97))+(D98))+(D99)</f>
        <v>#VALUE!</v>
      </c>
      <c r="E100" s="280">
        <f t="shared" ref="E100:F100" si="31">SUM(E88:E99)</f>
        <v>211225</v>
      </c>
      <c r="F100" s="280">
        <f t="shared" si="31"/>
        <v>51661.109999999993</v>
      </c>
      <c r="G100" s="281">
        <f t="shared" si="28"/>
        <v>0.24457857734643149</v>
      </c>
    </row>
    <row r="101" spans="2:7" ht="17">
      <c r="B101" s="269" t="s">
        <v>127</v>
      </c>
      <c r="C101" s="292"/>
      <c r="D101" s="305"/>
      <c r="E101" s="274"/>
      <c r="F101" s="297"/>
      <c r="G101" s="276"/>
    </row>
    <row r="102" spans="2:7" ht="17">
      <c r="B102" s="269" t="s">
        <v>128</v>
      </c>
      <c r="C102" s="273">
        <f>'P&amp;L (QB)'!B107+'P&amp;L (QB)'!B108+'P&amp;L (QB)'!B109</f>
        <v>116916.35</v>
      </c>
      <c r="D102" s="305">
        <v>91590.796999999991</v>
      </c>
      <c r="E102" s="307">
        <v>217835</v>
      </c>
      <c r="F102" s="297">
        <f>'P&amp;L (QB)'!D107+'P&amp;L (QB)'!D108+'P&amp;L (QB)'!D109</f>
        <v>48583.43</v>
      </c>
      <c r="G102" s="276">
        <f t="shared" ref="G102:G108" si="32">F102/E102</f>
        <v>0.22302857667500631</v>
      </c>
    </row>
    <row r="103" spans="2:7" ht="17" hidden="1">
      <c r="B103" s="269" t="s">
        <v>129</v>
      </c>
      <c r="C103" s="273"/>
      <c r="D103" s="306"/>
      <c r="E103" s="307" t="s">
        <v>501</v>
      </c>
      <c r="F103" s="275"/>
      <c r="G103" s="302" t="e">
        <f t="shared" si="32"/>
        <v>#VALUE!</v>
      </c>
    </row>
    <row r="104" spans="2:7" ht="17" hidden="1">
      <c r="B104" s="269" t="s">
        <v>146</v>
      </c>
      <c r="C104" s="292"/>
      <c r="D104" s="305"/>
      <c r="E104" s="274" t="s">
        <v>501</v>
      </c>
      <c r="F104" s="297"/>
      <c r="G104" s="276" t="e">
        <f t="shared" si="32"/>
        <v>#VALUE!</v>
      </c>
    </row>
    <row r="105" spans="2:7" ht="17">
      <c r="B105" s="291" t="s">
        <v>130</v>
      </c>
      <c r="C105" s="273">
        <f>'P&amp;L (QB)'!B110</f>
        <v>11341.01</v>
      </c>
      <c r="D105" s="306">
        <v>10368</v>
      </c>
      <c r="E105" s="307">
        <v>33886</v>
      </c>
      <c r="F105" s="275">
        <f>'P&amp;L (QB)'!D110</f>
        <v>0</v>
      </c>
      <c r="G105" s="302">
        <f t="shared" si="32"/>
        <v>0</v>
      </c>
    </row>
    <row r="106" spans="2:7" ht="17">
      <c r="B106" s="269" t="s">
        <v>440</v>
      </c>
      <c r="C106" s="273">
        <f>'P&amp;L (QB)'!B111+'P&amp;L (QB)'!B115+'P&amp;L (QB)'!B116+'P&amp;L (QB)'!B117+'P&amp;L (QB)'!B118+'P&amp;L (QB)'!B114</f>
        <v>11292.66</v>
      </c>
      <c r="D106" s="305">
        <v>10600.962000000001</v>
      </c>
      <c r="E106" s="307">
        <v>25047</v>
      </c>
      <c r="F106" s="297">
        <f>'P&amp;L (QB)'!D111+'P&amp;L (QB)'!D115+'P&amp;L (QB)'!D116+'P&amp;L (QB)'!D117+'P&amp;L (QB)'!D118+'P&amp;L (QB)'!D114</f>
        <v>5382.45</v>
      </c>
      <c r="G106" s="276">
        <f t="shared" si="32"/>
        <v>0.21489399928135106</v>
      </c>
    </row>
    <row r="107" spans="2:7" ht="17" hidden="1">
      <c r="B107" s="269" t="s">
        <v>339</v>
      </c>
      <c r="C107" s="292"/>
      <c r="D107" s="305"/>
      <c r="E107" s="274"/>
      <c r="F107" s="297"/>
      <c r="G107" s="276" t="e">
        <f t="shared" si="32"/>
        <v>#DIV/0!</v>
      </c>
    </row>
    <row r="108" spans="2:7" ht="17" hidden="1">
      <c r="B108" s="269" t="s">
        <v>159</v>
      </c>
      <c r="C108" s="292">
        <f>'P&amp;L (QB)'!B113</f>
        <v>0</v>
      </c>
      <c r="D108" s="305"/>
      <c r="E108" s="274"/>
      <c r="F108" s="297">
        <f>'P&amp;L (QB)'!D113</f>
        <v>0</v>
      </c>
      <c r="G108" s="276" t="e">
        <f t="shared" si="32"/>
        <v>#DIV/0!</v>
      </c>
    </row>
    <row r="109" spans="2:7" ht="17">
      <c r="B109" s="269" t="s">
        <v>503</v>
      </c>
      <c r="C109" s="292">
        <f>'P&amp;L (QB)'!B119</f>
        <v>0</v>
      </c>
      <c r="D109" s="305"/>
      <c r="E109" s="274"/>
      <c r="F109" s="297"/>
      <c r="G109" s="276"/>
    </row>
    <row r="110" spans="2:7" ht="17">
      <c r="B110" s="279" t="s">
        <v>131</v>
      </c>
      <c r="C110" s="280">
        <f>SUM(C101:C109)</f>
        <v>139550.01999999999</v>
      </c>
      <c r="D110" s="280">
        <f t="shared" ref="D110" si="33">(((((((D101)+(D102))+(D103))+(D104))+(D105))+(D106))+(D107))+(D108)</f>
        <v>112559.75899999999</v>
      </c>
      <c r="E110" s="280">
        <f t="shared" ref="E110:F110" si="34">SUM(E101:E109)</f>
        <v>276768</v>
      </c>
      <c r="F110" s="280">
        <f t="shared" si="34"/>
        <v>53965.88</v>
      </c>
      <c r="G110" s="281">
        <f t="shared" si="28"/>
        <v>0.19498598103827031</v>
      </c>
    </row>
    <row r="111" spans="2:7" ht="17">
      <c r="B111" s="269" t="s">
        <v>345</v>
      </c>
      <c r="C111" s="292"/>
      <c r="D111" s="305"/>
      <c r="E111" s="274"/>
      <c r="F111" s="297"/>
      <c r="G111" s="276"/>
    </row>
    <row r="112" spans="2:7" ht="17">
      <c r="B112" s="269" t="s">
        <v>346</v>
      </c>
      <c r="C112" s="292">
        <f>'P&amp;L (QB)'!B122</f>
        <v>0</v>
      </c>
      <c r="D112" s="305"/>
      <c r="E112" s="274">
        <v>0</v>
      </c>
      <c r="F112" s="297">
        <f>'P&amp;L (QB)'!D122</f>
        <v>0</v>
      </c>
      <c r="G112" s="276"/>
    </row>
    <row r="113" spans="2:9" ht="17">
      <c r="B113" s="269" t="s">
        <v>347</v>
      </c>
      <c r="C113" s="292">
        <f>'P&amp;L (QB)'!B123</f>
        <v>0</v>
      </c>
      <c r="D113" s="306"/>
      <c r="E113" s="307">
        <v>0</v>
      </c>
      <c r="F113" s="297">
        <f>'P&amp;L (QB)'!D123</f>
        <v>0</v>
      </c>
      <c r="G113" s="302"/>
    </row>
    <row r="114" spans="2:9" ht="17">
      <c r="B114" s="269" t="s">
        <v>348</v>
      </c>
      <c r="C114" s="292">
        <f>'P&amp;L (QB)'!B124</f>
        <v>0</v>
      </c>
      <c r="D114" s="305"/>
      <c r="E114" s="274">
        <v>0</v>
      </c>
      <c r="F114" s="297">
        <f>'P&amp;L (QB)'!D124</f>
        <v>0</v>
      </c>
      <c r="G114" s="276"/>
    </row>
    <row r="115" spans="2:9" ht="17">
      <c r="B115" s="279" t="s">
        <v>349</v>
      </c>
      <c r="C115" s="280">
        <f>(((C111)+(C112))+(C113))+(C114)</f>
        <v>0</v>
      </c>
      <c r="D115" s="280">
        <f>(((D111)+(D112))+(D113))+(D114)</f>
        <v>0</v>
      </c>
      <c r="E115" s="280">
        <f t="shared" ref="E115:F115" si="35">(((E111)+(E112))+(E113))+(E114)</f>
        <v>0</v>
      </c>
      <c r="F115" s="280">
        <f t="shared" si="35"/>
        <v>0</v>
      </c>
      <c r="G115" s="281"/>
    </row>
    <row r="116" spans="2:9" ht="17">
      <c r="B116" s="279" t="s">
        <v>132</v>
      </c>
      <c r="C116" s="280">
        <f t="shared" ref="C116:D116" si="36">((((((C61)+(C74))+(C83))+(C86))+(C100))+(C110))+(C115)</f>
        <v>1386274.18</v>
      </c>
      <c r="D116" s="280" t="e">
        <f t="shared" si="36"/>
        <v>#VALUE!</v>
      </c>
      <c r="E116" s="280">
        <f t="shared" ref="E116:F116" si="37">((((((E61)+(E74))+(E83))+(E86))+(E100))+(E110))+(E115)</f>
        <v>2747079.08</v>
      </c>
      <c r="F116" s="280">
        <f t="shared" si="37"/>
        <v>647198.1399999999</v>
      </c>
      <c r="G116" s="281">
        <f t="shared" si="28"/>
        <v>0.23559501607066946</v>
      </c>
      <c r="I116" s="224"/>
    </row>
    <row r="117" spans="2:9" ht="17">
      <c r="B117" s="269" t="s">
        <v>55</v>
      </c>
      <c r="C117" s="292"/>
      <c r="D117" s="305"/>
      <c r="E117" s="274"/>
      <c r="F117" s="297"/>
      <c r="G117" s="276"/>
    </row>
    <row r="118" spans="2:9" ht="17">
      <c r="B118" s="269" t="s">
        <v>56</v>
      </c>
      <c r="C118" s="292">
        <f>'P&amp;L (QB)'!B128</f>
        <v>28250</v>
      </c>
      <c r="D118" s="305">
        <v>23000</v>
      </c>
      <c r="E118" s="307">
        <v>23000</v>
      </c>
      <c r="F118" s="297">
        <f>'P&amp;L (QB)'!D128</f>
        <v>0</v>
      </c>
      <c r="G118" s="276">
        <f t="shared" ref="G118:G130" si="38">F118/E118</f>
        <v>0</v>
      </c>
    </row>
    <row r="119" spans="2:9" ht="17">
      <c r="B119" s="269" t="s">
        <v>57</v>
      </c>
      <c r="C119" s="292">
        <f>'P&amp;L (QB)'!B129</f>
        <v>17535</v>
      </c>
      <c r="D119" s="306">
        <v>26460</v>
      </c>
      <c r="E119" s="307">
        <v>42840</v>
      </c>
      <c r="F119" s="297">
        <f>'P&amp;L (QB)'!D129</f>
        <v>10935.32</v>
      </c>
      <c r="G119" s="302">
        <f t="shared" si="38"/>
        <v>0.25525957049486458</v>
      </c>
    </row>
    <row r="120" spans="2:9" ht="34">
      <c r="B120" s="269" t="s">
        <v>58</v>
      </c>
      <c r="C120" s="292">
        <f>'P&amp;L (QB)'!B130</f>
        <v>75699.5</v>
      </c>
      <c r="D120" s="306">
        <f>127530-D124-7500-39530</f>
        <v>70000</v>
      </c>
      <c r="E120" s="307">
        <v>25000</v>
      </c>
      <c r="F120" s="297">
        <f>'P&amp;L (QB)'!D130</f>
        <v>32385.75</v>
      </c>
      <c r="G120" s="302">
        <f t="shared" si="38"/>
        <v>1.2954300000000001</v>
      </c>
      <c r="I120" s="212" t="s">
        <v>559</v>
      </c>
    </row>
    <row r="121" spans="2:9" ht="17">
      <c r="B121" s="269" t="s">
        <v>59</v>
      </c>
      <c r="C121" s="292">
        <f>'P&amp;L (QB)'!B131</f>
        <v>0</v>
      </c>
      <c r="D121" s="306">
        <v>10000</v>
      </c>
      <c r="E121" s="307">
        <v>10000</v>
      </c>
      <c r="F121" s="297">
        <f>'P&amp;L (QB)'!D131</f>
        <v>0</v>
      </c>
      <c r="G121" s="302">
        <f t="shared" si="38"/>
        <v>0</v>
      </c>
    </row>
    <row r="122" spans="2:9" ht="17" hidden="1">
      <c r="B122" s="269" t="s">
        <v>350</v>
      </c>
      <c r="C122" s="292">
        <f>'P&amp;L (QB)'!B132</f>
        <v>0</v>
      </c>
      <c r="D122" s="305"/>
      <c r="E122" s="274">
        <v>0</v>
      </c>
      <c r="F122" s="297">
        <f>'P&amp;L (QB)'!D132</f>
        <v>0</v>
      </c>
      <c r="G122" s="276" t="e">
        <f t="shared" si="38"/>
        <v>#DIV/0!</v>
      </c>
    </row>
    <row r="123" spans="2:9" ht="17" hidden="1">
      <c r="B123" s="269" t="s">
        <v>351</v>
      </c>
      <c r="C123" s="292">
        <f>'P&amp;L (QB)'!B133</f>
        <v>0</v>
      </c>
      <c r="D123" s="305"/>
      <c r="E123" s="274">
        <v>0</v>
      </c>
      <c r="F123" s="297">
        <f>'P&amp;L (QB)'!D133</f>
        <v>0</v>
      </c>
      <c r="G123" s="276" t="e">
        <f t="shared" si="38"/>
        <v>#DIV/0!</v>
      </c>
    </row>
    <row r="124" spans="2:9" ht="17">
      <c r="B124" s="269" t="s">
        <v>153</v>
      </c>
      <c r="C124" s="292">
        <f>'P&amp;L (QB)'!B134</f>
        <v>6775</v>
      </c>
      <c r="D124" s="305">
        <f>5500+5000</f>
        <v>10500</v>
      </c>
      <c r="E124" s="307">
        <v>4500</v>
      </c>
      <c r="F124" s="297">
        <f>'P&amp;L (QB)'!D134</f>
        <v>5665</v>
      </c>
      <c r="G124" s="276">
        <f t="shared" si="38"/>
        <v>1.2588888888888889</v>
      </c>
      <c r="I124" s="55" t="s">
        <v>513</v>
      </c>
    </row>
    <row r="125" spans="2:9" ht="17">
      <c r="B125" s="269" t="s">
        <v>60</v>
      </c>
      <c r="C125" s="292">
        <f>'P&amp;L (QB)'!B135</f>
        <v>6000</v>
      </c>
      <c r="D125" s="305">
        <v>6000</v>
      </c>
      <c r="E125" s="307">
        <v>6000</v>
      </c>
      <c r="F125" s="297">
        <f>'P&amp;L (QB)'!D135</f>
        <v>1500</v>
      </c>
      <c r="G125" s="276">
        <f t="shared" si="38"/>
        <v>0.25</v>
      </c>
      <c r="I125" s="55" t="s">
        <v>513</v>
      </c>
    </row>
    <row r="126" spans="2:9" ht="17">
      <c r="B126" s="269" t="s">
        <v>94</v>
      </c>
      <c r="C126" s="292">
        <f>'P&amp;L (QB)'!B136</f>
        <v>0</v>
      </c>
      <c r="D126" s="305"/>
      <c r="E126" s="307">
        <v>0</v>
      </c>
      <c r="F126" s="297">
        <f>'P&amp;L (QB)'!D136</f>
        <v>0</v>
      </c>
      <c r="G126" s="276"/>
    </row>
    <row r="127" spans="2:9" ht="17">
      <c r="B127" s="291" t="s">
        <v>352</v>
      </c>
      <c r="C127" s="292">
        <f>'P&amp;L (QB)'!B137</f>
        <v>0</v>
      </c>
      <c r="D127" s="305"/>
      <c r="E127" s="307">
        <v>10000</v>
      </c>
      <c r="F127" s="297">
        <f>'P&amp;L (QB)'!D137</f>
        <v>128.47</v>
      </c>
      <c r="G127" s="276">
        <f t="shared" si="38"/>
        <v>1.2846999999999999E-2</v>
      </c>
    </row>
    <row r="128" spans="2:9" ht="17">
      <c r="B128" s="312" t="s">
        <v>353</v>
      </c>
      <c r="C128" s="292">
        <f>'P&amp;L (QB)'!B138</f>
        <v>4000</v>
      </c>
      <c r="D128" s="313"/>
      <c r="E128" s="307">
        <v>33500</v>
      </c>
      <c r="F128" s="297">
        <f>'P&amp;L (QB)'!D138</f>
        <v>16000</v>
      </c>
      <c r="G128" s="276">
        <f t="shared" si="38"/>
        <v>0.47761194029850745</v>
      </c>
      <c r="I128" s="55" t="s">
        <v>558</v>
      </c>
    </row>
    <row r="129" spans="2:9" ht="17">
      <c r="B129" s="269" t="s">
        <v>354</v>
      </c>
      <c r="C129" s="292">
        <f>'P&amp;L (QB)'!B139</f>
        <v>0</v>
      </c>
      <c r="D129" s="305">
        <f>4500</f>
        <v>4500</v>
      </c>
      <c r="E129" s="307">
        <v>0</v>
      </c>
      <c r="F129" s="297">
        <f>'P&amp;L (QB)'!D139</f>
        <v>0</v>
      </c>
      <c r="G129" s="276"/>
    </row>
    <row r="130" spans="2:9" ht="17">
      <c r="B130" s="269" t="s">
        <v>184</v>
      </c>
      <c r="C130" s="292">
        <f>'P&amp;L (QB)'!B140</f>
        <v>0</v>
      </c>
      <c r="D130" s="305">
        <v>2500</v>
      </c>
      <c r="E130" s="307">
        <v>2500</v>
      </c>
      <c r="F130" s="297">
        <f>'P&amp;L (QB)'!D140</f>
        <v>0</v>
      </c>
      <c r="G130" s="276">
        <f t="shared" si="38"/>
        <v>0</v>
      </c>
    </row>
    <row r="131" spans="2:9" ht="17">
      <c r="B131" s="314" t="s">
        <v>61</v>
      </c>
      <c r="C131" s="292">
        <f>'P&amp;L (QB)'!B141</f>
        <v>651.04</v>
      </c>
      <c r="D131" s="305">
        <f>103000-93000+25000</f>
        <v>35000</v>
      </c>
      <c r="E131" s="307">
        <v>0</v>
      </c>
      <c r="F131" s="297">
        <f>'P&amp;L (QB)'!D141</f>
        <v>0</v>
      </c>
      <c r="G131" s="276"/>
    </row>
    <row r="132" spans="2:9" ht="17">
      <c r="B132" s="279" t="s">
        <v>62</v>
      </c>
      <c r="C132" s="280">
        <f>SUM(C118:C131)</f>
        <v>138910.54</v>
      </c>
      <c r="D132" s="280">
        <f t="shared" ref="D132" si="39">(((((((((((((D117)+(D118))+(D119))+(D120))+(D121))+(D122))+(D123))+(D124))+(D125))+(D126))+(D127))+(D129))+(D130))+(D131)</f>
        <v>187960</v>
      </c>
      <c r="E132" s="280">
        <f t="shared" ref="E132:F132" si="40">SUM(E118:E131)</f>
        <v>157340</v>
      </c>
      <c r="F132" s="280">
        <f t="shared" si="40"/>
        <v>66614.540000000008</v>
      </c>
      <c r="G132" s="281">
        <f t="shared" si="28"/>
        <v>0.42337956018812767</v>
      </c>
    </row>
    <row r="133" spans="2:9" ht="17">
      <c r="B133" s="269" t="s">
        <v>63</v>
      </c>
      <c r="C133" s="292"/>
      <c r="D133" s="305"/>
      <c r="E133" s="274"/>
      <c r="F133" s="297"/>
      <c r="G133" s="276"/>
    </row>
    <row r="134" spans="2:9" ht="17">
      <c r="B134" s="269" t="s">
        <v>95</v>
      </c>
      <c r="C134" s="292">
        <f>'P&amp;L (QB)'!B144</f>
        <v>0</v>
      </c>
      <c r="D134" s="305">
        <v>1000</v>
      </c>
      <c r="E134" s="307">
        <v>1200</v>
      </c>
      <c r="F134" s="297">
        <f>'P&amp;L (QB)'!D144</f>
        <v>156</v>
      </c>
      <c r="G134" s="276">
        <f t="shared" ref="G134:G135" si="41">F134/E134</f>
        <v>0.13</v>
      </c>
    </row>
    <row r="135" spans="2:9" ht="17">
      <c r="B135" s="269" t="s">
        <v>185</v>
      </c>
      <c r="C135" s="292">
        <f>'P&amp;L (QB)'!B145</f>
        <v>0</v>
      </c>
      <c r="D135" s="305">
        <v>7500</v>
      </c>
      <c r="E135" s="307">
        <v>20000</v>
      </c>
      <c r="F135" s="297">
        <f>'P&amp;L (QB)'!D145</f>
        <v>2000</v>
      </c>
      <c r="G135" s="276">
        <f t="shared" si="41"/>
        <v>0.1</v>
      </c>
    </row>
    <row r="136" spans="2:9" ht="17">
      <c r="B136" s="279" t="s">
        <v>64</v>
      </c>
      <c r="C136" s="280">
        <f>SUM(C134:C135)</f>
        <v>0</v>
      </c>
      <c r="D136" s="280">
        <f t="shared" ref="D136" si="42">((D133)+(D134))+(D135)</f>
        <v>8500</v>
      </c>
      <c r="E136" s="280">
        <f t="shared" ref="E136:F136" si="43">SUM(E134:E135)</f>
        <v>21200</v>
      </c>
      <c r="F136" s="280">
        <f t="shared" si="43"/>
        <v>2156</v>
      </c>
      <c r="G136" s="281">
        <f t="shared" si="28"/>
        <v>0.10169811320754717</v>
      </c>
    </row>
    <row r="137" spans="2:9" ht="17">
      <c r="B137" s="269" t="s">
        <v>143</v>
      </c>
      <c r="C137" s="292"/>
      <c r="D137" s="305"/>
      <c r="E137" s="274"/>
      <c r="F137" s="297"/>
      <c r="G137" s="276"/>
    </row>
    <row r="138" spans="2:9" ht="17">
      <c r="B138" s="315" t="s">
        <v>144</v>
      </c>
      <c r="C138" s="316">
        <f>'P&amp;L (QB)'!B148</f>
        <v>17783.04</v>
      </c>
      <c r="D138" s="305">
        <f>250*D8</f>
        <v>30000</v>
      </c>
      <c r="E138" s="306">
        <v>44400</v>
      </c>
      <c r="F138" s="316">
        <f>'P&amp;L (QB)'!D148</f>
        <v>22999.77</v>
      </c>
      <c r="G138" s="317">
        <f t="shared" ref="G138:G143" si="44">F138/E138</f>
        <v>0.5180128378378378</v>
      </c>
    </row>
    <row r="139" spans="2:9" ht="17">
      <c r="B139" s="269" t="s">
        <v>186</v>
      </c>
      <c r="C139" s="292">
        <f>'P&amp;L (QB)'!B149</f>
        <v>44.5</v>
      </c>
      <c r="D139" s="305">
        <f>1000*4</f>
        <v>4000</v>
      </c>
      <c r="E139" s="307">
        <v>5200</v>
      </c>
      <c r="F139" s="297">
        <f>'P&amp;L (QB)'!D149</f>
        <v>909.64</v>
      </c>
      <c r="G139" s="276">
        <f t="shared" si="44"/>
        <v>0.17493076923076922</v>
      </c>
    </row>
    <row r="140" spans="2:9" ht="17">
      <c r="B140" s="269" t="s">
        <v>187</v>
      </c>
      <c r="C140" s="292">
        <f>'P&amp;L (QB)'!B150</f>
        <v>105.23</v>
      </c>
      <c r="D140" s="305">
        <f>1000*4</f>
        <v>4000</v>
      </c>
      <c r="E140" s="307">
        <v>3600</v>
      </c>
      <c r="F140" s="297">
        <f>'P&amp;L (QB)'!D150</f>
        <v>0</v>
      </c>
      <c r="G140" s="276">
        <f t="shared" si="44"/>
        <v>0</v>
      </c>
    </row>
    <row r="141" spans="2:9" ht="34">
      <c r="B141" s="315" t="s">
        <v>188</v>
      </c>
      <c r="C141" s="316">
        <f>'P&amp;L (QB)'!B153</f>
        <v>49.99</v>
      </c>
      <c r="D141" s="305">
        <v>4000</v>
      </c>
      <c r="E141" s="306">
        <v>8000</v>
      </c>
      <c r="F141" s="316">
        <f>'P&amp;L (QB)'!D153</f>
        <v>4373.49</v>
      </c>
      <c r="G141" s="317">
        <f t="shared" si="44"/>
        <v>0.54668624999999993</v>
      </c>
      <c r="I141" s="212" t="s">
        <v>535</v>
      </c>
    </row>
    <row r="142" spans="2:9" ht="17">
      <c r="B142" s="269" t="s">
        <v>357</v>
      </c>
      <c r="C142" s="292">
        <f>'P&amp;L (QB)'!B154</f>
        <v>0</v>
      </c>
      <c r="D142" s="305">
        <f>D26</f>
        <v>1797.6000000000001</v>
      </c>
      <c r="E142" s="307">
        <f>E26</f>
        <v>3235.6800000000003</v>
      </c>
      <c r="F142" s="297">
        <f>'P&amp;L (QB)'!D154</f>
        <v>0</v>
      </c>
      <c r="G142" s="276">
        <f t="shared" si="44"/>
        <v>0</v>
      </c>
    </row>
    <row r="143" spans="2:9" ht="17">
      <c r="B143" s="269" t="s">
        <v>358</v>
      </c>
      <c r="C143" s="292">
        <f>'P&amp;L (QB)'!B155</f>
        <v>0</v>
      </c>
      <c r="D143" s="305">
        <f>D27</f>
        <v>750</v>
      </c>
      <c r="E143" s="307">
        <f>E27</f>
        <v>1350</v>
      </c>
      <c r="F143" s="297">
        <f>'P&amp;L (QB)'!D155</f>
        <v>0</v>
      </c>
      <c r="G143" s="276">
        <f t="shared" si="44"/>
        <v>0</v>
      </c>
    </row>
    <row r="144" spans="2:9" ht="17">
      <c r="B144" s="269" t="s">
        <v>359</v>
      </c>
      <c r="C144" s="292">
        <f>'P&amp;L (QB)'!B257</f>
        <v>0</v>
      </c>
      <c r="D144" s="305"/>
      <c r="E144" s="307">
        <v>0</v>
      </c>
      <c r="F144" s="297">
        <f>'P&amp;L (QB)'!D156</f>
        <v>0</v>
      </c>
      <c r="G144" s="276"/>
    </row>
    <row r="145" spans="2:9" ht="17">
      <c r="B145" s="279" t="s">
        <v>145</v>
      </c>
      <c r="C145" s="280">
        <f>SUM(C137:C144)</f>
        <v>17982.760000000002</v>
      </c>
      <c r="D145" s="280">
        <f t="shared" ref="D145" si="45">(((((((D137)+(D138))+(D139))+(D140))+(D141))+(D142))+(D143))+(D144)</f>
        <v>44547.6</v>
      </c>
      <c r="E145" s="280">
        <f t="shared" ref="E145:F145" si="46">SUM(E137:E144)</f>
        <v>65785.679999999993</v>
      </c>
      <c r="F145" s="280">
        <f t="shared" si="46"/>
        <v>28282.9</v>
      </c>
      <c r="G145" s="281">
        <f t="shared" si="28"/>
        <v>0.42992487118777223</v>
      </c>
    </row>
    <row r="146" spans="2:9" ht="17">
      <c r="B146" s="269" t="s">
        <v>360</v>
      </c>
      <c r="C146" s="292"/>
      <c r="D146" s="305"/>
      <c r="E146" s="274"/>
      <c r="F146" s="297"/>
      <c r="G146" s="276"/>
    </row>
    <row r="147" spans="2:9" ht="17">
      <c r="B147" s="269" t="s">
        <v>361</v>
      </c>
      <c r="C147" s="292">
        <f>'P&amp;L (QB)'!B159</f>
        <v>100</v>
      </c>
      <c r="D147" s="305">
        <f>5200+17414</f>
        <v>22614</v>
      </c>
      <c r="E147" s="307">
        <v>1800</v>
      </c>
      <c r="F147" s="297">
        <f>'P&amp;L (QB)'!D159</f>
        <v>110.53</v>
      </c>
      <c r="G147" s="276">
        <f t="shared" ref="G147" si="47">F147/E147</f>
        <v>6.1405555555555554E-2</v>
      </c>
    </row>
    <row r="148" spans="2:9" ht="17">
      <c r="B148" s="279" t="s">
        <v>362</v>
      </c>
      <c r="C148" s="280">
        <f>SUM(C146:C147)</f>
        <v>100</v>
      </c>
      <c r="D148" s="280">
        <f t="shared" ref="D148" si="48">(D146)+(D147)</f>
        <v>22614</v>
      </c>
      <c r="E148" s="280">
        <f t="shared" ref="E148:F148" si="49">SUM(E146:E147)</f>
        <v>1800</v>
      </c>
      <c r="F148" s="280">
        <f t="shared" si="49"/>
        <v>110.53</v>
      </c>
      <c r="G148" s="281">
        <f t="shared" ref="G148:G211" si="50">F148/E148</f>
        <v>6.1405555555555554E-2</v>
      </c>
    </row>
    <row r="149" spans="2:9" ht="17">
      <c r="B149" s="269" t="s">
        <v>190</v>
      </c>
      <c r="C149" s="292"/>
      <c r="D149" s="305"/>
      <c r="E149" s="274"/>
      <c r="F149" s="297"/>
      <c r="G149" s="276"/>
    </row>
    <row r="150" spans="2:9" ht="17">
      <c r="B150" s="269" t="s">
        <v>191</v>
      </c>
      <c r="C150" s="292">
        <f>'P&amp;L (QB)'!B162</f>
        <v>0</v>
      </c>
      <c r="D150" s="305">
        <v>24000</v>
      </c>
      <c r="E150" s="307">
        <v>0</v>
      </c>
      <c r="F150" s="297">
        <f>'P&amp;L (QB)'!D162</f>
        <v>0</v>
      </c>
      <c r="G150" s="276"/>
    </row>
    <row r="151" spans="2:9" ht="17">
      <c r="B151" s="269" t="s">
        <v>363</v>
      </c>
      <c r="C151" s="292">
        <f>'P&amp;L (QB)'!B163</f>
        <v>2809.94</v>
      </c>
      <c r="D151" s="305"/>
      <c r="E151" s="307">
        <v>10800</v>
      </c>
      <c r="F151" s="297">
        <f>'P&amp;L (QB)'!D163</f>
        <v>2311.2800000000002</v>
      </c>
      <c r="G151" s="276">
        <f t="shared" ref="G151:G153" si="51">F151/E151</f>
        <v>0.21400740740740742</v>
      </c>
    </row>
    <row r="152" spans="2:9" ht="17">
      <c r="B152" s="315" t="s">
        <v>192</v>
      </c>
      <c r="C152" s="316">
        <f>'P&amp;L (QB)'!B164</f>
        <v>6079.46</v>
      </c>
      <c r="D152" s="305">
        <v>25000</v>
      </c>
      <c r="E152" s="306">
        <v>15000</v>
      </c>
      <c r="F152" s="316">
        <f>'P&amp;L (QB)'!D164</f>
        <v>12270.14</v>
      </c>
      <c r="G152" s="317">
        <f t="shared" si="51"/>
        <v>0.81800933333333326</v>
      </c>
      <c r="I152" s="55" t="s">
        <v>536</v>
      </c>
    </row>
    <row r="153" spans="2:9" ht="17">
      <c r="B153" s="269" t="s">
        <v>364</v>
      </c>
      <c r="C153" s="292">
        <f>'P&amp;L (QB)'!B165</f>
        <v>0</v>
      </c>
      <c r="D153" s="305">
        <f>D25</f>
        <v>6990</v>
      </c>
      <c r="E153" s="307">
        <v>12582</v>
      </c>
      <c r="F153" s="297">
        <f>'P&amp;L (QB)'!D165</f>
        <v>0</v>
      </c>
      <c r="G153" s="276">
        <f t="shared" si="51"/>
        <v>0</v>
      </c>
    </row>
    <row r="154" spans="2:9" ht="17">
      <c r="B154" s="279" t="s">
        <v>189</v>
      </c>
      <c r="C154" s="280">
        <f>SUM(C150:C153)</f>
        <v>8889.4</v>
      </c>
      <c r="D154" s="280">
        <f t="shared" ref="D154" si="52">((((D149)+(D150))+(D151))+(D152))+(D153)</f>
        <v>55990</v>
      </c>
      <c r="E154" s="280">
        <f t="shared" ref="E154:F154" si="53">SUM(E150:E153)</f>
        <v>38382</v>
      </c>
      <c r="F154" s="280">
        <f t="shared" si="53"/>
        <v>14581.42</v>
      </c>
      <c r="G154" s="281">
        <f t="shared" si="50"/>
        <v>0.37990255849095933</v>
      </c>
    </row>
    <row r="155" spans="2:9" ht="17">
      <c r="B155" s="269" t="s">
        <v>365</v>
      </c>
      <c r="C155" s="292"/>
      <c r="D155" s="305"/>
      <c r="E155" s="274"/>
      <c r="F155" s="297"/>
      <c r="G155" s="276"/>
    </row>
    <row r="156" spans="2:9" ht="17">
      <c r="B156" s="269" t="s">
        <v>365</v>
      </c>
      <c r="C156" s="292">
        <f>'P&amp;L (QB)'!B168</f>
        <v>701.21</v>
      </c>
      <c r="D156" s="305">
        <v>5000</v>
      </c>
      <c r="E156" s="307">
        <v>4800</v>
      </c>
      <c r="F156" s="297">
        <f>'P&amp;L (QB)'!D168</f>
        <v>1395.87</v>
      </c>
      <c r="G156" s="276">
        <f t="shared" ref="G156:G158" si="54">F156/E156</f>
        <v>0.29080624999999999</v>
      </c>
    </row>
    <row r="157" spans="2:9" ht="17">
      <c r="B157" s="269" t="s">
        <v>367</v>
      </c>
      <c r="C157" s="292">
        <f>'P&amp;L (QB)'!B169</f>
        <v>0</v>
      </c>
      <c r="D157" s="305">
        <v>2500</v>
      </c>
      <c r="E157" s="307">
        <v>1000</v>
      </c>
      <c r="F157" s="297">
        <f>'P&amp;L (QB)'!D169</f>
        <v>0</v>
      </c>
      <c r="G157" s="276">
        <f t="shared" si="54"/>
        <v>0</v>
      </c>
    </row>
    <row r="158" spans="2:9" ht="34">
      <c r="B158" s="315" t="s">
        <v>368</v>
      </c>
      <c r="C158" s="316">
        <f>'P&amp;L (QB)'!B170</f>
        <v>1435.17</v>
      </c>
      <c r="D158" s="305">
        <v>6000</v>
      </c>
      <c r="E158" s="306">
        <v>5000</v>
      </c>
      <c r="F158" s="316">
        <f>'P&amp;L (QB)'!D170</f>
        <v>2484.8000000000002</v>
      </c>
      <c r="G158" s="317">
        <f t="shared" si="54"/>
        <v>0.49696000000000001</v>
      </c>
      <c r="I158" s="212" t="s">
        <v>529</v>
      </c>
    </row>
    <row r="159" spans="2:9" ht="17">
      <c r="B159" s="279" t="s">
        <v>194</v>
      </c>
      <c r="C159" s="280">
        <f>SUM(C156:C158)</f>
        <v>2136.38</v>
      </c>
      <c r="D159" s="280">
        <f t="shared" ref="D159" si="55">(((D155)+(D156))+(D157))+(D158)</f>
        <v>13500</v>
      </c>
      <c r="E159" s="280">
        <f t="shared" ref="E159:F159" si="56">SUM(E156:E158)</f>
        <v>10800</v>
      </c>
      <c r="F159" s="280">
        <f t="shared" si="56"/>
        <v>3880.67</v>
      </c>
      <c r="G159" s="281">
        <f t="shared" si="50"/>
        <v>0.35932129629629628</v>
      </c>
    </row>
    <row r="160" spans="2:9" ht="17">
      <c r="B160" s="269" t="s">
        <v>138</v>
      </c>
      <c r="C160" s="292"/>
      <c r="D160" s="305"/>
      <c r="E160" s="274"/>
      <c r="F160" s="297"/>
      <c r="G160" s="276"/>
    </row>
    <row r="161" spans="2:9" ht="17">
      <c r="B161" s="291" t="s">
        <v>193</v>
      </c>
      <c r="C161" s="292">
        <f>'P&amp;L (QB)'!B173</f>
        <v>18827.810000000001</v>
      </c>
      <c r="D161" s="305">
        <f>1276*12</f>
        <v>15312</v>
      </c>
      <c r="E161" s="307">
        <v>22000</v>
      </c>
      <c r="F161" s="297">
        <f>'P&amp;L (QB)'!D173</f>
        <v>3705.31</v>
      </c>
      <c r="G161" s="276">
        <f t="shared" ref="G161:G166" si="57">F161/E161</f>
        <v>0.16842318181818181</v>
      </c>
      <c r="I161" s="212"/>
    </row>
    <row r="162" spans="2:9" ht="17">
      <c r="B162" s="291" t="s">
        <v>147</v>
      </c>
      <c r="C162" s="292">
        <f>'P&amp;L (QB)'!B174</f>
        <v>2543.09</v>
      </c>
      <c r="D162" s="305">
        <v>2000</v>
      </c>
      <c r="E162" s="307">
        <v>2000</v>
      </c>
      <c r="F162" s="297">
        <f>'P&amp;L (QB)'!D174</f>
        <v>1998.36</v>
      </c>
      <c r="G162" s="276">
        <f t="shared" si="57"/>
        <v>0.99917999999999996</v>
      </c>
      <c r="I162" s="212" t="s">
        <v>531</v>
      </c>
    </row>
    <row r="163" spans="2:9" ht="17">
      <c r="B163" s="291" t="s">
        <v>160</v>
      </c>
      <c r="C163" s="292">
        <f>'P&amp;L (QB)'!B175</f>
        <v>2400</v>
      </c>
      <c r="D163" s="305">
        <v>2000</v>
      </c>
      <c r="E163" s="307">
        <v>2000</v>
      </c>
      <c r="F163" s="297">
        <f>'P&amp;L (QB)'!D175</f>
        <v>1941.52</v>
      </c>
      <c r="G163" s="276">
        <f t="shared" si="57"/>
        <v>0.97075999999999996</v>
      </c>
      <c r="I163" s="55" t="s">
        <v>531</v>
      </c>
    </row>
    <row r="164" spans="2:9" ht="17">
      <c r="B164" s="291" t="s">
        <v>139</v>
      </c>
      <c r="C164" s="292">
        <f>'P&amp;L (QB)'!B176</f>
        <v>0</v>
      </c>
      <c r="D164" s="305">
        <v>2000</v>
      </c>
      <c r="E164" s="307">
        <v>2000</v>
      </c>
      <c r="F164" s="297">
        <f>'P&amp;L (QB)'!D176</f>
        <v>1403.05</v>
      </c>
      <c r="G164" s="276">
        <f t="shared" si="57"/>
        <v>0.70152499999999995</v>
      </c>
    </row>
    <row r="165" spans="2:9" ht="34">
      <c r="B165" s="315" t="s">
        <v>161</v>
      </c>
      <c r="C165" s="316">
        <f>'P&amp;L (QB)'!B177</f>
        <v>4329.22</v>
      </c>
      <c r="D165" s="305">
        <v>2000</v>
      </c>
      <c r="E165" s="306">
        <v>6400</v>
      </c>
      <c r="F165" s="316">
        <f>'P&amp;L (QB)'!D177</f>
        <v>6118.55</v>
      </c>
      <c r="G165" s="317">
        <f t="shared" si="57"/>
        <v>0.95602343750000007</v>
      </c>
      <c r="I165" s="212" t="s">
        <v>560</v>
      </c>
    </row>
    <row r="166" spans="2:9" ht="34">
      <c r="B166" s="315" t="s">
        <v>509</v>
      </c>
      <c r="C166" s="316">
        <f>'P&amp;L (QB)'!B178</f>
        <v>17857.59</v>
      </c>
      <c r="D166" s="305"/>
      <c r="E166" s="306">
        <v>10000</v>
      </c>
      <c r="F166" s="316">
        <f>'P&amp;L (QB)'!D178</f>
        <v>11132.03</v>
      </c>
      <c r="G166" s="317">
        <f t="shared" si="57"/>
        <v>1.1132030000000002</v>
      </c>
      <c r="I166" s="212" t="s">
        <v>561</v>
      </c>
    </row>
    <row r="167" spans="2:9" ht="17">
      <c r="B167" s="279" t="s">
        <v>140</v>
      </c>
      <c r="C167" s="280">
        <f>SUM(C160:C166)</f>
        <v>45957.710000000006</v>
      </c>
      <c r="D167" s="280">
        <f>(((((D160)+(D161))+(D162))+(D163))+(D164))+(D165)</f>
        <v>23312</v>
      </c>
      <c r="E167" s="280">
        <f>SUM(E160:E166)</f>
        <v>44400</v>
      </c>
      <c r="F167" s="280">
        <f>SUM(F160:F166)</f>
        <v>26298.82</v>
      </c>
      <c r="G167" s="281">
        <f t="shared" si="50"/>
        <v>0.59231576576576572</v>
      </c>
    </row>
    <row r="168" spans="2:9" ht="17">
      <c r="B168" s="269" t="s">
        <v>196</v>
      </c>
      <c r="C168" s="292"/>
      <c r="D168" s="305"/>
      <c r="E168" s="274"/>
      <c r="F168" s="297"/>
      <c r="G168" s="276"/>
    </row>
    <row r="169" spans="2:9" ht="17">
      <c r="B169" s="269" t="s">
        <v>197</v>
      </c>
      <c r="C169" s="292">
        <f>'P&amp;L (QB)'!B181</f>
        <v>3808.31</v>
      </c>
      <c r="D169" s="305">
        <f>346*12+4340</f>
        <v>8492</v>
      </c>
      <c r="E169" s="307">
        <v>8500</v>
      </c>
      <c r="F169" s="297">
        <f>'P&amp;L (QB)'!D181</f>
        <v>3322.83</v>
      </c>
      <c r="G169" s="276">
        <f t="shared" ref="G169:G170" si="58">F169/E169</f>
        <v>0.39092117647058822</v>
      </c>
    </row>
    <row r="170" spans="2:9" ht="17">
      <c r="B170" s="269" t="s">
        <v>369</v>
      </c>
      <c r="C170" s="292">
        <f>'P&amp;L (QB)'!B182</f>
        <v>0</v>
      </c>
      <c r="D170" s="305"/>
      <c r="E170" s="307">
        <v>5400</v>
      </c>
      <c r="F170" s="297">
        <f>'P&amp;L (QB)'!D182</f>
        <v>0</v>
      </c>
      <c r="G170" s="276">
        <f t="shared" si="58"/>
        <v>0</v>
      </c>
    </row>
    <row r="171" spans="2:9" ht="17">
      <c r="B171" s="279" t="s">
        <v>195</v>
      </c>
      <c r="C171" s="280">
        <f>SUM(C169:C170)</f>
        <v>3808.31</v>
      </c>
      <c r="D171" s="280">
        <f t="shared" ref="D171" si="59">((D168)+(D169))+(D170)</f>
        <v>8492</v>
      </c>
      <c r="E171" s="280">
        <f t="shared" ref="E171:F171" si="60">SUM(E169:E170)</f>
        <v>13900</v>
      </c>
      <c r="F171" s="280">
        <f t="shared" si="60"/>
        <v>3322.83</v>
      </c>
      <c r="G171" s="281">
        <f t="shared" si="50"/>
        <v>0.2390525179856115</v>
      </c>
    </row>
    <row r="172" spans="2:9" ht="17">
      <c r="B172" s="269" t="s">
        <v>65</v>
      </c>
      <c r="C172" s="292"/>
      <c r="D172" s="305"/>
      <c r="E172" s="274"/>
      <c r="F172" s="297"/>
      <c r="G172" s="276"/>
    </row>
    <row r="173" spans="2:9" ht="17">
      <c r="B173" s="291" t="s">
        <v>198</v>
      </c>
      <c r="C173" s="292">
        <f>'P&amp;L (QB)'!B185</f>
        <v>33372</v>
      </c>
      <c r="D173" s="305">
        <f>2550*12</f>
        <v>30600</v>
      </c>
      <c r="E173" s="307">
        <v>38400</v>
      </c>
      <c r="F173" s="297">
        <f>'P&amp;L (QB)'!D185</f>
        <v>0</v>
      </c>
      <c r="G173" s="276">
        <f t="shared" ref="G173:G177" si="61">F173/E173</f>
        <v>0</v>
      </c>
      <c r="I173" s="212"/>
    </row>
    <row r="174" spans="2:9" ht="17">
      <c r="B174" s="318" t="s">
        <v>148</v>
      </c>
      <c r="C174" s="292">
        <f>'P&amp;L (QB)'!B186</f>
        <v>35565.94</v>
      </c>
      <c r="D174" s="319">
        <f>13700+24000</f>
        <v>37700</v>
      </c>
      <c r="E174" s="307">
        <v>35000</v>
      </c>
      <c r="F174" s="297">
        <f>'P&amp;L (QB)'!D186</f>
        <v>8056.62</v>
      </c>
      <c r="G174" s="320">
        <f t="shared" si="61"/>
        <v>0.23018914285714284</v>
      </c>
      <c r="I174" s="225"/>
    </row>
    <row r="175" spans="2:9" ht="34">
      <c r="B175" s="315" t="s">
        <v>514</v>
      </c>
      <c r="C175" s="316">
        <f>'P&amp;L (QB)'!B187</f>
        <v>11795.34</v>
      </c>
      <c r="D175" s="306">
        <v>2000</v>
      </c>
      <c r="E175" s="306">
        <v>20931</v>
      </c>
      <c r="F175" s="316">
        <f>'P&amp;L (QB)'!D187</f>
        <v>14731.14</v>
      </c>
      <c r="G175" s="325">
        <f t="shared" si="61"/>
        <v>0.70379532750465812</v>
      </c>
      <c r="I175" s="226" t="s">
        <v>562</v>
      </c>
    </row>
    <row r="176" spans="2:9" ht="17">
      <c r="B176" s="291" t="s">
        <v>157</v>
      </c>
      <c r="C176" s="292">
        <f>'P&amp;L (QB)'!B188</f>
        <v>15757.54</v>
      </c>
      <c r="D176" s="305">
        <f>2000+7500</f>
        <v>9500</v>
      </c>
      <c r="E176" s="307">
        <v>20760</v>
      </c>
      <c r="F176" s="297">
        <f>'P&amp;L (QB)'!D188</f>
        <v>6950.89</v>
      </c>
      <c r="G176" s="276">
        <f t="shared" si="61"/>
        <v>0.33482129094412333</v>
      </c>
    </row>
    <row r="177" spans="2:9" ht="17">
      <c r="B177" s="269" t="s">
        <v>97</v>
      </c>
      <c r="C177" s="292">
        <f>'P&amp;L (QB)'!B189</f>
        <v>1500</v>
      </c>
      <c r="D177" s="306">
        <f>250*12</f>
        <v>3000</v>
      </c>
      <c r="E177" s="307">
        <v>3000</v>
      </c>
      <c r="F177" s="297">
        <f>'P&amp;L (QB)'!D189</f>
        <v>625</v>
      </c>
      <c r="G177" s="302">
        <f t="shared" si="61"/>
        <v>0.20833333333333334</v>
      </c>
    </row>
    <row r="178" spans="2:9" ht="17">
      <c r="B178" s="279" t="s">
        <v>67</v>
      </c>
      <c r="C178" s="280">
        <f>SUM(C172:C177)</f>
        <v>97990.82</v>
      </c>
      <c r="D178" s="280">
        <f t="shared" ref="D178" si="62">(((((D172)+(D173))+(D174))+(D175))+(D176))+(D177)</f>
        <v>82800</v>
      </c>
      <c r="E178" s="280">
        <f t="shared" ref="E178:F178" si="63">SUM(E172:E177)</f>
        <v>118091</v>
      </c>
      <c r="F178" s="280">
        <f t="shared" si="63"/>
        <v>30363.649999999998</v>
      </c>
      <c r="G178" s="281">
        <f t="shared" si="50"/>
        <v>0.2571207797376599</v>
      </c>
      <c r="I178" s="206"/>
    </row>
    <row r="179" spans="2:9" ht="17">
      <c r="B179" s="269" t="s">
        <v>373</v>
      </c>
      <c r="C179" s="292"/>
      <c r="D179" s="305"/>
      <c r="E179" s="307"/>
      <c r="F179" s="297"/>
      <c r="G179" s="276"/>
    </row>
    <row r="180" spans="2:9" ht="17">
      <c r="B180" s="269" t="s">
        <v>374</v>
      </c>
      <c r="C180" s="292">
        <f>'P&amp;L (QB)'!B195</f>
        <v>7498</v>
      </c>
      <c r="D180" s="305">
        <v>40000</v>
      </c>
      <c r="E180" s="307">
        <v>20331</v>
      </c>
      <c r="F180" s="297">
        <f>'P&amp;L (QB)'!D195</f>
        <v>5756.2</v>
      </c>
      <c r="G180" s="276">
        <f t="shared" ref="G180" si="64">F180/E180</f>
        <v>0.2831242929516502</v>
      </c>
      <c r="I180" s="55" t="s">
        <v>532</v>
      </c>
    </row>
    <row r="181" spans="2:9" ht="17">
      <c r="B181" s="279" t="s">
        <v>375</v>
      </c>
      <c r="C181" s="280">
        <f>SUM(C180)</f>
        <v>7498</v>
      </c>
      <c r="D181" s="280">
        <f t="shared" ref="D181" si="65">(D179)+(D180)</f>
        <v>40000</v>
      </c>
      <c r="E181" s="280">
        <f t="shared" ref="E181:F181" si="66">SUM(E180)</f>
        <v>20331</v>
      </c>
      <c r="F181" s="280">
        <f t="shared" si="66"/>
        <v>5756.2</v>
      </c>
      <c r="G181" s="281">
        <f t="shared" si="50"/>
        <v>0.2831242929516502</v>
      </c>
    </row>
    <row r="182" spans="2:9" ht="17">
      <c r="B182" s="269" t="s">
        <v>376</v>
      </c>
      <c r="C182" s="292"/>
      <c r="D182" s="305"/>
      <c r="E182" s="274"/>
      <c r="F182" s="297"/>
      <c r="G182" s="276"/>
    </row>
    <row r="183" spans="2:9" ht="17">
      <c r="B183" s="269" t="s">
        <v>377</v>
      </c>
      <c r="C183" s="292">
        <f>'P&amp;L (QB)'!B198</f>
        <v>0</v>
      </c>
      <c r="D183" s="305">
        <v>5000</v>
      </c>
      <c r="E183" s="307">
        <v>3500</v>
      </c>
      <c r="F183" s="297"/>
      <c r="G183" s="276">
        <f t="shared" ref="G183" si="67">F183/E183</f>
        <v>0</v>
      </c>
    </row>
    <row r="184" spans="2:9" ht="17">
      <c r="B184" s="269" t="s">
        <v>378</v>
      </c>
      <c r="C184" s="292">
        <f>'P&amp;L (QB)'!B199</f>
        <v>0</v>
      </c>
      <c r="D184" s="305"/>
      <c r="E184" s="274"/>
      <c r="F184" s="297"/>
      <c r="G184" s="276"/>
    </row>
    <row r="185" spans="2:9" ht="17">
      <c r="B185" s="279" t="s">
        <v>380</v>
      </c>
      <c r="C185" s="280">
        <f>SUM(C183:C184)</f>
        <v>0</v>
      </c>
      <c r="D185" s="280">
        <f t="shared" ref="D185" si="68">((D182)+(D183))+(D184)</f>
        <v>5000</v>
      </c>
      <c r="E185" s="280">
        <f t="shared" ref="E185:F185" si="69">SUM(E183:E184)</f>
        <v>3500</v>
      </c>
      <c r="F185" s="280">
        <f t="shared" si="69"/>
        <v>0</v>
      </c>
      <c r="G185" s="281">
        <f t="shared" si="50"/>
        <v>0</v>
      </c>
    </row>
    <row r="186" spans="2:9" ht="17">
      <c r="B186" s="269" t="s">
        <v>162</v>
      </c>
      <c r="C186" s="292"/>
      <c r="D186" s="305"/>
      <c r="E186" s="274"/>
      <c r="F186" s="297"/>
      <c r="G186" s="276"/>
    </row>
    <row r="187" spans="2:9" ht="17">
      <c r="B187" s="315" t="s">
        <v>381</v>
      </c>
      <c r="C187" s="316">
        <f>'P&amp;L (QB)'!B203</f>
        <v>1024.8</v>
      </c>
      <c r="D187" s="305">
        <f>2500+500</f>
        <v>3000</v>
      </c>
      <c r="E187" s="305">
        <v>1920</v>
      </c>
      <c r="F187" s="316">
        <f>'P&amp;L (QB)'!D203</f>
        <v>1491.41</v>
      </c>
      <c r="G187" s="317">
        <f t="shared" ref="G187:G188" si="70">F187/E187</f>
        <v>0.77677604166666669</v>
      </c>
    </row>
    <row r="188" spans="2:9" ht="17">
      <c r="B188" s="314" t="s">
        <v>526</v>
      </c>
      <c r="C188" s="292">
        <v>0</v>
      </c>
      <c r="D188" s="305"/>
      <c r="E188" s="307">
        <v>56000</v>
      </c>
      <c r="F188" s="297"/>
      <c r="G188" s="276">
        <f t="shared" si="70"/>
        <v>0</v>
      </c>
    </row>
    <row r="189" spans="2:9" ht="17">
      <c r="B189" s="279" t="s">
        <v>163</v>
      </c>
      <c r="C189" s="280">
        <f>SUM(C187:C188)</f>
        <v>1024.8</v>
      </c>
      <c r="D189" s="280">
        <f t="shared" ref="D189" si="71">(D186)+(D187)+D188</f>
        <v>3000</v>
      </c>
      <c r="E189" s="280">
        <f t="shared" ref="E189:F189" si="72">SUM(E187:E188)</f>
        <v>57920</v>
      </c>
      <c r="F189" s="280">
        <f t="shared" si="72"/>
        <v>1491.41</v>
      </c>
      <c r="G189" s="281">
        <f t="shared" si="50"/>
        <v>2.5749482044198895E-2</v>
      </c>
    </row>
    <row r="190" spans="2:9" ht="17">
      <c r="B190" s="269" t="s">
        <v>68</v>
      </c>
      <c r="C190" s="292"/>
      <c r="D190" s="305"/>
      <c r="E190" s="274"/>
      <c r="F190" s="297"/>
      <c r="G190" s="276"/>
    </row>
    <row r="191" spans="2:9" ht="17">
      <c r="B191" s="269" t="s">
        <v>69</v>
      </c>
      <c r="C191" s="292">
        <f>'P&amp;L (QB)'!B207</f>
        <v>12651.02</v>
      </c>
      <c r="D191" s="305">
        <v>20000</v>
      </c>
      <c r="E191" s="307">
        <v>28000</v>
      </c>
      <c r="F191" s="297">
        <f>'P&amp;L (QB)'!D207</f>
        <v>11057.25</v>
      </c>
      <c r="G191" s="276">
        <f t="shared" ref="G191:G192" si="73">F191/E191</f>
        <v>0.39490178571428569</v>
      </c>
    </row>
    <row r="192" spans="2:9" ht="17">
      <c r="B192" s="269" t="s">
        <v>136</v>
      </c>
      <c r="C192" s="292">
        <f>'P&amp;L (QB)'!B208</f>
        <v>849.45</v>
      </c>
      <c r="D192" s="305">
        <f>(200*0.5)+1000</f>
        <v>1100</v>
      </c>
      <c r="E192" s="307">
        <v>2400</v>
      </c>
      <c r="F192" s="297">
        <f>'P&amp;L (QB)'!D208</f>
        <v>0</v>
      </c>
      <c r="G192" s="276">
        <f t="shared" si="73"/>
        <v>0</v>
      </c>
    </row>
    <row r="193" spans="2:9" ht="17">
      <c r="B193" s="279" t="s">
        <v>70</v>
      </c>
      <c r="C193" s="280">
        <f>SUM(C191:C192)</f>
        <v>13500.470000000001</v>
      </c>
      <c r="D193" s="280">
        <f t="shared" ref="D193" si="74">((D190)+(D191))+(D192)</f>
        <v>21100</v>
      </c>
      <c r="E193" s="280">
        <f t="shared" ref="E193:F193" si="75">SUM(E191:E192)</f>
        <v>30400</v>
      </c>
      <c r="F193" s="280">
        <f t="shared" si="75"/>
        <v>11057.25</v>
      </c>
      <c r="G193" s="281">
        <f t="shared" si="50"/>
        <v>0.36372532894736842</v>
      </c>
    </row>
    <row r="194" spans="2:9" ht="17">
      <c r="B194" s="269" t="s">
        <v>71</v>
      </c>
      <c r="C194" s="292"/>
      <c r="D194" s="305"/>
      <c r="E194" s="274"/>
      <c r="F194" s="297"/>
      <c r="G194" s="276"/>
    </row>
    <row r="195" spans="2:9" ht="34">
      <c r="B195" s="291" t="s">
        <v>199</v>
      </c>
      <c r="C195" s="292">
        <f>'P&amp;L (QB)'!B211</f>
        <v>9651.74</v>
      </c>
      <c r="D195" s="305">
        <f>9000+8000</f>
        <v>17000</v>
      </c>
      <c r="E195" s="274">
        <v>30200</v>
      </c>
      <c r="F195" s="297">
        <f>'P&amp;L (QB)'!D211</f>
        <v>25047.99</v>
      </c>
      <c r="G195" s="276">
        <f t="shared" ref="G195:G197" si="76">F195/E195</f>
        <v>0.82940364238410602</v>
      </c>
      <c r="I195" s="226" t="s">
        <v>530</v>
      </c>
    </row>
    <row r="196" spans="2:9" ht="17">
      <c r="B196" s="291" t="s">
        <v>72</v>
      </c>
      <c r="C196" s="292">
        <f>'P&amp;L (QB)'!B212</f>
        <v>16550</v>
      </c>
      <c r="D196" s="306">
        <f>5000+5000</f>
        <v>10000</v>
      </c>
      <c r="E196" s="307">
        <v>19000</v>
      </c>
      <c r="F196" s="297">
        <f>'P&amp;L (QB)'!D212</f>
        <v>3500</v>
      </c>
      <c r="G196" s="302">
        <f t="shared" si="76"/>
        <v>0.18421052631578946</v>
      </c>
      <c r="I196" s="226"/>
    </row>
    <row r="197" spans="2:9" ht="17">
      <c r="B197" s="291" t="s">
        <v>200</v>
      </c>
      <c r="C197" s="292">
        <f>'P&amp;L (QB)'!B213</f>
        <v>9430.06</v>
      </c>
      <c r="D197" s="305">
        <v>5000</v>
      </c>
      <c r="E197" s="307">
        <v>15500</v>
      </c>
      <c r="F197" s="297">
        <f>'P&amp;L (QB)'!D213</f>
        <v>3591.72</v>
      </c>
      <c r="G197" s="276">
        <f t="shared" si="76"/>
        <v>0.23172387096774191</v>
      </c>
    </row>
    <row r="198" spans="2:9" ht="17">
      <c r="B198" s="279" t="s">
        <v>73</v>
      </c>
      <c r="C198" s="280">
        <f>SUM(C194:C197)</f>
        <v>35631.799999999996</v>
      </c>
      <c r="D198" s="280">
        <f t="shared" ref="D198" si="77">(((D194)+(D195))+(D196))+(D197)</f>
        <v>32000</v>
      </c>
      <c r="E198" s="280">
        <f t="shared" ref="E198:F198" si="78">SUM(E194:E197)</f>
        <v>64700</v>
      </c>
      <c r="F198" s="280">
        <f t="shared" si="78"/>
        <v>32139.710000000003</v>
      </c>
      <c r="G198" s="281">
        <f t="shared" si="50"/>
        <v>0.49674976816074196</v>
      </c>
    </row>
    <row r="199" spans="2:9" ht="17">
      <c r="B199" s="269" t="s">
        <v>74</v>
      </c>
      <c r="C199" s="292"/>
      <c r="D199" s="305"/>
      <c r="E199" s="274"/>
      <c r="F199" s="297"/>
      <c r="G199" s="276"/>
    </row>
    <row r="200" spans="2:9" ht="17">
      <c r="B200" s="315" t="s">
        <v>96</v>
      </c>
      <c r="C200" s="324">
        <f>'P&amp;L (QB)'!B218</f>
        <v>23567.31</v>
      </c>
      <c r="D200" s="306">
        <v>8245</v>
      </c>
      <c r="E200" s="306">
        <v>17400</v>
      </c>
      <c r="F200" s="324">
        <f>'P&amp;L (QB)'!D218</f>
        <v>24667.43</v>
      </c>
      <c r="G200" s="325">
        <f t="shared" ref="G200" si="79">F200/E200</f>
        <v>1.4176683908045977</v>
      </c>
      <c r="I200" s="212" t="s">
        <v>563</v>
      </c>
    </row>
    <row r="201" spans="2:9" ht="17">
      <c r="B201" s="279" t="s">
        <v>75</v>
      </c>
      <c r="C201" s="280">
        <f>SUM(C199:C200)</f>
        <v>23567.31</v>
      </c>
      <c r="D201" s="280">
        <f t="shared" ref="D201" si="80">(D199)+(D200)</f>
        <v>8245</v>
      </c>
      <c r="E201" s="280">
        <f t="shared" ref="E201:F201" si="81">SUM(E199:E200)</f>
        <v>17400</v>
      </c>
      <c r="F201" s="280">
        <f t="shared" si="81"/>
        <v>24667.43</v>
      </c>
      <c r="G201" s="281">
        <f t="shared" si="50"/>
        <v>1.4176683908045977</v>
      </c>
      <c r="I201" s="206"/>
    </row>
    <row r="202" spans="2:9" ht="17">
      <c r="B202" s="269" t="s">
        <v>76</v>
      </c>
      <c r="C202" s="292"/>
      <c r="D202" s="305"/>
      <c r="E202" s="274"/>
      <c r="F202" s="297"/>
      <c r="G202" s="276"/>
    </row>
    <row r="203" spans="2:9" ht="17">
      <c r="B203" s="291" t="s">
        <v>77</v>
      </c>
      <c r="C203" s="273">
        <f>'P&amp;L (QB)'!B221</f>
        <v>8438.2199999999993</v>
      </c>
      <c r="D203" s="306">
        <v>18060</v>
      </c>
      <c r="E203" s="321">
        <v>20250</v>
      </c>
      <c r="F203" s="322">
        <f>'P&amp;L (QB)'!D221</f>
        <v>2440.2199999999998</v>
      </c>
      <c r="G203" s="323">
        <f t="shared" ref="G203" si="82">F203/E203</f>
        <v>0.12050469135802468</v>
      </c>
      <c r="I203" s="48"/>
    </row>
    <row r="204" spans="2:9" ht="17">
      <c r="B204" s="279" t="s">
        <v>78</v>
      </c>
      <c r="C204" s="280">
        <f>SUM(C202:C203)</f>
        <v>8438.2199999999993</v>
      </c>
      <c r="D204" s="280">
        <f t="shared" ref="D204" si="83">(D202)+(D203)</f>
        <v>18060</v>
      </c>
      <c r="E204" s="280">
        <f t="shared" ref="E204:F204" si="84">SUM(E202:E203)</f>
        <v>20250</v>
      </c>
      <c r="F204" s="280">
        <f t="shared" si="84"/>
        <v>2440.2199999999998</v>
      </c>
      <c r="G204" s="281">
        <f t="shared" si="50"/>
        <v>0.12050469135802468</v>
      </c>
    </row>
    <row r="205" spans="2:9" ht="17">
      <c r="B205" s="269" t="s">
        <v>383</v>
      </c>
      <c r="C205" s="292"/>
      <c r="D205" s="305"/>
      <c r="E205" s="274"/>
      <c r="F205" s="297"/>
      <c r="G205" s="276"/>
    </row>
    <row r="206" spans="2:9" ht="17">
      <c r="B206" s="315" t="s">
        <v>384</v>
      </c>
      <c r="C206" s="324">
        <f>'P&amp;L (QB)'!B224</f>
        <v>0</v>
      </c>
      <c r="D206" s="306">
        <v>8000</v>
      </c>
      <c r="E206" s="306">
        <v>4800</v>
      </c>
      <c r="F206" s="324">
        <f>'P&amp;L (QB)'!D224</f>
        <v>1463.78</v>
      </c>
      <c r="G206" s="325">
        <f t="shared" ref="G206" si="85">F206/E206</f>
        <v>0.30495416666666664</v>
      </c>
      <c r="I206" s="55" t="s">
        <v>564</v>
      </c>
    </row>
    <row r="207" spans="2:9" ht="17">
      <c r="B207" s="279" t="s">
        <v>385</v>
      </c>
      <c r="C207" s="280">
        <f>SUM(C205:C206)</f>
        <v>0</v>
      </c>
      <c r="D207" s="280">
        <f t="shared" ref="D207" si="86">(D205)+(D206)</f>
        <v>8000</v>
      </c>
      <c r="E207" s="280">
        <f t="shared" ref="E207:F207" si="87">SUM(E205:E206)</f>
        <v>4800</v>
      </c>
      <c r="F207" s="280">
        <f t="shared" si="87"/>
        <v>1463.78</v>
      </c>
      <c r="G207" s="281">
        <f t="shared" si="50"/>
        <v>0.30495416666666664</v>
      </c>
    </row>
    <row r="208" spans="2:9" ht="17">
      <c r="B208" s="269" t="s">
        <v>99</v>
      </c>
      <c r="C208" s="292"/>
      <c r="D208" s="305"/>
      <c r="E208" s="274"/>
      <c r="F208" s="297"/>
      <c r="G208" s="276"/>
    </row>
    <row r="209" spans="2:9" ht="17">
      <c r="B209" s="269" t="s">
        <v>133</v>
      </c>
      <c r="C209" s="292">
        <f>'P&amp;L (QB)'!B227</f>
        <v>0</v>
      </c>
      <c r="D209" s="305">
        <v>2500</v>
      </c>
      <c r="E209" s="307">
        <v>1200</v>
      </c>
      <c r="F209" s="297">
        <f>'P&amp;L (QB)'!D227</f>
        <v>0</v>
      </c>
      <c r="G209" s="276">
        <f t="shared" ref="G209:G210" si="88">F209/E209</f>
        <v>0</v>
      </c>
    </row>
    <row r="210" spans="2:9" ht="17">
      <c r="B210" s="269" t="s">
        <v>98</v>
      </c>
      <c r="C210" s="292">
        <f>'P&amp;L (QB)'!B228</f>
        <v>253.84</v>
      </c>
      <c r="D210" s="306">
        <v>3000</v>
      </c>
      <c r="E210" s="307">
        <v>1200</v>
      </c>
      <c r="F210" s="297">
        <f>'P&amp;L (QB)'!D228</f>
        <v>0</v>
      </c>
      <c r="G210" s="302">
        <f t="shared" si="88"/>
        <v>0</v>
      </c>
    </row>
    <row r="211" spans="2:9" ht="17">
      <c r="B211" s="279" t="s">
        <v>100</v>
      </c>
      <c r="C211" s="280">
        <f>SUM(C209:C210)</f>
        <v>253.84</v>
      </c>
      <c r="D211" s="280">
        <f t="shared" ref="D211" si="89">((D208)+(D209))+(D210)</f>
        <v>5500</v>
      </c>
      <c r="E211" s="280">
        <f t="shared" ref="E211:F211" si="90">SUM(E209:E210)</f>
        <v>2400</v>
      </c>
      <c r="F211" s="280">
        <f t="shared" si="90"/>
        <v>0</v>
      </c>
      <c r="G211" s="281">
        <f t="shared" si="50"/>
        <v>0</v>
      </c>
    </row>
    <row r="212" spans="2:9" ht="17">
      <c r="B212" s="269" t="s">
        <v>386</v>
      </c>
      <c r="C212" s="292"/>
      <c r="D212" s="305"/>
      <c r="E212" s="274"/>
      <c r="F212" s="297"/>
      <c r="G212" s="276"/>
    </row>
    <row r="213" spans="2:9" ht="17">
      <c r="B213" s="269" t="s">
        <v>387</v>
      </c>
      <c r="C213" s="292">
        <f>'P&amp;L (QB)'!B231</f>
        <v>159.9</v>
      </c>
      <c r="D213" s="305">
        <v>4000</v>
      </c>
      <c r="E213" s="307">
        <v>2000</v>
      </c>
      <c r="F213" s="297">
        <f>'P&amp;L (QB)'!D231</f>
        <v>0</v>
      </c>
      <c r="G213" s="276">
        <f t="shared" ref="G213" si="91">F213/E213</f>
        <v>0</v>
      </c>
    </row>
    <row r="214" spans="2:9" ht="17">
      <c r="B214" s="279" t="s">
        <v>388</v>
      </c>
      <c r="C214" s="280">
        <f>SUM(C212:C213)</f>
        <v>159.9</v>
      </c>
      <c r="D214" s="280">
        <f t="shared" ref="D214" si="92">(D212)+(D213)</f>
        <v>4000</v>
      </c>
      <c r="E214" s="280">
        <f t="shared" ref="E214:F214" si="93">SUM(E212:E213)</f>
        <v>2000</v>
      </c>
      <c r="F214" s="280">
        <f t="shared" si="93"/>
        <v>0</v>
      </c>
      <c r="G214" s="281">
        <f t="shared" ref="G214:G234" si="94">F214/E214</f>
        <v>0</v>
      </c>
    </row>
    <row r="215" spans="2:9" ht="17">
      <c r="B215" s="269" t="s">
        <v>79</v>
      </c>
      <c r="C215" s="292"/>
      <c r="D215" s="305"/>
      <c r="E215" s="274"/>
      <c r="F215" s="297"/>
      <c r="G215" s="276"/>
    </row>
    <row r="216" spans="2:9" ht="17">
      <c r="B216" s="291" t="s">
        <v>201</v>
      </c>
      <c r="C216" s="292">
        <f>'P&amp;L (QB)'!B234</f>
        <v>703.3</v>
      </c>
      <c r="D216" s="305">
        <v>200</v>
      </c>
      <c r="E216" s="307">
        <v>1000</v>
      </c>
      <c r="F216" s="297">
        <f>'P&amp;L (QB)'!D234</f>
        <v>106.89</v>
      </c>
      <c r="G216" s="276">
        <f t="shared" ref="G216:G221" si="95">F216/E216</f>
        <v>0.10689</v>
      </c>
      <c r="I216" s="212"/>
    </row>
    <row r="217" spans="2:9" ht="17">
      <c r="B217" s="269" t="s">
        <v>137</v>
      </c>
      <c r="C217" s="292">
        <f>'P&amp;L (QB)'!B235</f>
        <v>0</v>
      </c>
      <c r="D217" s="305"/>
      <c r="E217" s="307"/>
      <c r="F217" s="297">
        <f>'P&amp;L (QB)'!D235</f>
        <v>0</v>
      </c>
      <c r="G217" s="276"/>
    </row>
    <row r="218" spans="2:9" ht="17">
      <c r="B218" s="291" t="s">
        <v>80</v>
      </c>
      <c r="C218" s="292">
        <v>0</v>
      </c>
      <c r="D218" s="306">
        <v>1000</v>
      </c>
      <c r="E218" s="307"/>
      <c r="F218" s="297">
        <f>'P&amp;L (QB)'!D236</f>
        <v>0</v>
      </c>
      <c r="G218" s="302"/>
    </row>
    <row r="219" spans="2:9" ht="17">
      <c r="B219" s="269" t="s">
        <v>107</v>
      </c>
      <c r="C219" s="292">
        <v>0</v>
      </c>
      <c r="D219" s="306"/>
      <c r="E219" s="307"/>
      <c r="F219" s="297">
        <f>'P&amp;L (QB)'!D237</f>
        <v>0</v>
      </c>
      <c r="G219" s="302"/>
    </row>
    <row r="220" spans="2:9" ht="17">
      <c r="B220" s="269" t="s">
        <v>202</v>
      </c>
      <c r="C220" s="292">
        <v>0</v>
      </c>
      <c r="D220" s="306"/>
      <c r="E220" s="307"/>
      <c r="F220" s="297">
        <f>'P&amp;L (QB)'!D238</f>
        <v>0</v>
      </c>
      <c r="G220" s="302"/>
    </row>
    <row r="221" spans="2:9" ht="17">
      <c r="B221" s="269" t="s">
        <v>527</v>
      </c>
      <c r="C221" s="292"/>
      <c r="D221" s="306"/>
      <c r="E221" s="307">
        <v>4500</v>
      </c>
      <c r="F221" s="297"/>
      <c r="G221" s="302">
        <f t="shared" si="95"/>
        <v>0</v>
      </c>
    </row>
    <row r="222" spans="2:9" ht="17">
      <c r="B222" s="279" t="s">
        <v>81</v>
      </c>
      <c r="C222" s="280">
        <f>SUM(C216:C221)</f>
        <v>703.3</v>
      </c>
      <c r="D222" s="280">
        <f t="shared" ref="D222" si="96">(((((D215)+(D216))+(D217))+(D218))+(D219))+(D220)</f>
        <v>1200</v>
      </c>
      <c r="E222" s="280">
        <f t="shared" ref="E222:F222" si="97">SUM(E216:E221)</f>
        <v>5500</v>
      </c>
      <c r="F222" s="280">
        <f t="shared" si="97"/>
        <v>106.89</v>
      </c>
      <c r="G222" s="281">
        <f t="shared" si="94"/>
        <v>1.9434545454545454E-2</v>
      </c>
    </row>
    <row r="223" spans="2:9" ht="17">
      <c r="B223" s="269" t="s">
        <v>82</v>
      </c>
      <c r="C223" s="292"/>
      <c r="D223" s="305"/>
      <c r="E223" s="274"/>
      <c r="F223" s="297"/>
      <c r="G223" s="276"/>
    </row>
    <row r="224" spans="2:9" ht="17">
      <c r="B224" s="291" t="s">
        <v>83</v>
      </c>
      <c r="C224" s="292">
        <f>'P&amp;L (QB)'!B241</f>
        <v>25307.99</v>
      </c>
      <c r="D224" s="305">
        <v>30531.66</v>
      </c>
      <c r="E224" s="307">
        <v>53500</v>
      </c>
      <c r="F224" s="297">
        <f>'P&amp;L (QB)'!D241</f>
        <v>18588.91</v>
      </c>
      <c r="G224" s="276">
        <f t="shared" ref="G224" si="98">F224/E224</f>
        <v>0.34745626168224297</v>
      </c>
    </row>
    <row r="225" spans="2:9" ht="17">
      <c r="B225" s="269" t="s">
        <v>389</v>
      </c>
      <c r="C225" s="292">
        <f>'P&amp;L (QB)'!B242</f>
        <v>0</v>
      </c>
      <c r="D225" s="305"/>
      <c r="E225" s="274"/>
      <c r="F225" s="297">
        <f>'P&amp;L (QB)'!D242</f>
        <v>0</v>
      </c>
      <c r="G225" s="276"/>
    </row>
    <row r="226" spans="2:9" ht="17">
      <c r="B226" s="279" t="s">
        <v>84</v>
      </c>
      <c r="C226" s="280">
        <f>SUM(C224:C225)</f>
        <v>25307.99</v>
      </c>
      <c r="D226" s="280">
        <f t="shared" ref="D226" si="99">((D223)+(D224))+(D225)</f>
        <v>30531.66</v>
      </c>
      <c r="E226" s="280">
        <f t="shared" ref="E226:F226" si="100">SUM(E224:E225)</f>
        <v>53500</v>
      </c>
      <c r="F226" s="280">
        <f t="shared" si="100"/>
        <v>18588.91</v>
      </c>
      <c r="G226" s="281">
        <f t="shared" si="94"/>
        <v>0.34745626168224297</v>
      </c>
    </row>
    <row r="227" spans="2:9" ht="17">
      <c r="B227" s="269" t="s">
        <v>154</v>
      </c>
      <c r="C227" s="292"/>
      <c r="D227" s="305"/>
      <c r="E227" s="274"/>
      <c r="F227" s="297"/>
      <c r="G227" s="276"/>
    </row>
    <row r="228" spans="2:9" ht="17">
      <c r="B228" s="269" t="s">
        <v>203</v>
      </c>
      <c r="C228" s="292">
        <f>'P&amp;L (QB)'!B245</f>
        <v>750000</v>
      </c>
      <c r="D228" s="305">
        <v>526000</v>
      </c>
      <c r="E228" s="307">
        <v>1000000</v>
      </c>
      <c r="F228" s="297">
        <f>'P&amp;L (QB)'!D245</f>
        <v>333332</v>
      </c>
      <c r="G228" s="276">
        <f t="shared" ref="G228:G233" si="101">F228/E228</f>
        <v>0.33333200000000002</v>
      </c>
    </row>
    <row r="229" spans="2:9" ht="34">
      <c r="B229" s="315" t="s">
        <v>155</v>
      </c>
      <c r="C229" s="316">
        <f>'P&amp;L (QB)'!B246</f>
        <v>5146.3</v>
      </c>
      <c r="D229" s="305">
        <v>2000</v>
      </c>
      <c r="E229" s="306">
        <v>8000</v>
      </c>
      <c r="F229" s="316">
        <f>'P&amp;L (QB)'!D246</f>
        <v>12121.6</v>
      </c>
      <c r="G229" s="317">
        <f t="shared" si="101"/>
        <v>1.5152000000000001</v>
      </c>
      <c r="I229" s="212" t="s">
        <v>565</v>
      </c>
    </row>
    <row r="230" spans="2:9" ht="17">
      <c r="B230" s="326" t="s">
        <v>204</v>
      </c>
      <c r="C230" s="292">
        <f>'P&amp;L (QB)'!B247</f>
        <v>9389.52</v>
      </c>
      <c r="D230" s="305">
        <v>60000</v>
      </c>
      <c r="E230" s="307">
        <v>60000</v>
      </c>
      <c r="F230" s="297">
        <f>'P&amp;L (QB)'!D247</f>
        <v>0</v>
      </c>
      <c r="G230" s="276">
        <f t="shared" si="101"/>
        <v>0</v>
      </c>
    </row>
    <row r="231" spans="2:9" ht="17">
      <c r="B231" s="327" t="s">
        <v>441</v>
      </c>
      <c r="C231" s="292">
        <f>'P&amp;L (QB)'!B248</f>
        <v>6075</v>
      </c>
      <c r="D231" s="305">
        <v>6000</v>
      </c>
      <c r="E231" s="307">
        <v>6450</v>
      </c>
      <c r="F231" s="297">
        <f>'P&amp;L (QB)'!D248</f>
        <v>2025</v>
      </c>
      <c r="G231" s="276">
        <f t="shared" si="101"/>
        <v>0.31395348837209303</v>
      </c>
      <c r="I231" s="212"/>
    </row>
    <row r="232" spans="2:9" ht="17">
      <c r="B232" s="327" t="s">
        <v>391</v>
      </c>
      <c r="C232" s="292">
        <f>'P&amp;L (QB)'!B249</f>
        <v>72744</v>
      </c>
      <c r="D232" s="305">
        <f>7200*12</f>
        <v>86400</v>
      </c>
      <c r="E232" s="307">
        <v>88000</v>
      </c>
      <c r="F232" s="297">
        <f>'P&amp;L (QB)'!D249</f>
        <v>31333.33</v>
      </c>
      <c r="G232" s="276">
        <f t="shared" si="101"/>
        <v>0.35606056818181819</v>
      </c>
      <c r="I232" s="212"/>
    </row>
    <row r="233" spans="2:9" ht="17">
      <c r="B233" s="326" t="s">
        <v>205</v>
      </c>
      <c r="C233" s="292">
        <f>'P&amp;L (QB)'!B250</f>
        <v>701938.2</v>
      </c>
      <c r="D233" s="305">
        <v>925938.20863992791</v>
      </c>
      <c r="E233" s="307">
        <v>451938</v>
      </c>
      <c r="F233" s="297">
        <f>'P&amp;L (QB)'!D250</f>
        <v>150646.07999999999</v>
      </c>
      <c r="G233" s="276">
        <f t="shared" si="101"/>
        <v>0.33333351034876463</v>
      </c>
    </row>
    <row r="234" spans="2:9" ht="17">
      <c r="B234" s="279" t="s">
        <v>156</v>
      </c>
      <c r="C234" s="283">
        <f>SUM(C227:C233)</f>
        <v>1545293.02</v>
      </c>
      <c r="D234" s="283">
        <f t="shared" ref="D234" si="102">((((D227)+(D228))+(D229))+(D230))+(D233)+D232+D231</f>
        <v>1606338.2086399279</v>
      </c>
      <c r="E234" s="283">
        <f t="shared" ref="E234:F234" si="103">SUM(E227:E233)</f>
        <v>1614388</v>
      </c>
      <c r="F234" s="283">
        <f t="shared" si="103"/>
        <v>529458.01</v>
      </c>
      <c r="G234" s="281">
        <f t="shared" si="94"/>
        <v>0.32796205744839529</v>
      </c>
    </row>
    <row r="235" spans="2:9" ht="17">
      <c r="B235" s="269" t="s">
        <v>393</v>
      </c>
      <c r="C235" s="292"/>
      <c r="D235" s="305"/>
      <c r="E235" s="274"/>
      <c r="F235" s="297"/>
      <c r="G235" s="276"/>
    </row>
    <row r="236" spans="2:9" ht="17">
      <c r="B236" s="291" t="s">
        <v>394</v>
      </c>
      <c r="C236" s="292">
        <f>'P&amp;L (QB)'!B254</f>
        <v>72981.38</v>
      </c>
      <c r="D236" s="305" t="e">
        <f>SUM(#REF!)</f>
        <v>#REF!</v>
      </c>
      <c r="E236" s="307">
        <v>83102</v>
      </c>
      <c r="F236" s="297">
        <f>'P&amp;L (QB)'!D254</f>
        <v>24738.959999999999</v>
      </c>
      <c r="G236" s="276">
        <f t="shared" ref="G236" si="104">F236/E236</f>
        <v>0.29769391831724867</v>
      </c>
      <c r="I236" s="212"/>
    </row>
    <row r="237" spans="2:9" ht="17">
      <c r="B237" s="269" t="s">
        <v>395</v>
      </c>
      <c r="C237" s="292"/>
      <c r="D237" s="305"/>
      <c r="E237" s="274"/>
      <c r="F237" s="297"/>
      <c r="G237" s="276"/>
    </row>
    <row r="238" spans="2:9" ht="17">
      <c r="B238" s="279" t="s">
        <v>396</v>
      </c>
      <c r="C238" s="280">
        <f>SUM(C236:C237)</f>
        <v>72981.38</v>
      </c>
      <c r="D238" s="280" t="e">
        <f t="shared" ref="D238" si="105">((D235)+(D236))+(D237)</f>
        <v>#REF!</v>
      </c>
      <c r="E238" s="280">
        <f t="shared" ref="E238:F238" si="106">SUM(E236:E237)</f>
        <v>83102</v>
      </c>
      <c r="F238" s="280">
        <f t="shared" si="106"/>
        <v>24738.959999999999</v>
      </c>
      <c r="G238" s="281">
        <f>F238/E238</f>
        <v>0.29769391831724867</v>
      </c>
    </row>
    <row r="239" spans="2:9" ht="17">
      <c r="B239" s="279" t="s">
        <v>6</v>
      </c>
      <c r="C239" s="280">
        <f>(((((((((((((((((((((((C116)+(C132))+(C136))+(C145))+(C148))+(C154))+(C159))+(C167))+(C171))+(C178))+(C181))+(C185))+(C189))+(C193))+(C198))+(C201))+(C204))+(C207))+(C211))+(C214))+(C222))+(C226))+(C234))+(C238)</f>
        <v>3436410.13</v>
      </c>
      <c r="D239" s="280" t="e">
        <f>(((((((((((((((((((((((D116)+(D132))+(D136))+(D145))+(D148))+(D154))+(D159))+(D167))+(D171))+(D178))+(D181))+(D185))+(D189))+(D193))+(D198))+(D201))+(D204))+(D207))+(D211))+(D214))+(D222))+(D226))+(D234))+(D238)</f>
        <v>#VALUE!</v>
      </c>
      <c r="E239" s="280">
        <f t="shared" ref="E239:F239" si="107">(((((((((((((((((((((((E116)+(E132))+(E136))+(E145))+(E148))+(E154))+(E159))+(E167))+(E171))+(E178))+(E181))+(E185))+(E189))+(E193))+(E198))+(E201))+(E204))+(E207))+(E211))+(E214))+(E222))+(E226))+(E234))+(E238)</f>
        <v>5198968.76</v>
      </c>
      <c r="F239" s="280">
        <f t="shared" si="107"/>
        <v>1474718.27</v>
      </c>
      <c r="G239" s="281">
        <f>F239/E239</f>
        <v>0.28365592064069262</v>
      </c>
      <c r="I239" s="224"/>
    </row>
    <row r="240" spans="2:9" ht="17">
      <c r="B240" s="227" t="s">
        <v>85</v>
      </c>
      <c r="C240" s="228">
        <f>(C59)-(C239)</f>
        <v>511790.73999999976</v>
      </c>
      <c r="D240" s="229" t="e">
        <f>(D59)-(D239)</f>
        <v>#VALUE!</v>
      </c>
      <c r="E240" s="228">
        <f t="shared" ref="E240:F240" si="108">(E59)-(E239)</f>
        <v>24216.919999999925</v>
      </c>
      <c r="F240" s="228">
        <f t="shared" si="108"/>
        <v>372373.03</v>
      </c>
      <c r="G240" s="230">
        <f>F240/E240</f>
        <v>15.376564402079255</v>
      </c>
      <c r="I240" s="224"/>
    </row>
    <row r="241" spans="2:9">
      <c r="C241" s="231"/>
      <c r="D241" s="232"/>
      <c r="E241" s="233"/>
      <c r="F241" s="233"/>
      <c r="G241" s="234"/>
      <c r="H241" s="48"/>
      <c r="I241" s="235"/>
    </row>
    <row r="242" spans="2:9" ht="17">
      <c r="B242" s="207" t="s">
        <v>442</v>
      </c>
      <c r="C242" s="231"/>
      <c r="D242" s="232"/>
      <c r="E242" s="233"/>
      <c r="F242" s="233"/>
      <c r="G242" s="234"/>
      <c r="H242" s="48"/>
      <c r="I242" s="48"/>
    </row>
    <row r="243" spans="2:9" ht="17">
      <c r="B243" s="269" t="s">
        <v>443</v>
      </c>
      <c r="C243" s="273"/>
      <c r="D243" s="306"/>
      <c r="E243" s="307"/>
      <c r="F243" s="307"/>
      <c r="G243" s="328"/>
      <c r="H243" s="48"/>
      <c r="I243" s="48"/>
    </row>
    <row r="244" spans="2:9" ht="17">
      <c r="B244" s="269" t="s">
        <v>444</v>
      </c>
      <c r="C244" s="273"/>
      <c r="D244" s="306">
        <v>19119</v>
      </c>
      <c r="E244" s="307"/>
      <c r="F244" s="307"/>
      <c r="G244" s="328"/>
      <c r="H244" s="48"/>
      <c r="I244" s="48"/>
    </row>
    <row r="245" spans="2:9" ht="17">
      <c r="B245" s="269" t="s">
        <v>467</v>
      </c>
      <c r="C245" s="273"/>
      <c r="D245" s="306"/>
      <c r="E245" s="307"/>
      <c r="F245" s="307"/>
      <c r="G245" s="328"/>
      <c r="H245" s="48"/>
      <c r="I245" s="48"/>
    </row>
    <row r="246" spans="2:9" ht="17">
      <c r="B246" s="269" t="s">
        <v>468</v>
      </c>
      <c r="C246" s="273">
        <v>8100</v>
      </c>
      <c r="D246" s="306">
        <v>57142</v>
      </c>
      <c r="E246" s="307"/>
      <c r="F246" s="307"/>
      <c r="G246" s="328"/>
      <c r="H246" s="48"/>
      <c r="I246" s="48"/>
    </row>
    <row r="247" spans="2:9" ht="17">
      <c r="B247" s="269" t="s">
        <v>445</v>
      </c>
      <c r="C247" s="273">
        <v>10404</v>
      </c>
      <c r="D247" s="306">
        <v>34950</v>
      </c>
      <c r="E247" s="307">
        <f>278*60</f>
        <v>16680</v>
      </c>
      <c r="F247" s="307">
        <v>20000</v>
      </c>
      <c r="G247" s="276"/>
      <c r="H247" s="48"/>
      <c r="I247" s="48"/>
    </row>
    <row r="248" spans="2:9" ht="17">
      <c r="B248" s="269" t="s">
        <v>446</v>
      </c>
      <c r="C248" s="273"/>
      <c r="D248" s="306">
        <v>21290</v>
      </c>
      <c r="E248" s="307">
        <f>1239.8*10</f>
        <v>12398</v>
      </c>
      <c r="F248" s="307">
        <v>11139</v>
      </c>
      <c r="G248" s="276"/>
    </row>
    <row r="249" spans="2:9" ht="17">
      <c r="B249" s="269" t="s">
        <v>447</v>
      </c>
      <c r="C249" s="273"/>
      <c r="D249" s="306">
        <v>2000</v>
      </c>
      <c r="E249" s="307"/>
      <c r="F249" s="307"/>
      <c r="G249" s="328"/>
    </row>
    <row r="250" spans="2:9" ht="17">
      <c r="B250" s="269" t="s">
        <v>448</v>
      </c>
      <c r="C250" s="273"/>
      <c r="D250" s="306">
        <v>10332</v>
      </c>
      <c r="E250" s="307"/>
      <c r="F250" s="307"/>
      <c r="G250" s="328"/>
    </row>
    <row r="251" spans="2:9" ht="17">
      <c r="B251" s="269" t="s">
        <v>449</v>
      </c>
      <c r="C251" s="273"/>
      <c r="D251" s="306">
        <v>9245</v>
      </c>
      <c r="E251" s="307"/>
      <c r="F251" s="307"/>
      <c r="G251" s="328"/>
    </row>
    <row r="252" spans="2:9" ht="17">
      <c r="B252" s="269" t="s">
        <v>450</v>
      </c>
      <c r="C252" s="273"/>
      <c r="D252" s="306"/>
      <c r="E252" s="307"/>
      <c r="F252" s="307"/>
      <c r="G252" s="328"/>
    </row>
    <row r="253" spans="2:9" ht="17">
      <c r="B253" s="269" t="s">
        <v>451</v>
      </c>
      <c r="C253" s="273"/>
      <c r="D253" s="306"/>
      <c r="E253" s="307"/>
      <c r="F253" s="307"/>
      <c r="G253" s="328"/>
    </row>
    <row r="254" spans="2:9" ht="17">
      <c r="B254" s="269" t="s">
        <v>452</v>
      </c>
      <c r="C254" s="273"/>
      <c r="D254" s="306">
        <v>10715</v>
      </c>
      <c r="E254" s="307"/>
      <c r="F254" s="307"/>
      <c r="G254" s="328"/>
    </row>
    <row r="255" spans="2:9" ht="17">
      <c r="B255" s="269" t="s">
        <v>453</v>
      </c>
      <c r="C255" s="273"/>
      <c r="D255" s="306">
        <v>13738</v>
      </c>
      <c r="E255" s="307"/>
      <c r="F255" s="307"/>
      <c r="G255" s="328"/>
    </row>
    <row r="256" spans="2:9" ht="17">
      <c r="B256" s="269" t="s">
        <v>454</v>
      </c>
      <c r="C256" s="273"/>
      <c r="D256" s="306">
        <v>9676</v>
      </c>
      <c r="E256" s="307"/>
      <c r="F256" s="307"/>
      <c r="G256" s="328"/>
    </row>
    <row r="257" spans="2:7" ht="17">
      <c r="B257" s="269" t="s">
        <v>455</v>
      </c>
      <c r="C257" s="273"/>
      <c r="D257" s="306">
        <v>11000</v>
      </c>
      <c r="E257" s="307"/>
      <c r="F257" s="307"/>
      <c r="G257" s="328"/>
    </row>
    <row r="258" spans="2:7" ht="17">
      <c r="B258" s="269" t="s">
        <v>456</v>
      </c>
      <c r="C258" s="273"/>
      <c r="D258" s="306">
        <v>24000</v>
      </c>
      <c r="E258" s="307"/>
      <c r="F258" s="307"/>
      <c r="G258" s="328"/>
    </row>
    <row r="259" spans="2:7" ht="17">
      <c r="B259" s="269" t="s">
        <v>457</v>
      </c>
      <c r="C259" s="273"/>
      <c r="D259" s="306"/>
      <c r="E259" s="307"/>
      <c r="F259" s="307"/>
      <c r="G259" s="328"/>
    </row>
    <row r="260" spans="2:7" ht="17">
      <c r="B260" s="269" t="s">
        <v>458</v>
      </c>
      <c r="C260" s="273"/>
      <c r="D260" s="306"/>
      <c r="E260" s="307"/>
      <c r="F260" s="307"/>
      <c r="G260" s="328"/>
    </row>
    <row r="261" spans="2:7" ht="17">
      <c r="B261" s="279" t="s">
        <v>459</v>
      </c>
      <c r="C261" s="329">
        <f>SUM(C243:C260)</f>
        <v>18504</v>
      </c>
      <c r="D261" s="330">
        <f t="shared" ref="D261" si="109">SUM(D243:D260)</f>
        <v>223207</v>
      </c>
      <c r="E261" s="331">
        <f>SUM(E243:E260)</f>
        <v>29078</v>
      </c>
      <c r="F261" s="329">
        <f>SUM(F243:F260)</f>
        <v>31139</v>
      </c>
      <c r="G261" s="332"/>
    </row>
    <row r="262" spans="2:7">
      <c r="C262" s="236"/>
      <c r="D262" s="237"/>
      <c r="E262" s="238"/>
      <c r="F262" s="238"/>
      <c r="G262" s="239"/>
    </row>
    <row r="263" spans="2:7" ht="17">
      <c r="B263" s="339" t="s">
        <v>460</v>
      </c>
      <c r="C263" s="333">
        <f t="shared" ref="C263:E263" si="110">C240</f>
        <v>511790.73999999976</v>
      </c>
      <c r="D263" s="334" t="e">
        <f t="shared" si="110"/>
        <v>#VALUE!</v>
      </c>
      <c r="E263" s="335">
        <f t="shared" si="110"/>
        <v>24216.919999999925</v>
      </c>
      <c r="F263" s="335">
        <f t="shared" ref="F263" si="111">F240</f>
        <v>372373.03</v>
      </c>
      <c r="G263" s="336"/>
    </row>
    <row r="264" spans="2:7" ht="17">
      <c r="B264" s="339" t="s">
        <v>461</v>
      </c>
      <c r="C264" s="333">
        <f t="shared" ref="C264:D264" si="112">C261</f>
        <v>18504</v>
      </c>
      <c r="D264" s="334">
        <f t="shared" si="112"/>
        <v>223207</v>
      </c>
      <c r="E264" s="335">
        <f>E261</f>
        <v>29078</v>
      </c>
      <c r="F264" s="335">
        <f>F261</f>
        <v>31139</v>
      </c>
      <c r="G264" s="336"/>
    </row>
    <row r="265" spans="2:7" ht="17">
      <c r="B265" s="339" t="s">
        <v>462</v>
      </c>
      <c r="C265" s="333"/>
      <c r="D265" s="334"/>
      <c r="E265" s="335"/>
      <c r="F265" s="335"/>
      <c r="G265" s="336"/>
    </row>
    <row r="266" spans="2:7" ht="17">
      <c r="B266" s="339" t="s">
        <v>463</v>
      </c>
      <c r="C266" s="333">
        <v>30000</v>
      </c>
      <c r="D266" s="334">
        <v>20000</v>
      </c>
      <c r="E266" s="337">
        <v>25000</v>
      </c>
      <c r="F266" s="337">
        <v>25000</v>
      </c>
      <c r="G266" s="336"/>
    </row>
    <row r="267" spans="2:7" ht="17">
      <c r="B267" s="339" t="s">
        <v>464</v>
      </c>
      <c r="C267" s="338">
        <f>C236</f>
        <v>72981.38</v>
      </c>
      <c r="D267" s="334" t="e">
        <f t="shared" ref="D267:E267" si="113">D236</f>
        <v>#REF!</v>
      </c>
      <c r="E267" s="335">
        <f t="shared" si="113"/>
        <v>83102</v>
      </c>
      <c r="F267" s="335">
        <f t="shared" ref="F267" si="114">F236</f>
        <v>24738.959999999999</v>
      </c>
      <c r="G267" s="336"/>
    </row>
    <row r="268" spans="2:7" ht="17">
      <c r="B268" s="339" t="s">
        <v>465</v>
      </c>
      <c r="C268" s="333">
        <f t="shared" ref="C268:E268" si="115">C233</f>
        <v>701938.2</v>
      </c>
      <c r="D268" s="334">
        <f t="shared" si="115"/>
        <v>925938.20863992791</v>
      </c>
      <c r="E268" s="335">
        <f t="shared" si="115"/>
        <v>451938</v>
      </c>
      <c r="F268" s="335">
        <f t="shared" ref="F268" si="116">F233</f>
        <v>150646.07999999999</v>
      </c>
      <c r="G268" s="336"/>
    </row>
    <row r="269" spans="2:7" ht="17">
      <c r="B269" s="340" t="s">
        <v>466</v>
      </c>
      <c r="C269" s="229">
        <f t="shared" ref="C269:E269" si="117">C263-C264-C265-C266+C267+C268</f>
        <v>1238206.3199999998</v>
      </c>
      <c r="D269" s="240" t="e">
        <f t="shared" si="117"/>
        <v>#VALUE!</v>
      </c>
      <c r="E269" s="240">
        <f t="shared" si="117"/>
        <v>505178.91999999993</v>
      </c>
      <c r="F269" s="240">
        <f t="shared" ref="F269" si="118">F263-F264-F265-F266+F267+F268</f>
        <v>491619.07000000007</v>
      </c>
      <c r="G269" s="241"/>
    </row>
    <row r="272" spans="2:7">
      <c r="C272" s="224"/>
      <c r="E272" s="242"/>
      <c r="F272" s="242"/>
    </row>
    <row r="273" spans="3:7">
      <c r="C273" s="224"/>
      <c r="D273" s="242"/>
      <c r="E273" s="242"/>
      <c r="F273" s="242"/>
    </row>
    <row r="274" spans="3:7">
      <c r="C274" s="224"/>
      <c r="D274" s="242"/>
      <c r="E274" s="242"/>
      <c r="F274" s="242"/>
    </row>
    <row r="275" spans="3:7">
      <c r="D275" s="242"/>
      <c r="E275" s="242"/>
      <c r="F275" s="242"/>
      <c r="G275" s="242"/>
    </row>
    <row r="276" spans="3:7">
      <c r="D276" s="242"/>
      <c r="E276" s="242"/>
      <c r="F276" s="242"/>
      <c r="G276" s="242"/>
    </row>
    <row r="277" spans="3:7">
      <c r="D277" s="242"/>
      <c r="E277" s="242"/>
      <c r="F277" s="242"/>
      <c r="G277" s="242"/>
    </row>
    <row r="279" spans="3:7">
      <c r="D279" s="242"/>
      <c r="E279" s="242"/>
      <c r="F279" s="242"/>
      <c r="G279" s="242"/>
    </row>
    <row r="280" spans="3:7">
      <c r="D280" s="242"/>
      <c r="E280" s="242"/>
      <c r="F280" s="242"/>
      <c r="G280" s="242"/>
    </row>
    <row r="281" spans="3:7">
      <c r="D281" s="242"/>
      <c r="E281" s="242"/>
      <c r="F281" s="242"/>
      <c r="G281" s="242"/>
    </row>
    <row r="283" spans="3:7">
      <c r="D283" s="242"/>
      <c r="E283" s="242"/>
      <c r="F283" s="242"/>
      <c r="G283" s="242"/>
    </row>
  </sheetData>
  <mergeCells count="5">
    <mergeCell ref="B1:G1"/>
    <mergeCell ref="B2:G2"/>
    <mergeCell ref="B3:G3"/>
    <mergeCell ref="E5:G5"/>
    <mergeCell ref="I34:I36"/>
  </mergeCells>
  <pageMargins left="0.5" right="0.5" top="0.5" bottom="0.5" header="0" footer="0"/>
  <pageSetup scale="8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1"/>
  <sheetViews>
    <sheetView topLeftCell="A283" zoomScale="120" zoomScaleNormal="120" workbookViewId="0">
      <selection activeCell="D290" sqref="D290"/>
    </sheetView>
  </sheetViews>
  <sheetFormatPr baseColWidth="10" defaultColWidth="8.6640625" defaultRowHeight="15"/>
  <cols>
    <col min="1" max="1" width="49" style="6" customWidth="1"/>
    <col min="2" max="2" width="12.1640625" style="6" bestFit="1" customWidth="1"/>
    <col min="3" max="3" width="0.5" style="6" customWidth="1"/>
    <col min="4" max="4" width="14" style="35" customWidth="1"/>
    <col min="5" max="5" width="8.6640625" style="6"/>
    <col min="6" max="6" width="10.1640625" style="6" bestFit="1" customWidth="1"/>
    <col min="7" max="16384" width="8.6640625" style="6"/>
  </cols>
  <sheetData>
    <row r="1" spans="1:4" ht="18">
      <c r="A1" s="362" t="s">
        <v>90</v>
      </c>
      <c r="B1" s="363"/>
    </row>
    <row r="2" spans="1:4" ht="18">
      <c r="A2" s="362" t="s">
        <v>282</v>
      </c>
      <c r="B2" s="363"/>
    </row>
    <row r="3" spans="1:4">
      <c r="A3" s="364"/>
      <c r="B3" s="363"/>
    </row>
    <row r="5" spans="1:4">
      <c r="A5" s="3"/>
      <c r="B5" s="27" t="s">
        <v>505</v>
      </c>
      <c r="C5" s="28"/>
      <c r="D5" s="36" t="s">
        <v>523</v>
      </c>
    </row>
    <row r="6" spans="1:4">
      <c r="A6" s="24" t="s">
        <v>3</v>
      </c>
      <c r="B6" s="5"/>
      <c r="D6" s="20"/>
    </row>
    <row r="7" spans="1:4">
      <c r="A7" s="24" t="s">
        <v>172</v>
      </c>
      <c r="B7" s="5"/>
      <c r="D7" s="20"/>
    </row>
    <row r="8" spans="1:4">
      <c r="A8" s="24" t="s">
        <v>173</v>
      </c>
      <c r="B8" s="43">
        <f>2834020.33</f>
        <v>2834020.33</v>
      </c>
      <c r="D8" s="43">
        <f>1336290.66</f>
        <v>1336290.6599999999</v>
      </c>
    </row>
    <row r="9" spans="1:4">
      <c r="A9" s="24" t="s">
        <v>175</v>
      </c>
      <c r="B9" s="43">
        <f>194035.25</f>
        <v>194035.25</v>
      </c>
      <c r="D9" s="43">
        <f>107944.34</f>
        <v>107944.34</v>
      </c>
    </row>
    <row r="10" spans="1:4">
      <c r="A10" s="24" t="s">
        <v>174</v>
      </c>
      <c r="B10" s="43">
        <f>750000</f>
        <v>750000</v>
      </c>
      <c r="D10" s="43">
        <f>333333.34</f>
        <v>333333.34000000003</v>
      </c>
    </row>
    <row r="11" spans="1:4">
      <c r="A11" s="24" t="s">
        <v>283</v>
      </c>
      <c r="B11" s="20"/>
      <c r="D11" s="20"/>
    </row>
    <row r="12" spans="1:4">
      <c r="A12" s="24" t="s">
        <v>284</v>
      </c>
      <c r="B12" s="20"/>
      <c r="D12" s="20"/>
    </row>
    <row r="13" spans="1:4">
      <c r="A13" s="24" t="s">
        <v>285</v>
      </c>
      <c r="B13" s="20"/>
      <c r="D13" s="20"/>
    </row>
    <row r="14" spans="1:4">
      <c r="A14" s="24" t="s">
        <v>286</v>
      </c>
      <c r="B14" s="20"/>
      <c r="D14" s="20"/>
    </row>
    <row r="15" spans="1:4">
      <c r="A15" s="24" t="s">
        <v>287</v>
      </c>
      <c r="B15" s="20"/>
      <c r="D15" s="20"/>
    </row>
    <row r="16" spans="1:4">
      <c r="A16" s="24" t="s">
        <v>288</v>
      </c>
      <c r="B16" s="20"/>
      <c r="D16" s="20"/>
    </row>
    <row r="17" spans="1:4">
      <c r="A17" s="24" t="s">
        <v>171</v>
      </c>
      <c r="B17" s="44">
        <f>(((((((((B7)+(B8))+(B9))+(B10))+(B11))+(B12))+(B13))+(B14))+(B15))+(B16)</f>
        <v>3778055.58</v>
      </c>
      <c r="D17" s="44">
        <f>(((((((((D7)+(D8))+(D9))+(D10))+(D11))+(D12))+(D13))+(D14))+(D15))+(D16)</f>
        <v>1777568.34</v>
      </c>
    </row>
    <row r="18" spans="1:4">
      <c r="A18" s="24" t="s">
        <v>51</v>
      </c>
      <c r="B18" s="20"/>
      <c r="D18" s="20"/>
    </row>
    <row r="19" spans="1:4">
      <c r="A19" s="24" t="s">
        <v>289</v>
      </c>
      <c r="B19" s="43">
        <f>12911</f>
        <v>12911</v>
      </c>
      <c r="D19" s="20"/>
    </row>
    <row r="20" spans="1:4">
      <c r="A20" s="24" t="s">
        <v>290</v>
      </c>
      <c r="B20" s="43">
        <f>75854.79</f>
        <v>75854.789999999994</v>
      </c>
      <c r="D20" s="43">
        <f>2998.81</f>
        <v>2998.81</v>
      </c>
    </row>
    <row r="21" spans="1:4">
      <c r="A21" s="24" t="s">
        <v>291</v>
      </c>
      <c r="B21" s="43">
        <f>12119.4</f>
        <v>12119.4</v>
      </c>
      <c r="D21" s="20"/>
    </row>
    <row r="22" spans="1:4">
      <c r="A22" s="24" t="s">
        <v>292</v>
      </c>
      <c r="B22" s="43">
        <f>10000</f>
        <v>10000</v>
      </c>
      <c r="D22" s="20"/>
    </row>
    <row r="23" spans="1:4">
      <c r="A23" s="24" t="s">
        <v>293</v>
      </c>
      <c r="B23" s="43">
        <f>36533</f>
        <v>36533</v>
      </c>
      <c r="D23" s="43">
        <f>9180</f>
        <v>9180</v>
      </c>
    </row>
    <row r="24" spans="1:4">
      <c r="A24" s="24" t="s">
        <v>294</v>
      </c>
      <c r="B24" s="20"/>
      <c r="D24" s="20"/>
    </row>
    <row r="25" spans="1:4">
      <c r="A25" s="24" t="s">
        <v>108</v>
      </c>
      <c r="B25" s="20"/>
      <c r="D25" s="20"/>
    </row>
    <row r="26" spans="1:4" s="25" customFormat="1">
      <c r="A26" s="1" t="s">
        <v>511</v>
      </c>
      <c r="B26" s="43">
        <f>8723</f>
        <v>8723</v>
      </c>
      <c r="D26" s="43">
        <f>34560</f>
        <v>34560</v>
      </c>
    </row>
    <row r="27" spans="1:4">
      <c r="A27" s="24" t="s">
        <v>52</v>
      </c>
      <c r="B27" s="44">
        <f>((((((((B18)+(B19))+(B20))+(B21))+(B22))+(B23))+(B24))+(B25))+(B26)</f>
        <v>156141.19</v>
      </c>
      <c r="D27" s="44">
        <f>((((((((D18)+(D19))+(D20))+(D21))+(D22))+(D23))+(D24))+(D25))+(D26)</f>
        <v>46738.81</v>
      </c>
    </row>
    <row r="28" spans="1:4">
      <c r="A28" s="24" t="s">
        <v>53</v>
      </c>
      <c r="B28" s="20"/>
      <c r="D28" s="20"/>
    </row>
    <row r="29" spans="1:4">
      <c r="A29" s="24" t="s">
        <v>295</v>
      </c>
      <c r="B29" s="20"/>
      <c r="D29" s="20"/>
    </row>
    <row r="30" spans="1:4">
      <c r="A30" s="24" t="s">
        <v>152</v>
      </c>
      <c r="B30" s="43">
        <f>13643.01</f>
        <v>13643.01</v>
      </c>
      <c r="D30" s="43">
        <f>2695.46</f>
        <v>2695.46</v>
      </c>
    </row>
    <row r="31" spans="1:4">
      <c r="A31" s="24" t="s">
        <v>93</v>
      </c>
      <c r="B31" s="20"/>
      <c r="D31" s="20"/>
    </row>
    <row r="32" spans="1:4">
      <c r="A32" s="24" t="s">
        <v>296</v>
      </c>
      <c r="B32" s="20"/>
      <c r="D32" s="20"/>
    </row>
    <row r="33" spans="1:4">
      <c r="A33" s="24" t="s">
        <v>54</v>
      </c>
      <c r="B33" s="44">
        <f>((((B28)+(B29))+(B30))+(B31))+(B32)</f>
        <v>13643.01</v>
      </c>
      <c r="D33" s="44">
        <f>((((D28)+(D29))+(D30))+(D31))+(D32)</f>
        <v>2695.46</v>
      </c>
    </row>
    <row r="34" spans="1:4">
      <c r="A34" s="24" t="s">
        <v>297</v>
      </c>
      <c r="B34" s="20"/>
      <c r="D34" s="20"/>
    </row>
    <row r="35" spans="1:4">
      <c r="A35" s="24" t="s">
        <v>298</v>
      </c>
      <c r="B35" s="20"/>
      <c r="D35" s="20"/>
    </row>
    <row r="36" spans="1:4">
      <c r="A36" s="24" t="s">
        <v>299</v>
      </c>
      <c r="B36" s="44">
        <f>(B34)+(B35)</f>
        <v>0</v>
      </c>
      <c r="D36" s="44">
        <f>(D34)+(D35)</f>
        <v>0</v>
      </c>
    </row>
    <row r="37" spans="1:4">
      <c r="A37" s="24" t="s">
        <v>300</v>
      </c>
      <c r="B37" s="20"/>
      <c r="D37" s="20"/>
    </row>
    <row r="38" spans="1:4">
      <c r="A38" s="24" t="s">
        <v>301</v>
      </c>
      <c r="B38" s="43">
        <f>361.09</f>
        <v>361.09</v>
      </c>
      <c r="D38" s="43">
        <f>88.69</f>
        <v>88.69</v>
      </c>
    </row>
    <row r="39" spans="1:4">
      <c r="A39" s="24" t="s">
        <v>302</v>
      </c>
      <c r="B39" s="44">
        <f>(B37)+(B38)</f>
        <v>361.09</v>
      </c>
      <c r="D39" s="44">
        <f>(D37)+(D38)</f>
        <v>88.69</v>
      </c>
    </row>
    <row r="40" spans="1:4">
      <c r="A40" s="24" t="s">
        <v>303</v>
      </c>
      <c r="B40" s="20"/>
      <c r="D40" s="20"/>
    </row>
    <row r="41" spans="1:4">
      <c r="A41" s="24" t="s">
        <v>304</v>
      </c>
      <c r="B41" s="20"/>
      <c r="D41" s="43">
        <f>20000</f>
        <v>20000</v>
      </c>
    </row>
    <row r="42" spans="1:4">
      <c r="A42" s="24" t="s">
        <v>305</v>
      </c>
      <c r="B42" s="20"/>
      <c r="D42" s="20"/>
    </row>
    <row r="43" spans="1:4">
      <c r="A43" s="24" t="s">
        <v>306</v>
      </c>
      <c r="B43" s="20"/>
      <c r="D43" s="20"/>
    </row>
    <row r="44" spans="1:4">
      <c r="A44" s="24" t="s">
        <v>307</v>
      </c>
      <c r="B44" s="20"/>
      <c r="D44" s="20"/>
    </row>
    <row r="45" spans="1:4">
      <c r="A45" s="24" t="s">
        <v>308</v>
      </c>
      <c r="B45" s="44">
        <f>((((B40)+(B41))+(B42))+(B43))+(B44)</f>
        <v>0</v>
      </c>
      <c r="D45" s="44">
        <f>((((D40)+(D41))+(D42))+(D43))+(D44)</f>
        <v>20000</v>
      </c>
    </row>
    <row r="46" spans="1:4">
      <c r="A46" s="24" t="s">
        <v>309</v>
      </c>
      <c r="B46" s="20"/>
      <c r="D46" s="20"/>
    </row>
    <row r="47" spans="1:4">
      <c r="A47" s="24" t="s">
        <v>310</v>
      </c>
      <c r="B47" s="20"/>
      <c r="D47" s="20"/>
    </row>
    <row r="48" spans="1:4">
      <c r="A48" s="24" t="s">
        <v>311</v>
      </c>
      <c r="B48" s="20"/>
      <c r="D48" s="20"/>
    </row>
    <row r="49" spans="1:6">
      <c r="A49" s="24" t="s">
        <v>312</v>
      </c>
      <c r="B49" s="20"/>
      <c r="D49" s="20"/>
    </row>
    <row r="50" spans="1:6">
      <c r="A50" s="24" t="s">
        <v>4</v>
      </c>
      <c r="B50" s="44">
        <f>(((((((((B17)+(B27))+(B33))+(B36))+(B39))+(B45))+(B46))+(B47))+(B48))+(B49)</f>
        <v>3948200.8699999996</v>
      </c>
      <c r="D50" s="44">
        <f>(((((((((D17)+(D27))+(D33))+(D36))+(D39))+(D45))+(D46))+(D47))+(D48))+(D49)</f>
        <v>1847091.3</v>
      </c>
    </row>
    <row r="51" spans="1:6">
      <c r="A51" s="24" t="s">
        <v>313</v>
      </c>
      <c r="B51" s="20"/>
      <c r="D51" s="20"/>
    </row>
    <row r="52" spans="1:6">
      <c r="A52" s="24" t="s">
        <v>314</v>
      </c>
      <c r="B52" s="20"/>
      <c r="D52" s="20"/>
    </row>
    <row r="53" spans="1:6">
      <c r="A53" s="24" t="s">
        <v>315</v>
      </c>
      <c r="B53" s="20"/>
      <c r="D53" s="20"/>
    </row>
    <row r="54" spans="1:6">
      <c r="A54" s="24" t="s">
        <v>316</v>
      </c>
      <c r="B54" s="20"/>
      <c r="D54" s="20"/>
    </row>
    <row r="55" spans="1:6">
      <c r="A55" s="24" t="s">
        <v>317</v>
      </c>
      <c r="B55" s="44">
        <f>((B52)+(B53))+(B54)</f>
        <v>0</v>
      </c>
      <c r="D55" s="44">
        <f>((D52)+(D53))+(D54)</f>
        <v>0</v>
      </c>
    </row>
    <row r="56" spans="1:6">
      <c r="A56" s="24" t="s">
        <v>1</v>
      </c>
      <c r="B56" s="44">
        <f>(B50)-(B55)</f>
        <v>3948200.8699999996</v>
      </c>
      <c r="D56" s="44">
        <f>(D50)-(D55)</f>
        <v>1847091.3</v>
      </c>
    </row>
    <row r="57" spans="1:6">
      <c r="A57" s="24" t="s">
        <v>5</v>
      </c>
      <c r="B57" s="20"/>
      <c r="D57" s="20"/>
      <c r="F57" s="33"/>
    </row>
    <row r="58" spans="1:6">
      <c r="A58" s="24" t="s">
        <v>109</v>
      </c>
      <c r="B58" s="20"/>
      <c r="D58" s="20"/>
    </row>
    <row r="59" spans="1:6">
      <c r="A59" s="24" t="s">
        <v>110</v>
      </c>
      <c r="B59" s="20"/>
      <c r="D59" s="20"/>
    </row>
    <row r="60" spans="1:6">
      <c r="A60" s="24" t="s">
        <v>111</v>
      </c>
      <c r="B60" s="43">
        <f>133900.08</f>
        <v>133900.07999999999</v>
      </c>
      <c r="D60" s="43">
        <f>45972.32</f>
        <v>45972.32</v>
      </c>
    </row>
    <row r="61" spans="1:6">
      <c r="A61" s="24" t="s">
        <v>318</v>
      </c>
      <c r="B61" s="20"/>
      <c r="D61" s="43">
        <f>25909.09</f>
        <v>25909.09</v>
      </c>
    </row>
    <row r="62" spans="1:6">
      <c r="A62" s="24" t="s">
        <v>319</v>
      </c>
      <c r="B62" s="20"/>
      <c r="D62" s="20"/>
    </row>
    <row r="63" spans="1:6">
      <c r="A63" s="24" t="s">
        <v>176</v>
      </c>
      <c r="B63" s="43">
        <f>74613.41</f>
        <v>74613.41</v>
      </c>
      <c r="D63" s="43">
        <f>27906.16</f>
        <v>27906.16</v>
      </c>
    </row>
    <row r="64" spans="1:6">
      <c r="A64" s="24" t="s">
        <v>112</v>
      </c>
      <c r="B64" s="43">
        <f>76564.44</f>
        <v>76564.44</v>
      </c>
      <c r="D64" s="43">
        <f>16188.55</f>
        <v>16188.55</v>
      </c>
    </row>
    <row r="65" spans="1:4">
      <c r="A65" s="24" t="s">
        <v>320</v>
      </c>
      <c r="B65" s="20"/>
      <c r="D65" s="43">
        <f>15340.91</f>
        <v>15340.91</v>
      </c>
    </row>
    <row r="66" spans="1:4">
      <c r="A66" s="24" t="s">
        <v>321</v>
      </c>
      <c r="B66" s="20"/>
      <c r="D66" s="20"/>
    </row>
    <row r="67" spans="1:4">
      <c r="A67" s="24" t="s">
        <v>113</v>
      </c>
      <c r="B67" s="43">
        <f>55487.19</f>
        <v>55487.19</v>
      </c>
      <c r="D67" s="43">
        <f>11277.79</f>
        <v>11277.79</v>
      </c>
    </row>
    <row r="68" spans="1:4">
      <c r="A68" s="24" t="s">
        <v>322</v>
      </c>
      <c r="B68" s="20"/>
      <c r="D68" s="43">
        <f>24353.36</f>
        <v>24353.360000000001</v>
      </c>
    </row>
    <row r="69" spans="1:4">
      <c r="A69" s="24" t="s">
        <v>323</v>
      </c>
      <c r="B69" s="20"/>
      <c r="D69" s="20"/>
    </row>
    <row r="70" spans="1:4">
      <c r="A70" s="24" t="s">
        <v>324</v>
      </c>
      <c r="B70" s="20"/>
      <c r="D70" s="20"/>
    </row>
    <row r="71" spans="1:4">
      <c r="A71" s="24" t="s">
        <v>325</v>
      </c>
      <c r="B71" s="20"/>
      <c r="D71" s="20"/>
    </row>
    <row r="72" spans="1:4">
      <c r="A72" s="24" t="s">
        <v>114</v>
      </c>
      <c r="B72" s="44">
        <f>((((((((((((B59)+(B60))+(B61))+(B62))+(B63))+(B64))+(B65))+(B66))+(B67))+(B68))+(B69))+(B70))+(B71)</f>
        <v>340565.12</v>
      </c>
      <c r="D72" s="44">
        <f>((((((((((((D59)+(D60))+(D61))+(D62))+(D63))+(D64))+(D65))+(D66))+(D67))+(D68))+(D69))+(D70))+(D71)</f>
        <v>166948.18</v>
      </c>
    </row>
    <row r="73" spans="1:4">
      <c r="A73" s="24" t="s">
        <v>141</v>
      </c>
      <c r="B73" s="20"/>
      <c r="D73" s="20"/>
    </row>
    <row r="74" spans="1:4">
      <c r="A74" s="24" t="s">
        <v>326</v>
      </c>
      <c r="B74" s="20"/>
      <c r="D74" s="20"/>
    </row>
    <row r="75" spans="1:4">
      <c r="A75" s="24" t="s">
        <v>327</v>
      </c>
      <c r="B75" s="20"/>
      <c r="D75" s="20"/>
    </row>
    <row r="76" spans="1:4">
      <c r="A76" s="24" t="s">
        <v>328</v>
      </c>
      <c r="B76" s="20"/>
      <c r="D76" s="20"/>
    </row>
    <row r="77" spans="1:4">
      <c r="A77" s="24" t="s">
        <v>329</v>
      </c>
      <c r="B77" s="20"/>
      <c r="D77" s="20"/>
    </row>
    <row r="78" spans="1:4">
      <c r="A78" s="24" t="s">
        <v>177</v>
      </c>
      <c r="B78" s="43">
        <f>274765.65</f>
        <v>274765.65000000002</v>
      </c>
      <c r="D78" s="43">
        <f>126940.53</f>
        <v>126940.53</v>
      </c>
    </row>
    <row r="79" spans="1:4">
      <c r="A79" s="24" t="s">
        <v>330</v>
      </c>
      <c r="B79" s="20"/>
      <c r="D79" s="20"/>
    </row>
    <row r="80" spans="1:4">
      <c r="A80" s="24" t="s">
        <v>178</v>
      </c>
      <c r="B80" s="43">
        <f>333908.88</f>
        <v>333908.88</v>
      </c>
      <c r="D80" s="43">
        <f>136614.1</f>
        <v>136614.1</v>
      </c>
    </row>
    <row r="81" spans="1:4">
      <c r="A81" s="24" t="s">
        <v>331</v>
      </c>
      <c r="B81" s="20"/>
      <c r="D81" s="20"/>
    </row>
    <row r="82" spans="1:4">
      <c r="A82" s="24" t="s">
        <v>332</v>
      </c>
      <c r="B82" s="20"/>
      <c r="D82" s="20"/>
    </row>
    <row r="83" spans="1:4">
      <c r="A83" s="24" t="s">
        <v>179</v>
      </c>
      <c r="B83" s="43">
        <f>39375</f>
        <v>39375</v>
      </c>
      <c r="D83" s="43">
        <f>21854.5</f>
        <v>21854.5</v>
      </c>
    </row>
    <row r="84" spans="1:4">
      <c r="A84" s="24" t="s">
        <v>333</v>
      </c>
      <c r="B84" s="20"/>
      <c r="D84" s="20"/>
    </row>
    <row r="85" spans="1:4">
      <c r="A85" s="24" t="s">
        <v>181</v>
      </c>
      <c r="B85" s="43">
        <f>67912.7</f>
        <v>67912.7</v>
      </c>
      <c r="D85" s="43">
        <f>33250.92</f>
        <v>33250.92</v>
      </c>
    </row>
    <row r="86" spans="1:4">
      <c r="A86" s="24" t="s">
        <v>182</v>
      </c>
      <c r="B86" s="43">
        <f>29917.56</f>
        <v>29917.56</v>
      </c>
      <c r="D86" s="43">
        <f>39108.38</f>
        <v>39108.379999999997</v>
      </c>
    </row>
    <row r="87" spans="1:4">
      <c r="A87" s="24" t="s">
        <v>183</v>
      </c>
      <c r="B87" s="43">
        <f>60000.05</f>
        <v>60000.05</v>
      </c>
      <c r="D87" s="43">
        <f>16854.54</f>
        <v>16854.54</v>
      </c>
    </row>
    <row r="88" spans="1:4">
      <c r="A88" s="24" t="s">
        <v>142</v>
      </c>
      <c r="B88" s="44">
        <f>((((((((((((((B73)+(B74))+(B75))+(B76))+(B77))+(B78))+(B79))+(B80))+(B81))+(B82))+(B83))+(B84))+(B85))+(B86))+(B87)</f>
        <v>805879.84000000008</v>
      </c>
      <c r="D88" s="44">
        <f>((((((((((((((D73)+(D74))+(D75))+(D76))+(D77))+(D78))+(D79))+(D80))+(D81))+(D82))+(D83))+(D84))+(D85))+(D86))+(D87)</f>
        <v>374622.97</v>
      </c>
    </row>
    <row r="89" spans="1:4">
      <c r="A89" s="24" t="s">
        <v>334</v>
      </c>
      <c r="B89" s="20"/>
      <c r="D89" s="20"/>
    </row>
    <row r="90" spans="1:4">
      <c r="A90" s="24" t="s">
        <v>335</v>
      </c>
      <c r="B90" s="20"/>
      <c r="D90" s="20"/>
    </row>
    <row r="91" spans="1:4">
      <c r="A91" s="24" t="s">
        <v>336</v>
      </c>
      <c r="B91" s="44">
        <f>(B89)+(B90)</f>
        <v>0</v>
      </c>
      <c r="D91" s="44">
        <f>(D89)+(D90)</f>
        <v>0</v>
      </c>
    </row>
    <row r="92" spans="1:4">
      <c r="A92" s="24" t="s">
        <v>115</v>
      </c>
      <c r="B92" s="20"/>
      <c r="D92" s="20"/>
    </row>
    <row r="93" spans="1:4">
      <c r="A93" s="24" t="s">
        <v>337</v>
      </c>
      <c r="B93" s="20"/>
      <c r="D93" s="20"/>
    </row>
    <row r="94" spans="1:4">
      <c r="A94" s="24" t="s">
        <v>116</v>
      </c>
      <c r="B94" s="43">
        <f>12668.96</f>
        <v>12668.96</v>
      </c>
      <c r="D94" s="43">
        <f>11289.57</f>
        <v>11289.57</v>
      </c>
    </row>
    <row r="95" spans="1:4">
      <c r="A95" s="24" t="s">
        <v>117</v>
      </c>
      <c r="B95" s="43">
        <f>79017.75</f>
        <v>79017.75</v>
      </c>
      <c r="D95" s="43">
        <f>32719.44</f>
        <v>32719.439999999999</v>
      </c>
    </row>
    <row r="96" spans="1:4">
      <c r="A96" s="24" t="s">
        <v>118</v>
      </c>
      <c r="B96" s="43">
        <f>7914.86</f>
        <v>7914.86</v>
      </c>
      <c r="D96" s="43">
        <f>7652.1</f>
        <v>7652.1</v>
      </c>
    </row>
    <row r="97" spans="1:4">
      <c r="A97" s="24" t="s">
        <v>119</v>
      </c>
      <c r="B97" s="20"/>
      <c r="D97" s="20"/>
    </row>
    <row r="98" spans="1:4">
      <c r="A98" s="24" t="s">
        <v>120</v>
      </c>
      <c r="B98" s="20"/>
      <c r="D98" s="20"/>
    </row>
    <row r="99" spans="1:4">
      <c r="A99" s="24" t="s">
        <v>121</v>
      </c>
      <c r="B99" s="20"/>
      <c r="D99" s="20"/>
    </row>
    <row r="100" spans="1:4">
      <c r="A100" s="24" t="s">
        <v>122</v>
      </c>
      <c r="B100" s="20"/>
      <c r="D100" s="20"/>
    </row>
    <row r="101" spans="1:4">
      <c r="A101" s="24" t="s">
        <v>123</v>
      </c>
      <c r="B101" s="20"/>
      <c r="D101" s="20"/>
    </row>
    <row r="102" spans="1:4">
      <c r="A102" s="24" t="s">
        <v>124</v>
      </c>
      <c r="B102" s="43">
        <f>288.68</f>
        <v>288.68</v>
      </c>
      <c r="D102" s="20"/>
    </row>
    <row r="103" spans="1:4">
      <c r="A103" s="24" t="s">
        <v>338</v>
      </c>
      <c r="B103" s="20"/>
      <c r="D103" s="20"/>
    </row>
    <row r="104" spans="1:4">
      <c r="A104" s="24" t="s">
        <v>125</v>
      </c>
      <c r="B104" s="43">
        <f>388.95</f>
        <v>388.95</v>
      </c>
      <c r="D104" s="20"/>
    </row>
    <row r="105" spans="1:4">
      <c r="A105" s="24" t="s">
        <v>126</v>
      </c>
      <c r="B105" s="44">
        <f>((((((((((((B92)+(B93))+(B94))+(B95))+(B96))+(B97))+(B98))+(B99))+(B100))+(B101))+(B102))+(B103))+(B104)</f>
        <v>100279.19999999998</v>
      </c>
      <c r="D105" s="44">
        <f>((((((((((((D92)+(D93))+(D94))+(D95))+(D96))+(D97))+(D98))+(D99))+(D100))+(D101))+(D102))+(D103))+(D104)</f>
        <v>51661.109999999993</v>
      </c>
    </row>
    <row r="106" spans="1:4">
      <c r="A106" s="24" t="s">
        <v>127</v>
      </c>
      <c r="B106" s="20"/>
      <c r="D106" s="20"/>
    </row>
    <row r="107" spans="1:4">
      <c r="A107" s="24" t="s">
        <v>128</v>
      </c>
      <c r="B107" s="43">
        <f>113451.81</f>
        <v>113451.81</v>
      </c>
      <c r="D107" s="43">
        <f>48583.43</f>
        <v>48583.43</v>
      </c>
    </row>
    <row r="108" spans="1:4">
      <c r="A108" s="24" t="s">
        <v>129</v>
      </c>
      <c r="B108" s="43">
        <f>2728.21</f>
        <v>2728.21</v>
      </c>
      <c r="D108" s="20"/>
    </row>
    <row r="109" spans="1:4">
      <c r="A109" s="24" t="s">
        <v>146</v>
      </c>
      <c r="B109" s="43">
        <f>736.33</f>
        <v>736.33</v>
      </c>
      <c r="D109" s="20"/>
    </row>
    <row r="110" spans="1:4">
      <c r="A110" s="24" t="s">
        <v>130</v>
      </c>
      <c r="B110" s="43">
        <f>11341.01</f>
        <v>11341.01</v>
      </c>
      <c r="D110" s="20"/>
    </row>
    <row r="111" spans="1:4">
      <c r="A111" s="24" t="s">
        <v>479</v>
      </c>
      <c r="B111" s="43">
        <f>10487.39</f>
        <v>10487.39</v>
      </c>
      <c r="D111" s="43">
        <f>5382.45</f>
        <v>5382.45</v>
      </c>
    </row>
    <row r="112" spans="1:4">
      <c r="A112" s="24" t="s">
        <v>339</v>
      </c>
      <c r="B112" s="20"/>
      <c r="D112" s="20"/>
    </row>
    <row r="113" spans="1:6">
      <c r="A113" s="24" t="s">
        <v>475</v>
      </c>
      <c r="B113" s="20"/>
      <c r="D113" s="20"/>
    </row>
    <row r="114" spans="1:6">
      <c r="A114" s="24" t="s">
        <v>340</v>
      </c>
      <c r="B114" s="43">
        <f>684</f>
        <v>684</v>
      </c>
      <c r="D114" s="20"/>
    </row>
    <row r="115" spans="1:6">
      <c r="A115" s="24" t="s">
        <v>341</v>
      </c>
      <c r="B115" s="43">
        <f>121.27</f>
        <v>121.27</v>
      </c>
      <c r="D115" s="20"/>
    </row>
    <row r="116" spans="1:6">
      <c r="A116" s="24" t="s">
        <v>342</v>
      </c>
      <c r="B116" s="20"/>
      <c r="D116" s="20"/>
    </row>
    <row r="117" spans="1:6">
      <c r="A117" s="24" t="s">
        <v>343</v>
      </c>
      <c r="B117" s="20"/>
      <c r="D117" s="20"/>
    </row>
    <row r="118" spans="1:6">
      <c r="A118" s="24" t="s">
        <v>344</v>
      </c>
      <c r="B118" s="20"/>
      <c r="D118" s="20"/>
    </row>
    <row r="119" spans="1:6" s="19" customFormat="1">
      <c r="A119" s="1" t="s">
        <v>503</v>
      </c>
      <c r="B119" s="20"/>
      <c r="D119" s="20"/>
    </row>
    <row r="120" spans="1:6">
      <c r="A120" s="24" t="s">
        <v>131</v>
      </c>
      <c r="B120" s="44">
        <f>(((((((((((((B106)+(B107))+(B108))+(B109))+(B110))+(B111))+(B112))+(B113))+(B114))+(B115))+(B116))+(B117))+(B118))+(B119)</f>
        <v>139550.01999999999</v>
      </c>
      <c r="D120" s="44">
        <f>(((((((((((((D106)+(D107))+(D108))+(D109))+(D110))+(D111))+(D112))+(D113))+(D114))+(D115))+(D116))+(D117))+(D118))+(D119)</f>
        <v>53965.88</v>
      </c>
      <c r="F120" s="33"/>
    </row>
    <row r="121" spans="1:6">
      <c r="A121" s="24" t="s">
        <v>345</v>
      </c>
      <c r="B121" s="20"/>
      <c r="D121" s="20"/>
    </row>
    <row r="122" spans="1:6">
      <c r="A122" s="24" t="s">
        <v>346</v>
      </c>
      <c r="B122" s="20"/>
      <c r="D122" s="20"/>
    </row>
    <row r="123" spans="1:6">
      <c r="A123" s="24" t="s">
        <v>347</v>
      </c>
      <c r="B123" s="20"/>
      <c r="D123" s="20"/>
    </row>
    <row r="124" spans="1:6">
      <c r="A124" s="24" t="s">
        <v>348</v>
      </c>
      <c r="B124" s="20"/>
      <c r="D124" s="20"/>
    </row>
    <row r="125" spans="1:6">
      <c r="A125" s="24" t="s">
        <v>349</v>
      </c>
      <c r="B125" s="44">
        <f>(((B121)+(B122))+(B123))+(B124)</f>
        <v>0</v>
      </c>
      <c r="D125" s="44">
        <f>(((D121)+(D122))+(D123))+(D124)</f>
        <v>0</v>
      </c>
    </row>
    <row r="126" spans="1:6">
      <c r="A126" s="24" t="s">
        <v>132</v>
      </c>
      <c r="B126" s="44">
        <f>((((((B58)+(B72))+(B88))+(B91))+(B105))+(B120))+(B125)</f>
        <v>1386274.18</v>
      </c>
      <c r="D126" s="44">
        <f>((((((D58)+(D72))+(D88))+(D91))+(D105))+(D120))+(D125)</f>
        <v>647198.1399999999</v>
      </c>
    </row>
    <row r="127" spans="1:6">
      <c r="A127" s="24" t="s">
        <v>55</v>
      </c>
      <c r="B127" s="20"/>
      <c r="D127" s="20"/>
    </row>
    <row r="128" spans="1:6">
      <c r="A128" s="24" t="s">
        <v>56</v>
      </c>
      <c r="B128" s="43">
        <f>28250</f>
        <v>28250</v>
      </c>
      <c r="D128" s="20"/>
    </row>
    <row r="129" spans="1:4">
      <c r="A129" s="24" t="s">
        <v>57</v>
      </c>
      <c r="B129" s="43">
        <f>17535</f>
        <v>17535</v>
      </c>
      <c r="D129" s="43">
        <f>10935.32</f>
        <v>10935.32</v>
      </c>
    </row>
    <row r="130" spans="1:4">
      <c r="A130" s="24" t="s">
        <v>58</v>
      </c>
      <c r="B130" s="43">
        <f>75699.5</f>
        <v>75699.5</v>
      </c>
      <c r="D130" s="43">
        <f>32385.75</f>
        <v>32385.75</v>
      </c>
    </row>
    <row r="131" spans="1:4">
      <c r="A131" s="24" t="s">
        <v>59</v>
      </c>
      <c r="B131" s="20"/>
      <c r="D131" s="20"/>
    </row>
    <row r="132" spans="1:4">
      <c r="A132" s="24" t="s">
        <v>350</v>
      </c>
      <c r="B132" s="20"/>
      <c r="D132" s="20"/>
    </row>
    <row r="133" spans="1:4">
      <c r="A133" s="24" t="s">
        <v>351</v>
      </c>
      <c r="B133" s="20"/>
      <c r="D133" s="20"/>
    </row>
    <row r="134" spans="1:4">
      <c r="A134" s="24" t="s">
        <v>153</v>
      </c>
      <c r="B134" s="43">
        <f>6775</f>
        <v>6775</v>
      </c>
      <c r="D134" s="43">
        <f>5665</f>
        <v>5665</v>
      </c>
    </row>
    <row r="135" spans="1:4">
      <c r="A135" s="24" t="s">
        <v>60</v>
      </c>
      <c r="B135" s="43">
        <f>6000</f>
        <v>6000</v>
      </c>
      <c r="D135" s="43">
        <f>1500</f>
        <v>1500</v>
      </c>
    </row>
    <row r="136" spans="1:4">
      <c r="A136" s="24" t="s">
        <v>94</v>
      </c>
      <c r="B136" s="20"/>
      <c r="D136" s="20"/>
    </row>
    <row r="137" spans="1:4">
      <c r="A137" s="24" t="s">
        <v>352</v>
      </c>
      <c r="B137" s="20"/>
      <c r="D137" s="43">
        <f>128.47</f>
        <v>128.47</v>
      </c>
    </row>
    <row r="138" spans="1:4">
      <c r="A138" s="24" t="s">
        <v>353</v>
      </c>
      <c r="B138" s="43">
        <f>4000</f>
        <v>4000</v>
      </c>
      <c r="D138" s="43">
        <f>16000</f>
        <v>16000</v>
      </c>
    </row>
    <row r="139" spans="1:4">
      <c r="A139" s="24" t="s">
        <v>354</v>
      </c>
      <c r="B139" s="20"/>
      <c r="D139" s="20"/>
    </row>
    <row r="140" spans="1:4">
      <c r="A140" s="24" t="s">
        <v>184</v>
      </c>
      <c r="B140" s="20"/>
      <c r="D140" s="20"/>
    </row>
    <row r="141" spans="1:4">
      <c r="A141" s="24" t="s">
        <v>61</v>
      </c>
      <c r="B141" s="43">
        <f>651.04</f>
        <v>651.04</v>
      </c>
      <c r="D141" s="20"/>
    </row>
    <row r="142" spans="1:4">
      <c r="A142" s="24" t="s">
        <v>62</v>
      </c>
      <c r="B142" s="44">
        <f>((((((((((((((B127)+(B128))+(B129))+(B130))+(B131))+(B132))+(B133))+(B134))+(B135))+(B136))+(B137))+(B138))+(B139))+(B140))+(B141)</f>
        <v>138910.54</v>
      </c>
      <c r="D142" s="44">
        <f>((((((((((((((D127)+(D128))+(D129))+(D130))+(D131))+(D132))+(D133))+(D134))+(D135))+(D136))+(D137))+(D138))+(D139))+(D140))+(D141)</f>
        <v>66614.540000000008</v>
      </c>
    </row>
    <row r="143" spans="1:4">
      <c r="A143" s="24" t="s">
        <v>63</v>
      </c>
      <c r="B143" s="20"/>
      <c r="D143" s="20"/>
    </row>
    <row r="144" spans="1:4">
      <c r="A144" s="24" t="s">
        <v>95</v>
      </c>
      <c r="B144" s="20"/>
      <c r="D144" s="43">
        <f>156</f>
        <v>156</v>
      </c>
    </row>
    <row r="145" spans="1:4">
      <c r="A145" s="24" t="s">
        <v>185</v>
      </c>
      <c r="B145" s="20"/>
      <c r="D145" s="43">
        <f>2000</f>
        <v>2000</v>
      </c>
    </row>
    <row r="146" spans="1:4">
      <c r="A146" s="24" t="s">
        <v>64</v>
      </c>
      <c r="B146" s="44">
        <f>((B143)+(B144))+(B145)</f>
        <v>0</v>
      </c>
      <c r="D146" s="44">
        <f>((D143)+(D144))+(D145)</f>
        <v>2156</v>
      </c>
    </row>
    <row r="147" spans="1:4">
      <c r="A147" s="24" t="s">
        <v>143</v>
      </c>
      <c r="B147" s="20"/>
      <c r="D147" s="20"/>
    </row>
    <row r="148" spans="1:4">
      <c r="A148" s="24" t="s">
        <v>144</v>
      </c>
      <c r="B148" s="43">
        <f>17783.04</f>
        <v>17783.04</v>
      </c>
      <c r="D148" s="43">
        <f>22999.77</f>
        <v>22999.77</v>
      </c>
    </row>
    <row r="149" spans="1:4">
      <c r="A149" s="24" t="s">
        <v>186</v>
      </c>
      <c r="B149" s="43">
        <f>44.5</f>
        <v>44.5</v>
      </c>
      <c r="D149" s="43">
        <f>909.64</f>
        <v>909.64</v>
      </c>
    </row>
    <row r="150" spans="1:4">
      <c r="A150" s="24" t="s">
        <v>187</v>
      </c>
      <c r="B150" s="43">
        <f>105.23</f>
        <v>105.23</v>
      </c>
      <c r="D150" s="20"/>
    </row>
    <row r="151" spans="1:4">
      <c r="A151" s="24" t="s">
        <v>355</v>
      </c>
      <c r="B151" s="20"/>
      <c r="D151" s="20"/>
    </row>
    <row r="152" spans="1:4">
      <c r="A152" s="24" t="s">
        <v>356</v>
      </c>
      <c r="B152" s="20"/>
      <c r="D152" s="20"/>
    </row>
    <row r="153" spans="1:4">
      <c r="A153" s="24" t="s">
        <v>188</v>
      </c>
      <c r="B153" s="43">
        <f>49.99</f>
        <v>49.99</v>
      </c>
      <c r="D153" s="43">
        <f>4373.49</f>
        <v>4373.49</v>
      </c>
    </row>
    <row r="154" spans="1:4">
      <c r="A154" s="24" t="s">
        <v>357</v>
      </c>
      <c r="B154" s="20"/>
      <c r="D154" s="20"/>
    </row>
    <row r="155" spans="1:4">
      <c r="A155" s="24" t="s">
        <v>358</v>
      </c>
      <c r="B155" s="20"/>
      <c r="D155" s="20"/>
    </row>
    <row r="156" spans="1:4">
      <c r="A156" s="24" t="s">
        <v>359</v>
      </c>
      <c r="B156" s="20"/>
      <c r="D156" s="20"/>
    </row>
    <row r="157" spans="1:4">
      <c r="A157" s="24" t="s">
        <v>145</v>
      </c>
      <c r="B157" s="44">
        <f>(((((((((B147)+(B148))+(B149))+(B150))+(B151))+(B152))+(B153))+(B154))+(B155))+(B156)</f>
        <v>17982.760000000002</v>
      </c>
      <c r="D157" s="44">
        <f>(((((((((D147)+(D148))+(D149))+(D150))+(D151))+(D152))+(D153))+(D154))+(D155))+(D156)</f>
        <v>28282.9</v>
      </c>
    </row>
    <row r="158" spans="1:4">
      <c r="A158" s="24" t="s">
        <v>360</v>
      </c>
      <c r="B158" s="20"/>
      <c r="D158" s="20"/>
    </row>
    <row r="159" spans="1:4">
      <c r="A159" s="24" t="s">
        <v>361</v>
      </c>
      <c r="B159" s="43">
        <f>100</f>
        <v>100</v>
      </c>
      <c r="D159" s="43">
        <f>110.53</f>
        <v>110.53</v>
      </c>
    </row>
    <row r="160" spans="1:4">
      <c r="A160" s="24" t="s">
        <v>362</v>
      </c>
      <c r="B160" s="44">
        <f>(B158)+(B159)</f>
        <v>100</v>
      </c>
      <c r="D160" s="44">
        <f>(D158)+(D159)</f>
        <v>110.53</v>
      </c>
    </row>
    <row r="161" spans="1:4">
      <c r="A161" s="24" t="s">
        <v>190</v>
      </c>
      <c r="B161" s="20"/>
      <c r="D161" s="20"/>
    </row>
    <row r="162" spans="1:4">
      <c r="A162" s="24" t="s">
        <v>191</v>
      </c>
      <c r="B162" s="20"/>
      <c r="D162" s="20"/>
    </row>
    <row r="163" spans="1:4">
      <c r="A163" s="24" t="s">
        <v>363</v>
      </c>
      <c r="B163" s="43">
        <f>2809.94</f>
        <v>2809.94</v>
      </c>
      <c r="D163" s="43">
        <f>2311.28</f>
        <v>2311.2800000000002</v>
      </c>
    </row>
    <row r="164" spans="1:4">
      <c r="A164" s="24" t="s">
        <v>192</v>
      </c>
      <c r="B164" s="43">
        <f>6079.46</f>
        <v>6079.46</v>
      </c>
      <c r="D164" s="43">
        <f>12270.14</f>
        <v>12270.14</v>
      </c>
    </row>
    <row r="165" spans="1:4">
      <c r="A165" s="24" t="s">
        <v>364</v>
      </c>
      <c r="B165" s="20"/>
      <c r="D165" s="20"/>
    </row>
    <row r="166" spans="1:4">
      <c r="A166" s="24" t="s">
        <v>189</v>
      </c>
      <c r="B166" s="44">
        <f>((((B161)+(B162))+(B163))+(B164))+(B165)</f>
        <v>8889.4</v>
      </c>
      <c r="D166" s="44">
        <f>((((D161)+(D162))+(D163))+(D164))+(D165)</f>
        <v>14581.42</v>
      </c>
    </row>
    <row r="167" spans="1:4">
      <c r="A167" s="24" t="s">
        <v>365</v>
      </c>
      <c r="B167" s="20"/>
      <c r="D167" s="20"/>
    </row>
    <row r="168" spans="1:4">
      <c r="A168" s="24" t="s">
        <v>366</v>
      </c>
      <c r="B168" s="43">
        <f>701.21</f>
        <v>701.21</v>
      </c>
      <c r="D168" s="43">
        <f>1395.87</f>
        <v>1395.87</v>
      </c>
    </row>
    <row r="169" spans="1:4">
      <c r="A169" s="24" t="s">
        <v>367</v>
      </c>
      <c r="B169" s="20"/>
      <c r="D169" s="20"/>
    </row>
    <row r="170" spans="1:4">
      <c r="A170" s="24" t="s">
        <v>368</v>
      </c>
      <c r="B170" s="43">
        <f>1435.17</f>
        <v>1435.17</v>
      </c>
      <c r="D170" s="43">
        <f>2484.8</f>
        <v>2484.8000000000002</v>
      </c>
    </row>
    <row r="171" spans="1:4">
      <c r="A171" s="24" t="s">
        <v>194</v>
      </c>
      <c r="B171" s="44">
        <f>(((B167)+(B168))+(B169))+(B170)</f>
        <v>2136.38</v>
      </c>
      <c r="D171" s="44">
        <f>(((D167)+(D168))+(D169))+(D170)</f>
        <v>3880.67</v>
      </c>
    </row>
    <row r="172" spans="1:4">
      <c r="A172" s="24" t="s">
        <v>138</v>
      </c>
      <c r="B172" s="20"/>
      <c r="D172" s="20"/>
    </row>
    <row r="173" spans="1:4">
      <c r="A173" s="24" t="s">
        <v>193</v>
      </c>
      <c r="B173" s="43">
        <f>18827.81</f>
        <v>18827.810000000001</v>
      </c>
      <c r="D173" s="43">
        <f>3705.31</f>
        <v>3705.31</v>
      </c>
    </row>
    <row r="174" spans="1:4">
      <c r="A174" s="24" t="s">
        <v>147</v>
      </c>
      <c r="B174" s="43">
        <f>2543.09</f>
        <v>2543.09</v>
      </c>
      <c r="D174" s="43">
        <f>1998.36</f>
        <v>1998.36</v>
      </c>
    </row>
    <row r="175" spans="1:4">
      <c r="A175" s="24" t="s">
        <v>160</v>
      </c>
      <c r="B175" s="43">
        <f>2400</f>
        <v>2400</v>
      </c>
      <c r="D175" s="43">
        <f>1941.52</f>
        <v>1941.52</v>
      </c>
    </row>
    <row r="176" spans="1:4">
      <c r="A176" s="24" t="s">
        <v>139</v>
      </c>
      <c r="B176" s="20"/>
      <c r="D176" s="43">
        <f>1403.05</f>
        <v>1403.05</v>
      </c>
    </row>
    <row r="177" spans="1:4">
      <c r="A177" s="24" t="s">
        <v>161</v>
      </c>
      <c r="B177" s="43">
        <f>4329.22</f>
        <v>4329.22</v>
      </c>
      <c r="D177" s="43">
        <f>6118.55</f>
        <v>6118.55</v>
      </c>
    </row>
    <row r="178" spans="1:4" s="23" customFormat="1">
      <c r="A178" s="24" t="s">
        <v>509</v>
      </c>
      <c r="B178" s="43">
        <f>17857.59</f>
        <v>17857.59</v>
      </c>
      <c r="D178" s="43">
        <f>11132.03</f>
        <v>11132.03</v>
      </c>
    </row>
    <row r="179" spans="1:4">
      <c r="A179" s="24" t="s">
        <v>140</v>
      </c>
      <c r="B179" s="44">
        <f>((((((B172)+(B173))+(B174))+(B175))+(B176))+(B177))+(B178)</f>
        <v>45957.710000000006</v>
      </c>
      <c r="D179" s="44">
        <f>((((((D172)+(D173))+(D174))+(D175))+(D176))+(D177))+(D178)</f>
        <v>26298.82</v>
      </c>
    </row>
    <row r="180" spans="1:4">
      <c r="A180" s="24" t="s">
        <v>196</v>
      </c>
      <c r="B180" s="20"/>
      <c r="D180" s="20"/>
    </row>
    <row r="181" spans="1:4">
      <c r="A181" s="24" t="s">
        <v>197</v>
      </c>
      <c r="B181" s="43">
        <f>3808.31</f>
        <v>3808.31</v>
      </c>
      <c r="D181" s="43">
        <f>3322.83</f>
        <v>3322.83</v>
      </c>
    </row>
    <row r="182" spans="1:4">
      <c r="A182" s="24" t="s">
        <v>369</v>
      </c>
      <c r="B182" s="20"/>
      <c r="D182" s="20"/>
    </row>
    <row r="183" spans="1:4">
      <c r="A183" s="24" t="s">
        <v>195</v>
      </c>
      <c r="B183" s="44">
        <f>((B180)+(B181))+(B182)</f>
        <v>3808.31</v>
      </c>
      <c r="D183" s="44">
        <f>((D180)+(D181))+(D182)</f>
        <v>3322.83</v>
      </c>
    </row>
    <row r="184" spans="1:4">
      <c r="A184" s="24" t="s">
        <v>65</v>
      </c>
      <c r="B184" s="20"/>
      <c r="D184" s="20"/>
    </row>
    <row r="185" spans="1:4">
      <c r="A185" s="24" t="s">
        <v>198</v>
      </c>
      <c r="B185" s="43">
        <f>33372</f>
        <v>33372</v>
      </c>
      <c r="D185" s="20"/>
    </row>
    <row r="186" spans="1:4">
      <c r="A186" s="24" t="s">
        <v>148</v>
      </c>
      <c r="B186" s="43">
        <f>35565.94</f>
        <v>35565.94</v>
      </c>
      <c r="D186" s="43">
        <f>8056.62</f>
        <v>8056.62</v>
      </c>
    </row>
    <row r="187" spans="1:4">
      <c r="A187" s="24" t="s">
        <v>66</v>
      </c>
      <c r="B187" s="43">
        <f>11795.34</f>
        <v>11795.34</v>
      </c>
      <c r="D187" s="43">
        <f>14731.14</f>
        <v>14731.14</v>
      </c>
    </row>
    <row r="188" spans="1:4">
      <c r="A188" s="24" t="s">
        <v>157</v>
      </c>
      <c r="B188" s="43">
        <f>15757.54</f>
        <v>15757.54</v>
      </c>
      <c r="D188" s="43">
        <f>6950.89</f>
        <v>6950.89</v>
      </c>
    </row>
    <row r="189" spans="1:4">
      <c r="A189" s="24" t="s">
        <v>97</v>
      </c>
      <c r="B189" s="43">
        <f>1500</f>
        <v>1500</v>
      </c>
      <c r="D189" s="43">
        <f>625</f>
        <v>625</v>
      </c>
    </row>
    <row r="190" spans="1:4">
      <c r="A190" s="24" t="s">
        <v>370</v>
      </c>
      <c r="B190" s="20"/>
      <c r="D190" s="20"/>
    </row>
    <row r="191" spans="1:4">
      <c r="A191" s="24" t="s">
        <v>371</v>
      </c>
      <c r="B191" s="20"/>
      <c r="D191" s="20"/>
    </row>
    <row r="192" spans="1:4">
      <c r="A192" s="24" t="s">
        <v>372</v>
      </c>
      <c r="B192" s="20"/>
      <c r="D192" s="20"/>
    </row>
    <row r="193" spans="1:4">
      <c r="A193" s="24" t="s">
        <v>67</v>
      </c>
      <c r="B193" s="44">
        <f>((((((((B184)+(B185))+(B186))+(B187))+(B188))+(B189))+(B190))+(B191))+(B192)</f>
        <v>97990.82</v>
      </c>
      <c r="D193" s="44">
        <f>((((((((D184)+(D185))+(D186))+(D187))+(D188))+(D189))+(D190))+(D191))+(D192)</f>
        <v>30363.649999999998</v>
      </c>
    </row>
    <row r="194" spans="1:4">
      <c r="A194" s="24" t="s">
        <v>373</v>
      </c>
      <c r="B194" s="20"/>
      <c r="D194" s="20"/>
    </row>
    <row r="195" spans="1:4">
      <c r="A195" s="24" t="s">
        <v>374</v>
      </c>
      <c r="B195" s="43">
        <f>7498</f>
        <v>7498</v>
      </c>
      <c r="D195" s="43">
        <f>5756.2</f>
        <v>5756.2</v>
      </c>
    </row>
    <row r="196" spans="1:4">
      <c r="A196" s="24" t="s">
        <v>375</v>
      </c>
      <c r="B196" s="44">
        <f>(B194)+(B195)</f>
        <v>7498</v>
      </c>
      <c r="D196" s="44">
        <f>(D194)+(D195)</f>
        <v>5756.2</v>
      </c>
    </row>
    <row r="197" spans="1:4">
      <c r="A197" s="24" t="s">
        <v>376</v>
      </c>
      <c r="B197" s="20"/>
      <c r="D197" s="20"/>
    </row>
    <row r="198" spans="1:4">
      <c r="A198" s="24" t="s">
        <v>377</v>
      </c>
      <c r="B198" s="20"/>
      <c r="D198" s="20"/>
    </row>
    <row r="199" spans="1:4">
      <c r="A199" s="24" t="s">
        <v>378</v>
      </c>
      <c r="B199" s="20"/>
      <c r="D199" s="20"/>
    </row>
    <row r="200" spans="1:4">
      <c r="A200" s="24" t="s">
        <v>379</v>
      </c>
      <c r="B200" s="20"/>
      <c r="D200" s="20"/>
    </row>
    <row r="201" spans="1:4">
      <c r="A201" s="24" t="s">
        <v>380</v>
      </c>
      <c r="B201" s="44">
        <f>(((B197)+(B198))+(B199))+(B200)</f>
        <v>0</v>
      </c>
      <c r="D201" s="44">
        <f>(((D197)+(D198))+(D199))+(D200)</f>
        <v>0</v>
      </c>
    </row>
    <row r="202" spans="1:4">
      <c r="A202" s="24" t="s">
        <v>162</v>
      </c>
      <c r="B202" s="20"/>
      <c r="D202" s="20"/>
    </row>
    <row r="203" spans="1:4">
      <c r="A203" s="24" t="s">
        <v>381</v>
      </c>
      <c r="B203" s="43">
        <f>1024.8</f>
        <v>1024.8</v>
      </c>
      <c r="D203" s="43">
        <f>1491.41</f>
        <v>1491.41</v>
      </c>
    </row>
    <row r="204" spans="1:4">
      <c r="A204" s="24" t="s">
        <v>382</v>
      </c>
      <c r="B204" s="20"/>
      <c r="D204" s="20"/>
    </row>
    <row r="205" spans="1:4">
      <c r="A205" s="24" t="s">
        <v>163</v>
      </c>
      <c r="B205" s="44">
        <f>((B202)+(B203))+(B204)</f>
        <v>1024.8</v>
      </c>
      <c r="D205" s="44">
        <f>((D202)+(D203))+(D204)</f>
        <v>1491.41</v>
      </c>
    </row>
    <row r="206" spans="1:4">
      <c r="A206" s="24" t="s">
        <v>68</v>
      </c>
      <c r="B206" s="20"/>
      <c r="D206" s="20"/>
    </row>
    <row r="207" spans="1:4">
      <c r="A207" s="24" t="s">
        <v>69</v>
      </c>
      <c r="B207" s="43">
        <f>12651.02</f>
        <v>12651.02</v>
      </c>
      <c r="D207" s="43">
        <f>11057.25</f>
        <v>11057.25</v>
      </c>
    </row>
    <row r="208" spans="1:4">
      <c r="A208" s="24" t="s">
        <v>136</v>
      </c>
      <c r="B208" s="43">
        <f>849.45</f>
        <v>849.45</v>
      </c>
      <c r="D208" s="20"/>
    </row>
    <row r="209" spans="1:4">
      <c r="A209" s="24" t="s">
        <v>70</v>
      </c>
      <c r="B209" s="44">
        <f>((B206)+(B207))+(B208)</f>
        <v>13500.470000000001</v>
      </c>
      <c r="D209" s="44">
        <f>((D206)+(D207))+(D208)</f>
        <v>11057.25</v>
      </c>
    </row>
    <row r="210" spans="1:4">
      <c r="A210" s="24" t="s">
        <v>71</v>
      </c>
      <c r="B210" s="20"/>
      <c r="D210" s="20"/>
    </row>
    <row r="211" spans="1:4">
      <c r="A211" s="24" t="s">
        <v>199</v>
      </c>
      <c r="B211" s="43">
        <f>9651.74</f>
        <v>9651.74</v>
      </c>
      <c r="D211" s="43">
        <f>25047.99</f>
        <v>25047.99</v>
      </c>
    </row>
    <row r="212" spans="1:4">
      <c r="A212" s="24" t="s">
        <v>72</v>
      </c>
      <c r="B212" s="43">
        <f>16550</f>
        <v>16550</v>
      </c>
      <c r="D212" s="43">
        <f>3500</f>
        <v>3500</v>
      </c>
    </row>
    <row r="213" spans="1:4">
      <c r="A213" s="24" t="s">
        <v>200</v>
      </c>
      <c r="B213" s="43">
        <f>9430.06</f>
        <v>9430.06</v>
      </c>
      <c r="D213" s="43">
        <f>3591.72</f>
        <v>3591.72</v>
      </c>
    </row>
    <row r="214" spans="1:4" s="31" customFormat="1">
      <c r="A214" s="24" t="s">
        <v>515</v>
      </c>
      <c r="B214" s="20"/>
      <c r="D214" s="20"/>
    </row>
    <row r="215" spans="1:4">
      <c r="A215" s="24" t="s">
        <v>516</v>
      </c>
      <c r="B215" s="44">
        <f>(B213)+(B214)</f>
        <v>9430.06</v>
      </c>
      <c r="D215" s="44">
        <f>(D213)+(D214)</f>
        <v>3591.72</v>
      </c>
    </row>
    <row r="216" spans="1:4" s="31" customFormat="1">
      <c r="A216" s="24" t="s">
        <v>73</v>
      </c>
      <c r="B216" s="44">
        <f>(((B210)+(B211))+(B212))+(B215)</f>
        <v>35631.799999999996</v>
      </c>
      <c r="D216" s="44">
        <f>(((D210)+(D211))+(D212))+(D215)</f>
        <v>32139.710000000003</v>
      </c>
    </row>
    <row r="217" spans="1:4">
      <c r="A217" s="24" t="s">
        <v>74</v>
      </c>
      <c r="B217" s="20"/>
      <c r="D217" s="20"/>
    </row>
    <row r="218" spans="1:4">
      <c r="A218" s="24" t="s">
        <v>96</v>
      </c>
      <c r="B218" s="43">
        <f>23567.31</f>
        <v>23567.31</v>
      </c>
      <c r="D218" s="43">
        <f>24667.43</f>
        <v>24667.43</v>
      </c>
    </row>
    <row r="219" spans="1:4">
      <c r="A219" s="24" t="s">
        <v>75</v>
      </c>
      <c r="B219" s="44">
        <f>(B217)+(B218)</f>
        <v>23567.31</v>
      </c>
      <c r="D219" s="44">
        <f>(D217)+(D218)</f>
        <v>24667.43</v>
      </c>
    </row>
    <row r="220" spans="1:4">
      <c r="A220" s="24" t="s">
        <v>76</v>
      </c>
      <c r="B220" s="20"/>
      <c r="D220" s="20"/>
    </row>
    <row r="221" spans="1:4">
      <c r="A221" s="24" t="s">
        <v>77</v>
      </c>
      <c r="B221" s="43">
        <f>8438.22</f>
        <v>8438.2199999999993</v>
      </c>
      <c r="D221" s="43">
        <f>2440.22</f>
        <v>2440.2199999999998</v>
      </c>
    </row>
    <row r="222" spans="1:4">
      <c r="A222" s="24" t="s">
        <v>78</v>
      </c>
      <c r="B222" s="44">
        <f>(B220)+(B221)</f>
        <v>8438.2199999999993</v>
      </c>
      <c r="D222" s="44">
        <f>(D220)+(D221)</f>
        <v>2440.2199999999998</v>
      </c>
    </row>
    <row r="223" spans="1:4">
      <c r="A223" s="24" t="s">
        <v>383</v>
      </c>
      <c r="B223" s="20"/>
      <c r="D223" s="20"/>
    </row>
    <row r="224" spans="1:4">
      <c r="A224" s="24" t="s">
        <v>384</v>
      </c>
      <c r="B224" s="20"/>
      <c r="D224" s="43">
        <f>1463.78</f>
        <v>1463.78</v>
      </c>
    </row>
    <row r="225" spans="1:4">
      <c r="A225" s="24" t="s">
        <v>385</v>
      </c>
      <c r="B225" s="44">
        <f>(B223)+(B224)</f>
        <v>0</v>
      </c>
      <c r="D225" s="44">
        <f>(D223)+(D224)</f>
        <v>1463.78</v>
      </c>
    </row>
    <row r="226" spans="1:4">
      <c r="A226" s="24" t="s">
        <v>99</v>
      </c>
      <c r="B226" s="20"/>
      <c r="D226" s="20"/>
    </row>
    <row r="227" spans="1:4">
      <c r="A227" s="24" t="s">
        <v>133</v>
      </c>
      <c r="B227" s="20"/>
      <c r="D227" s="20"/>
    </row>
    <row r="228" spans="1:4">
      <c r="A228" s="24" t="s">
        <v>98</v>
      </c>
      <c r="B228" s="43">
        <f>253.84</f>
        <v>253.84</v>
      </c>
      <c r="D228" s="20"/>
    </row>
    <row r="229" spans="1:4">
      <c r="A229" s="24" t="s">
        <v>100</v>
      </c>
      <c r="B229" s="44">
        <f>((B226)+(B227))+(B228)</f>
        <v>253.84</v>
      </c>
      <c r="D229" s="44">
        <f>((D226)+(D227))+(D228)</f>
        <v>0</v>
      </c>
    </row>
    <row r="230" spans="1:4">
      <c r="A230" s="24" t="s">
        <v>386</v>
      </c>
      <c r="B230" s="20"/>
      <c r="D230" s="20"/>
    </row>
    <row r="231" spans="1:4">
      <c r="A231" s="24" t="s">
        <v>387</v>
      </c>
      <c r="B231" s="43">
        <f>159.9</f>
        <v>159.9</v>
      </c>
      <c r="D231" s="20"/>
    </row>
    <row r="232" spans="1:4">
      <c r="A232" s="24" t="s">
        <v>388</v>
      </c>
      <c r="B232" s="44">
        <f>(B230)+(B231)</f>
        <v>159.9</v>
      </c>
      <c r="D232" s="44">
        <f>(D230)+(D231)</f>
        <v>0</v>
      </c>
    </row>
    <row r="233" spans="1:4">
      <c r="A233" s="24" t="s">
        <v>79</v>
      </c>
      <c r="B233" s="20"/>
      <c r="D233" s="20"/>
    </row>
    <row r="234" spans="1:4">
      <c r="A234" s="24" t="s">
        <v>201</v>
      </c>
      <c r="B234" s="43">
        <f>703.3</f>
        <v>703.3</v>
      </c>
      <c r="D234" s="43">
        <f>106.89</f>
        <v>106.89</v>
      </c>
    </row>
    <row r="235" spans="1:4">
      <c r="A235" s="24" t="s">
        <v>137</v>
      </c>
      <c r="B235" s="20"/>
      <c r="D235" s="20"/>
    </row>
    <row r="236" spans="1:4">
      <c r="A236" s="24" t="s">
        <v>80</v>
      </c>
      <c r="B236" s="20"/>
      <c r="D236" s="20"/>
    </row>
    <row r="237" spans="1:4">
      <c r="A237" s="24" t="s">
        <v>107</v>
      </c>
      <c r="B237" s="20"/>
      <c r="D237" s="20"/>
    </row>
    <row r="238" spans="1:4">
      <c r="A238" s="24" t="s">
        <v>202</v>
      </c>
      <c r="B238" s="20"/>
      <c r="D238" s="20"/>
    </row>
    <row r="239" spans="1:4">
      <c r="A239" s="24" t="s">
        <v>81</v>
      </c>
      <c r="B239" s="44">
        <f>(((((B233)+(B234))+(B235))+(B236))+(B237))+(B238)</f>
        <v>703.3</v>
      </c>
      <c r="D239" s="44">
        <f>(((((D233)+(D234))+(D235))+(D236))+(D237))+(D238)</f>
        <v>106.89</v>
      </c>
    </row>
    <row r="240" spans="1:4">
      <c r="A240" s="24" t="s">
        <v>82</v>
      </c>
      <c r="B240" s="20"/>
      <c r="D240" s="20"/>
    </row>
    <row r="241" spans="1:4">
      <c r="A241" s="24" t="s">
        <v>83</v>
      </c>
      <c r="B241" s="43">
        <f>25307.99</f>
        <v>25307.99</v>
      </c>
      <c r="D241" s="43">
        <f>18588.91</f>
        <v>18588.91</v>
      </c>
    </row>
    <row r="242" spans="1:4">
      <c r="A242" s="24" t="s">
        <v>389</v>
      </c>
      <c r="B242" s="20"/>
      <c r="D242" s="20"/>
    </row>
    <row r="243" spans="1:4">
      <c r="A243" s="24" t="s">
        <v>84</v>
      </c>
      <c r="B243" s="44">
        <f>((B240)+(B241))+(B242)</f>
        <v>25307.99</v>
      </c>
      <c r="D243" s="44">
        <f>((D240)+(D241))+(D242)</f>
        <v>18588.91</v>
      </c>
    </row>
    <row r="244" spans="1:4">
      <c r="A244" s="24" t="s">
        <v>154</v>
      </c>
      <c r="B244" s="20"/>
      <c r="D244" s="20"/>
    </row>
    <row r="245" spans="1:4">
      <c r="A245" s="24" t="s">
        <v>203</v>
      </c>
      <c r="B245" s="43">
        <f>750000</f>
        <v>750000</v>
      </c>
      <c r="D245" s="43">
        <f>333332</f>
        <v>333332</v>
      </c>
    </row>
    <row r="246" spans="1:4">
      <c r="A246" s="24" t="s">
        <v>155</v>
      </c>
      <c r="B246" s="43">
        <f>5146.3</f>
        <v>5146.3</v>
      </c>
      <c r="D246" s="43">
        <f>12121.6</f>
        <v>12121.6</v>
      </c>
    </row>
    <row r="247" spans="1:4">
      <c r="A247" s="24" t="s">
        <v>204</v>
      </c>
      <c r="B247" s="43">
        <f>9389.52</f>
        <v>9389.52</v>
      </c>
      <c r="D247" s="20"/>
    </row>
    <row r="248" spans="1:4">
      <c r="A248" s="24" t="s">
        <v>390</v>
      </c>
      <c r="B248" s="43">
        <f>6075</f>
        <v>6075</v>
      </c>
      <c r="D248" s="43">
        <f>2025</f>
        <v>2025</v>
      </c>
    </row>
    <row r="249" spans="1:4">
      <c r="A249" s="24" t="s">
        <v>391</v>
      </c>
      <c r="B249" s="43">
        <f>72744</f>
        <v>72744</v>
      </c>
      <c r="D249" s="43">
        <f>31333.33</f>
        <v>31333.33</v>
      </c>
    </row>
    <row r="250" spans="1:4">
      <c r="A250" s="24" t="s">
        <v>205</v>
      </c>
      <c r="B250" s="43">
        <f>701938.2</f>
        <v>701938.2</v>
      </c>
      <c r="D250" s="43">
        <f>150646.08</f>
        <v>150646.07999999999</v>
      </c>
    </row>
    <row r="251" spans="1:4">
      <c r="A251" s="24" t="s">
        <v>392</v>
      </c>
      <c r="B251" s="20"/>
      <c r="D251" s="20"/>
    </row>
    <row r="252" spans="1:4">
      <c r="A252" s="24" t="s">
        <v>156</v>
      </c>
      <c r="B252" s="44">
        <f>(((((((B244)+(B245))+(B246))+(B247))+(B248))+(B249))+(B250))+(B251)</f>
        <v>1545293.02</v>
      </c>
      <c r="D252" s="44">
        <f>(((((((D244)+(D245))+(D246))+(D247))+(D248))+(D249))+(D250))+(D251)</f>
        <v>529458.01</v>
      </c>
    </row>
    <row r="253" spans="1:4">
      <c r="A253" s="24" t="s">
        <v>393</v>
      </c>
      <c r="B253" s="20"/>
      <c r="D253" s="20"/>
    </row>
    <row r="254" spans="1:4">
      <c r="A254" s="24" t="s">
        <v>394</v>
      </c>
      <c r="B254" s="43">
        <f>72981.38</f>
        <v>72981.38</v>
      </c>
      <c r="D254" s="43">
        <f>24738.96</f>
        <v>24738.959999999999</v>
      </c>
    </row>
    <row r="255" spans="1:4">
      <c r="A255" s="24" t="s">
        <v>395</v>
      </c>
      <c r="B255" s="20"/>
      <c r="D255" s="20"/>
    </row>
    <row r="256" spans="1:4">
      <c r="A256" s="24" t="s">
        <v>396</v>
      </c>
      <c r="B256" s="44">
        <f>((B253)+(B254))+(B255)</f>
        <v>72981.38</v>
      </c>
      <c r="D256" s="44">
        <f>((D253)+(D254))+(D255)</f>
        <v>24738.959999999999</v>
      </c>
    </row>
    <row r="257" spans="1:4">
      <c r="A257" s="24" t="s">
        <v>481</v>
      </c>
      <c r="B257" s="20"/>
      <c r="D257" s="20"/>
    </row>
    <row r="258" spans="1:4">
      <c r="A258" s="24" t="s">
        <v>397</v>
      </c>
      <c r="B258" s="20"/>
      <c r="D258" s="20"/>
    </row>
    <row r="259" spans="1:4">
      <c r="A259" s="24" t="s">
        <v>398</v>
      </c>
      <c r="B259" s="20"/>
      <c r="D259" s="20"/>
    </row>
    <row r="260" spans="1:4">
      <c r="A260" s="24" t="s">
        <v>399</v>
      </c>
      <c r="B260" s="20"/>
      <c r="D260" s="20"/>
    </row>
    <row r="261" spans="1:4">
      <c r="A261" s="24" t="s">
        <v>400</v>
      </c>
      <c r="B261" s="20"/>
      <c r="D261" s="20"/>
    </row>
    <row r="262" spans="1:4">
      <c r="A262" s="24" t="s">
        <v>401</v>
      </c>
      <c r="B262" s="20"/>
      <c r="D262" s="20"/>
    </row>
    <row r="263" spans="1:4">
      <c r="A263" s="24" t="s">
        <v>402</v>
      </c>
      <c r="B263" s="20"/>
      <c r="D263" s="20"/>
    </row>
    <row r="264" spans="1:4">
      <c r="A264" s="24" t="s">
        <v>403</v>
      </c>
      <c r="B264" s="20"/>
      <c r="D264" s="20"/>
    </row>
    <row r="265" spans="1:4">
      <c r="A265" s="24" t="s">
        <v>404</v>
      </c>
      <c r="B265" s="20"/>
      <c r="D265" s="20"/>
    </row>
    <row r="266" spans="1:4">
      <c r="A266" s="24" t="s">
        <v>405</v>
      </c>
      <c r="B266" s="20"/>
      <c r="D266" s="20"/>
    </row>
    <row r="267" spans="1:4">
      <c r="A267" s="24" t="s">
        <v>406</v>
      </c>
      <c r="B267" s="20"/>
      <c r="D267" s="20"/>
    </row>
    <row r="268" spans="1:4">
      <c r="A268" s="24" t="s">
        <v>407</v>
      </c>
      <c r="B268" s="20"/>
      <c r="D268" s="20"/>
    </row>
    <row r="269" spans="1:4">
      <c r="A269" s="24" t="s">
        <v>408</v>
      </c>
      <c r="B269" s="20"/>
      <c r="D269" s="20"/>
    </row>
    <row r="270" spans="1:4">
      <c r="A270" s="24" t="s">
        <v>409</v>
      </c>
      <c r="B270" s="20"/>
      <c r="D270" s="20"/>
    </row>
    <row r="271" spans="1:4">
      <c r="A271" s="24" t="s">
        <v>410</v>
      </c>
      <c r="B271" s="20"/>
      <c r="D271" s="20"/>
    </row>
    <row r="272" spans="1:4">
      <c r="A272" s="24" t="s">
        <v>411</v>
      </c>
      <c r="B272" s="20"/>
      <c r="D272" s="20"/>
    </row>
    <row r="273" spans="1:4">
      <c r="A273" s="24" t="s">
        <v>412</v>
      </c>
      <c r="B273" s="20"/>
      <c r="D273" s="20"/>
    </row>
    <row r="274" spans="1:4">
      <c r="A274" s="24" t="s">
        <v>413</v>
      </c>
      <c r="B274" s="20"/>
      <c r="D274" s="20"/>
    </row>
    <row r="275" spans="1:4">
      <c r="A275" s="24" t="s">
        <v>414</v>
      </c>
      <c r="B275" s="20"/>
      <c r="D275" s="20"/>
    </row>
    <row r="276" spans="1:4">
      <c r="A276" s="24" t="s">
        <v>415</v>
      </c>
      <c r="B276" s="20"/>
      <c r="D276" s="20"/>
    </row>
    <row r="277" spans="1:4">
      <c r="A277" s="24" t="s">
        <v>416</v>
      </c>
      <c r="B277" s="20"/>
      <c r="D277" s="20"/>
    </row>
    <row r="278" spans="1:4">
      <c r="A278" s="24" t="s">
        <v>417</v>
      </c>
      <c r="B278" s="20"/>
      <c r="D278" s="20"/>
    </row>
    <row r="279" spans="1:4">
      <c r="A279" s="24" t="s">
        <v>418</v>
      </c>
      <c r="B279" s="20"/>
      <c r="D279" s="20"/>
    </row>
    <row r="280" spans="1:4">
      <c r="A280" s="24" t="s">
        <v>6</v>
      </c>
      <c r="B280" s="44">
        <f>((((((((((((((((((((((((((((((((((((((((((((((B126)+(B142))+(B146))+(B157))+(B160))+(B166))+(B171))+(B179))+(B183))+(B193))+(B196))+(B201))+(B205))+(B209))+(B216))+(B219))+(B222))+(B225))+(B229))+(B232))+(B239))+(B243))+(B252))+(B256))+(B257))+(B258))+(B259))+(B260))+(B261))+(B262))+(B263))+(B264))+(B265))+(B266))+(B267))+(B268))+(B269))+(B270))+(B271))+(B272))+(B273))+(B274))+(B275))+(B276))+(B277))+(B278))+(B279)</f>
        <v>3436410.13</v>
      </c>
      <c r="D280" s="44">
        <f>((((((((((((((((((((((((((((((((((((((((((((((D126)+(D142))+(D146))+(D157))+(D160))+(D166))+(D171))+(D179))+(D183))+(D193))+(D196))+(D201))+(D205))+(D209))+(D216))+(D219))+(D222))+(D225))+(D229))+(D232))+(D239))+(D243))+(D252))+(D256))+(D257))+(D258))+(D259))+(D260))+(D261))+(D262))+(D263))+(D264))+(D265))+(D266))+(D267))+(D268))+(D269))+(D270))+(D271))+(D272))+(D273))+(D274))+(D275))+(D276))+(D277))+(D278))+(D279)</f>
        <v>1474718.27</v>
      </c>
    </row>
    <row r="281" spans="1:4">
      <c r="A281" s="24" t="s">
        <v>85</v>
      </c>
      <c r="B281" s="44">
        <f>(B56)-(B280)</f>
        <v>511790.73999999976</v>
      </c>
      <c r="D281" s="44">
        <f>(D56)-(D280)</f>
        <v>372373.03</v>
      </c>
    </row>
    <row r="282" spans="1:4">
      <c r="A282" s="24" t="s">
        <v>419</v>
      </c>
      <c r="B282" s="20"/>
      <c r="D282" s="20"/>
    </row>
    <row r="283" spans="1:4">
      <c r="A283" s="24" t="s">
        <v>420</v>
      </c>
      <c r="B283" s="20"/>
      <c r="D283" s="20"/>
    </row>
    <row r="284" spans="1:4">
      <c r="A284" s="24" t="s">
        <v>421</v>
      </c>
      <c r="B284" s="20"/>
      <c r="D284" s="20"/>
    </row>
    <row r="285" spans="1:4">
      <c r="A285" s="24" t="s">
        <v>422</v>
      </c>
      <c r="B285" s="44">
        <f>(B283)+(B284)</f>
        <v>0</v>
      </c>
      <c r="D285" s="44">
        <f>(D283)+(D284)</f>
        <v>0</v>
      </c>
    </row>
    <row r="286" spans="1:4">
      <c r="A286" s="24" t="s">
        <v>423</v>
      </c>
      <c r="B286" s="44">
        <f>(0)-(B285)</f>
        <v>0</v>
      </c>
      <c r="D286" s="44">
        <f>(0)-(D285)</f>
        <v>0</v>
      </c>
    </row>
    <row r="287" spans="1:4">
      <c r="A287" s="24" t="s">
        <v>29</v>
      </c>
      <c r="B287" s="44">
        <f>(B281)+(B286)</f>
        <v>511790.73999999976</v>
      </c>
      <c r="D287" s="44">
        <f>(D281)+(D286)</f>
        <v>372373.03</v>
      </c>
    </row>
    <row r="288" spans="1:4">
      <c r="A288" s="4"/>
      <c r="B288" s="5"/>
    </row>
    <row r="289" spans="2:4">
      <c r="B289" s="29">
        <f>'Budget Vs. Actuals Detail'!C18</f>
        <v>511790.73999999976</v>
      </c>
      <c r="D289" s="35">
        <f>'Budget Vs. Actuals Detail'!F18</f>
        <v>372373.03</v>
      </c>
    </row>
    <row r="290" spans="2:4">
      <c r="B290" s="30">
        <f>B287-B289</f>
        <v>0</v>
      </c>
      <c r="D290" s="35">
        <f>D287-D289</f>
        <v>0</v>
      </c>
    </row>
    <row r="291" spans="2:4">
      <c r="B291" s="3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I33"/>
  <sheetViews>
    <sheetView zoomScale="90" zoomScaleNormal="90" workbookViewId="0">
      <selection activeCell="F13" sqref="F13"/>
    </sheetView>
  </sheetViews>
  <sheetFormatPr baseColWidth="10" defaultColWidth="13.6640625" defaultRowHeight="14"/>
  <cols>
    <col min="1" max="2" width="8.6640625" style="7" customWidth="1"/>
    <col min="3" max="3" width="13.6640625" style="7"/>
    <col min="4" max="4" width="16.1640625" style="7" customWidth="1"/>
    <col min="5" max="7" width="13.6640625" style="7"/>
    <col min="8" max="8" width="0.5" style="7" customWidth="1"/>
    <col min="9" max="16384" width="13.6640625" style="7"/>
  </cols>
  <sheetData>
    <row r="1" spans="1:9" ht="20">
      <c r="A1" s="18" t="s">
        <v>90</v>
      </c>
    </row>
    <row r="2" spans="1:9" ht="16">
      <c r="A2" s="8" t="s">
        <v>537</v>
      </c>
    </row>
    <row r="4" spans="1:9">
      <c r="E4" s="9">
        <v>44470</v>
      </c>
      <c r="F4" s="9">
        <f>E4+31</f>
        <v>44501</v>
      </c>
      <c r="G4" s="9">
        <f>F4+31</f>
        <v>44532</v>
      </c>
      <c r="I4" s="37" t="s">
        <v>519</v>
      </c>
    </row>
    <row r="6" spans="1:9">
      <c r="D6" s="10" t="s">
        <v>482</v>
      </c>
      <c r="E6" s="11">
        <f>'Balance Sheet'!B8</f>
        <v>3240449.96</v>
      </c>
      <c r="F6" s="17">
        <f>E31</f>
        <v>2801185.4233333333</v>
      </c>
      <c r="G6" s="17">
        <f>F31</f>
        <v>3292886.9266666668</v>
      </c>
      <c r="H6" s="12"/>
      <c r="I6" s="17">
        <f>E6</f>
        <v>3240449.96</v>
      </c>
    </row>
    <row r="8" spans="1:9">
      <c r="C8" s="12" t="s">
        <v>483</v>
      </c>
    </row>
    <row r="9" spans="1:9">
      <c r="D9" s="7" t="s">
        <v>484</v>
      </c>
      <c r="E9" s="42"/>
      <c r="F9" s="42">
        <v>880362.17</v>
      </c>
      <c r="G9" s="42"/>
      <c r="H9" s="40"/>
      <c r="I9" s="40">
        <f>SUM(E9:G9)</f>
        <v>880362.17</v>
      </c>
    </row>
    <row r="10" spans="1:9">
      <c r="D10" s="7" t="s">
        <v>485</v>
      </c>
      <c r="E10" s="14"/>
      <c r="F10" s="41">
        <f>'Balance Sheet'!B10</f>
        <v>0</v>
      </c>
      <c r="G10" s="41"/>
      <c r="H10" s="40"/>
      <c r="I10" s="41">
        <f>SUM(E10:G10)</f>
        <v>0</v>
      </c>
    </row>
    <row r="11" spans="1:9">
      <c r="E11" s="40"/>
      <c r="F11" s="40"/>
      <c r="G11" s="40"/>
      <c r="H11" s="40"/>
      <c r="I11" s="40"/>
    </row>
    <row r="12" spans="1:9">
      <c r="D12" s="10" t="s">
        <v>486</v>
      </c>
      <c r="E12" s="15">
        <f>E6+E9+E10</f>
        <v>3240449.96</v>
      </c>
      <c r="F12" s="15">
        <f t="shared" ref="F12:G12" si="0">F6+F9+F10</f>
        <v>3681547.5933333333</v>
      </c>
      <c r="G12" s="15">
        <f t="shared" si="0"/>
        <v>3292886.9266666668</v>
      </c>
      <c r="H12" s="15"/>
      <c r="I12" s="15">
        <f>I6+I9+I10</f>
        <v>4120812.13</v>
      </c>
    </row>
    <row r="13" spans="1:9">
      <c r="E13" s="40"/>
      <c r="F13" s="40"/>
      <c r="G13" s="40"/>
      <c r="H13" s="40"/>
      <c r="I13" s="40"/>
    </row>
    <row r="14" spans="1:9">
      <c r="C14" s="12" t="s">
        <v>487</v>
      </c>
      <c r="E14" s="40"/>
      <c r="F14" s="40"/>
      <c r="G14" s="40"/>
      <c r="H14" s="40"/>
      <c r="I14" s="40"/>
    </row>
    <row r="15" spans="1:9">
      <c r="D15" s="7" t="s">
        <v>488</v>
      </c>
      <c r="E15" s="13">
        <f>2259085/12</f>
        <v>188257.08333333334</v>
      </c>
      <c r="F15" s="40">
        <f>E15</f>
        <v>188257.08333333334</v>
      </c>
      <c r="G15" s="40">
        <f>F15</f>
        <v>188257.08333333334</v>
      </c>
      <c r="H15" s="40"/>
      <c r="I15" s="40">
        <f>SUM(E15:G15)</f>
        <v>564771.25</v>
      </c>
    </row>
    <row r="16" spans="1:9">
      <c r="D16" s="7" t="s">
        <v>489</v>
      </c>
      <c r="E16" s="14">
        <f>487993/12</f>
        <v>40666.083333333336</v>
      </c>
      <c r="F16" s="41">
        <f>E16</f>
        <v>40666.083333333336</v>
      </c>
      <c r="G16" s="41">
        <f>F16</f>
        <v>40666.083333333336</v>
      </c>
      <c r="H16" s="40"/>
      <c r="I16" s="41">
        <f>SUM(E16:G16)</f>
        <v>121998.25</v>
      </c>
    </row>
    <row r="17" spans="4:9">
      <c r="E17" s="13"/>
      <c r="F17" s="13"/>
      <c r="G17" s="13"/>
      <c r="H17" s="40"/>
      <c r="I17" s="40"/>
    </row>
    <row r="18" spans="4:9">
      <c r="D18" s="10" t="s">
        <v>490</v>
      </c>
      <c r="E18" s="15">
        <f>SUM(E15:E16)</f>
        <v>228923.16666666669</v>
      </c>
      <c r="F18" s="15">
        <f t="shared" ref="F18:I18" si="1">SUM(F15:F16)</f>
        <v>228923.16666666669</v>
      </c>
      <c r="G18" s="15">
        <f t="shared" si="1"/>
        <v>228923.16666666669</v>
      </c>
      <c r="H18" s="13"/>
      <c r="I18" s="15">
        <f t="shared" si="1"/>
        <v>686769.5</v>
      </c>
    </row>
    <row r="19" spans="4:9">
      <c r="E19" s="40"/>
      <c r="F19" s="40"/>
      <c r="G19" s="40"/>
      <c r="H19" s="40"/>
      <c r="I19" s="40"/>
    </row>
    <row r="20" spans="4:9">
      <c r="D20" s="10" t="s">
        <v>491</v>
      </c>
      <c r="E20" s="40"/>
      <c r="F20" s="40"/>
      <c r="G20" s="40"/>
      <c r="H20" s="40"/>
      <c r="I20" s="40"/>
    </row>
    <row r="21" spans="4:9">
      <c r="D21" s="16" t="s">
        <v>492</v>
      </c>
      <c r="E21" s="13">
        <f>157340/12</f>
        <v>13111.666666666666</v>
      </c>
      <c r="F21" s="40">
        <f t="shared" ref="F21:G23" si="2">E21</f>
        <v>13111.666666666666</v>
      </c>
      <c r="G21" s="40">
        <f t="shared" si="2"/>
        <v>13111.666666666666</v>
      </c>
      <c r="H21" s="40"/>
      <c r="I21" s="40">
        <f>SUM(E21:G21)</f>
        <v>39335</v>
      </c>
    </row>
    <row r="22" spans="4:9">
      <c r="D22" s="16" t="s">
        <v>493</v>
      </c>
      <c r="E22" s="13">
        <f>597060/12</f>
        <v>49755</v>
      </c>
      <c r="F22" s="40">
        <f t="shared" si="2"/>
        <v>49755</v>
      </c>
      <c r="G22" s="40">
        <f t="shared" si="2"/>
        <v>49755</v>
      </c>
      <c r="H22" s="40"/>
      <c r="I22" s="13">
        <f t="shared" ref="I22:I24" si="3">SUM(E22:G22)</f>
        <v>149265</v>
      </c>
    </row>
    <row r="23" spans="4:9">
      <c r="D23" s="16" t="s">
        <v>494</v>
      </c>
      <c r="E23" s="13">
        <f>1162450/12</f>
        <v>96870.833333333328</v>
      </c>
      <c r="F23" s="40">
        <f t="shared" si="2"/>
        <v>96870.833333333328</v>
      </c>
      <c r="G23" s="40">
        <f t="shared" si="2"/>
        <v>96870.833333333328</v>
      </c>
      <c r="H23" s="40"/>
      <c r="I23" s="13">
        <f t="shared" si="3"/>
        <v>290612.5</v>
      </c>
    </row>
    <row r="24" spans="4:9">
      <c r="D24" s="16" t="s">
        <v>495</v>
      </c>
      <c r="E24" s="14">
        <f>'Balance Sheet'!B23</f>
        <v>50603.87</v>
      </c>
      <c r="F24" s="14"/>
      <c r="G24" s="14"/>
      <c r="H24" s="40"/>
      <c r="I24" s="14">
        <f t="shared" si="3"/>
        <v>50603.87</v>
      </c>
    </row>
    <row r="25" spans="4:9">
      <c r="E25" s="40"/>
      <c r="F25" s="40"/>
      <c r="G25" s="40"/>
      <c r="H25" s="40"/>
      <c r="I25" s="40"/>
    </row>
    <row r="26" spans="4:9">
      <c r="D26" s="12" t="s">
        <v>496</v>
      </c>
      <c r="E26" s="38">
        <f>SUM(E21:E24)</f>
        <v>210341.37</v>
      </c>
      <c r="F26" s="38">
        <f>SUM(F21:F24)</f>
        <v>159737.5</v>
      </c>
      <c r="G26" s="38">
        <f>SUM(G21:G24)</f>
        <v>159737.5</v>
      </c>
      <c r="H26" s="40"/>
      <c r="I26" s="38">
        <f t="shared" ref="I26" si="4">SUM(I21:I24)</f>
        <v>529816.37</v>
      </c>
    </row>
    <row r="27" spans="4:9">
      <c r="E27" s="40"/>
      <c r="F27" s="40"/>
      <c r="G27" s="40"/>
      <c r="H27" s="40"/>
      <c r="I27" s="40"/>
    </row>
    <row r="28" spans="4:9">
      <c r="D28" s="12" t="s">
        <v>497</v>
      </c>
      <c r="E28" s="39">
        <f>E18+E26</f>
        <v>439264.53666666668</v>
      </c>
      <c r="F28" s="39">
        <f t="shared" ref="F28:G28" si="5">F18+F26</f>
        <v>388660.66666666669</v>
      </c>
      <c r="G28" s="39">
        <f t="shared" si="5"/>
        <v>388660.66666666669</v>
      </c>
      <c r="H28" s="40"/>
      <c r="I28" s="39">
        <f t="shared" ref="I28" si="6">I18+I26</f>
        <v>1216585.8700000001</v>
      </c>
    </row>
    <row r="31" spans="4:9">
      <c r="D31" s="10" t="s">
        <v>498</v>
      </c>
      <c r="E31" s="17">
        <f>E12-E28</f>
        <v>2801185.4233333333</v>
      </c>
      <c r="F31" s="17">
        <f t="shared" ref="F31:G31" si="7">F12-F28</f>
        <v>3292886.9266666668</v>
      </c>
      <c r="G31" s="17">
        <f t="shared" si="7"/>
        <v>2904226.2600000002</v>
      </c>
      <c r="I31" s="17">
        <f t="shared" ref="I31" si="8">I12-I28</f>
        <v>2904226.26</v>
      </c>
    </row>
    <row r="32" spans="4:9" ht="15" thickBot="1"/>
    <row r="33" spans="4:7" ht="15" thickBot="1">
      <c r="D33" s="10" t="s">
        <v>499</v>
      </c>
      <c r="E33" s="34">
        <f>(E31/(4663929/365))</f>
        <v>219.22132166177201</v>
      </c>
      <c r="F33" s="34">
        <f t="shared" ref="F33:G33" si="9">(F31/(4663929/365))</f>
        <v>257.70197793176811</v>
      </c>
      <c r="G33" s="34">
        <f t="shared" si="9"/>
        <v>227.2853177867845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Indicators</vt:lpstr>
      <vt:lpstr>Balance Sheet</vt:lpstr>
      <vt:lpstr>BS-QB</vt:lpstr>
      <vt:lpstr>P&amp;L Summary</vt:lpstr>
      <vt:lpstr>Budget Vs. Actuals Detail</vt:lpstr>
      <vt:lpstr>P&amp;L (QB)</vt:lpstr>
      <vt:lpstr>Cash Flow Projection</vt:lpstr>
      <vt:lpstr>'Balance Sheet'!Print_Area</vt:lpstr>
      <vt:lpstr>'Budget Vs. Actuals Detail'!Print_Area</vt:lpstr>
      <vt:lpstr>'Budget Vs. Actuals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bandre@ivyhillprep.org</cp:lastModifiedBy>
  <cp:lastPrinted>2020-08-13T19:32:12Z</cp:lastPrinted>
  <dcterms:created xsi:type="dcterms:W3CDTF">2017-11-22T00:21:30Z</dcterms:created>
  <dcterms:modified xsi:type="dcterms:W3CDTF">2021-11-16T12:14:16Z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