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:\MMICHAEL\IVY HILL PREP\Finance Committee\"/>
    </mc:Choice>
  </mc:AlternateContent>
  <xr:revisionPtr revIDLastSave="0" documentId="8_{2521F773-2909-4D95-95DA-050286068133}" xr6:coauthVersionLast="45" xr6:coauthVersionMax="45" xr10:uidLastSave="{00000000-0000-0000-0000-000000000000}"/>
  <bookViews>
    <workbookView xWindow="-98" yWindow="-98" windowWidth="20715" windowHeight="13276" activeTab="6" xr2:uid="{00000000-000D-0000-FFFF-FFFF00000000}"/>
  </bookViews>
  <sheets>
    <sheet name="Indicators" sheetId="7" r:id="rId1"/>
    <sheet name="Balance Sheet" sheetId="5" r:id="rId2"/>
    <sheet name="BS-QB" sheetId="12" state="hidden" r:id="rId3"/>
    <sheet name="P&amp;L Summary" sheetId="4" r:id="rId4"/>
    <sheet name="Budget Vs. Actuals Detail" sheetId="14" r:id="rId5"/>
    <sheet name="P&amp;L (QB)" sheetId="13" state="hidden" r:id="rId6"/>
    <sheet name="Cash Flow Projection" sheetId="19" r:id="rId7"/>
  </sheets>
  <definedNames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__xlnm._FilterDatabase_2_1">#REF!</definedName>
    <definedName name="__xlnm._FilterDatabase_3">#REF!</definedName>
    <definedName name="__xlnm.Print_Area">#REF!</definedName>
    <definedName name="__xlnm.Print_Area_1">#REF!</definedName>
    <definedName name="__xlnm.Print_Area_2">#REF!</definedName>
    <definedName name="__xlnm.Print_Area_3">"#N/A"</definedName>
    <definedName name="__xlnm.Print_Titles">(#REF!,#REF!)</definedName>
    <definedName name="__xlnm.Print_Titles_1">(#REF!,#REF!)</definedName>
    <definedName name="__xlnm.Print_Titles_2">#REF!</definedName>
    <definedName name="__xlnm.Print_Titles_3">(#REF!,#REF!)</definedName>
    <definedName name="__xlnm.Print_Titles_4">#REF!</definedName>
    <definedName name="__xlnm.Print_Titles_5">#REF!</definedName>
    <definedName name="_Fill">#REF!</definedName>
    <definedName name="_Key1">#REF!</definedName>
    <definedName name="_Sort">#REF!</definedName>
    <definedName name="_Table1_In1">#REF!</definedName>
    <definedName name="_Table1_Out">#REF!</definedName>
    <definedName name="_Table2_In1">#REF!</definedName>
    <definedName name="_Table2_Out">#REF!</definedName>
    <definedName name="AAA">#REF!</definedName>
    <definedName name="ActMap">"#REF!"</definedName>
    <definedName name="ActMap_1">"#REF!"</definedName>
    <definedName name="ActMap_2">"#REF!"</definedName>
    <definedName name="ActMap_3">"#REF!"</definedName>
    <definedName name="Actual_ByMonth">#REF!</definedName>
    <definedName name="Actual_Ongoing">#REF!</definedName>
    <definedName name="AnnualBreakfasts">"#REF!"</definedName>
    <definedName name="AnnualBreakfasts_1">"#REF!"</definedName>
    <definedName name="AnnualBreakfasts_2">"#REF!"</definedName>
    <definedName name="AnnualBreakfasts_3">"#REF!"</definedName>
    <definedName name="AnnualLunches">"#REF!"</definedName>
    <definedName name="AnnualLunches_1">"#REF!"</definedName>
    <definedName name="AnnualLunches_2">"#REF!"</definedName>
    <definedName name="AnnualLunches_3">"#REF!"</definedName>
    <definedName name="BS_DATADUMP">#REF!</definedName>
    <definedName name="budget">"#REF!"</definedName>
    <definedName name="budget_1">"#REF!"</definedName>
    <definedName name="Budget_ByMonth">#REF!</definedName>
    <definedName name="Budget_Ongoing">#REF!</definedName>
    <definedName name="BudgetVersion">"#REF!"</definedName>
    <definedName name="BudgetVersion_1">"#REF!"</definedName>
    <definedName name="BudgetVersion_2">"#REF!"</definedName>
    <definedName name="BudgetVersion_3">"#REF!"</definedName>
    <definedName name="BudgetYears">"#REF!"</definedName>
    <definedName name="BudgetYears_1">"#REF!"</definedName>
    <definedName name="BudgetYears_2">"#REF!"</definedName>
    <definedName name="BudgetYears_3">"#REF!"</definedName>
    <definedName name="BvsA_DATADUMP">#REF!</definedName>
    <definedName name="CFT">"#REF!"</definedName>
    <definedName name="CFT_1">"#REF!"</definedName>
    <definedName name="CFT_2">"#REF!"</definedName>
    <definedName name="CFT_3">"#REF!"</definedName>
    <definedName name="ChosenFormula">#REF!</definedName>
    <definedName name="class">"#REF!"</definedName>
    <definedName name="class_1">"#REF!"</definedName>
    <definedName name="Classes">"#REF!"</definedName>
    <definedName name="Classes_1">"#REF!"</definedName>
    <definedName name="Classes_2">"#REF!"</definedName>
    <definedName name="Classes_3">"#REF!"</definedName>
    <definedName name="ClassMap">"#REF!"</definedName>
    <definedName name="ClassMap_1">"#REF!"</definedName>
    <definedName name="ClassMap_2">"#REF!"</definedName>
    <definedName name="ClassMap_3">"#REF!"</definedName>
    <definedName name="DATA_01">#REF!</definedName>
    <definedName name="DATA_08">#REF!</definedName>
    <definedName name="DefY1CF">"#REF!"</definedName>
    <definedName name="DefY1CF_1">"#REF!"</definedName>
    <definedName name="DefY1CF_2">"#REF!"</definedName>
    <definedName name="DefY1CF_3">"#REF!"</definedName>
    <definedName name="DefY2CF">"#REF!"</definedName>
    <definedName name="DefY2CF_1">"#REF!"</definedName>
    <definedName name="DefY2CF_2">"#REF!"</definedName>
    <definedName name="DefY2CF_3">"#REF!"</definedName>
    <definedName name="fs">"#REF!"</definedName>
    <definedName name="fs_1">"#REF!"</definedName>
    <definedName name="inf_admin">"#REF!"</definedName>
    <definedName name="inf_admin_1">"#REF!"</definedName>
    <definedName name="inf_admin_2">"#REF!"</definedName>
    <definedName name="inf_admin_3">"#REF!"</definedName>
    <definedName name="inf_class">"#REF!"</definedName>
    <definedName name="inf_class_1">"#REF!"</definedName>
    <definedName name="inf_class_2">"#REF!"</definedName>
    <definedName name="inf_class_3">"#REF!"</definedName>
    <definedName name="inf_revenue">"#REF!"</definedName>
    <definedName name="inf_revenue_1">"#REF!"</definedName>
    <definedName name="inf_revenue_2">"#REF!"</definedName>
    <definedName name="inf_revenue_3">"#REF!"</definedName>
    <definedName name="inf_salary">"#REF!"</definedName>
    <definedName name="inf_salary_1">"#REF!"</definedName>
    <definedName name="inf_salary_2">"#REF!"</definedName>
    <definedName name="inf_salary_3">"#REF!"</definedName>
    <definedName name="IntroPrintArea">#REF!</definedName>
    <definedName name="no">#REF!</definedName>
    <definedName name="_xlnm.Print_Area" localSheetId="1">'Balance Sheet'!$A$1:$E$41</definedName>
    <definedName name="_xlnm.Print_Area" localSheetId="4">'Budget Vs. Actuals Detail'!$B$1:$G$268</definedName>
    <definedName name="_xlnm.Print_Titles" localSheetId="4">'Budget Vs. Actuals Detail'!$1:$6</definedName>
    <definedName name="QB_COLUMN_29">#REF!</definedName>
    <definedName name="QB_COLUMN_29_1">#REF!</definedName>
    <definedName name="QB_COLUMN_59200">#REF!</definedName>
    <definedName name="QB_COLUMN_59200_1">#REF!</definedName>
    <definedName name="QB_COLUMN_62210">#REF!</definedName>
    <definedName name="QB_COLUMN_76210">#REF!</definedName>
    <definedName name="QB_COLUMN_76210_1">#REF!</definedName>
    <definedName name="QB_DATA_0">(#REF!,#REF!,#REF!,#REF!,#REF!,#REF!,#REF!,#REF!,#REF!,#REF!)</definedName>
    <definedName name="QB_DATA_0_1">(#REF!,#REF!,#REF!,#REF!,#REF!,#REF!,#REF!,#REF!,#REF!,#REF!,#REF!,#REF!,#REF!,#REF!,#REF!)</definedName>
    <definedName name="QB_DATA_0_2">(#REF!,#REF!,#REF!,#REF!,#REF!,#REF!,#REF!,#REF!,#REF!,#REF!,#REF!,#REF!,#REF!,#REF!,#REF!,#REF!)</definedName>
    <definedName name="QB_DATA_1">(#REF!,#REF!,#REF!,#REF!,#REF!,#REF!,#REF!,#REF!,#REF!,#REF!,#REF!,#REF!,#REF!,#REF!,#REF!,#REF!)</definedName>
    <definedName name="QB_DATA_1_1">(#REF!,#REF!,#REF!,#REF!,#REF!,#REF!,#REF!,#REF!,#REF!,#REF!,#REF!,#REF!,#REF!,#REF!,#REF!,#REF!)</definedName>
    <definedName name="QB_DATA_2">(#REF!,#REF!,#REF!,#REF!,#REF!,#REF!,#REF!,#REF!,#REF!,#REF!,#REF!,#REF!,#REF!,#REF!,#REF!,#REF!)</definedName>
    <definedName name="QB_DATA_2_1">(#REF!,#REF!,#REF!,#REF!,#REF!,#REF!,#REF!,#REF!,#REF!,#REF!,#REF!,#REF!,#REF!,#REF!,#REF!,#REF!)</definedName>
    <definedName name="QB_DATA_3">(#REF!,#REF!,#REF!,#REF!)</definedName>
    <definedName name="QB_DATA_3_1">(#REF!,#REF!,#REF!,#REF!,#REF!,#REF!,#REF!,#REF!,#REF!,#REF!,#REF!,#REF!,#REF!,#REF!,#REF!,#REF!)</definedName>
    <definedName name="QB_DATA_4">(#REF!,#REF!,#REF!,#REF!,#REF!,#REF!,#REF!,#REF!,#REF!,#REF!,#REF!,#REF!,#REF!,#REF!,#REF!,#REF!)</definedName>
    <definedName name="QB_DATA_4_1">(#REF!,#REF!,#REF!,#REF!,#REF!,#REF!,#REF!,#REF!,#REF!,#REF!,#REF!,#REF!,#REF!,#REF!,#REF!,#REF!)</definedName>
    <definedName name="QB_DATA_5">(#REF!,#REF!,#REF!,#REF!,#REF!,#REF!,#REF!,#REF!,#REF!,#REF!,#REF!,#REF!,#REF!,#REF!,#REF!,#REF!)</definedName>
    <definedName name="QB_DATA_5_1">(#REF!,#REF!,#REF!,#REF!,#REF!,#REF!,#REF!,#REF!,#REF!,#REF!,#REF!,#REF!,#REF!,#REF!,#REF!,#REF!)</definedName>
    <definedName name="QB_DATA_6">(#REF!,#REF!,#REF!,#REF!,#REF!,#REF!,#REF!,#REF!,#REF!,#REF!,#REF!,#REF!,#REF!,#REF!,#REF!,#REF!)</definedName>
    <definedName name="QB_DATA_6_1">(#REF!,#REF!,#REF!,#REF!,#REF!,#REF!,#REF!,#REF!,#REF!,#REF!,#REF!,#REF!,#REF!,#REF!,#REF!,#REF!)</definedName>
    <definedName name="QB_DATA_7">(#REF!,#REF!)</definedName>
    <definedName name="QB_DATA_7_1">(#REF!,#REF!)</definedName>
    <definedName name="QB_FORMULA_0">(#REF!,#REF!,#REF!,#REF!,#REF!,#REF!,#REF!,#REF!,#REF!,#REF!,#REF!,#REF!)</definedName>
    <definedName name="QB_FORMULA_0_1">(#REF!,#REF!,#REF!,#REF!,#REF!,#REF!,#REF!,#REF!,#REF!,#REF!,#REF!,#REF!,#REF!,#REF!,#REF!)</definedName>
    <definedName name="QB_FORMULA_0_2">(#REF!,#REF!,#REF!,#REF!,#REF!,#REF!,#REF!,#REF!,#REF!,#REF!,#REF!,#REF!,#REF!,#REF!,#REF!,#REF!)</definedName>
    <definedName name="QB_FORMULA_1">(#REF!,#REF!,#REF!,#REF!,#REF!,#REF!,#REF!,#REF!,#REF!,#REF!,#REF!,#REF!,#REF!,#REF!,#REF!,#REF!)</definedName>
    <definedName name="QB_FORMULA_1_1">(#REF!,#REF!,#REF!,#REF!,#REF!,#REF!,#REF!,#REF!,#REF!,#REF!,#REF!,#REF!,#REF!,#REF!,#REF!,#REF!)</definedName>
    <definedName name="QB_FORMULA_2">(#REF!,#REF!,#REF!,#REF!,#REF!,#REF!,#REF!,#REF!,#REF!,#REF!)</definedName>
    <definedName name="QB_FORMULA_2_1">(#REF!,#REF!,#REF!,#REF!,#REF!,#REF!,#REF!,#REF!,#REF!,#REF!,#REF!)</definedName>
    <definedName name="QB_ROW_1">#REF!</definedName>
    <definedName name="QB_ROW_1_1">#REF!</definedName>
    <definedName name="QB_ROW_100250">#REF!</definedName>
    <definedName name="QB_ROW_100250_1">#REF!</definedName>
    <definedName name="QB_ROW_100260">#REF!</definedName>
    <definedName name="QB_ROW_10031">#REF!</definedName>
    <definedName name="QB_ROW_10031_1">#REF!</definedName>
    <definedName name="QB_ROW_101030">#REF!</definedName>
    <definedName name="QB_ROW_101030_1">#REF!</definedName>
    <definedName name="QB_ROW_101040">#REF!</definedName>
    <definedName name="QB_ROW_1011">#REF!</definedName>
    <definedName name="QB_ROW_1011_1">#REF!</definedName>
    <definedName name="QB_ROW_101240">#REF!</definedName>
    <definedName name="QB_ROW_101240_1">#REF!</definedName>
    <definedName name="QB_ROW_101330">#REF!</definedName>
    <definedName name="QB_ROW_101330_1">#REF!</definedName>
    <definedName name="QB_ROW_101340">#REF!</definedName>
    <definedName name="QB_ROW_102240">#REF!</definedName>
    <definedName name="QB_ROW_102240_1">#REF!</definedName>
    <definedName name="QB_ROW_102250">#REF!</definedName>
    <definedName name="QB_ROW_10240">#REF!</definedName>
    <definedName name="QB_ROW_10240_1">#REF!</definedName>
    <definedName name="QB_ROW_10250">#REF!</definedName>
    <definedName name="QB_ROW_103240">#REF!</definedName>
    <definedName name="QB_ROW_103240_1">#REF!</definedName>
    <definedName name="QB_ROW_103250">#REF!</definedName>
    <definedName name="QB_ROW_10331">#REF!</definedName>
    <definedName name="QB_ROW_10331_1">#REF!</definedName>
    <definedName name="QB_ROW_104040">#REF!</definedName>
    <definedName name="QB_ROW_104040_1">#REF!</definedName>
    <definedName name="QB_ROW_104050">#REF!</definedName>
    <definedName name="QB_ROW_104250">#REF!</definedName>
    <definedName name="QB_ROW_104250_1">#REF!</definedName>
    <definedName name="QB_ROW_104260">#REF!</definedName>
    <definedName name="QB_ROW_104340">#REF!</definedName>
    <definedName name="QB_ROW_104340_1">#REF!</definedName>
    <definedName name="QB_ROW_104350">#REF!</definedName>
    <definedName name="QB_ROW_105240">#REF!</definedName>
    <definedName name="QB_ROW_105240_1">#REF!</definedName>
    <definedName name="QB_ROW_105250">#REF!</definedName>
    <definedName name="QB_ROW_106240">#REF!</definedName>
    <definedName name="QB_ROW_106240_1">#REF!</definedName>
    <definedName name="QB_ROW_107240">#REF!</definedName>
    <definedName name="QB_ROW_107240_1">#REF!</definedName>
    <definedName name="QB_ROW_107250">#REF!</definedName>
    <definedName name="QB_ROW_108240">#REF!</definedName>
    <definedName name="QB_ROW_108240_1">#REF!</definedName>
    <definedName name="QB_ROW_109030">#REF!</definedName>
    <definedName name="QB_ROW_109030_1">#REF!</definedName>
    <definedName name="QB_ROW_109040">#REF!</definedName>
    <definedName name="QB_ROW_109240">#REF!</definedName>
    <definedName name="QB_ROW_109240_1">#REF!</definedName>
    <definedName name="QB_ROW_109250">#REF!</definedName>
    <definedName name="QB_ROW_109330">#REF!</definedName>
    <definedName name="QB_ROW_109330_1">#REF!</definedName>
    <definedName name="QB_ROW_109340">#REF!</definedName>
    <definedName name="QB_ROW_110240">#REF!</definedName>
    <definedName name="QB_ROW_110240_1">#REF!</definedName>
    <definedName name="QB_ROW_110250">#REF!</definedName>
    <definedName name="QB_ROW_11031">#REF!</definedName>
    <definedName name="QB_ROW_11031_1">#REF!</definedName>
    <definedName name="QB_ROW_111240">#REF!</definedName>
    <definedName name="QB_ROW_111240_1">#REF!</definedName>
    <definedName name="QB_ROW_111250">#REF!</definedName>
    <definedName name="QB_ROW_11240">#REF!</definedName>
    <definedName name="QB_ROW_11240_1">#REF!</definedName>
    <definedName name="QB_ROW_11331">#REF!</definedName>
    <definedName name="QB_ROW_11331_1">#REF!</definedName>
    <definedName name="QB_ROW_114030">#REF!</definedName>
    <definedName name="QB_ROW_114030_1">#REF!</definedName>
    <definedName name="QB_ROW_114040">#REF!</definedName>
    <definedName name="QB_ROW_114240">#REF!</definedName>
    <definedName name="QB_ROW_114240_1">#REF!</definedName>
    <definedName name="QB_ROW_114330">#REF!</definedName>
    <definedName name="QB_ROW_114330_1">#REF!</definedName>
    <definedName name="QB_ROW_114340">#REF!</definedName>
    <definedName name="QB_ROW_120030">#REF!</definedName>
    <definedName name="QB_ROW_120030_1">#REF!</definedName>
    <definedName name="QB_ROW_120240">#REF!</definedName>
    <definedName name="QB_ROW_120240_1">#REF!</definedName>
    <definedName name="QB_ROW_12031">#REF!</definedName>
    <definedName name="QB_ROW_12031_1">#REF!</definedName>
    <definedName name="QB_ROW_120330">#REF!</definedName>
    <definedName name="QB_ROW_120330_1">#REF!</definedName>
    <definedName name="QB_ROW_12040">#REF!</definedName>
    <definedName name="QB_ROW_12040_1">#REF!</definedName>
    <definedName name="QB_ROW_12250">#REF!</definedName>
    <definedName name="QB_ROW_12250_1">#REF!</definedName>
    <definedName name="QB_ROW_123220">#REF!</definedName>
    <definedName name="QB_ROW_123220_1">#REF!</definedName>
    <definedName name="QB_ROW_12331">#REF!</definedName>
    <definedName name="QB_ROW_12331_1">#REF!</definedName>
    <definedName name="QB_ROW_12340">#REF!</definedName>
    <definedName name="QB_ROW_12340_1">#REF!</definedName>
    <definedName name="QB_ROW_126250">#REF!</definedName>
    <definedName name="QB_ROW_126250_1">#REF!</definedName>
    <definedName name="QB_ROW_127250">#REF!</definedName>
    <definedName name="QB_ROW_127250_1">#REF!</definedName>
    <definedName name="QB_ROW_128240">#REF!</definedName>
    <definedName name="QB_ROW_128240_1">#REF!</definedName>
    <definedName name="QB_ROW_129030">#REF!</definedName>
    <definedName name="QB_ROW_129330">#REF!</definedName>
    <definedName name="QB_ROW_129330_1">#REF!</definedName>
    <definedName name="QB_ROW_130240">#REF!</definedName>
    <definedName name="QB_ROW_1311">#REF!</definedName>
    <definedName name="QB_ROW_1311_1">#REF!</definedName>
    <definedName name="QB_ROW_13250">#REF!</definedName>
    <definedName name="QB_ROW_13250_1">#REF!</definedName>
    <definedName name="QB_ROW_134240">#REF!</definedName>
    <definedName name="QB_ROW_134240_1">#REF!</definedName>
    <definedName name="QB_ROW_135240">#REF!</definedName>
    <definedName name="QB_ROW_135240_1">#REF!</definedName>
    <definedName name="QB_ROW_14011">#REF!</definedName>
    <definedName name="QB_ROW_14011_1">#REF!</definedName>
    <definedName name="QB_ROW_140250">#REF!</definedName>
    <definedName name="QB_ROW_140250_1">#REF!</definedName>
    <definedName name="QB_ROW_14030">#REF!</definedName>
    <definedName name="QB_ROW_14030_1">#REF!</definedName>
    <definedName name="QB_ROW_14040">#REF!</definedName>
    <definedName name="QB_ROW_142250">#REF!</definedName>
    <definedName name="QB_ROW_142250_1">#REF!</definedName>
    <definedName name="QB_ROW_142260">#REF!</definedName>
    <definedName name="QB_ROW_14240">#REF!</definedName>
    <definedName name="QB_ROW_14240_1">#REF!</definedName>
    <definedName name="QB_ROW_14311">#REF!</definedName>
    <definedName name="QB_ROW_14311_1">#REF!</definedName>
    <definedName name="QB_ROW_143250">#REF!</definedName>
    <definedName name="QB_ROW_143250_1">#REF!</definedName>
    <definedName name="QB_ROW_143260">#REF!</definedName>
    <definedName name="QB_ROW_14330">#REF!</definedName>
    <definedName name="QB_ROW_14330_1">#REF!</definedName>
    <definedName name="QB_ROW_14340">#REF!</definedName>
    <definedName name="QB_ROW_144250">#REF!</definedName>
    <definedName name="QB_ROW_144250_1">#REF!</definedName>
    <definedName name="QB_ROW_144260">#REF!</definedName>
    <definedName name="QB_ROW_145250">#REF!</definedName>
    <definedName name="QB_ROW_145250_1">#REF!</definedName>
    <definedName name="QB_ROW_146250">#REF!</definedName>
    <definedName name="QB_ROW_146250_1">#REF!</definedName>
    <definedName name="QB_ROW_147250">#REF!</definedName>
    <definedName name="QB_ROW_147250_1">#REF!</definedName>
    <definedName name="QB_ROW_148240">#REF!</definedName>
    <definedName name="QB_ROW_148240_1">#REF!</definedName>
    <definedName name="QB_ROW_149240">#REF!</definedName>
    <definedName name="QB_ROW_149240_1">#REF!</definedName>
    <definedName name="QB_ROW_149250">#REF!</definedName>
    <definedName name="QB_ROW_150240">#REF!</definedName>
    <definedName name="QB_ROW_150240_1">#REF!</definedName>
    <definedName name="QB_ROW_150250">#REF!</definedName>
    <definedName name="QB_ROW_151240">#REF!</definedName>
    <definedName name="QB_ROW_151240_1">#REF!</definedName>
    <definedName name="QB_ROW_151250">#REF!</definedName>
    <definedName name="QB_ROW_152240">#REF!</definedName>
    <definedName name="QB_ROW_152240_1">#REF!</definedName>
    <definedName name="QB_ROW_152250">#REF!</definedName>
    <definedName name="QB_ROW_15240">#REF!</definedName>
    <definedName name="QB_ROW_15240_1">#REF!</definedName>
    <definedName name="QB_ROW_153240">#REF!</definedName>
    <definedName name="QB_ROW_153240_1">#REF!</definedName>
    <definedName name="QB_ROW_153250">#REF!</definedName>
    <definedName name="QB_ROW_154240">#REF!</definedName>
    <definedName name="QB_ROW_154240_1">#REF!</definedName>
    <definedName name="QB_ROW_154250">#REF!</definedName>
    <definedName name="QB_ROW_155240">#REF!</definedName>
    <definedName name="QB_ROW_155240_1">#REF!</definedName>
    <definedName name="QB_ROW_155250">#REF!</definedName>
    <definedName name="QB_ROW_156240">#REF!</definedName>
    <definedName name="QB_ROW_156240_1">#REF!</definedName>
    <definedName name="QB_ROW_157240">#REF!</definedName>
    <definedName name="QB_ROW_157240_1">#REF!</definedName>
    <definedName name="QB_ROW_157250">#REF!</definedName>
    <definedName name="QB_ROW_158240">#REF!</definedName>
    <definedName name="QB_ROW_158240_1">#REF!</definedName>
    <definedName name="QB_ROW_158250">#REF!</definedName>
    <definedName name="QB_ROW_159240">#REF!</definedName>
    <definedName name="QB_ROW_159240_1">#REF!</definedName>
    <definedName name="QB_ROW_160240">#REF!</definedName>
    <definedName name="QB_ROW_160240_1">#REF!</definedName>
    <definedName name="QB_ROW_160250">#REF!</definedName>
    <definedName name="QB_ROW_161240">#REF!</definedName>
    <definedName name="QB_ROW_161240_1">#REF!</definedName>
    <definedName name="QB_ROW_161250">#REF!</definedName>
    <definedName name="QB_ROW_162240">#REF!</definedName>
    <definedName name="QB_ROW_162240_1">#REF!</definedName>
    <definedName name="QB_ROW_162250">#REF!</definedName>
    <definedName name="QB_ROW_16240">#REF!</definedName>
    <definedName name="QB_ROW_16240_1">#REF!</definedName>
    <definedName name="QB_ROW_163240">#REF!</definedName>
    <definedName name="QB_ROW_163240_1">#REF!</definedName>
    <definedName name="QB_ROW_163250">#REF!</definedName>
    <definedName name="QB_ROW_164240">#REF!</definedName>
    <definedName name="QB_ROW_164240_1">#REF!</definedName>
    <definedName name="QB_ROW_164250">#REF!</definedName>
    <definedName name="QB_ROW_165240">#REF!</definedName>
    <definedName name="QB_ROW_165240_1">#REF!</definedName>
    <definedName name="QB_ROW_165250">#REF!</definedName>
    <definedName name="QB_ROW_166240">#REF!</definedName>
    <definedName name="QB_ROW_166240_1">#REF!</definedName>
    <definedName name="QB_ROW_166250">#REF!</definedName>
    <definedName name="QB_ROW_167240">#REF!</definedName>
    <definedName name="QB_ROW_167240_1">#REF!</definedName>
    <definedName name="QB_ROW_167250">#REF!</definedName>
    <definedName name="QB_ROW_168240">#REF!</definedName>
    <definedName name="QB_ROW_168240_1">#REF!</definedName>
    <definedName name="QB_ROW_168250">#REF!</definedName>
    <definedName name="QB_ROW_169240">#REF!</definedName>
    <definedName name="QB_ROW_169240_1">#REF!</definedName>
    <definedName name="QB_ROW_169250">#REF!</definedName>
    <definedName name="QB_ROW_170050">#REF!</definedName>
    <definedName name="QB_ROW_170240">#REF!</definedName>
    <definedName name="QB_ROW_170240_1">#REF!</definedName>
    <definedName name="QB_ROW_170350">#REF!</definedName>
    <definedName name="QB_ROW_171240">#REF!</definedName>
    <definedName name="QB_ROW_171240_1">#REF!</definedName>
    <definedName name="QB_ROW_171250">#REF!</definedName>
    <definedName name="QB_ROW_17221">#REF!</definedName>
    <definedName name="QB_ROW_17221_1">#REF!</definedName>
    <definedName name="QB_ROW_172240">#REF!</definedName>
    <definedName name="QB_ROW_172240_1">#REF!</definedName>
    <definedName name="QB_ROW_172250">#REF!</definedName>
    <definedName name="QB_ROW_17240">#REF!</definedName>
    <definedName name="QB_ROW_17240_1">#REF!</definedName>
    <definedName name="QB_ROW_173240">#REF!</definedName>
    <definedName name="QB_ROW_173240_1">#REF!</definedName>
    <definedName name="QB_ROW_173250">#REF!</definedName>
    <definedName name="QB_ROW_174240">#REF!</definedName>
    <definedName name="QB_ROW_174240_1">#REF!</definedName>
    <definedName name="QB_ROW_174250">#REF!</definedName>
    <definedName name="QB_ROW_175240">#REF!</definedName>
    <definedName name="QB_ROW_175240_1">#REF!</definedName>
    <definedName name="QB_ROW_177240">#REF!</definedName>
    <definedName name="QB_ROW_177240_1">#REF!</definedName>
    <definedName name="QB_ROW_178260">#REF!</definedName>
    <definedName name="QB_ROW_180230">#REF!</definedName>
    <definedName name="QB_ROW_180230_1">#REF!</definedName>
    <definedName name="QB_ROW_18240">#REF!</definedName>
    <definedName name="QB_ROW_18240_1">#REF!</definedName>
    <definedName name="QB_ROW_18301">#REF!</definedName>
    <definedName name="QB_ROW_18301_1">#REF!</definedName>
    <definedName name="QB_ROW_184040">#REF!</definedName>
    <definedName name="QB_ROW_184340">#REF!</definedName>
    <definedName name="QB_ROW_184340_1">#REF!</definedName>
    <definedName name="QB_ROW_185240">#REF!</definedName>
    <definedName name="QB_ROW_186240">#REF!</definedName>
    <definedName name="QB_ROW_188240">#REF!</definedName>
    <definedName name="QB_ROW_189240">#REF!</definedName>
    <definedName name="QB_ROW_19011">#REF!</definedName>
    <definedName name="QB_ROW_19011_1">#REF!</definedName>
    <definedName name="QB_ROW_190240">#REF!</definedName>
    <definedName name="QB_ROW_190240_1">#REF!</definedName>
    <definedName name="QB_ROW_19040">#REF!</definedName>
    <definedName name="QB_ROW_19040_1">#REF!</definedName>
    <definedName name="QB_ROW_19050">#REF!</definedName>
    <definedName name="QB_ROW_19250">#REF!</definedName>
    <definedName name="QB_ROW_19250_1">#REF!</definedName>
    <definedName name="QB_ROW_19311">#REF!</definedName>
    <definedName name="QB_ROW_19311_1">#REF!</definedName>
    <definedName name="QB_ROW_19340">#REF!</definedName>
    <definedName name="QB_ROW_19340_1">#REF!</definedName>
    <definedName name="QB_ROW_19350">#REF!</definedName>
    <definedName name="QB_ROW_197250">#REF!</definedName>
    <definedName name="QB_ROW_198250">#REF!</definedName>
    <definedName name="QB_ROW_20021">#REF!</definedName>
    <definedName name="QB_ROW_20021_1">#REF!</definedName>
    <definedName name="QB_ROW_20031">#REF!</definedName>
    <definedName name="QB_ROW_2021">#REF!</definedName>
    <definedName name="QB_ROW_2021_1">#REF!</definedName>
    <definedName name="QB_ROW_20250">#REF!</definedName>
    <definedName name="QB_ROW_20250_1">#REF!</definedName>
    <definedName name="QB_ROW_20260">#REF!</definedName>
    <definedName name="QB_ROW_20321">#REF!</definedName>
    <definedName name="QB_ROW_20321_1">#REF!</definedName>
    <definedName name="QB_ROW_20331">#REF!</definedName>
    <definedName name="QB_ROW_205250">#REF!</definedName>
    <definedName name="QB_ROW_205250_1">#REF!</definedName>
    <definedName name="QB_ROW_206240">#REF!</definedName>
    <definedName name="QB_ROW_206240_1">#REF!</definedName>
    <definedName name="QB_ROW_209240">#REF!</definedName>
    <definedName name="QB_ROW_209240_1">#REF!</definedName>
    <definedName name="QB_ROW_21021">#REF!</definedName>
    <definedName name="QB_ROW_21021_1">#REF!</definedName>
    <definedName name="QB_ROW_21031">#REF!</definedName>
    <definedName name="QB_ROW_21250">#REF!</definedName>
    <definedName name="QB_ROW_21250_1">#REF!</definedName>
    <definedName name="QB_ROW_21321">#REF!</definedName>
    <definedName name="QB_ROW_21321_1">#REF!</definedName>
    <definedName name="QB_ROW_21331">#REF!</definedName>
    <definedName name="QB_ROW_22011">#REF!</definedName>
    <definedName name="QB_ROW_22011_1">#REF!</definedName>
    <definedName name="QB_ROW_22240">#REF!</definedName>
    <definedName name="QB_ROW_22240_1">#REF!</definedName>
    <definedName name="QB_ROW_22311">#REF!</definedName>
    <definedName name="QB_ROW_22311_1">#REF!</definedName>
    <definedName name="QB_ROW_23030">#REF!</definedName>
    <definedName name="QB_ROW_23030_1">#REF!</definedName>
    <definedName name="QB_ROW_23040">#REF!</definedName>
    <definedName name="QB_ROW_2321">#REF!</definedName>
    <definedName name="QB_ROW_2321_1">#REF!</definedName>
    <definedName name="QB_ROW_23221">#REF!</definedName>
    <definedName name="QB_ROW_23221_1">#REF!</definedName>
    <definedName name="QB_ROW_23240">#REF!</definedName>
    <definedName name="QB_ROW_23240_1">#REF!</definedName>
    <definedName name="QB_ROW_23330">#REF!</definedName>
    <definedName name="QB_ROW_23330_1">#REF!</definedName>
    <definedName name="QB_ROW_23340">#REF!</definedName>
    <definedName name="QB_ROW_24021">#REF!</definedName>
    <definedName name="QB_ROW_24021_1">#REF!</definedName>
    <definedName name="QB_ROW_24040">#REF!</definedName>
    <definedName name="QB_ROW_24040_1">#REF!</definedName>
    <definedName name="QB_ROW_24050">#REF!</definedName>
    <definedName name="QB_ROW_24250">#REF!</definedName>
    <definedName name="QB_ROW_24250_1">#REF!</definedName>
    <definedName name="QB_ROW_24321">#REF!</definedName>
    <definedName name="QB_ROW_24321_1">#REF!</definedName>
    <definedName name="QB_ROW_24340">#REF!</definedName>
    <definedName name="QB_ROW_24340_1">#REF!</definedName>
    <definedName name="QB_ROW_24350">#REF!</definedName>
    <definedName name="QB_ROW_25240">#REF!</definedName>
    <definedName name="QB_ROW_25240_1">#REF!</definedName>
    <definedName name="QB_ROW_26240">#REF!</definedName>
    <definedName name="QB_ROW_26240_1">#REF!</definedName>
    <definedName name="QB_ROW_27240">#REF!</definedName>
    <definedName name="QB_ROW_27240_1">#REF!</definedName>
    <definedName name="QB_ROW_28240">#REF!</definedName>
    <definedName name="QB_ROW_28240_1">#REF!</definedName>
    <definedName name="QB_ROW_29240">#REF!</definedName>
    <definedName name="QB_ROW_29240_1">#REF!</definedName>
    <definedName name="QB_ROW_29250">#REF!</definedName>
    <definedName name="QB_ROW_301">#REF!</definedName>
    <definedName name="QB_ROW_301_1">#REF!</definedName>
    <definedName name="QB_ROW_30250">#REF!</definedName>
    <definedName name="QB_ROW_30250_1">#REF!</definedName>
    <definedName name="QB_ROW_31250">#REF!</definedName>
    <definedName name="QB_ROW_31250_1">#REF!</definedName>
    <definedName name="QB_ROW_32250">#REF!</definedName>
    <definedName name="QB_ROW_32250_1">#REF!</definedName>
    <definedName name="QB_ROW_32260">#REF!</definedName>
    <definedName name="QB_ROW_33250">#REF!</definedName>
    <definedName name="QB_ROW_33250_1">#REF!</definedName>
    <definedName name="QB_ROW_33260">#REF!</definedName>
    <definedName name="QB_ROW_34240">#REF!</definedName>
    <definedName name="QB_ROW_34240_1">#REF!</definedName>
    <definedName name="QB_ROW_35240">#REF!</definedName>
    <definedName name="QB_ROW_35240_1">#REF!</definedName>
    <definedName name="QB_ROW_4021">#REF!</definedName>
    <definedName name="QB_ROW_4021_1">#REF!</definedName>
    <definedName name="QB_ROW_4321">#REF!</definedName>
    <definedName name="QB_ROW_4321_1">#REF!</definedName>
    <definedName name="QB_ROW_6011">#REF!</definedName>
    <definedName name="QB_ROW_6011_1">#REF!</definedName>
    <definedName name="QB_ROW_6311">#REF!</definedName>
    <definedName name="QB_ROW_6311_1">#REF!</definedName>
    <definedName name="QB_ROW_64250">#REF!</definedName>
    <definedName name="QB_ROW_64250_1">#REF!</definedName>
    <definedName name="QB_ROW_67030">#REF!</definedName>
    <definedName name="QB_ROW_67030_1">#REF!</definedName>
    <definedName name="QB_ROW_67040">#REF!</definedName>
    <definedName name="QB_ROW_67240">#REF!</definedName>
    <definedName name="QB_ROW_67240_1">#REF!</definedName>
    <definedName name="QB_ROW_67330">#REF!</definedName>
    <definedName name="QB_ROW_67330_1">#REF!</definedName>
    <definedName name="QB_ROW_67340">#REF!</definedName>
    <definedName name="QB_ROW_7001">#REF!</definedName>
    <definedName name="QB_ROW_7001_1">#REF!</definedName>
    <definedName name="QB_ROW_71040">#REF!</definedName>
    <definedName name="QB_ROW_71040_1">#REF!</definedName>
    <definedName name="QB_ROW_71050">#REF!</definedName>
    <definedName name="QB_ROW_71250">#REF!</definedName>
    <definedName name="QB_ROW_71250_1">#REF!</definedName>
    <definedName name="QB_ROW_71340">#REF!</definedName>
    <definedName name="QB_ROW_71340_1">#REF!</definedName>
    <definedName name="QB_ROW_71350">#REF!</definedName>
    <definedName name="QB_ROW_72040">#REF!</definedName>
    <definedName name="QB_ROW_72040_1">#REF!</definedName>
    <definedName name="QB_ROW_72050">#REF!</definedName>
    <definedName name="QB_ROW_7220">#REF!</definedName>
    <definedName name="QB_ROW_7220_1">#REF!</definedName>
    <definedName name="QB_ROW_72250">#REF!</definedName>
    <definedName name="QB_ROW_72250_1">#REF!</definedName>
    <definedName name="QB_ROW_72340">#REF!</definedName>
    <definedName name="QB_ROW_72340_1">#REF!</definedName>
    <definedName name="QB_ROW_72350">#REF!</definedName>
    <definedName name="QB_ROW_7301">#REF!</definedName>
    <definedName name="QB_ROW_7301_1">#REF!</definedName>
    <definedName name="QB_ROW_73250">#REF!</definedName>
    <definedName name="QB_ROW_73250_1">#REF!</definedName>
    <definedName name="QB_ROW_73260">#REF!</definedName>
    <definedName name="QB_ROW_74250">#REF!</definedName>
    <definedName name="QB_ROW_74250_1">#REF!</definedName>
    <definedName name="QB_ROW_75250">#REF!</definedName>
    <definedName name="QB_ROW_75250_1">#REF!</definedName>
    <definedName name="QB_ROW_75260">#REF!</definedName>
    <definedName name="QB_ROW_76250">#REF!</definedName>
    <definedName name="QB_ROW_76250_1">#REF!</definedName>
    <definedName name="QB_ROW_76260">#REF!</definedName>
    <definedName name="QB_ROW_77250">#REF!</definedName>
    <definedName name="QB_ROW_77250_1">#REF!</definedName>
    <definedName name="QB_ROW_78050">#REF!</definedName>
    <definedName name="QB_ROW_78050_1">#REF!</definedName>
    <definedName name="QB_ROW_78060">#REF!</definedName>
    <definedName name="QB_ROW_78260">#REF!</definedName>
    <definedName name="QB_ROW_78260_1">#REF!</definedName>
    <definedName name="QB_ROW_78350">#REF!</definedName>
    <definedName name="QB_ROW_78350_1">#REF!</definedName>
    <definedName name="QB_ROW_78360">#REF!</definedName>
    <definedName name="QB_ROW_79250">#REF!</definedName>
    <definedName name="QB_ROW_79250_1">#REF!</definedName>
    <definedName name="QB_ROW_79260">#REF!</definedName>
    <definedName name="QB_ROW_8011">#REF!</definedName>
    <definedName name="QB_ROW_8011_1">#REF!</definedName>
    <definedName name="QB_ROW_80260">#REF!</definedName>
    <definedName name="QB_ROW_80260_1">#REF!</definedName>
    <definedName name="QB_ROW_8040">#REF!</definedName>
    <definedName name="QB_ROW_81260">#REF!</definedName>
    <definedName name="QB_ROW_81260_1">#REF!</definedName>
    <definedName name="QB_ROW_81270">#REF!</definedName>
    <definedName name="QB_ROW_82260">#REF!</definedName>
    <definedName name="QB_ROW_82260_1">#REF!</definedName>
    <definedName name="QB_ROW_82270">#REF!</definedName>
    <definedName name="QB_ROW_8250">#REF!</definedName>
    <definedName name="QB_ROW_8311">#REF!</definedName>
    <definedName name="QB_ROW_8311_1">#REF!</definedName>
    <definedName name="QB_ROW_83260">#REF!</definedName>
    <definedName name="QB_ROW_83260_1">#REF!</definedName>
    <definedName name="QB_ROW_8340">#REF!</definedName>
    <definedName name="QB_ROW_8340_1">#REF!</definedName>
    <definedName name="QB_ROW_84260">#REF!</definedName>
    <definedName name="QB_ROW_84260_1">#REF!</definedName>
    <definedName name="QB_ROW_85040">#REF!</definedName>
    <definedName name="QB_ROW_85040_1">#REF!</definedName>
    <definedName name="QB_ROW_85050">#REF!</definedName>
    <definedName name="QB_ROW_85250">#REF!</definedName>
    <definedName name="QB_ROW_85250_1">#REF!</definedName>
    <definedName name="QB_ROW_85340">#REF!</definedName>
    <definedName name="QB_ROW_85340_1">#REF!</definedName>
    <definedName name="QB_ROW_85350">#REF!</definedName>
    <definedName name="QB_ROW_86250">#REF!</definedName>
    <definedName name="QB_ROW_86250_1">#REF!</definedName>
    <definedName name="QB_ROW_86260">#REF!</definedName>
    <definedName name="QB_ROW_86321">#REF!</definedName>
    <definedName name="QB_ROW_87250">#REF!</definedName>
    <definedName name="QB_ROW_87250_1">#REF!</definedName>
    <definedName name="QB_ROW_87260">#REF!</definedName>
    <definedName name="QB_ROW_88250">#REF!</definedName>
    <definedName name="QB_ROW_88250_1">#REF!</definedName>
    <definedName name="QB_ROW_88260">#REF!</definedName>
    <definedName name="QB_ROW_89250">#REF!</definedName>
    <definedName name="QB_ROW_89250_1">#REF!</definedName>
    <definedName name="QB_ROW_89260">#REF!</definedName>
    <definedName name="QB_ROW_9021">#REF!</definedName>
    <definedName name="QB_ROW_9021_1">#REF!</definedName>
    <definedName name="QB_ROW_9030">#REF!</definedName>
    <definedName name="QB_ROW_9030_1">#REF!</definedName>
    <definedName name="QB_ROW_9040">#REF!</definedName>
    <definedName name="QB_ROW_91260">#REF!</definedName>
    <definedName name="QB_ROW_91260_1">#REF!</definedName>
    <definedName name="QB_ROW_92250">#REF!</definedName>
    <definedName name="QB_ROW_92250_1">#REF!</definedName>
    <definedName name="QB_ROW_9240">#REF!</definedName>
    <definedName name="QB_ROW_9240_1">#REF!</definedName>
    <definedName name="QB_ROW_9321">#REF!</definedName>
    <definedName name="QB_ROW_9321_1">#REF!</definedName>
    <definedName name="QB_ROW_93250">#REF!</definedName>
    <definedName name="QB_ROW_93250_1">#REF!</definedName>
    <definedName name="QB_ROW_93260">#REF!</definedName>
    <definedName name="QB_ROW_9330">#REF!</definedName>
    <definedName name="QB_ROW_9330_1">#REF!</definedName>
    <definedName name="QB_ROW_9340">#REF!</definedName>
    <definedName name="QB_ROW_94250">#REF!</definedName>
    <definedName name="QB_ROW_94250_1">#REF!</definedName>
    <definedName name="QB_ROW_95040">#REF!</definedName>
    <definedName name="QB_ROW_95040_1">#REF!</definedName>
    <definedName name="QB_ROW_95050">#REF!</definedName>
    <definedName name="QB_ROW_95250">#REF!</definedName>
    <definedName name="QB_ROW_95250_1">#REF!</definedName>
    <definedName name="QB_ROW_95340">#REF!</definedName>
    <definedName name="QB_ROW_95340_1">#REF!</definedName>
    <definedName name="QB_ROW_95350">#REF!</definedName>
    <definedName name="QB_ROW_96250">#REF!</definedName>
    <definedName name="QB_ROW_96250_1">#REF!</definedName>
    <definedName name="QB_ROW_97250">#REF!</definedName>
    <definedName name="QB_ROW_97250_1">#REF!</definedName>
    <definedName name="QB_ROW_98250">#REF!</definedName>
    <definedName name="QB_ROW_98250_1">#REF!</definedName>
    <definedName name="QB_ROW_99250">#REF!</definedName>
    <definedName name="QB_ROW_99250_1">#REF!</definedName>
    <definedName name="QBCANSUPPORTUPDATE">1</definedName>
    <definedName name="QBCANSUPPORTUPDATE_1">1</definedName>
    <definedName name="QBCANSUPPORTUPDATE_2">1</definedName>
    <definedName name="QBCOMPANYFILENAME">"C:\Users\Digant\Desktop\Academy of the City Charter School, Inc..QBW"</definedName>
    <definedName name="QBCOMPANYFILENAME_1">"C:\Users\Digant\Desktop\Academy of the City Charter School, Inc..QBW"</definedName>
    <definedName name="QBCOMPANYFILENAME_2">"C:\Users\Digant\Desktop\Academy of the City Charter School, Inc..QBW"</definedName>
    <definedName name="QBENDDATE">20120630</definedName>
    <definedName name="QBENDDATE_1">20120630</definedName>
    <definedName name="QBENDDATE_2">20120630</definedName>
    <definedName name="QBHEADERSONSCREEN">0</definedName>
    <definedName name="QBHEADERSONSCREEN_1">0</definedName>
    <definedName name="QBHEADERSONSCREEN_2">0</definedName>
    <definedName name="QBMETADATASIZE">5785</definedName>
    <definedName name="QBMETADATASIZE_1">5785</definedName>
    <definedName name="QBMETADATASIZE_2">5785</definedName>
    <definedName name="QBPRESERVECOLOR">1</definedName>
    <definedName name="QBPRESERVECOLOR_1">1</definedName>
    <definedName name="QBPRESERVECOLOR_2">1</definedName>
    <definedName name="QBPRESERVEFONT">1</definedName>
    <definedName name="QBPRESERVEFONT_1">1</definedName>
    <definedName name="QBPRESERVEFONT_2">1</definedName>
    <definedName name="QBPRESERVEROWHEIGHT">1</definedName>
    <definedName name="QBPRESERVEROWHEIGHT_1">1</definedName>
    <definedName name="QBPRESERVEROWHEIGHT_2">1</definedName>
    <definedName name="QBPRESERVESPACE">0</definedName>
    <definedName name="QBPRESERVESPACE_1">0</definedName>
    <definedName name="QBPRESERVESPACE_2">0</definedName>
    <definedName name="QBREPORTCOLAXIS">0</definedName>
    <definedName name="QBREPORTCOLAXIS_1">0</definedName>
    <definedName name="QBREPORTCOLAXIS_2">0</definedName>
    <definedName name="QBREPORTCOMPANYID">"02c5a59caa564706b14ae69403ad5e8d"</definedName>
    <definedName name="QBREPORTCOMPANYID_1">"02c5a59caa564706b14ae69403ad5e8d"</definedName>
    <definedName name="QBREPORTCOMPANYID_2">"02c5a59caa564706b14ae69403ad5e8d"</definedName>
    <definedName name="QBREPORTCOMPARECOL_ANNUALBUDGET">0</definedName>
    <definedName name="QBREPORTCOMPARECOL_ANNUALBUDGET_1">0</definedName>
    <definedName name="QBREPORTCOMPARECOL_ANNUALBUDGET_2">0</definedName>
    <definedName name="QBREPORTCOMPARECOL_AVGCOGS">0</definedName>
    <definedName name="QBREPORTCOMPARECOL_AVGCOGS_1">0</definedName>
    <definedName name="QBREPORTCOMPARECOL_AVGCOGS_2">0</definedName>
    <definedName name="QBREPORTCOMPARECOL_AVGPRICE">0</definedName>
    <definedName name="QBREPORTCOMPARECOL_AVGPRICE_1">0</definedName>
    <definedName name="QBREPORTCOMPARECOL_AVGPRICE_2">0</definedName>
    <definedName name="QBREPORTCOMPARECOL_BUDDIFF">0</definedName>
    <definedName name="QBREPORTCOMPARECOL_BUDDIFF_1">0</definedName>
    <definedName name="QBREPORTCOMPARECOL_BUDDIFF_2">0</definedName>
    <definedName name="QBREPORTCOMPARECOL_BUDGET">0</definedName>
    <definedName name="QBREPORTCOMPARECOL_BUDGET_1">0</definedName>
    <definedName name="QBREPORTCOMPARECOL_BUDGET_2">0</definedName>
    <definedName name="QBREPORTCOMPARECOL_BUDPCT">0</definedName>
    <definedName name="QBREPORTCOMPARECOL_BUDPCT_1">0</definedName>
    <definedName name="QBREPORTCOMPARECOL_BUDPCT_2">0</definedName>
    <definedName name="QBREPORTCOMPARECOL_COGS">0</definedName>
    <definedName name="QBREPORTCOMPARECOL_COGS_1">0</definedName>
    <definedName name="QBREPORTCOMPARECOL_COGS_2">0</definedName>
    <definedName name="QBREPORTCOMPARECOL_EXCLUDEAMOUNT">0</definedName>
    <definedName name="QBREPORTCOMPARECOL_EXCLUDEAMOUNT_1">0</definedName>
    <definedName name="QBREPORTCOMPARECOL_EXCLUDEAMOUNT_2">0</definedName>
    <definedName name="QBREPORTCOMPARECOL_EXCLUDECURPERIOD">0</definedName>
    <definedName name="QBREPORTCOMPARECOL_EXCLUDECURPERIOD_1">0</definedName>
    <definedName name="QBREPORTCOMPARECOL_EXCLUDECURPERIOD_2">0</definedName>
    <definedName name="QBREPORTCOMPARECOL_FORECAST">0</definedName>
    <definedName name="QBREPORTCOMPARECOL_FORECAST_1">0</definedName>
    <definedName name="QBREPORTCOMPARECOL_FORECAST_2">0</definedName>
    <definedName name="QBREPORTCOMPARECOL_GROSSMARGIN">0</definedName>
    <definedName name="QBREPORTCOMPARECOL_GROSSMARGIN_1">0</definedName>
    <definedName name="QBREPORTCOMPARECOL_GROSSMARGIN_2">0</definedName>
    <definedName name="QBREPORTCOMPARECOL_GROSSMARGINPCT">0</definedName>
    <definedName name="QBREPORTCOMPARECOL_GROSSMARGINPCT_1">0</definedName>
    <definedName name="QBREPORTCOMPARECOL_GROSSMARGINPCT_2">0</definedName>
    <definedName name="QBREPORTCOMPARECOL_HOURS">0</definedName>
    <definedName name="QBREPORTCOMPARECOL_HOURS_1">0</definedName>
    <definedName name="QBREPORTCOMPARECOL_HOURS_2">0</definedName>
    <definedName name="QBREPORTCOMPARECOL_PCTCOL">0</definedName>
    <definedName name="QBREPORTCOMPARECOL_PCTCOL_1">0</definedName>
    <definedName name="QBREPORTCOMPARECOL_PCTCOL_2">0</definedName>
    <definedName name="QBREPORTCOMPARECOL_PCTEXPENSE">0</definedName>
    <definedName name="QBREPORTCOMPARECOL_PCTEXPENSE_1">0</definedName>
    <definedName name="QBREPORTCOMPARECOL_PCTEXPENSE_2">0</definedName>
    <definedName name="QBREPORTCOMPARECOL_PCTINCOME">0</definedName>
    <definedName name="QBREPORTCOMPARECOL_PCTINCOME_1">0</definedName>
    <definedName name="QBREPORTCOMPARECOL_PCTINCOME_2">0</definedName>
    <definedName name="QBREPORTCOMPARECOL_PCTOFSALES">0</definedName>
    <definedName name="QBREPORTCOMPARECOL_PCTOFSALES_1">0</definedName>
    <definedName name="QBREPORTCOMPARECOL_PCTOFSALES_2">0</definedName>
    <definedName name="QBREPORTCOMPARECOL_PCTROW">0</definedName>
    <definedName name="QBREPORTCOMPARECOL_PCTROW_1">0</definedName>
    <definedName name="QBREPORTCOMPARECOL_PCTROW_2">0</definedName>
    <definedName name="QBREPORTCOMPARECOL_PPDIFF">0</definedName>
    <definedName name="QBREPORTCOMPARECOL_PPDIFF_1">0</definedName>
    <definedName name="QBREPORTCOMPARECOL_PPDIFF_2">0</definedName>
    <definedName name="QBREPORTCOMPARECOL_PPPCT">0</definedName>
    <definedName name="QBREPORTCOMPARECOL_PPPCT_1">0</definedName>
    <definedName name="QBREPORTCOMPARECOL_PPPCT_2">0</definedName>
    <definedName name="QBREPORTCOMPARECOL_PREVPERIOD">0</definedName>
    <definedName name="QBREPORTCOMPARECOL_PREVPERIOD_1">0</definedName>
    <definedName name="QBREPORTCOMPARECOL_PREVPERIOD_2">0</definedName>
    <definedName name="QBREPORTCOMPARECOL_PREVYEAR">0</definedName>
    <definedName name="QBREPORTCOMPARECOL_PREVYEAR_1">0</definedName>
    <definedName name="QBREPORTCOMPARECOL_PREVYEAR_2">0</definedName>
    <definedName name="QBREPORTCOMPARECOL_PYDIFF">0</definedName>
    <definedName name="QBREPORTCOMPARECOL_PYDIFF_1">0</definedName>
    <definedName name="QBREPORTCOMPARECOL_PYDIFF_2">0</definedName>
    <definedName name="QBREPORTCOMPARECOL_PYPCT">0</definedName>
    <definedName name="QBREPORTCOMPARECOL_PYPCT_1">0</definedName>
    <definedName name="QBREPORTCOMPARECOL_PYPCT_2">0</definedName>
    <definedName name="QBREPORTCOMPARECOL_QTY">0</definedName>
    <definedName name="QBREPORTCOMPARECOL_QTY_1">0</definedName>
    <definedName name="QBREPORTCOMPARECOL_QTY_2">0</definedName>
    <definedName name="QBREPORTCOMPARECOL_RATE">0</definedName>
    <definedName name="QBREPORTCOMPARECOL_RATE_1">0</definedName>
    <definedName name="QBREPORTCOMPARECOL_RATE_2">0</definedName>
    <definedName name="QBREPORTCOMPARECOL_TRIPBILLEDMILES">0</definedName>
    <definedName name="QBREPORTCOMPARECOL_TRIPBILLEDMILES_1">0</definedName>
    <definedName name="QBREPORTCOMPARECOL_TRIPBILLEDMILES_2">0</definedName>
    <definedName name="QBREPORTCOMPARECOL_TRIPBILLINGAMOUNT">0</definedName>
    <definedName name="QBREPORTCOMPARECOL_TRIPBILLINGAMOUNT_1">0</definedName>
    <definedName name="QBREPORTCOMPARECOL_TRIPBILLINGAMOUNT_2">0</definedName>
    <definedName name="QBREPORTCOMPARECOL_TRIPMILES">0</definedName>
    <definedName name="QBREPORTCOMPARECOL_TRIPMILES_1">0</definedName>
    <definedName name="QBREPORTCOMPARECOL_TRIPMILES_2">0</definedName>
    <definedName name="QBREPORTCOMPARECOL_TRIPNOTBILLABLEMILES">0</definedName>
    <definedName name="QBREPORTCOMPARECOL_TRIPNOTBILLABLEMILES_1">0</definedName>
    <definedName name="QBREPORTCOMPARECOL_TRIPNOTBILLABLEMILES_2">0</definedName>
    <definedName name="QBREPORTCOMPARECOL_TRIPTAXDEDUCTIBLEAMOUNT">0</definedName>
    <definedName name="QBREPORTCOMPARECOL_TRIPTAXDEDUCTIBLEAMOUNT_1">0</definedName>
    <definedName name="QBREPORTCOMPARECOL_TRIPTAXDEDUCTIBLEAMOUNT_2">0</definedName>
    <definedName name="QBREPORTCOMPARECOL_TRIPUNBILLEDMILES">0</definedName>
    <definedName name="QBREPORTCOMPARECOL_TRIPUNBILLEDMILES_1">0</definedName>
    <definedName name="QBREPORTCOMPARECOL_TRIPUNBILLEDMILES_2">0</definedName>
    <definedName name="QBREPORTCOMPARECOL_YTD">0</definedName>
    <definedName name="QBREPORTCOMPARECOL_YTD_1">0</definedName>
    <definedName name="QBREPORTCOMPARECOL_YTD_2">1</definedName>
    <definedName name="QBREPORTCOMPARECOL_YTDBUDGET">0</definedName>
    <definedName name="QBREPORTCOMPARECOL_YTDBUDGET_1">0</definedName>
    <definedName name="QBREPORTCOMPARECOL_YTDBUDGET_2">0</definedName>
    <definedName name="QBREPORTCOMPARECOL_YTDPCT">0</definedName>
    <definedName name="QBREPORTCOMPARECOL_YTDPCT_1">0</definedName>
    <definedName name="QBREPORTCOMPARECOL_YTDPCT_2">0</definedName>
    <definedName name="QBREPORTROWAXIS">9</definedName>
    <definedName name="QBREPORTROWAXIS_1">9</definedName>
    <definedName name="QBREPORTROWAXIS_2">11</definedName>
    <definedName name="QBREPORTSUBCOLAXIS">0</definedName>
    <definedName name="QBREPORTSUBCOLAXIS_1">0</definedName>
    <definedName name="QBREPORTSUBCOLAXIS_2">24</definedName>
    <definedName name="QBREPORTTYPE">5</definedName>
    <definedName name="QBREPORTTYPE_1">5</definedName>
    <definedName name="QBREPORTTYPE_2">76</definedName>
    <definedName name="QBROWHEADERS">5</definedName>
    <definedName name="QBROWHEADERS_1">6</definedName>
    <definedName name="QBROWHEADERS_2">8</definedName>
    <definedName name="QBSTARTDATE">20120630</definedName>
    <definedName name="QBSTARTDATE_1">20120630</definedName>
    <definedName name="QBSTARTDATE_2">20110701</definedName>
    <definedName name="s">"#REF!"</definedName>
    <definedName name="s_1">"#REF!"</definedName>
    <definedName name="sa">"#REF!"</definedName>
    <definedName name="sa_1">"#REF!"</definedName>
    <definedName name="SchoolName">"#REF!"</definedName>
    <definedName name="SchoolName_1">"#REF!"</definedName>
    <definedName name="SchoolName_2">"#REF!"</definedName>
    <definedName name="SchoolName_3">"#REF!"</definedName>
    <definedName name="sss">"#REF!"</definedName>
    <definedName name="sss_1">"#REF!"</definedName>
    <definedName name="SummaryAverages">#REF!</definedName>
    <definedName name="yes.no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4" l="1"/>
  <c r="B111" i="12"/>
  <c r="B77" i="12"/>
  <c r="D249" i="13"/>
  <c r="G23" i="19"/>
  <c r="F23" i="19"/>
  <c r="E23" i="19"/>
  <c r="G22" i="19"/>
  <c r="F22" i="19"/>
  <c r="E22" i="19"/>
  <c r="I23" i="19"/>
  <c r="I22" i="19"/>
  <c r="I21" i="19"/>
  <c r="G21" i="19"/>
  <c r="F21" i="19"/>
  <c r="E21" i="19"/>
  <c r="I16" i="19"/>
  <c r="I15" i="19"/>
  <c r="G16" i="19"/>
  <c r="F16" i="19"/>
  <c r="E16" i="19"/>
  <c r="G15" i="19"/>
  <c r="F15" i="19"/>
  <c r="E15" i="19"/>
  <c r="G26" i="19" l="1"/>
  <c r="F26" i="19"/>
  <c r="I18" i="19"/>
  <c r="G18" i="19"/>
  <c r="F18" i="19"/>
  <c r="I12" i="19"/>
  <c r="E12" i="19"/>
  <c r="I10" i="19"/>
  <c r="I9" i="19"/>
  <c r="F10" i="19"/>
  <c r="I6" i="19"/>
  <c r="G28" i="19" l="1"/>
  <c r="F28" i="19"/>
  <c r="D39" i="4" l="1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9" i="4"/>
  <c r="D8" i="4"/>
  <c r="D7" i="4"/>
  <c r="D285" i="13" l="1"/>
  <c r="D286" i="13" s="1"/>
  <c r="D256" i="13"/>
  <c r="D254" i="13"/>
  <c r="D250" i="13"/>
  <c r="D248" i="13"/>
  <c r="D247" i="13"/>
  <c r="D246" i="13"/>
  <c r="D245" i="13"/>
  <c r="D252" i="13" s="1"/>
  <c r="D241" i="13"/>
  <c r="D243" i="13" s="1"/>
  <c r="D239" i="13"/>
  <c r="D234" i="13"/>
  <c r="D232" i="13"/>
  <c r="D231" i="13"/>
  <c r="D228" i="13"/>
  <c r="D229" i="13" s="1"/>
  <c r="D225" i="13"/>
  <c r="D222" i="13"/>
  <c r="D221" i="13"/>
  <c r="D218" i="13"/>
  <c r="D219" i="13" s="1"/>
  <c r="D213" i="13"/>
  <c r="D215" i="13" s="1"/>
  <c r="D212" i="13"/>
  <c r="D211" i="13"/>
  <c r="D216" i="13" s="1"/>
  <c r="D209" i="13"/>
  <c r="D208" i="13"/>
  <c r="D207" i="13"/>
  <c r="D203" i="13"/>
  <c r="D205" i="13" s="1"/>
  <c r="D201" i="13"/>
  <c r="D195" i="13"/>
  <c r="D196" i="13" s="1"/>
  <c r="D189" i="13"/>
  <c r="D188" i="13"/>
  <c r="D187" i="13"/>
  <c r="D186" i="13"/>
  <c r="D185" i="13"/>
  <c r="D193" i="13" s="1"/>
  <c r="D181" i="13"/>
  <c r="D183" i="13" s="1"/>
  <c r="D178" i="13"/>
  <c r="D177" i="13"/>
  <c r="D175" i="13"/>
  <c r="D174" i="13"/>
  <c r="D173" i="13"/>
  <c r="D179" i="13" s="1"/>
  <c r="D170" i="13"/>
  <c r="D168" i="13"/>
  <c r="D171" i="13" s="1"/>
  <c r="D164" i="13"/>
  <c r="D163" i="13"/>
  <c r="D166" i="13" s="1"/>
  <c r="D159" i="13"/>
  <c r="D160" i="13" s="1"/>
  <c r="D153" i="13"/>
  <c r="D150" i="13"/>
  <c r="D157" i="13" s="1"/>
  <c r="D149" i="13"/>
  <c r="D148" i="13"/>
  <c r="D146" i="13"/>
  <c r="D142" i="13"/>
  <c r="D141" i="13"/>
  <c r="D138" i="13"/>
  <c r="D135" i="13"/>
  <c r="D134" i="13"/>
  <c r="D130" i="13"/>
  <c r="D129" i="13"/>
  <c r="D128" i="13"/>
  <c r="D125" i="13"/>
  <c r="D115" i="13"/>
  <c r="D114" i="13"/>
  <c r="D111" i="13"/>
  <c r="D110" i="13"/>
  <c r="D109" i="13"/>
  <c r="D108" i="13"/>
  <c r="D120" i="13" s="1"/>
  <c r="D107" i="13"/>
  <c r="D105" i="13"/>
  <c r="D104" i="13"/>
  <c r="D102" i="13"/>
  <c r="D96" i="13"/>
  <c r="D95" i="13"/>
  <c r="D94" i="13"/>
  <c r="D91" i="13"/>
  <c r="D87" i="13"/>
  <c r="D86" i="13"/>
  <c r="D85" i="13"/>
  <c r="D83" i="13"/>
  <c r="D80" i="13"/>
  <c r="D78" i="13"/>
  <c r="D88" i="13" s="1"/>
  <c r="D72" i="13"/>
  <c r="D67" i="13"/>
  <c r="D64" i="13"/>
  <c r="D63" i="13"/>
  <c r="D60" i="13"/>
  <c r="D55" i="13"/>
  <c r="D45" i="13"/>
  <c r="D38" i="13"/>
  <c r="D39" i="13" s="1"/>
  <c r="D36" i="13"/>
  <c r="D30" i="13"/>
  <c r="D33" i="13" s="1"/>
  <c r="D26" i="13"/>
  <c r="D23" i="13"/>
  <c r="D22" i="13"/>
  <c r="D21" i="13"/>
  <c r="D20" i="13"/>
  <c r="D27" i="13" s="1"/>
  <c r="D19" i="13"/>
  <c r="D10" i="13"/>
  <c r="D9" i="13"/>
  <c r="D8" i="13"/>
  <c r="D17" i="13" s="1"/>
  <c r="D50" i="13" s="1"/>
  <c r="D56" i="13" s="1"/>
  <c r="B106" i="12"/>
  <c r="B112" i="12" s="1"/>
  <c r="B103" i="12"/>
  <c r="B102" i="12"/>
  <c r="B101" i="12"/>
  <c r="B95" i="12"/>
  <c r="B94" i="12"/>
  <c r="B93" i="12"/>
  <c r="B89" i="12"/>
  <c r="B88" i="12"/>
  <c r="B87" i="12"/>
  <c r="B86" i="12"/>
  <c r="B85" i="12"/>
  <c r="B83" i="12"/>
  <c r="B82" i="12"/>
  <c r="B84" i="12" s="1"/>
  <c r="B96" i="12" s="1"/>
  <c r="B78" i="12"/>
  <c r="B97" i="12" s="1"/>
  <c r="B104" i="12" s="1"/>
  <c r="B68" i="12"/>
  <c r="B67" i="12"/>
  <c r="B66" i="12"/>
  <c r="B69" i="12" s="1"/>
  <c r="B63" i="12"/>
  <c r="B62" i="12"/>
  <c r="B59" i="12"/>
  <c r="B58" i="12"/>
  <c r="B55" i="12"/>
  <c r="B54" i="12"/>
  <c r="B53" i="12"/>
  <c r="B52" i="12"/>
  <c r="B64" i="12" s="1"/>
  <c r="B51" i="12"/>
  <c r="B49" i="12"/>
  <c r="B48" i="12"/>
  <c r="B47" i="12"/>
  <c r="B42" i="12"/>
  <c r="B41" i="12"/>
  <c r="B44" i="12" s="1"/>
  <c r="B31" i="12"/>
  <c r="B28" i="12"/>
  <c r="B27" i="12"/>
  <c r="B26" i="12"/>
  <c r="B30" i="12" s="1"/>
  <c r="B24" i="12"/>
  <c r="B23" i="12"/>
  <c r="B36" i="12" s="1"/>
  <c r="B20" i="12"/>
  <c r="B21" i="12" s="1"/>
  <c r="B17" i="12"/>
  <c r="B14" i="12"/>
  <c r="B13" i="12"/>
  <c r="B12" i="12"/>
  <c r="B15" i="12" s="1"/>
  <c r="B18" i="12" s="1"/>
  <c r="B10" i="12"/>
  <c r="B113" i="12" l="1"/>
  <c r="D126" i="13"/>
  <c r="D280" i="13" s="1"/>
  <c r="D281" i="13" s="1"/>
  <c r="D287" i="13" s="1"/>
  <c r="B37" i="12"/>
  <c r="B71" i="12"/>
  <c r="B72" i="12" l="1"/>
  <c r="F6" i="14" l="1"/>
  <c r="D115" i="12" l="1"/>
  <c r="B173" i="13"/>
  <c r="B248" i="13"/>
  <c r="B249" i="13"/>
  <c r="B130" i="13"/>
  <c r="B23" i="5" l="1"/>
  <c r="B115" i="12" l="1"/>
  <c r="F187" i="14" l="1"/>
  <c r="F174" i="14" l="1"/>
  <c r="F235" i="14" l="1"/>
  <c r="F232" i="14"/>
  <c r="F231" i="14"/>
  <c r="F230" i="14"/>
  <c r="F229" i="14"/>
  <c r="F228" i="14"/>
  <c r="F227" i="14"/>
  <c r="F224" i="14"/>
  <c r="F223" i="14"/>
  <c r="F220" i="14"/>
  <c r="F219" i="14"/>
  <c r="F218" i="14"/>
  <c r="F217" i="14"/>
  <c r="F216" i="14"/>
  <c r="F213" i="14"/>
  <c r="F210" i="14"/>
  <c r="F209" i="14"/>
  <c r="F203" i="14"/>
  <c r="F200" i="14"/>
  <c r="B283" i="13"/>
  <c r="B285" i="13" s="1"/>
  <c r="B286" i="13" s="1"/>
  <c r="B257" i="13"/>
  <c r="B254" i="13"/>
  <c r="B256" i="13" s="1"/>
  <c r="B250" i="13"/>
  <c r="B247" i="13"/>
  <c r="B246" i="13"/>
  <c r="B245" i="13"/>
  <c r="B241" i="13"/>
  <c r="B243" i="13" s="1"/>
  <c r="B236" i="13"/>
  <c r="B235" i="13"/>
  <c r="B234" i="13"/>
  <c r="B231" i="13"/>
  <c r="B232" i="13" s="1"/>
  <c r="B228" i="13"/>
  <c r="B227" i="13"/>
  <c r="B229" i="13" s="1"/>
  <c r="B224" i="13"/>
  <c r="B225" i="13" s="1"/>
  <c r="B221" i="13"/>
  <c r="B222" i="13" s="1"/>
  <c r="B218" i="13"/>
  <c r="B219" i="13" s="1"/>
  <c r="B213" i="13"/>
  <c r="B215" i="13" s="1"/>
  <c r="B212" i="13"/>
  <c r="B211" i="13"/>
  <c r="B208" i="13"/>
  <c r="B207" i="13"/>
  <c r="B203" i="13"/>
  <c r="B205" i="13" s="1"/>
  <c r="B201" i="13"/>
  <c r="B195" i="13"/>
  <c r="B196" i="13" s="1"/>
  <c r="B190" i="13"/>
  <c r="B189" i="13"/>
  <c r="B188" i="13"/>
  <c r="B187" i="13"/>
  <c r="B186" i="13"/>
  <c r="B185" i="13"/>
  <c r="B181" i="13"/>
  <c r="B183" i="13" s="1"/>
  <c r="B177" i="13"/>
  <c r="B176" i="13"/>
  <c r="B175" i="13"/>
  <c r="B174" i="13"/>
  <c r="B170" i="13"/>
  <c r="B169" i="13"/>
  <c r="B168" i="13"/>
  <c r="B164" i="13"/>
  <c r="B162" i="13"/>
  <c r="B166" i="13" s="1"/>
  <c r="B160" i="13"/>
  <c r="B155" i="13"/>
  <c r="B154" i="13"/>
  <c r="B153" i="13"/>
  <c r="B150" i="13"/>
  <c r="B149" i="13"/>
  <c r="B148" i="13"/>
  <c r="B145" i="13"/>
  <c r="B144" i="13"/>
  <c r="B141" i="13"/>
  <c r="B135" i="13"/>
  <c r="B134" i="13"/>
  <c r="B131" i="13"/>
  <c r="B129" i="13"/>
  <c r="B128" i="13"/>
  <c r="B125" i="13"/>
  <c r="B119" i="13"/>
  <c r="B118" i="13"/>
  <c r="B117" i="13"/>
  <c r="B116" i="13"/>
  <c r="B115" i="13"/>
  <c r="B114" i="13"/>
  <c r="B111" i="13"/>
  <c r="B110" i="13"/>
  <c r="B109" i="13"/>
  <c r="B108" i="13"/>
  <c r="B107" i="13"/>
  <c r="B104" i="13"/>
  <c r="B102" i="13"/>
  <c r="B96" i="13"/>
  <c r="B95" i="13"/>
  <c r="B94" i="13"/>
  <c r="B91" i="13"/>
  <c r="B87" i="13"/>
  <c r="B86" i="13"/>
  <c r="B85" i="13"/>
  <c r="B80" i="13"/>
  <c r="B78" i="13"/>
  <c r="B71" i="13"/>
  <c r="B67" i="13"/>
  <c r="B64" i="13"/>
  <c r="B63" i="13"/>
  <c r="B60" i="13"/>
  <c r="B55" i="13"/>
  <c r="B43" i="13"/>
  <c r="B41" i="13"/>
  <c r="B38" i="13"/>
  <c r="B39" i="13" s="1"/>
  <c r="B36" i="13"/>
  <c r="B31" i="13"/>
  <c r="B30" i="13"/>
  <c r="B25" i="13"/>
  <c r="B23" i="13"/>
  <c r="B21" i="13"/>
  <c r="B20" i="13"/>
  <c r="B19" i="13"/>
  <c r="B16" i="13"/>
  <c r="B13" i="13"/>
  <c r="B12" i="13"/>
  <c r="B10" i="13"/>
  <c r="B9" i="13"/>
  <c r="B8" i="13"/>
  <c r="B72" i="13" l="1"/>
  <c r="B239" i="13"/>
  <c r="B27" i="13"/>
  <c r="B45" i="13"/>
  <c r="B88" i="13"/>
  <c r="B17" i="13"/>
  <c r="B33" i="13"/>
  <c r="B105" i="13"/>
  <c r="B120" i="13"/>
  <c r="B171" i="13"/>
  <c r="B179" i="13"/>
  <c r="B216" i="13"/>
  <c r="B193" i="13"/>
  <c r="B146" i="13"/>
  <c r="B209" i="13"/>
  <c r="B252" i="13"/>
  <c r="B142" i="13"/>
  <c r="B157" i="13"/>
  <c r="B50" i="13" l="1"/>
  <c r="B56" i="13" s="1"/>
  <c r="B126" i="13"/>
  <c r="B280" i="13" s="1"/>
  <c r="B281" i="13" s="1"/>
  <c r="B287" i="13" s="1"/>
  <c r="F195" i="14" l="1"/>
  <c r="F191" i="14"/>
  <c r="D111" i="12" l="1"/>
  <c r="D106" i="12"/>
  <c r="D102" i="12"/>
  <c r="D101" i="12"/>
  <c r="D103" i="12" s="1"/>
  <c r="D95" i="12"/>
  <c r="D94" i="12"/>
  <c r="D93" i="12"/>
  <c r="D89" i="12"/>
  <c r="D88" i="12"/>
  <c r="D87" i="12"/>
  <c r="D86" i="12"/>
  <c r="D85" i="12"/>
  <c r="D83" i="12"/>
  <c r="D82" i="12"/>
  <c r="D84" i="12" s="1"/>
  <c r="D77" i="12"/>
  <c r="D78" i="12" s="1"/>
  <c r="D66" i="12"/>
  <c r="D69" i="12" s="1"/>
  <c r="D63" i="12"/>
  <c r="D62" i="12"/>
  <c r="D59" i="12"/>
  <c r="D58" i="12"/>
  <c r="D55" i="12"/>
  <c r="D54" i="12"/>
  <c r="D53" i="12"/>
  <c r="D52" i="12"/>
  <c r="D51" i="12"/>
  <c r="D48" i="12"/>
  <c r="D47" i="12"/>
  <c r="D42" i="12"/>
  <c r="D41" i="12"/>
  <c r="D44" i="12" s="1"/>
  <c r="D31" i="12"/>
  <c r="D28" i="12"/>
  <c r="D27" i="12"/>
  <c r="D26" i="12"/>
  <c r="D24" i="12"/>
  <c r="D23" i="12"/>
  <c r="D20" i="12"/>
  <c r="D21" i="12" s="1"/>
  <c r="D17" i="12"/>
  <c r="D14" i="12"/>
  <c r="D13" i="12"/>
  <c r="D12" i="12"/>
  <c r="D10" i="12"/>
  <c r="D49" i="12" l="1"/>
  <c r="D96" i="12"/>
  <c r="D97" i="12" s="1"/>
  <c r="D104" i="12" s="1"/>
  <c r="D15" i="12"/>
  <c r="D18" i="12" s="1"/>
  <c r="D30" i="12"/>
  <c r="D36" i="12" s="1"/>
  <c r="D64" i="12"/>
  <c r="D112" i="12"/>
  <c r="F197" i="14"/>
  <c r="F196" i="14"/>
  <c r="F180" i="14"/>
  <c r="F177" i="14"/>
  <c r="F175" i="14"/>
  <c r="F138" i="14"/>
  <c r="F192" i="14"/>
  <c r="F176" i="14"/>
  <c r="F173" i="14"/>
  <c r="F170" i="14"/>
  <c r="F169" i="14"/>
  <c r="F166" i="14"/>
  <c r="F165" i="14"/>
  <c r="F164" i="14"/>
  <c r="F163" i="14"/>
  <c r="F162" i="14"/>
  <c r="F161" i="14"/>
  <c r="F158" i="14"/>
  <c r="F157" i="14"/>
  <c r="F156" i="14"/>
  <c r="F153" i="14"/>
  <c r="F152" i="14"/>
  <c r="F151" i="14"/>
  <c r="F150" i="14"/>
  <c r="F147" i="14"/>
  <c r="F144" i="14"/>
  <c r="F143" i="14"/>
  <c r="F142" i="14"/>
  <c r="F141" i="14"/>
  <c r="F140" i="14"/>
  <c r="F139" i="14"/>
  <c r="F135" i="14"/>
  <c r="F134" i="14"/>
  <c r="F131" i="14"/>
  <c r="F130" i="14"/>
  <c r="F129" i="14"/>
  <c r="F128" i="14"/>
  <c r="F127" i="14"/>
  <c r="F126" i="14"/>
  <c r="F125" i="14"/>
  <c r="F123" i="14"/>
  <c r="F122" i="14"/>
  <c r="F121" i="14"/>
  <c r="F120" i="14"/>
  <c r="F119" i="14"/>
  <c r="F118" i="14"/>
  <c r="D113" i="12" l="1"/>
  <c r="D71" i="12"/>
  <c r="D37" i="12"/>
  <c r="F124" i="14"/>
  <c r="F206" i="14"/>
  <c r="D72" i="12" l="1"/>
  <c r="F40" i="14"/>
  <c r="D23" i="5" l="1"/>
  <c r="C109" i="14" l="1"/>
  <c r="F260" i="14" l="1"/>
  <c r="F106" i="14" l="1"/>
  <c r="B25" i="5" l="1"/>
  <c r="B33" i="5" l="1"/>
  <c r="D33" i="5"/>
  <c r="D24" i="5" l="1"/>
  <c r="D14" i="5"/>
  <c r="D9" i="5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9" i="4"/>
  <c r="F8" i="4"/>
  <c r="F7" i="4"/>
  <c r="D25" i="5" l="1"/>
  <c r="D26" i="5" s="1"/>
  <c r="D10" i="5"/>
  <c r="D8" i="5"/>
  <c r="D28" i="5"/>
  <c r="D11" i="5"/>
  <c r="D34" i="5"/>
  <c r="D35" i="5" s="1"/>
  <c r="F10" i="4"/>
  <c r="F40" i="4"/>
  <c r="F41" i="4" s="1"/>
  <c r="G218" i="14"/>
  <c r="F263" i="14"/>
  <c r="F237" i="14"/>
  <c r="F267" i="14"/>
  <c r="G231" i="14"/>
  <c r="G230" i="14"/>
  <c r="G229" i="14"/>
  <c r="G227" i="14"/>
  <c r="G223" i="14"/>
  <c r="G216" i="14"/>
  <c r="G213" i="14"/>
  <c r="G210" i="14"/>
  <c r="G209" i="14"/>
  <c r="G206" i="14"/>
  <c r="G203" i="14"/>
  <c r="G197" i="14"/>
  <c r="G196" i="14"/>
  <c r="G195" i="14"/>
  <c r="G192" i="14"/>
  <c r="G191" i="14"/>
  <c r="G187" i="14"/>
  <c r="F181" i="14"/>
  <c r="G177" i="14"/>
  <c r="G176" i="14"/>
  <c r="G175" i="14"/>
  <c r="G174" i="14"/>
  <c r="G173" i="14"/>
  <c r="G165" i="14"/>
  <c r="G158" i="14"/>
  <c r="G157" i="14"/>
  <c r="G156" i="14"/>
  <c r="G153" i="14"/>
  <c r="G152" i="14"/>
  <c r="G151" i="14"/>
  <c r="F148" i="14"/>
  <c r="G143" i="14"/>
  <c r="G142" i="14"/>
  <c r="G141" i="14"/>
  <c r="G140" i="14"/>
  <c r="G139" i="14"/>
  <c r="G138" i="14"/>
  <c r="G135" i="14"/>
  <c r="G134" i="14"/>
  <c r="G129" i="14"/>
  <c r="G125" i="14"/>
  <c r="G124" i="14"/>
  <c r="G121" i="14"/>
  <c r="G120" i="14"/>
  <c r="G119" i="14"/>
  <c r="G118" i="14"/>
  <c r="F114" i="14"/>
  <c r="F113" i="14"/>
  <c r="F112" i="14"/>
  <c r="F108" i="14"/>
  <c r="G106" i="14"/>
  <c r="F105" i="14"/>
  <c r="G105" i="14" s="1"/>
  <c r="F102" i="14"/>
  <c r="G102" i="14" s="1"/>
  <c r="F99" i="14"/>
  <c r="F97" i="14"/>
  <c r="G97" i="14" s="1"/>
  <c r="F91" i="14"/>
  <c r="G91" i="14" s="1"/>
  <c r="F90" i="14"/>
  <c r="G90" i="14" s="1"/>
  <c r="F89" i="14"/>
  <c r="G89" i="14" s="1"/>
  <c r="F88" i="14"/>
  <c r="F85" i="14"/>
  <c r="F86" i="14" s="1"/>
  <c r="F82" i="14"/>
  <c r="G82" i="14" s="1"/>
  <c r="F81" i="14"/>
  <c r="G81" i="14" s="1"/>
  <c r="F80" i="14"/>
  <c r="G80" i="14" s="1"/>
  <c r="F79" i="14"/>
  <c r="F78" i="14"/>
  <c r="G78" i="14" s="1"/>
  <c r="F77" i="14"/>
  <c r="G77" i="14" s="1"/>
  <c r="F76" i="14"/>
  <c r="F73" i="14"/>
  <c r="G73" i="14" s="1"/>
  <c r="F72" i="14"/>
  <c r="F71" i="14"/>
  <c r="F70" i="14"/>
  <c r="F69" i="14"/>
  <c r="G69" i="14" s="1"/>
  <c r="F68" i="14"/>
  <c r="F67" i="14"/>
  <c r="G67" i="14" s="1"/>
  <c r="F66" i="14"/>
  <c r="G66" i="14" s="1"/>
  <c r="F64" i="14"/>
  <c r="F63" i="14"/>
  <c r="G63" i="14" s="1"/>
  <c r="F55" i="14"/>
  <c r="F54" i="14"/>
  <c r="F53" i="14"/>
  <c r="F50" i="14"/>
  <c r="F51" i="14" s="1"/>
  <c r="F47" i="14"/>
  <c r="F48" i="14" s="1"/>
  <c r="F44" i="14"/>
  <c r="F43" i="14"/>
  <c r="G43" i="14" s="1"/>
  <c r="F39" i="14"/>
  <c r="F38" i="14"/>
  <c r="F37" i="14"/>
  <c r="G37" i="14" s="1"/>
  <c r="F36" i="14"/>
  <c r="F35" i="14"/>
  <c r="G35" i="14" s="1"/>
  <c r="F34" i="14"/>
  <c r="G34" i="14" s="1"/>
  <c r="F33" i="14"/>
  <c r="F30" i="14"/>
  <c r="F29" i="14"/>
  <c r="F28" i="14"/>
  <c r="F27" i="14"/>
  <c r="F26" i="14"/>
  <c r="F25" i="14"/>
  <c r="F24" i="14"/>
  <c r="G24" i="14" s="1"/>
  <c r="F23" i="14"/>
  <c r="G23" i="14" s="1"/>
  <c r="F22" i="14"/>
  <c r="E260" i="14"/>
  <c r="F214" i="14" l="1"/>
  <c r="G214" i="14" s="1"/>
  <c r="F41" i="14"/>
  <c r="F167" i="14"/>
  <c r="D12" i="5"/>
  <c r="D30" i="5"/>
  <c r="D37" i="5" s="1"/>
  <c r="D15" i="5"/>
  <c r="G181" i="14"/>
  <c r="C26" i="4"/>
  <c r="G26" i="4" s="1"/>
  <c r="F201" i="14"/>
  <c r="G201" i="14" s="1"/>
  <c r="C31" i="4"/>
  <c r="G31" i="4" s="1"/>
  <c r="G237" i="14"/>
  <c r="C39" i="4"/>
  <c r="G39" i="4" s="1"/>
  <c r="G148" i="14"/>
  <c r="C20" i="4"/>
  <c r="G20" i="4" s="1"/>
  <c r="F207" i="14"/>
  <c r="F225" i="14"/>
  <c r="F233" i="14"/>
  <c r="F211" i="14"/>
  <c r="F204" i="14"/>
  <c r="F57" i="14"/>
  <c r="F115" i="14"/>
  <c r="F266" i="14"/>
  <c r="F100" i="14"/>
  <c r="F136" i="14"/>
  <c r="F83" i="14"/>
  <c r="F189" i="14"/>
  <c r="F171" i="14"/>
  <c r="F185" i="14"/>
  <c r="G33" i="14"/>
  <c r="G169" i="14"/>
  <c r="G180" i="14"/>
  <c r="F31" i="14"/>
  <c r="F45" i="14"/>
  <c r="F74" i="14"/>
  <c r="F110" i="14"/>
  <c r="F132" i="14"/>
  <c r="F145" i="14"/>
  <c r="F154" i="14"/>
  <c r="F178" i="14"/>
  <c r="F198" i="14"/>
  <c r="F221" i="14"/>
  <c r="G232" i="14"/>
  <c r="G183" i="14"/>
  <c r="G147" i="14"/>
  <c r="G235" i="14"/>
  <c r="F193" i="14"/>
  <c r="F159" i="14"/>
  <c r="G22" i="14"/>
  <c r="G161" i="14"/>
  <c r="G200" i="14"/>
  <c r="G228" i="14"/>
  <c r="G76" i="14"/>
  <c r="C35" i="4" l="1"/>
  <c r="G35" i="4" s="1"/>
  <c r="D17" i="5"/>
  <c r="D38" i="5" s="1"/>
  <c r="G132" i="14"/>
  <c r="C17" i="4"/>
  <c r="G17" i="4" s="1"/>
  <c r="G110" i="14"/>
  <c r="C16" i="4"/>
  <c r="G16" i="4" s="1"/>
  <c r="G31" i="14"/>
  <c r="C7" i="4"/>
  <c r="G7" i="4" s="1"/>
  <c r="G136" i="14"/>
  <c r="C18" i="4"/>
  <c r="G18" i="4" s="1"/>
  <c r="G233" i="14"/>
  <c r="C38" i="4"/>
  <c r="G38" i="4" s="1"/>
  <c r="G185" i="14"/>
  <c r="C27" i="4"/>
  <c r="G27" i="4" s="1"/>
  <c r="G83" i="14"/>
  <c r="C14" i="4"/>
  <c r="G14" i="4" s="1"/>
  <c r="G159" i="14"/>
  <c r="C22" i="4"/>
  <c r="G22" i="4" s="1"/>
  <c r="G100" i="14"/>
  <c r="C15" i="4"/>
  <c r="G15" i="4" s="1"/>
  <c r="G167" i="14"/>
  <c r="C23" i="4"/>
  <c r="G23" i="4" s="1"/>
  <c r="G171" i="14"/>
  <c r="C24" i="4"/>
  <c r="G24" i="4" s="1"/>
  <c r="G211" i="14"/>
  <c r="C34" i="4"/>
  <c r="G34" i="4" s="1"/>
  <c r="G178" i="14"/>
  <c r="C25" i="4"/>
  <c r="G25" i="4" s="1"/>
  <c r="G193" i="14"/>
  <c r="C29" i="4"/>
  <c r="G29" i="4" s="1"/>
  <c r="G41" i="14"/>
  <c r="C8" i="4"/>
  <c r="G8" i="4" s="1"/>
  <c r="G225" i="14"/>
  <c r="C37" i="4"/>
  <c r="G37" i="4" s="1"/>
  <c r="G221" i="14"/>
  <c r="C36" i="4"/>
  <c r="G36" i="4" s="1"/>
  <c r="G45" i="14"/>
  <c r="C9" i="4"/>
  <c r="G9" i="4" s="1"/>
  <c r="G198" i="14"/>
  <c r="C30" i="4"/>
  <c r="G30" i="4" s="1"/>
  <c r="G154" i="14"/>
  <c r="C21" i="4"/>
  <c r="G21" i="4" s="1"/>
  <c r="G145" i="14"/>
  <c r="C19" i="4"/>
  <c r="G19" i="4" s="1"/>
  <c r="G207" i="14"/>
  <c r="C33" i="4"/>
  <c r="G33" i="4" s="1"/>
  <c r="G74" i="14"/>
  <c r="C13" i="4"/>
  <c r="G13" i="4" s="1"/>
  <c r="G189" i="14"/>
  <c r="C28" i="4"/>
  <c r="G28" i="4" s="1"/>
  <c r="G204" i="14"/>
  <c r="C32" i="4"/>
  <c r="G32" i="4" s="1"/>
  <c r="F116" i="14"/>
  <c r="F58" i="14"/>
  <c r="G58" i="14" s="1"/>
  <c r="E18" i="19"/>
  <c r="F238" i="14" l="1"/>
  <c r="G116" i="14"/>
  <c r="F16" i="14"/>
  <c r="F59" i="14"/>
  <c r="F17" i="14" l="1"/>
  <c r="F239" i="14"/>
  <c r="F262" i="14" s="1"/>
  <c r="G238" i="14"/>
  <c r="G59" i="14"/>
  <c r="F18" i="14" l="1"/>
  <c r="G239" i="14"/>
  <c r="B8" i="5"/>
  <c r="E6" i="19" s="1"/>
  <c r="C260" i="14" l="1"/>
  <c r="C144" i="14"/>
  <c r="B28" i="5" l="1"/>
  <c r="B24" i="5"/>
  <c r="B34" i="5"/>
  <c r="B14" i="5"/>
  <c r="E24" i="19" l="1"/>
  <c r="B15" i="5"/>
  <c r="I24" i="19" l="1"/>
  <c r="I26" i="19" s="1"/>
  <c r="I28" i="19" s="1"/>
  <c r="I31" i="19" s="1"/>
  <c r="E26" i="19"/>
  <c r="E28" i="19" s="1"/>
  <c r="E31" i="19" s="1"/>
  <c r="C106" i="14"/>
  <c r="C230" i="14"/>
  <c r="C209" i="14"/>
  <c r="C200" i="14"/>
  <c r="C201" i="14" s="1"/>
  <c r="I31" i="4" s="1"/>
  <c r="C197" i="14"/>
  <c r="C175" i="14"/>
  <c r="C163" i="14"/>
  <c r="C161" i="14"/>
  <c r="C141" i="14"/>
  <c r="C124" i="14"/>
  <c r="C97" i="14"/>
  <c r="C82" i="14"/>
  <c r="C216" i="14"/>
  <c r="C235" i="14"/>
  <c r="C266" i="14" s="1"/>
  <c r="C228" i="14"/>
  <c r="C229" i="14"/>
  <c r="C231" i="14"/>
  <c r="C232" i="14"/>
  <c r="C224" i="14"/>
  <c r="C217" i="14"/>
  <c r="C213" i="14"/>
  <c r="C210" i="14"/>
  <c r="C206" i="14"/>
  <c r="C203" i="14"/>
  <c r="C196" i="14"/>
  <c r="C195" i="14"/>
  <c r="C192" i="14"/>
  <c r="C191" i="14"/>
  <c r="C187" i="14"/>
  <c r="C184" i="14"/>
  <c r="C183" i="14"/>
  <c r="C180" i="14"/>
  <c r="C174" i="14"/>
  <c r="C176" i="14"/>
  <c r="C177" i="14"/>
  <c r="C173" i="14"/>
  <c r="C170" i="14"/>
  <c r="C169" i="14"/>
  <c r="C162" i="14"/>
  <c r="C164" i="14"/>
  <c r="C165" i="14"/>
  <c r="C157" i="14"/>
  <c r="C158" i="14"/>
  <c r="C156" i="14"/>
  <c r="C151" i="14"/>
  <c r="C152" i="14"/>
  <c r="C153" i="14"/>
  <c r="C150" i="14"/>
  <c r="C147" i="14"/>
  <c r="C142" i="14"/>
  <c r="C143" i="14"/>
  <c r="C139" i="14"/>
  <c r="C140" i="14"/>
  <c r="C138" i="14"/>
  <c r="C134" i="14"/>
  <c r="C123" i="14"/>
  <c r="C125" i="14"/>
  <c r="C126" i="14"/>
  <c r="C127" i="14"/>
  <c r="C128" i="14"/>
  <c r="C129" i="14"/>
  <c r="C130" i="14"/>
  <c r="C131" i="14"/>
  <c r="C119" i="14"/>
  <c r="C120" i="14"/>
  <c r="C121" i="14"/>
  <c r="C122" i="14"/>
  <c r="C118" i="14"/>
  <c r="C113" i="14"/>
  <c r="C114" i="14"/>
  <c r="C112" i="14"/>
  <c r="C108" i="14"/>
  <c r="C105" i="14"/>
  <c r="C102" i="14"/>
  <c r="C99" i="14"/>
  <c r="C90" i="14"/>
  <c r="C91" i="14"/>
  <c r="C89" i="14"/>
  <c r="C88" i="14"/>
  <c r="C85" i="14"/>
  <c r="C86" i="14" s="1"/>
  <c r="C81" i="14"/>
  <c r="C80" i="14"/>
  <c r="C79" i="14"/>
  <c r="C78" i="14"/>
  <c r="C77" i="14"/>
  <c r="C76" i="14"/>
  <c r="C70" i="14"/>
  <c r="C71" i="14"/>
  <c r="C72" i="14"/>
  <c r="C73" i="14"/>
  <c r="C69" i="14"/>
  <c r="C68" i="14"/>
  <c r="C67" i="14"/>
  <c r="C66" i="14"/>
  <c r="C64" i="14"/>
  <c r="C54" i="14"/>
  <c r="C55" i="14"/>
  <c r="C53" i="14"/>
  <c r="C50" i="14"/>
  <c r="C51" i="14" s="1"/>
  <c r="C47" i="14"/>
  <c r="C48" i="14" s="1"/>
  <c r="C44" i="14"/>
  <c r="C43" i="14"/>
  <c r="C34" i="14"/>
  <c r="C35" i="14"/>
  <c r="C36" i="14"/>
  <c r="C37" i="14"/>
  <c r="C38" i="14"/>
  <c r="C39" i="14"/>
  <c r="C33" i="14"/>
  <c r="C26" i="14"/>
  <c r="C27" i="14"/>
  <c r="C28" i="14"/>
  <c r="C29" i="14"/>
  <c r="C30" i="14"/>
  <c r="C25" i="14"/>
  <c r="C24" i="14"/>
  <c r="C23" i="14"/>
  <c r="C22" i="14"/>
  <c r="B3" i="14"/>
  <c r="D267" i="14"/>
  <c r="D231" i="14"/>
  <c r="D225" i="14"/>
  <c r="D221" i="14"/>
  <c r="D214" i="14"/>
  <c r="D211" i="14"/>
  <c r="D207" i="14"/>
  <c r="D204" i="14"/>
  <c r="D201" i="14"/>
  <c r="D196" i="14"/>
  <c r="D195" i="14"/>
  <c r="D192" i="14"/>
  <c r="D187" i="14"/>
  <c r="D189" i="14" s="1"/>
  <c r="D185" i="14"/>
  <c r="D181" i="14"/>
  <c r="D177" i="14"/>
  <c r="D176" i="14"/>
  <c r="D174" i="14"/>
  <c r="D173" i="14"/>
  <c r="D169" i="14"/>
  <c r="D161" i="14"/>
  <c r="D159" i="14"/>
  <c r="D147" i="14"/>
  <c r="D140" i="14"/>
  <c r="D139" i="14"/>
  <c r="D136" i="14"/>
  <c r="D131" i="14"/>
  <c r="D129" i="14"/>
  <c r="D124" i="14"/>
  <c r="D115" i="14"/>
  <c r="D86" i="14"/>
  <c r="D57" i="14"/>
  <c r="D51" i="14"/>
  <c r="D48" i="14"/>
  <c r="D45" i="14"/>
  <c r="D37" i="14"/>
  <c r="D35" i="14"/>
  <c r="D34" i="14"/>
  <c r="D30" i="14"/>
  <c r="D29" i="14"/>
  <c r="D22" i="14"/>
  <c r="D24" i="14" s="1"/>
  <c r="E15" i="14"/>
  <c r="E14" i="14"/>
  <c r="E12" i="14"/>
  <c r="D138" i="14"/>
  <c r="E33" i="19" l="1"/>
  <c r="F6" i="19"/>
  <c r="F12" i="19" s="1"/>
  <c r="F31" i="19" s="1"/>
  <c r="C110" i="14"/>
  <c r="I16" i="4" s="1"/>
  <c r="D167" i="14"/>
  <c r="D171" i="14"/>
  <c r="D148" i="14"/>
  <c r="D120" i="14"/>
  <c r="D132" i="14" s="1"/>
  <c r="D198" i="14"/>
  <c r="D41" i="14"/>
  <c r="C267" i="14"/>
  <c r="C189" i="14"/>
  <c r="I28" i="4" s="1"/>
  <c r="D110" i="14"/>
  <c r="D83" i="14"/>
  <c r="C237" i="14"/>
  <c r="I39" i="4" s="1"/>
  <c r="D260" i="14"/>
  <c r="D263" i="14" s="1"/>
  <c r="D193" i="14"/>
  <c r="C171" i="14"/>
  <c r="I24" i="4" s="1"/>
  <c r="D233" i="14"/>
  <c r="C211" i="14"/>
  <c r="I34" i="4" s="1"/>
  <c r="D27" i="14"/>
  <c r="D143" i="14" s="1"/>
  <c r="C223" i="14"/>
  <c r="C115" i="14"/>
  <c r="C135" i="14"/>
  <c r="C227" i="14"/>
  <c r="C233" i="14" s="1"/>
  <c r="I38" i="4" s="1"/>
  <c r="C63" i="14"/>
  <c r="C74" i="14" s="1"/>
  <c r="I13" i="4" s="1"/>
  <c r="C178" i="14"/>
  <c r="I25" i="4" s="1"/>
  <c r="C193" i="14"/>
  <c r="I29" i="4" s="1"/>
  <c r="C167" i="14"/>
  <c r="I23" i="4" s="1"/>
  <c r="C132" i="14"/>
  <c r="I17" i="4" s="1"/>
  <c r="C100" i="14"/>
  <c r="I15" i="4" s="1"/>
  <c r="C31" i="14"/>
  <c r="I7" i="4" s="1"/>
  <c r="E263" i="14"/>
  <c r="D26" i="14"/>
  <c r="C181" i="14"/>
  <c r="I26" i="4" s="1"/>
  <c r="C185" i="14"/>
  <c r="I27" i="4" s="1"/>
  <c r="C159" i="14"/>
  <c r="I22" i="4" s="1"/>
  <c r="C221" i="14"/>
  <c r="I36" i="4" s="1"/>
  <c r="D23" i="14"/>
  <c r="C41" i="14"/>
  <c r="I8" i="4" s="1"/>
  <c r="C57" i="14"/>
  <c r="C45" i="14"/>
  <c r="D74" i="14"/>
  <c r="C207" i="14"/>
  <c r="I33" i="4" s="1"/>
  <c r="D25" i="14"/>
  <c r="C145" i="14"/>
  <c r="I19" i="4" s="1"/>
  <c r="C154" i="14"/>
  <c r="I21" i="4" s="1"/>
  <c r="C204" i="14"/>
  <c r="I32" i="4" s="1"/>
  <c r="C83" i="14"/>
  <c r="I14" i="4" s="1"/>
  <c r="C148" i="14"/>
  <c r="I20" i="4" s="1"/>
  <c r="C214" i="14"/>
  <c r="I35" i="4" s="1"/>
  <c r="D178" i="14"/>
  <c r="C198" i="14"/>
  <c r="I30" i="4" s="1"/>
  <c r="F33" i="19" l="1"/>
  <c r="G6" i="19"/>
  <c r="G12" i="19" s="1"/>
  <c r="G31" i="19" s="1"/>
  <c r="G33" i="19" s="1"/>
  <c r="I9" i="4"/>
  <c r="E267" i="14"/>
  <c r="D235" i="14"/>
  <c r="C225" i="14"/>
  <c r="I37" i="4" s="1"/>
  <c r="D31" i="14"/>
  <c r="D58" i="14" s="1"/>
  <c r="C136" i="14"/>
  <c r="I18" i="4" s="1"/>
  <c r="D142" i="14"/>
  <c r="C58" i="14"/>
  <c r="C116" i="14"/>
  <c r="D90" i="14"/>
  <c r="D89" i="14"/>
  <c r="D91" i="14"/>
  <c r="D153" i="14"/>
  <c r="C238" i="14" l="1"/>
  <c r="D266" i="14"/>
  <c r="D237" i="14"/>
  <c r="E20" i="4"/>
  <c r="E27" i="4"/>
  <c r="E35" i="4"/>
  <c r="E33" i="4"/>
  <c r="E26" i="4"/>
  <c r="D145" i="14"/>
  <c r="D100" i="14"/>
  <c r="D16" i="14"/>
  <c r="D59" i="14"/>
  <c r="D154" i="14"/>
  <c r="E266" i="14"/>
  <c r="C59" i="14"/>
  <c r="C16" i="14"/>
  <c r="E39" i="4" l="1"/>
  <c r="C40" i="4"/>
  <c r="G40" i="4" s="1"/>
  <c r="C239" i="14"/>
  <c r="D116" i="14"/>
  <c r="C17" i="14"/>
  <c r="C18" i="14" s="1"/>
  <c r="E16" i="14" l="1"/>
  <c r="I10" i="4"/>
  <c r="C262" i="14"/>
  <c r="D238" i="14"/>
  <c r="G16" i="14" l="1"/>
  <c r="I40" i="4"/>
  <c r="D40" i="4"/>
  <c r="D17" i="14"/>
  <c r="D18" i="14" s="1"/>
  <c r="D239" i="14"/>
  <c r="E262" i="14" l="1"/>
  <c r="E17" i="14"/>
  <c r="D262" i="14"/>
  <c r="D268" i="14" s="1"/>
  <c r="D19" i="14" s="1"/>
  <c r="E18" i="14" l="1"/>
  <c r="G18" i="14" s="1"/>
  <c r="G17" i="14"/>
  <c r="B11" i="5"/>
  <c r="B10" i="5"/>
  <c r="B9" i="5"/>
  <c r="F268" i="14" s="1"/>
  <c r="F19" i="14" s="1"/>
  <c r="C13" i="7" l="1"/>
  <c r="C12" i="7"/>
  <c r="E268" i="14"/>
  <c r="E19" i="14" s="1"/>
  <c r="G19" i="14" s="1"/>
  <c r="C11" i="7"/>
  <c r="B26" i="5"/>
  <c r="C7" i="7" s="1"/>
  <c r="B35" i="5"/>
  <c r="B12" i="5"/>
  <c r="C14" i="7" l="1"/>
  <c r="B17" i="5"/>
  <c r="C6" i="7"/>
  <c r="B30" i="5"/>
  <c r="C22" i="7" s="1"/>
  <c r="C23" i="7" l="1"/>
  <c r="B37" i="5"/>
  <c r="B38" i="5" s="1"/>
  <c r="E7" i="4" l="1"/>
  <c r="C10" i="4"/>
  <c r="G10" i="4" l="1"/>
  <c r="C18" i="7"/>
  <c r="C41" i="4"/>
  <c r="C17" i="7" l="1"/>
  <c r="A3" i="4" l="1"/>
  <c r="E22" i="4" l="1"/>
  <c r="E28" i="4" l="1"/>
  <c r="E21" i="4"/>
  <c r="E19" i="4"/>
  <c r="E24" i="4"/>
  <c r="E23" i="4"/>
  <c r="E38" i="4"/>
  <c r="E14" i="4"/>
  <c r="E16" i="4" l="1"/>
  <c r="E34" i="4" l="1"/>
  <c r="C8" i="7" l="1"/>
  <c r="C24" i="7" l="1"/>
  <c r="E13" i="4" l="1"/>
  <c r="D10" i="4"/>
  <c r="E10" i="4" s="1"/>
  <c r="E8" i="4"/>
  <c r="E15" i="4" l="1"/>
  <c r="E9" i="4"/>
  <c r="E17" i="4" l="1"/>
  <c r="E25" i="4" l="1"/>
  <c r="E18" i="4"/>
  <c r="E31" i="4" l="1"/>
  <c r="E29" i="4"/>
  <c r="E30" i="4" l="1"/>
  <c r="D41" i="4" l="1"/>
  <c r="E36" i="4"/>
  <c r="E32" i="4"/>
  <c r="E37" i="4"/>
  <c r="E40" i="4" l="1"/>
  <c r="E41" i="4" s="1"/>
  <c r="I41" i="4" l="1"/>
  <c r="C19" i="7" l="1"/>
  <c r="C263" i="14" l="1"/>
  <c r="C268" i="14" s="1"/>
  <c r="C19" i="14" s="1"/>
</calcChain>
</file>

<file path=xl/sharedStrings.xml><?xml version="1.0" encoding="utf-8"?>
<sst xmlns="http://schemas.openxmlformats.org/spreadsheetml/2006/main" count="825" uniqueCount="563">
  <si>
    <t>Budget</t>
  </si>
  <si>
    <t>Gross Profit</t>
  </si>
  <si>
    <t>Variance</t>
  </si>
  <si>
    <t>Income</t>
  </si>
  <si>
    <t>Total Income</t>
  </si>
  <si>
    <t>Expenses</t>
  </si>
  <si>
    <t>Total Expenses</t>
  </si>
  <si>
    <t>Comments</t>
  </si>
  <si>
    <t>ASSETS</t>
  </si>
  <si>
    <t xml:space="preserve">   Current Assets</t>
  </si>
  <si>
    <t xml:space="preserve">      Bank Accounts</t>
  </si>
  <si>
    <t xml:space="preserve">         1000 Cash</t>
  </si>
  <si>
    <t xml:space="preserve">         Total 1000 Cash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</si>
  <si>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</si>
  <si>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</si>
  <si>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</si>
  <si>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</si>
  <si>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</si>
  <si>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</si>
  <si>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</si>
  <si>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Total Accounts Payable</t>
  </si>
  <si>
    <t xml:space="preserve">         Other Current Liabilities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</si>
  <si>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</si>
  <si>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</si>
  <si>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</si>
  <si>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</si>
  <si>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Total Equity</t>
  </si>
  <si>
    <t>TOTAL LIABILITIES AND EQUITY</t>
  </si>
  <si>
    <t xml:space="preserve">            2000 Accounts Payable (A/P)</t>
  </si>
  <si>
    <t>Net Income</t>
  </si>
  <si>
    <t>NEAR-TERM INDICATORS</t>
  </si>
  <si>
    <t xml:space="preserve">Current Ratio (Current Assets / Current Liabilities) </t>
  </si>
  <si>
    <t>Total Current Assets</t>
  </si>
  <si>
    <t>Total Current Liabilities</t>
  </si>
  <si>
    <t>Current Ratio</t>
  </si>
  <si>
    <t>ratio should be over 1.0</t>
  </si>
  <si>
    <t>Unrestricted Days Cash</t>
  </si>
  <si>
    <t xml:space="preserve">Total Cash Available (at end of period) </t>
  </si>
  <si>
    <t xml:space="preserve">Days Cash on Hand </t>
  </si>
  <si>
    <t>goal of 90 days of cash on hand</t>
  </si>
  <si>
    <t>SUSTAINABILITY INDICATORS</t>
  </si>
  <si>
    <t>Total Margin (Net Income / Total Revenue)</t>
  </si>
  <si>
    <t xml:space="preserve">Net Income </t>
  </si>
  <si>
    <t xml:space="preserve">Total Revenue </t>
  </si>
  <si>
    <t>Total Margin</t>
  </si>
  <si>
    <t>total margin should be positive</t>
  </si>
  <si>
    <t xml:space="preserve">Debt to Asset Ratio (Total Liabilities / Total Assets) </t>
  </si>
  <si>
    <t xml:space="preserve">Total Liabilities </t>
  </si>
  <si>
    <t xml:space="preserve">Total Assets </t>
  </si>
  <si>
    <t>Debt to Asset Ratio</t>
  </si>
  <si>
    <t>Financial Indicators</t>
  </si>
  <si>
    <t>BENCHMARKS</t>
  </si>
  <si>
    <t xml:space="preserve">   4100 Federal Grants</t>
  </si>
  <si>
    <t xml:space="preserve">   Total 4100 Federal Grants</t>
  </si>
  <si>
    <t xml:space="preserve">   4200 Contributions &amp; Donations</t>
  </si>
  <si>
    <t xml:space="preserve">   Total 4200 Contributions &amp; Donations</t>
  </si>
  <si>
    <t xml:space="preserve">   6000 Professional Services/Contracted Expenses</t>
  </si>
  <si>
    <t xml:space="preserve">      6001 Accounting/Audit Services</t>
  </si>
  <si>
    <t xml:space="preserve">      6005 Payroll Services</t>
  </si>
  <si>
    <t xml:space="preserve">      6010 Financial Management Services</t>
  </si>
  <si>
    <t xml:space="preserve">      6015 Legal - Paid</t>
  </si>
  <si>
    <t xml:space="preserve">      6026 ERate Consultants</t>
  </si>
  <si>
    <t xml:space="preserve">      6050 Other Purchased / Professional / Consulting</t>
  </si>
  <si>
    <t xml:space="preserve">   Total 6000 Professional Services/Contracted Expenses</t>
  </si>
  <si>
    <t xml:space="preserve">   6100 Board Expenses</t>
  </si>
  <si>
    <t xml:space="preserve">   Total 6100 Board Expenses</t>
  </si>
  <si>
    <t xml:space="preserve">   6800 Technology</t>
  </si>
  <si>
    <t xml:space="preserve">      6810 Technology Supplies</t>
  </si>
  <si>
    <t xml:space="preserve">   Total 6800 Technology</t>
  </si>
  <si>
    <t xml:space="preserve">   7200 Office Expenses</t>
  </si>
  <si>
    <t xml:space="preserve">      7201 Office Supplies</t>
  </si>
  <si>
    <t xml:space="preserve">   Total 7200 Office Expenses</t>
  </si>
  <si>
    <t xml:space="preserve">   7300 Staff Development</t>
  </si>
  <si>
    <t xml:space="preserve">      7305 Administrative Staff Development</t>
  </si>
  <si>
    <t xml:space="preserve">   Total 7300 Staff Development</t>
  </si>
  <si>
    <t xml:space="preserve">   7400 Staff Recruitment</t>
  </si>
  <si>
    <t xml:space="preserve">   Total 7400 Staff Recruitment</t>
  </si>
  <si>
    <t xml:space="preserve">   7500 Student Recruitment/Marketing</t>
  </si>
  <si>
    <t xml:space="preserve">      7501 Student Recruitment</t>
  </si>
  <si>
    <t xml:space="preserve">   Total 7500 Student Recruitment/Marketing</t>
  </si>
  <si>
    <t xml:space="preserve">   7900 Miscellaneous Expenses</t>
  </si>
  <si>
    <t xml:space="preserve">      7910 Miscellaneous Fees</t>
  </si>
  <si>
    <t xml:space="preserve">   Total 7900 Miscellaneous Expenses</t>
  </si>
  <si>
    <t xml:space="preserve">   8000 Insurance Expense</t>
  </si>
  <si>
    <t xml:space="preserve">      8001 General</t>
  </si>
  <si>
    <t xml:space="preserve">   Total 8000 Insurance Expense</t>
  </si>
  <si>
    <t>Net Operating Income</t>
  </si>
  <si>
    <t>Balance Sheet</t>
  </si>
  <si>
    <t xml:space="preserve">         1072 Bill.com Money Out Clearing</t>
  </si>
  <si>
    <t xml:space="preserve">      Net Income</t>
  </si>
  <si>
    <t xml:space="preserve">            2300 Misc Payables</t>
  </si>
  <si>
    <t>Ivy Hill Preparatory Charter School</t>
  </si>
  <si>
    <t xml:space="preserve">            1010 Checking - 8716</t>
  </si>
  <si>
    <t xml:space="preserve">            1015 Debit Card - 8732</t>
  </si>
  <si>
    <t xml:space="preserve">      4203 Walton Foundation</t>
  </si>
  <si>
    <t xml:space="preserve">      6030 Compliance Consulting</t>
  </si>
  <si>
    <t xml:space="preserve">      6101 Board Meetings</t>
  </si>
  <si>
    <t xml:space="preserve">      7401 Staff Recruitment.</t>
  </si>
  <si>
    <t xml:space="preserve">      6820 Website Maintenance</t>
  </si>
  <si>
    <t xml:space="preserve">      7705 Travel, Meals &amp; Lodging (PD)</t>
  </si>
  <si>
    <t xml:space="preserve">   7700 Staff Travel</t>
  </si>
  <si>
    <t xml:space="preserve">   Total 7700 Staff Travel</t>
  </si>
  <si>
    <t xml:space="preserve">      Other Current Assets</t>
  </si>
  <si>
    <t xml:space="preserve">         1400 Prepaid Expenses</t>
  </si>
  <si>
    <t xml:space="preserve">            1415 Prepaid Benefits</t>
  </si>
  <si>
    <t xml:space="preserve">         Total 1400 Prepaid Expenses</t>
  </si>
  <si>
    <t xml:space="preserve">      Total Other Current Assets</t>
  </si>
  <si>
    <t xml:space="preserve">            1405 Prepaid Expenses.</t>
  </si>
  <si>
    <t xml:space="preserve">      7920 Sales Tax</t>
  </si>
  <si>
    <t xml:space="preserve">      4107 CSP</t>
  </si>
  <si>
    <t xml:space="preserve">   5000 Compensation</t>
  </si>
  <si>
    <t xml:space="preserve">      5100 Administrative Staff</t>
  </si>
  <si>
    <t xml:space="preserve">         5101 Head of School</t>
  </si>
  <si>
    <t xml:space="preserve">         5125 Director of Operations</t>
  </si>
  <si>
    <t xml:space="preserve">         5135 Office Coordinator</t>
  </si>
  <si>
    <t xml:space="preserve">      Total 5100 Administrative Staff</t>
  </si>
  <si>
    <t xml:space="preserve">      5400 Payroll Taxes</t>
  </si>
  <si>
    <t xml:space="preserve">         5402 NY State Unemployment Insurance</t>
  </si>
  <si>
    <t xml:space="preserve">         5403 Social Security - ER</t>
  </si>
  <si>
    <t xml:space="preserve">         5404 Medicare - ER</t>
  </si>
  <si>
    <t xml:space="preserve">         5405 Social Security - EE Exchange</t>
  </si>
  <si>
    <t xml:space="preserve">         5406 Medicare - EE Exchange</t>
  </si>
  <si>
    <t xml:space="preserve">         5407 Federal Income Tax - Clearing</t>
  </si>
  <si>
    <t xml:space="preserve">         5408 State Income Tax - Clearing</t>
  </si>
  <si>
    <t xml:space="preserve">         5409 Local Income Tax - Clearing</t>
  </si>
  <si>
    <t xml:space="preserve">         5410 NY-Disability</t>
  </si>
  <si>
    <t xml:space="preserve">         5412 Paid Family Leave</t>
  </si>
  <si>
    <t xml:space="preserve">      Total 5400 Payroll Taxes</t>
  </si>
  <si>
    <t xml:space="preserve">      5500 Compensation Employee Benefits</t>
  </si>
  <si>
    <t xml:space="preserve">         5501 Medical Insurance</t>
  </si>
  <si>
    <t xml:space="preserve">         5505 Dental Insurance</t>
  </si>
  <si>
    <t xml:space="preserve">         5515 Workers Compensation Expense</t>
  </si>
  <si>
    <t xml:space="preserve">      Total 5500 Compensation Employee Benefits</t>
  </si>
  <si>
    <t xml:space="preserve">   Total 5000 Compensation</t>
  </si>
  <si>
    <t xml:space="preserve">      7701 Local Travel</t>
  </si>
  <si>
    <t xml:space="preserve">         1200 Grants Receivable</t>
  </si>
  <si>
    <t xml:space="preserve">            1410 Prepaid Insurance</t>
  </si>
  <si>
    <t xml:space="preserve">      7205 Postage &amp; Shipping</t>
  </si>
  <si>
    <t xml:space="preserve">      7905 Dues &amp; Memberships</t>
  </si>
  <si>
    <t xml:space="preserve">   6600 Equipment &amp; Furniture (Non Asset)</t>
  </si>
  <si>
    <t xml:space="preserve">      6610 Office Equipment</t>
  </si>
  <si>
    <t xml:space="preserve">   Total 6600 Equipment &amp; Furniture (Non Asset)</t>
  </si>
  <si>
    <t xml:space="preserve">      5200 Instructional Staff</t>
  </si>
  <si>
    <t xml:space="preserve">      Total 5200 Instructional Staff</t>
  </si>
  <si>
    <t xml:space="preserve">   6200 Classroom &amp; Teaching Supplies &amp; Materials</t>
  </si>
  <si>
    <t xml:space="preserve">      6205 Classroom Supplies &amp; Materials</t>
  </si>
  <si>
    <t xml:space="preserve">   Total 6200 Classroom &amp; Teaching Supplies &amp; Materials</t>
  </si>
  <si>
    <t xml:space="preserve">         5510 Vision Insurance</t>
  </si>
  <si>
    <t xml:space="preserve">      6605 Office Furniture</t>
  </si>
  <si>
    <t xml:space="preserve">      6805 Technology Services</t>
  </si>
  <si>
    <t xml:space="preserve">         1300 Other Receivables</t>
  </si>
  <si>
    <t xml:space="preserve">   Fixed Assets</t>
  </si>
  <si>
    <t xml:space="preserve">   Total Fixed Assets</t>
  </si>
  <si>
    <t xml:space="preserve">      4202 Unrestricted Contributions</t>
  </si>
  <si>
    <t xml:space="preserve">      6025 Titlement Services</t>
  </si>
  <si>
    <t xml:space="preserve">   8100 Facility Operations &amp; Maintenance</t>
  </si>
  <si>
    <t xml:space="preserve">      8110 Repairs &amp; Maintenance</t>
  </si>
  <si>
    <t xml:space="preserve">   Total 8100 Facility Operations &amp; Maintenance</t>
  </si>
  <si>
    <t xml:space="preserve">      6815 Software (non capitalized)</t>
  </si>
  <si>
    <t xml:space="preserve">         1515 Classroom Equipment</t>
  </si>
  <si>
    <t xml:space="preserve">         5530 FSA/Transit Check</t>
  </si>
  <si>
    <t xml:space="preserve">      6606 Classroom Furniture</t>
  </si>
  <si>
    <t xml:space="preserve">      6611 Classroom Equipment</t>
  </si>
  <si>
    <t xml:space="preserve">   7100 Student Services</t>
  </si>
  <si>
    <t xml:space="preserve">   Total 7100 Student Services</t>
  </si>
  <si>
    <t xml:space="preserve">         1542 Staff Computers</t>
  </si>
  <si>
    <t xml:space="preserve">         1549 Security System</t>
  </si>
  <si>
    <t xml:space="preserve">            2400 Unearned/Deferred Revenue</t>
  </si>
  <si>
    <t xml:space="preserve">            2830 403(b) Contribution Payabla - Roth</t>
  </si>
  <si>
    <t xml:space="preserve">            2840 403(b) Contributions Payable - Traditional</t>
  </si>
  <si>
    <t xml:space="preserve">         2920 Deferred Rent</t>
  </si>
  <si>
    <t xml:space="preserve">      Total Long-Term Liabilities</t>
  </si>
  <si>
    <t xml:space="preserve">   Total 4000 State Grants</t>
  </si>
  <si>
    <t xml:space="preserve">   4000 State Grants</t>
  </si>
  <si>
    <t xml:space="preserve">      4001 Per Pupil General Education</t>
  </si>
  <si>
    <t xml:space="preserve">      4003 Facility Assistance</t>
  </si>
  <si>
    <t xml:space="preserve">      4002 Per Pupil Special Education</t>
  </si>
  <si>
    <t xml:space="preserve">         5120 Dean of School Supports</t>
  </si>
  <si>
    <t xml:space="preserve">         5205 Lead Teachers</t>
  </si>
  <si>
    <t xml:space="preserve">         5207 Co-Teachers</t>
  </si>
  <si>
    <t xml:space="preserve">         5210 Special Ed Teachers</t>
  </si>
  <si>
    <t xml:space="preserve">         5212 Founding Teachers</t>
  </si>
  <si>
    <t xml:space="preserve">         5215 Elective Teachers</t>
  </si>
  <si>
    <t xml:space="preserve">         5220 Teaching Fellow</t>
  </si>
  <si>
    <t xml:space="preserve">         5225 Social Worker</t>
  </si>
  <si>
    <t xml:space="preserve">      6045 Substitute Teaching Services</t>
  </si>
  <si>
    <t xml:space="preserve">      6105 Board Development</t>
  </si>
  <si>
    <t xml:space="preserve">      6210 Math Supplies &amp; Materials</t>
  </si>
  <si>
    <t xml:space="preserve">      6215 Science Supplies &amp; Materials</t>
  </si>
  <si>
    <t xml:space="preserve">      6230 Physical Education Supplies &amp; Materials</t>
  </si>
  <si>
    <t xml:space="preserve">   Total 6400 Textbooks &amp; Workbooks</t>
  </si>
  <si>
    <t xml:space="preserve">   6400 Textbooks &amp; Workbooks</t>
  </si>
  <si>
    <t xml:space="preserve">      6405 Textbooks</t>
  </si>
  <si>
    <t xml:space="preserve">      6407 Curriculum</t>
  </si>
  <si>
    <t xml:space="preserve">      6601 Copy Machine Lease</t>
  </si>
  <si>
    <t xml:space="preserve">   Total 6500 Supplies &amp; Materials Other</t>
  </si>
  <si>
    <t xml:space="preserve">   Total 6700 Telephone</t>
  </si>
  <si>
    <t xml:space="preserve">   6700 Telephone</t>
  </si>
  <si>
    <t xml:space="preserve">      6701 Telephone</t>
  </si>
  <si>
    <t xml:space="preserve">      6801 Internet</t>
  </si>
  <si>
    <t xml:space="preserve">      7301 Instructional Staff Development</t>
  </si>
  <si>
    <t xml:space="preserve">      7310 Team Building &amp; Staff Appreciation</t>
  </si>
  <si>
    <t xml:space="preserve">      7901 Bank Services Charges</t>
  </si>
  <si>
    <t xml:space="preserve">      7925 Expense Suspense</t>
  </si>
  <si>
    <t xml:space="preserve">      8105 Rent or Lease of Buildings</t>
  </si>
  <si>
    <t xml:space="preserve">      8115 Security</t>
  </si>
  <si>
    <t xml:space="preserve">      8120 Deferred Rent</t>
  </si>
  <si>
    <t xml:space="preserve">            1010 Checking -0000 (deleted)</t>
  </si>
  <si>
    <t xml:space="preserve">            1020 Savings - Reserves - 6001</t>
  </si>
  <si>
    <t xml:space="preserve">            1025 Escrow - 8724</t>
  </si>
  <si>
    <t xml:space="preserve">         1071 Bill.com Money In Clearing</t>
  </si>
  <si>
    <t xml:space="preserve">      Accounts Receivable</t>
  </si>
  <si>
    <t xml:space="preserve">         1100 Accounts Receivable</t>
  </si>
  <si>
    <t xml:space="preserve">      Total Accounts Receivable</t>
  </si>
  <si>
    <t xml:space="preserve">            1420 TransitChek</t>
  </si>
  <si>
    <t xml:space="preserve">         1460 Deposits &amp; Retainers</t>
  </si>
  <si>
    <t xml:space="preserve">         Inventory</t>
  </si>
  <si>
    <t xml:space="preserve">         Inventory Asset</t>
  </si>
  <si>
    <t xml:space="preserve">         Uncategorized Asset</t>
  </si>
  <si>
    <t xml:space="preserve">      1500 Office Furniture, Fixtures &amp; Equipment</t>
  </si>
  <si>
    <t xml:space="preserve">         1501 Office Equipment</t>
  </si>
  <si>
    <t xml:space="preserve">         1502 Office Furniture &amp; Fixtures</t>
  </si>
  <si>
    <t xml:space="preserve">         1509 Accum Depr. Office Furniture &amp; Fixtures</t>
  </si>
  <si>
    <t xml:space="preserve">         1530 Software (deleted)</t>
  </si>
  <si>
    <t xml:space="preserve">      Total 1500 Office Furniture, Fixtures &amp; Equipment</t>
  </si>
  <si>
    <t xml:space="preserve">      1520 Classroom Equipment, Furniture &amp; Fixtures</t>
  </si>
  <si>
    <t xml:space="preserve">         1521 Classroom Furniture</t>
  </si>
  <si>
    <t xml:space="preserve">         1529 Accum Depr. Classroom Equip., Furniture &amp; Fixtures</t>
  </si>
  <si>
    <t xml:space="preserve">      Total 1520 Classroom Equipment, Furniture &amp; Fixtures</t>
  </si>
  <si>
    <t xml:space="preserve">      1540 Information Technology</t>
  </si>
  <si>
    <t xml:space="preserve">         1541 Student Computers</t>
  </si>
  <si>
    <t xml:space="preserve">         1543 Printers</t>
  </si>
  <si>
    <t xml:space="preserve">         1544 Audio Visuals - Clasrooms</t>
  </si>
  <si>
    <t xml:space="preserve">         1545 Audio Visual - Cafeteria</t>
  </si>
  <si>
    <t xml:space="preserve">         1546 Software - Instructional</t>
  </si>
  <si>
    <t xml:space="preserve">         1547 Software - non-instructional</t>
  </si>
  <si>
    <t xml:space="preserve">         1548 Computer Network</t>
  </si>
  <si>
    <t xml:space="preserve">         1550 Website Development</t>
  </si>
  <si>
    <t xml:space="preserve">         1551 Student Information System</t>
  </si>
  <si>
    <t xml:space="preserve">         1552 Whiteboards</t>
  </si>
  <si>
    <t xml:space="preserve">         1559 Accum Depr Information Technology</t>
  </si>
  <si>
    <t xml:space="preserve">      Total 1540 Information Technology</t>
  </si>
  <si>
    <t xml:space="preserve">      1560 Leasehold Improvements</t>
  </si>
  <si>
    <t xml:space="preserve">         1562 Major Repairs</t>
  </si>
  <si>
    <t xml:space="preserve">      Total 1560 Leasehold Improvements</t>
  </si>
  <si>
    <t xml:space="preserve">      1700 Accumulated Depreciation</t>
  </si>
  <si>
    <t xml:space="preserve">            2010 Anybill AP Management</t>
  </si>
  <si>
    <t xml:space="preserve">            2200 Accrued Expenses</t>
  </si>
  <si>
    <t xml:space="preserve">               2205 Payroll</t>
  </si>
  <si>
    <t xml:space="preserve">               2210 Expenses</t>
  </si>
  <si>
    <t xml:space="preserve">            Total 2200 Accrued Expenses</t>
  </si>
  <si>
    <t xml:space="preserve">            2800 Other Current Liabilities</t>
  </si>
  <si>
    <t xml:space="preserve">               2810 Due to Urban Assembly</t>
  </si>
  <si>
    <t xml:space="preserve">               2820 Due to Urban Assembly - Chase Expenses</t>
  </si>
  <si>
    <t xml:space="preserve">            Total 2800 Other Current Liabilities</t>
  </si>
  <si>
    <t xml:space="preserve">      Long-Term Liabilities</t>
  </si>
  <si>
    <t xml:space="preserve">         2900 Long Term Liabilities</t>
  </si>
  <si>
    <t xml:space="preserve">            2910 Long Term Liabilities - Notes Payable</t>
  </si>
  <si>
    <t xml:space="preserve">         Total 2900 Long Term Liabilities</t>
  </si>
  <si>
    <t xml:space="preserve">      Opening Balance Equity</t>
  </si>
  <si>
    <t xml:space="preserve">      Owner's Investment</t>
  </si>
  <si>
    <t xml:space="preserve">      Owner's Pay &amp; Personal Expenses</t>
  </si>
  <si>
    <t>Current Assets</t>
  </si>
  <si>
    <t xml:space="preserve">Cash and cash equivalents - Unrestricted </t>
  </si>
  <si>
    <t xml:space="preserve">Escrow - Restricted </t>
  </si>
  <si>
    <t>Grants Receivable</t>
  </si>
  <si>
    <t>Prepaid Expenses and Other Receivables</t>
  </si>
  <si>
    <t>Total current assets</t>
  </si>
  <si>
    <t>Fixed assets, Net</t>
  </si>
  <si>
    <t>Total assets</t>
  </si>
  <si>
    <t>LIABILITIES AND NET ASSETS</t>
  </si>
  <si>
    <t>Current liabilities</t>
  </si>
  <si>
    <t xml:space="preserve">Accrued Expenses and Other Accounts Payable </t>
  </si>
  <si>
    <r>
      <t>Defered Revenue</t>
    </r>
    <r>
      <rPr>
        <vertAlign val="superscript"/>
        <sz val="11"/>
        <color rgb="FFFF0000"/>
        <rFont val="Arial Narrow"/>
        <family val="2"/>
      </rPr>
      <t xml:space="preserve"> </t>
    </r>
  </si>
  <si>
    <t>Total current liabilities</t>
  </si>
  <si>
    <t>Deferred Rent</t>
  </si>
  <si>
    <t>Total liabilities</t>
  </si>
  <si>
    <t>Net assets</t>
  </si>
  <si>
    <t xml:space="preserve">   Net Assets without Donor Restrictions</t>
  </si>
  <si>
    <t xml:space="preserve">   Change in net assets during current period</t>
  </si>
  <si>
    <t>Total net assets</t>
  </si>
  <si>
    <t>Total liabilities and net assets</t>
  </si>
  <si>
    <t>Security Deposit</t>
  </si>
  <si>
    <t>Payroll Liabilities</t>
  </si>
  <si>
    <t>Profit and Loss</t>
  </si>
  <si>
    <t xml:space="preserve">      4004 NYSTL - Textbook Materials</t>
  </si>
  <si>
    <t xml:space="preserve">      4005 NYSSL - Software Materials</t>
  </si>
  <si>
    <t xml:space="preserve">      4006 NYSLIB - Library Materials</t>
  </si>
  <si>
    <t xml:space="preserve">      4007 Food Service - State Income</t>
  </si>
  <si>
    <t xml:space="preserve">      4008 State Grants DYCD</t>
  </si>
  <si>
    <t xml:space="preserve">      4009 NYS State Senate Grant Per Pupil Supplement</t>
  </si>
  <si>
    <t xml:space="preserve">      4101 IDEA Special Needs</t>
  </si>
  <si>
    <t xml:space="preserve">      4102 Title I</t>
  </si>
  <si>
    <t xml:space="preserve">      4103 Title IIA</t>
  </si>
  <si>
    <t xml:space="preserve">      4104 Title IV</t>
  </si>
  <si>
    <t xml:space="preserve">      4105 E-Rate</t>
  </si>
  <si>
    <t xml:space="preserve">      4106 Food Service - Federal Income</t>
  </si>
  <si>
    <t xml:space="preserve">      4201 Restricted Contributions (deleted)</t>
  </si>
  <si>
    <t xml:space="preserve">      4203-1 Walton Foundation (deleted)</t>
  </si>
  <si>
    <t xml:space="preserve">   4300 Fundraising</t>
  </si>
  <si>
    <t xml:space="preserve">      4301 Fundraising Events</t>
  </si>
  <si>
    <t xml:space="preserve">   Total 4300 Fundraising</t>
  </si>
  <si>
    <t xml:space="preserve">   4400 Interest Income</t>
  </si>
  <si>
    <t xml:space="preserve">      4401 Interest Income.</t>
  </si>
  <si>
    <t xml:space="preserve">   Total 4400 Interest Income</t>
  </si>
  <si>
    <t xml:space="preserve">   4500 Other Revenue</t>
  </si>
  <si>
    <t xml:space="preserve">      4501 In Kind Donation</t>
  </si>
  <si>
    <t xml:space="preserve">      4502 In Kind Legal</t>
  </si>
  <si>
    <t xml:space="preserve">      4503 Misc</t>
  </si>
  <si>
    <t xml:space="preserve">      4504 Revenue Suspense</t>
  </si>
  <si>
    <t xml:space="preserve">   Total 4500 Other Revenue</t>
  </si>
  <si>
    <t xml:space="preserve">   Billable Expense Income</t>
  </si>
  <si>
    <t xml:space="preserve">   Sales of Product Income</t>
  </si>
  <si>
    <t xml:space="preserve">   Services</t>
  </si>
  <si>
    <t xml:space="preserve">   Uncategorized Income</t>
  </si>
  <si>
    <t>Cost of Goods Sold</t>
  </si>
  <si>
    <t xml:space="preserve">   Cost of Goods Sold</t>
  </si>
  <si>
    <t xml:space="preserve">   Cost of Goods Sold (deleted)</t>
  </si>
  <si>
    <t xml:space="preserve">   Shipping</t>
  </si>
  <si>
    <t>Total Cost of Goods Sold</t>
  </si>
  <si>
    <t xml:space="preserve">         5105 Dean of Curriculum</t>
  </si>
  <si>
    <t xml:space="preserve">         5115 Dean of Students (Martial arts instructor)</t>
  </si>
  <si>
    <t xml:space="preserve">         5130 Director of Development</t>
  </si>
  <si>
    <t xml:space="preserve">         5135 College and Career Counselor (deleted)</t>
  </si>
  <si>
    <t xml:space="preserve">         5140 Operations Fellow</t>
  </si>
  <si>
    <t xml:space="preserve">         5145 Office Assistant</t>
  </si>
  <si>
    <t xml:space="preserve">         5150 Middle School and Alumni Coordinator</t>
  </si>
  <si>
    <t xml:space="preserve">         5160 Bus Matrons</t>
  </si>
  <si>
    <t xml:space="preserve">         5201 ELA Teachers (deleted)</t>
  </si>
  <si>
    <t xml:space="preserve">         5202 Math Teachers (deleted)</t>
  </si>
  <si>
    <t xml:space="preserve">         5203 History Teachers (deleted)</t>
  </si>
  <si>
    <t xml:space="preserve">         5204 Science Teachers (deleted)</t>
  </si>
  <si>
    <t xml:space="preserve">         5207 Art Teachers (deleted)</t>
  </si>
  <si>
    <t xml:space="preserve">         5208 Phys Ed Teachers (deleted)</t>
  </si>
  <si>
    <t xml:space="preserve">         5209 Teaching Assistants (deleted)</t>
  </si>
  <si>
    <t xml:space="preserve">         5212 Founding Teacher</t>
  </si>
  <si>
    <t xml:space="preserve">      5300 Non-Instructional Staff</t>
  </si>
  <si>
    <t xml:space="preserve">         5305 School Food Worker</t>
  </si>
  <si>
    <t xml:space="preserve">      Total 5300 Non-Instructional Staff</t>
  </si>
  <si>
    <t xml:space="preserve">         5401 Federal Unemployment Insurance</t>
  </si>
  <si>
    <t xml:space="preserve">         5411 Local Tax</t>
  </si>
  <si>
    <t xml:space="preserve">         5525 Transit Check Fees</t>
  </si>
  <si>
    <t xml:space="preserve">         5535 Group Term Life Insurance</t>
  </si>
  <si>
    <t xml:space="preserve">         5540 Health Savings Account</t>
  </si>
  <si>
    <t xml:space="preserve">         5545 Basic Employee Life and AD&amp;D</t>
  </si>
  <si>
    <t xml:space="preserve">         5550 Long Term Disability</t>
  </si>
  <si>
    <t xml:space="preserve">         5560 Short Term Disability</t>
  </si>
  <si>
    <t xml:space="preserve">      5600 Retirement &amp; Pension</t>
  </si>
  <si>
    <t xml:space="preserve">         5601 401(k) Expenses</t>
  </si>
  <si>
    <t xml:space="preserve">         5605 401(k) Matching</t>
  </si>
  <si>
    <t xml:space="preserve">         5610 401(K) Contributions-Clearing</t>
  </si>
  <si>
    <t xml:space="preserve">      Total 5600 Retirement &amp; Pension</t>
  </si>
  <si>
    <t xml:space="preserve">      6016 Legal - In Kind</t>
  </si>
  <si>
    <t xml:space="preserve">      6020 Food Service / School Lunch</t>
  </si>
  <si>
    <t xml:space="preserve">      6035 Curriculum Services</t>
  </si>
  <si>
    <t xml:space="preserve">      6037 Stipends</t>
  </si>
  <si>
    <t xml:space="preserve">      6040 Special Ed Services</t>
  </si>
  <si>
    <t xml:space="preserve">      6220 Music Supplies &amp; Materials (deleted)</t>
  </si>
  <si>
    <t xml:space="preserve">      6225 Art Supplies (deleted)</t>
  </si>
  <si>
    <t xml:space="preserve">      6235 NYSSL Expense</t>
  </si>
  <si>
    <t xml:space="preserve">      6240 NYSLIB Expense</t>
  </si>
  <si>
    <t xml:space="preserve">      6245 In-Kind Expense</t>
  </si>
  <si>
    <t xml:space="preserve">   6300 Special Education Supplies &amp; Materials</t>
  </si>
  <si>
    <t xml:space="preserve">      6301 SPED- Supplies &amp; Materials</t>
  </si>
  <si>
    <t xml:space="preserve">   Total 6300 Special Education Supplies &amp; Materials</t>
  </si>
  <si>
    <t xml:space="preserve">      6406 Library Books</t>
  </si>
  <si>
    <t xml:space="preserve">      6410 NYSTL Expense</t>
  </si>
  <si>
    <t xml:space="preserve">   6500 Supplies &amp; Materials Other</t>
  </si>
  <si>
    <t xml:space="preserve">      6515 Student Incentives</t>
  </si>
  <si>
    <t xml:space="preserve">      6520 Parent Outreach &amp; Education Programs</t>
  </si>
  <si>
    <t xml:space="preserve">      6525 Special Events</t>
  </si>
  <si>
    <t xml:space="preserve">      6705 Mobile Phone</t>
  </si>
  <si>
    <t xml:space="preserve">      6825 IT Equipment (Petty-Assets)</t>
  </si>
  <si>
    <t xml:space="preserve">      6830 IT Managed Services</t>
  </si>
  <si>
    <t xml:space="preserve">      6835 Email Hosting Fee</t>
  </si>
  <si>
    <t xml:space="preserve">   6900 Student Testing &amp; Assessment</t>
  </si>
  <si>
    <t xml:space="preserve">      6901 Assessment Supplies and Materials</t>
  </si>
  <si>
    <t xml:space="preserve">   Total 6900 Student Testing &amp; Assessment</t>
  </si>
  <si>
    <t xml:space="preserve">   7000 Student Travel</t>
  </si>
  <si>
    <t xml:space="preserve">      7001 Field Trips</t>
  </si>
  <si>
    <t xml:space="preserve">      7005 Transportation</t>
  </si>
  <si>
    <t xml:space="preserve">      7010 Student Orientation (deleted)</t>
  </si>
  <si>
    <t xml:space="preserve">   Total 7000 Student Travel</t>
  </si>
  <si>
    <t xml:space="preserve">      7101 Student Uniforms</t>
  </si>
  <si>
    <t xml:space="preserve">      7105 Summer School (deleted)</t>
  </si>
  <si>
    <t xml:space="preserve">   7600 School Meals/Lunches</t>
  </si>
  <si>
    <t xml:space="preserve">      7601 Meals &amp; Lunches</t>
  </si>
  <si>
    <t xml:space="preserve">   Total 7600 School Meals/Lunches</t>
  </si>
  <si>
    <t xml:space="preserve">   7800 Fundraising Expense</t>
  </si>
  <si>
    <t xml:space="preserve">      7801 Fundraising Supplies &amp; Materials</t>
  </si>
  <si>
    <t xml:space="preserve">   Total 7800 Fundraising Expense</t>
  </si>
  <si>
    <t xml:space="preserve">      8005 ERISA</t>
  </si>
  <si>
    <t xml:space="preserve">      8116 Exterminator</t>
  </si>
  <si>
    <t xml:space="preserve">      8117 Janitorial Service</t>
  </si>
  <si>
    <t xml:space="preserve">      8125 Renovation Expense (deleted)</t>
  </si>
  <si>
    <t xml:space="preserve">   8200 Depreciation Expense &amp; Amortization</t>
  </si>
  <si>
    <t xml:space="preserve">      8201 Depreciation Expense</t>
  </si>
  <si>
    <t xml:space="preserve">      8202 Amortization Expense</t>
  </si>
  <si>
    <t xml:space="preserve">   Total 8200 Depreciation Expense &amp; Amortization</t>
  </si>
  <si>
    <t xml:space="preserve">   Advertising &amp; Marketing (deleted)</t>
  </si>
  <si>
    <t xml:space="preserve">   Ask My Accountant</t>
  </si>
  <si>
    <t xml:space="preserve">   Bank Charges &amp; Fees</t>
  </si>
  <si>
    <t xml:space="preserve">   Car &amp; Truck</t>
  </si>
  <si>
    <t xml:space="preserve">   Employee Benefits</t>
  </si>
  <si>
    <t xml:space="preserve">   Insurance</t>
  </si>
  <si>
    <t xml:space="preserve">   Interest Paid</t>
  </si>
  <si>
    <t xml:space="preserve">   Job Supplies</t>
  </si>
  <si>
    <t xml:space="preserve">   Legal &amp; Professional Services</t>
  </si>
  <si>
    <t xml:space="preserve">   Meals &amp; Entertainment</t>
  </si>
  <si>
    <t xml:space="preserve">   Office Supplies &amp; Software</t>
  </si>
  <si>
    <t xml:space="preserve">   Other Business Expenses</t>
  </si>
  <si>
    <t xml:space="preserve">   Purchases</t>
  </si>
  <si>
    <t xml:space="preserve">   Reimbursable Expenses</t>
  </si>
  <si>
    <t xml:space="preserve">   Rent &amp; Lease</t>
  </si>
  <si>
    <t xml:space="preserve">   Repairs &amp; Maintenance</t>
  </si>
  <si>
    <t xml:space="preserve">   Salaries &amp; Wages</t>
  </si>
  <si>
    <t xml:space="preserve">   Taxes &amp; Licenses</t>
  </si>
  <si>
    <t xml:space="preserve">   Travel</t>
  </si>
  <si>
    <t xml:space="preserve">   Unapplied Cash Bill Payment Expense</t>
  </si>
  <si>
    <t xml:space="preserve">   Uncategorized Expense</t>
  </si>
  <si>
    <t xml:space="preserve">   Utilities</t>
  </si>
  <si>
    <t>Other Expenses</t>
  </si>
  <si>
    <t xml:space="preserve">   Other Miscellaneous Expense</t>
  </si>
  <si>
    <t xml:space="preserve">   Reconciliation Discrepancies</t>
  </si>
  <si>
    <t>Total Other Expenses</t>
  </si>
  <si>
    <t>Net Other Income</t>
  </si>
  <si>
    <t>School Year 2019-2020 (Year 1)</t>
  </si>
  <si>
    <t>Approved Budget</t>
  </si>
  <si>
    <t>Staff Count</t>
  </si>
  <si>
    <t>Authorized Enrollment</t>
  </si>
  <si>
    <t>Total Enrollment</t>
  </si>
  <si>
    <t>SpEd Enrollment 
(20-60%)</t>
  </si>
  <si>
    <t>SpEd Enrollment 
(&gt;60%)</t>
  </si>
  <si>
    <t>FRPL%</t>
  </si>
  <si>
    <t>Per Pupil Allocation</t>
  </si>
  <si>
    <t>Sped Allocation
(20-60%)</t>
  </si>
  <si>
    <t>Sped Allocation 
(&gt;60%)</t>
  </si>
  <si>
    <t xml:space="preserve">REVENUE </t>
  </si>
  <si>
    <t>EXPENSES</t>
  </si>
  <si>
    <t>NET INCOME/(DEFICIT)</t>
  </si>
  <si>
    <t>CASH INCOME/(DEFICIT)</t>
  </si>
  <si>
    <t>INCOME</t>
  </si>
  <si>
    <t xml:space="preserve">         5115 Dean of Students</t>
  </si>
  <si>
    <t xml:space="preserve">         5520 STD, LTD, Life Insur. and NYS Disability Insur., HSA and AD&amp;D</t>
  </si>
  <si>
    <t>AFTER SCHOOL</t>
  </si>
  <si>
    <t xml:space="preserve">      8116 Pest Control </t>
  </si>
  <si>
    <t>CAPITAL BUDGET vs. ACTUAL</t>
  </si>
  <si>
    <t xml:space="preserve">       1501 Office Equipment</t>
  </si>
  <si>
    <t xml:space="preserve">       1502 Office Furniture &amp; Fixtures</t>
  </si>
  <si>
    <t xml:space="preserve">       1541 Student Computers</t>
  </si>
  <si>
    <t xml:space="preserve">       1542 Staff Computers</t>
  </si>
  <si>
    <t xml:space="preserve">       1543 Printers</t>
  </si>
  <si>
    <t xml:space="preserve">       1544 Audio Visual - Classrooms</t>
  </si>
  <si>
    <t xml:space="preserve">       1545 Audio Visual - Cafeteria</t>
  </si>
  <si>
    <t xml:space="preserve">       1546 Software - Instructional</t>
  </si>
  <si>
    <t xml:space="preserve">       1547 Software - Non-Instructional</t>
  </si>
  <si>
    <t xml:space="preserve">       1548 Network Construction</t>
  </si>
  <si>
    <t xml:space="preserve">       1549 Security</t>
  </si>
  <si>
    <t xml:space="preserve">       1550 Website Development</t>
  </si>
  <si>
    <t xml:space="preserve">       1551 Student Information System</t>
  </si>
  <si>
    <t xml:space="preserve">       1552 Whiteboards</t>
  </si>
  <si>
    <t xml:space="preserve">       1561 Construction</t>
  </si>
  <si>
    <t xml:space="preserve">       1552 Major Repairs</t>
  </si>
  <si>
    <t xml:space="preserve">TOTAL </t>
  </si>
  <si>
    <t>Net Income:</t>
  </si>
  <si>
    <t>Subtract Capital Costs</t>
  </si>
  <si>
    <t>Subtract Rent Deposit</t>
  </si>
  <si>
    <t>Subtract Escrow</t>
  </si>
  <si>
    <t>Add back Depreciation</t>
  </si>
  <si>
    <t>Add back Deferred Rent</t>
  </si>
  <si>
    <t>Cash Income</t>
  </si>
  <si>
    <t xml:space="preserve">       1515 Classroom Equipment</t>
  </si>
  <si>
    <t xml:space="preserve">       1521 Classroom Furniture &amp; Fixtures</t>
  </si>
  <si>
    <t xml:space="preserve">   Total 5500 Compensation Employee Benefits</t>
  </si>
  <si>
    <t xml:space="preserve">   Total 5400 Payroll Taxes</t>
  </si>
  <si>
    <t xml:space="preserve">   Total 5100 Administrative Staff</t>
  </si>
  <si>
    <t xml:space="preserve">   Total 5200 Instructional Staff</t>
  </si>
  <si>
    <t>FY 2019-20</t>
  </si>
  <si>
    <t>Unaudited Profit &amp; Loss Summary</t>
  </si>
  <si>
    <t>Unaudited Profit &amp; Loss Detailed</t>
  </si>
  <si>
    <t xml:space="preserve">         5530 FSA, Transit Check, and HRA</t>
  </si>
  <si>
    <t xml:space="preserve">         1569 Accum Dep. Leasehold Improvements</t>
  </si>
  <si>
    <t xml:space="preserve">            23500 HSA Payable</t>
  </si>
  <si>
    <t xml:space="preserve">            23700 Commuter and FSA Deduction Payable</t>
  </si>
  <si>
    <t xml:space="preserve">         5520 STD, LTD, Life and AD&amp;D and Others</t>
  </si>
  <si>
    <t>standard of 0.9 or less is low risk</t>
  </si>
  <si>
    <t xml:space="preserve">   8500 In-Kind Expenses</t>
  </si>
  <si>
    <t>Unrestricted cash balance at the beginning of the month</t>
  </si>
  <si>
    <t>Cash in-flows:</t>
  </si>
  <si>
    <t>DOE Payments</t>
  </si>
  <si>
    <t>Federal Grants</t>
  </si>
  <si>
    <t>Total cash available</t>
  </si>
  <si>
    <t>Cash out-flows:</t>
  </si>
  <si>
    <t>Personnel</t>
  </si>
  <si>
    <t>Taxes and Benefits</t>
  </si>
  <si>
    <t>Total Compensation Expense</t>
  </si>
  <si>
    <t>Other Than Personnel Costs (OTPS) - Ongoing</t>
  </si>
  <si>
    <t>Consultants and other Professionals</t>
  </si>
  <si>
    <t>School operations and other materials</t>
  </si>
  <si>
    <t>Facility operations and maintenance</t>
  </si>
  <si>
    <t>Payment on existing accounts payable</t>
  </si>
  <si>
    <t xml:space="preserve">Total OTPS costs </t>
  </si>
  <si>
    <t>Total cash outflow</t>
  </si>
  <si>
    <t>Total unrestricted cash balance at the end of the month</t>
  </si>
  <si>
    <t>Days of cash on hand</t>
  </si>
  <si>
    <t xml:space="preserve">         1561 Construction in Progress</t>
  </si>
  <si>
    <t>-</t>
  </si>
  <si>
    <t>School Year 2020-2021 (Year 2)</t>
  </si>
  <si>
    <t>Actuals for period: 
7.1.19-6.30.20</t>
  </si>
  <si>
    <t xml:space="preserve">         5570 Other Employee Benefits</t>
  </si>
  <si>
    <t xml:space="preserve">Annual </t>
  </si>
  <si>
    <t>FY 2019-20 Actuals</t>
  </si>
  <si>
    <t>FY 2020-21</t>
  </si>
  <si>
    <t>Current Period</t>
  </si>
  <si>
    <t>Budget
July 1, 20-June 30, 21</t>
  </si>
  <si>
    <t xml:space="preserve">      3100 Retained Earnings</t>
  </si>
  <si>
    <t xml:space="preserve">      3150 Net Assets with Donor Restrictions</t>
  </si>
  <si>
    <t xml:space="preserve">      6612 COVID-19 Related Expenditures</t>
  </si>
  <si>
    <t>Tuition reimbursement</t>
  </si>
  <si>
    <t xml:space="preserve">            23600 Payable to DOE</t>
  </si>
  <si>
    <t xml:space="preserve">      4108 Cares Act.</t>
  </si>
  <si>
    <t>Notes about current period</t>
  </si>
  <si>
    <r>
      <t xml:space="preserve">Amounts As of 
June 30, 2020
</t>
    </r>
    <r>
      <rPr>
        <b/>
        <u/>
        <sz val="11"/>
        <rFont val="Arial Narrow"/>
        <family val="2"/>
      </rPr>
      <t>(Audited)</t>
    </r>
  </si>
  <si>
    <t>Upfront payment</t>
  </si>
  <si>
    <t>Salaries paid in July 2020 were accrued in FY 2019-20</t>
  </si>
  <si>
    <t>Salary paid in July 2020 was accrued in FY 2019-20</t>
  </si>
  <si>
    <t>New Revenue - wasn’t a part of the budget</t>
  </si>
  <si>
    <t>Upfront payments received for July - September are based on estimates</t>
  </si>
  <si>
    <t>Discussed in last meetings - Due to adding more access points. Also, about 90% of the CTS monhtly fee (about $3K) is reimbursed by E-rate. The budget was based on a net amount.
The gross cost for FY 2020-21 will be about $36K</t>
  </si>
  <si>
    <t xml:space="preserve">      6810 Technology Equipment &amp; Supplies</t>
  </si>
  <si>
    <t xml:space="preserve">         Staff development</t>
  </si>
  <si>
    <t xml:space="preserve">      Total 7310 Team Building &amp; Staff Appreciation</t>
  </si>
  <si>
    <t>Discussed at the last meeting
Lifelong learners ($7,675) and A Walker Group. LLC ($400), 
Mimi Owusu-Education Consultant ($258) and UChicago Impact LLC ($1,000)</t>
  </si>
  <si>
    <t xml:space="preserve">Due to purchasing of headphones covered by the Walton Family Foundation Grant </t>
  </si>
  <si>
    <t xml:space="preserve">         Undeposited Funds</t>
  </si>
  <si>
    <t>Actual IDEA funds for FY 2020-21 is $12,911</t>
  </si>
  <si>
    <t xml:space="preserve">Discussed in previous meeting - due to a quarterly overage invoice received from the summer. </t>
  </si>
  <si>
    <t>Discussed in previous meeting - Covid-19 related expenditures (new line item)
As per the management, $20,000 of spending related covid-19 was approved by the board.</t>
  </si>
  <si>
    <t>Discussed in previous meeting - Unexpected cost due to Covid-19 closure.
This was discussed at the last meeting. The projected cost for FY 2020-21 is about $5,900</t>
  </si>
  <si>
    <t xml:space="preserve">Approved allocation ($78,855), budget ($48,603) </t>
  </si>
  <si>
    <t xml:space="preserve">Approved allocation ($12,118), budget ($7,057) </t>
  </si>
  <si>
    <t>SchoolMint, Adobe, Bill.com, QB, Zoom and etc.</t>
  </si>
  <si>
    <t xml:space="preserve">Full payment made to BES ($8,000) and The Noble Story Group, LLC ($5,700 + 2,850) </t>
  </si>
  <si>
    <t>Daily Cash Expenditures</t>
  </si>
  <si>
    <t>YTD Cash Expenditures</t>
  </si>
  <si>
    <t>New Revenue</t>
  </si>
  <si>
    <t>Expected to go over the budget by $2,000</t>
  </si>
  <si>
    <t>Prepaid expenses include the following:  
July rent - $83,333
Legal Fee (retainer) - $1,182
Taxes receivable - $4,288
NYC Charter School Center - $695</t>
  </si>
  <si>
    <t>Care Act., Title IA, IIA and IVA grants receivable for FY 202-21. $42K received in June based on the FS25. Will be preparing the FS10F in the next few weeks.</t>
  </si>
  <si>
    <t>A schedule of AP aging is included.
Accrued Expenses include: 
Chameleon $500 (website maintenance)</t>
  </si>
  <si>
    <t>Summer pay accrual plus EE contributions to the retirement plan submitted in July 2021</t>
  </si>
  <si>
    <r>
      <t xml:space="preserve">Amounts As of 
June 30, 2021
</t>
    </r>
    <r>
      <rPr>
        <b/>
        <u/>
        <sz val="11"/>
        <rFont val="Arial Narrow"/>
        <family val="2"/>
      </rPr>
      <t>(Unaudited)</t>
    </r>
  </si>
  <si>
    <t>Actuals
July 1, 20-June 30, 21</t>
  </si>
  <si>
    <t>Due to an adjustment in salaries for Davis Amira</t>
  </si>
  <si>
    <t>Includes $6,750 payment to Public Good Talent. Have not received the invoice for the remaining 50%</t>
  </si>
  <si>
    <t>Discussed in previous meeting - due to fees charged by Donorbox - discussed in previous meetings</t>
  </si>
  <si>
    <t>Discussed in previous meeting - budget was based on actuals from FY 2019-20.
Major construction done by NSOS and new additions weren't considered. Discussed at the September meeting.</t>
  </si>
  <si>
    <t>Statement of Cash Flow Projection for period: 7/1/2021-9/30/21</t>
  </si>
  <si>
    <t>Total</t>
  </si>
  <si>
    <t>Billed based on actual time required for the ongoing work along with the audit prep and additional time spent managing the covid-19 related grants</t>
  </si>
  <si>
    <t>Due to Shanell Torres assuming new responsibilities effective June 2021.
Change of title from "Office Coordinator" to "Operating Manager"</t>
  </si>
  <si>
    <t>Includes fees for some additional cleaning required and a late fee</t>
  </si>
  <si>
    <t>% 
Achieved/Utilized
=100%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</si>
</sst>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#,##0\ _€"/>
    <numFmt numFmtId="171" formatCode="&quot;$&quot;* #,##0\ _€"/>
    <numFmt numFmtId="172" formatCode="#,##0;[Red]#,##0"/>
  </numFmts>
  <fonts count="6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22"/>
      <name val="Calibri"/>
      <family val="2"/>
      <scheme val="minor"/>
    </font>
    <font>
      <b/>
      <i/>
      <sz val="2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color rgb="FFFF000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color theme="3" tint="-0.249977111117893"/>
      <name val="Arial Narrow"/>
      <family val="2"/>
    </font>
    <font>
      <sz val="11"/>
      <color indexed="8"/>
      <name val="Arial Narrow"/>
      <family val="2"/>
    </font>
    <font>
      <b/>
      <sz val="13"/>
      <color theme="3" tint="-0.249977111117893"/>
      <name val="Arial Narrow"/>
      <family val="2"/>
    </font>
    <font>
      <b/>
      <sz val="12"/>
      <color theme="3" tint="-0.249977111117893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22"/>
      <color theme="3" tint="-0.249977111117893"/>
      <name val="Arial Narrow"/>
      <family val="2"/>
    </font>
    <font>
      <sz val="13"/>
      <color theme="3" tint="-0.249977111117893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name val="Calibri"/>
      <family val="2"/>
      <scheme val="minor"/>
    </font>
    <font>
      <b/>
      <sz val="16"/>
      <color theme="3" tint="-0.249977111117893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6"/>
      <color rgb="FF000000"/>
      <name val="Arial Narrow"/>
      <family val="2"/>
    </font>
    <font>
      <b/>
      <sz val="8"/>
      <color indexed="8"/>
      <name val="Arial"/>
      <family val="2"/>
    </font>
    <font>
      <b/>
      <u/>
      <sz val="11"/>
      <color indexed="8"/>
      <name val="Arial Narrow"/>
      <family val="2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Arial"/>
      <family val="2"/>
    </font>
    <font>
      <b/>
      <u/>
      <sz val="11"/>
      <name val="Arial Narrow"/>
      <family val="2"/>
    </font>
    <font>
      <sz val="8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9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Fill="1"/>
    <xf numFmtId="0" fontId="12" fillId="4" borderId="7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left"/>
    </xf>
    <xf numFmtId="43" fontId="9" fillId="3" borderId="15" xfId="1" applyFont="1" applyFill="1" applyBorder="1" applyAlignment="1">
      <alignment vertical="center"/>
    </xf>
    <xf numFmtId="167" fontId="9" fillId="3" borderId="15" xfId="1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horizontal="left"/>
    </xf>
    <xf numFmtId="0" fontId="13" fillId="0" borderId="5" xfId="0" applyFont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1" fillId="4" borderId="7" xfId="0" applyFont="1" applyFill="1" applyBorder="1"/>
    <xf numFmtId="0" fontId="12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indent="2"/>
    </xf>
    <xf numFmtId="0" fontId="9" fillId="3" borderId="15" xfId="0" applyFont="1" applyFill="1" applyBorder="1" applyAlignment="1">
      <alignment horizontal="left" vertical="center" indent="2"/>
    </xf>
    <xf numFmtId="0" fontId="11" fillId="4" borderId="0" xfId="0" applyFont="1" applyFill="1" applyBorder="1" applyAlignment="1"/>
    <xf numFmtId="166" fontId="10" fillId="4" borderId="9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/>
    </xf>
    <xf numFmtId="0" fontId="14" fillId="0" borderId="20" xfId="0" applyFont="1" applyBorder="1" applyAlignment="1">
      <alignment horizontal="left" wrapText="1"/>
    </xf>
    <xf numFmtId="43" fontId="0" fillId="0" borderId="0" xfId="0" applyNumberFormat="1"/>
    <xf numFmtId="0" fontId="0" fillId="0" borderId="0" xfId="0" applyAlignment="1">
      <alignment wrapText="1"/>
    </xf>
    <xf numFmtId="0" fontId="23" fillId="0" borderId="0" xfId="0" applyFont="1"/>
    <xf numFmtId="0" fontId="0" fillId="0" borderId="23" xfId="0" applyBorder="1"/>
    <xf numFmtId="0" fontId="23" fillId="0" borderId="24" xfId="0" applyFont="1" applyBorder="1"/>
    <xf numFmtId="0" fontId="24" fillId="0" borderId="23" xfId="0" applyFont="1" applyBorder="1" applyAlignment="1" applyProtection="1">
      <alignment vertical="center" wrapText="1"/>
      <protection locked="0"/>
    </xf>
    <xf numFmtId="41" fontId="24" fillId="9" borderId="28" xfId="0" applyNumberFormat="1" applyFont="1" applyFill="1" applyBorder="1" applyAlignment="1" applyProtection="1">
      <alignment horizontal="center" vertical="center" wrapText="1"/>
      <protection locked="0"/>
    </xf>
    <xf numFmtId="41" fontId="24" fillId="5" borderId="28" xfId="0" applyNumberFormat="1" applyFont="1" applyFill="1" applyBorder="1" applyAlignment="1" applyProtection="1">
      <alignment horizontal="center" vertical="center" wrapText="1"/>
      <protection locked="0"/>
    </xf>
    <xf numFmtId="41" fontId="24" fillId="2" borderId="28" xfId="0" applyNumberFormat="1" applyFont="1" applyFill="1" applyBorder="1" applyAlignment="1" applyProtection="1">
      <alignment horizontal="center" vertical="center" wrapText="1"/>
      <protection locked="0"/>
    </xf>
    <xf numFmtId="41" fontId="24" fillId="0" borderId="23" xfId="0" applyNumberFormat="1" applyFont="1" applyBorder="1" applyAlignment="1" applyProtection="1">
      <alignment horizontal="right" vertical="center" wrapText="1"/>
      <protection locked="0"/>
    </xf>
    <xf numFmtId="1" fontId="2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right" vertical="center" wrapText="1"/>
      <protection locked="0"/>
    </xf>
    <xf numFmtId="169" fontId="24" fillId="2" borderId="20" xfId="0" applyNumberFormat="1" applyFont="1" applyFill="1" applyBorder="1" applyAlignment="1" applyProtection="1">
      <alignment horizontal="center" vertical="center" wrapText="1"/>
      <protection locked="0"/>
    </xf>
    <xf numFmtId="9" fontId="24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20" xfId="0" applyFont="1" applyFill="1" applyBorder="1" applyAlignment="1" applyProtection="1">
      <alignment horizontal="center" vertical="center" wrapText="1"/>
      <protection locked="0"/>
    </xf>
    <xf numFmtId="9" fontId="24" fillId="2" borderId="20" xfId="0" applyNumberFormat="1" applyFont="1" applyFill="1" applyBorder="1" applyAlignment="1" applyProtection="1">
      <alignment horizontal="center" vertical="center" wrapText="1"/>
      <protection locked="0"/>
    </xf>
    <xf numFmtId="167" fontId="24" fillId="9" borderId="20" xfId="1" applyNumberFormat="1" applyFont="1" applyFill="1" applyBorder="1" applyAlignment="1" applyProtection="1">
      <alignment vertical="center" wrapText="1"/>
      <protection locked="0"/>
    </xf>
    <xf numFmtId="167" fontId="24" fillId="2" borderId="20" xfId="1" applyNumberFormat="1" applyFont="1" applyFill="1" applyBorder="1" applyAlignment="1" applyProtection="1">
      <alignment vertical="center" wrapText="1"/>
      <protection locked="0"/>
    </xf>
    <xf numFmtId="0" fontId="19" fillId="10" borderId="28" xfId="0" applyFont="1" applyFill="1" applyBorder="1" applyAlignment="1" applyProtection="1">
      <alignment horizontal="center" vertical="center" wrapText="1"/>
      <protection locked="0"/>
    </xf>
    <xf numFmtId="41" fontId="19" fillId="10" borderId="20" xfId="0" applyNumberFormat="1" applyFont="1" applyFill="1" applyBorder="1"/>
    <xf numFmtId="167" fontId="24" fillId="10" borderId="20" xfId="0" applyNumberFormat="1" applyFont="1" applyFill="1" applyBorder="1"/>
    <xf numFmtId="0" fontId="19" fillId="10" borderId="29" xfId="0" applyFont="1" applyFill="1" applyBorder="1" applyAlignment="1" applyProtection="1">
      <alignment horizontal="center" vertical="center" wrapText="1"/>
      <protection locked="0"/>
    </xf>
    <xf numFmtId="41" fontId="19" fillId="10" borderId="29" xfId="0" applyNumberFormat="1" applyFont="1" applyFill="1" applyBorder="1"/>
    <xf numFmtId="167" fontId="24" fillId="10" borderId="29" xfId="0" applyNumberFormat="1" applyFont="1" applyFill="1" applyBorder="1"/>
    <xf numFmtId="0" fontId="19" fillId="10" borderId="20" xfId="0" applyFont="1" applyFill="1" applyBorder="1" applyAlignment="1" applyProtection="1">
      <alignment horizontal="center" vertical="center" wrapText="1"/>
      <protection locked="0"/>
    </xf>
    <xf numFmtId="38" fontId="19" fillId="10" borderId="20" xfId="0" applyNumberFormat="1" applyFont="1" applyFill="1" applyBorder="1"/>
    <xf numFmtId="38" fontId="24" fillId="10" borderId="20" xfId="0" applyNumberFormat="1" applyFont="1" applyFill="1" applyBorder="1"/>
    <xf numFmtId="0" fontId="19" fillId="10" borderId="30" xfId="0" applyFont="1" applyFill="1" applyBorder="1" applyAlignment="1" applyProtection="1">
      <alignment horizontal="center" vertical="center" wrapText="1"/>
      <protection locked="0"/>
    </xf>
    <xf numFmtId="41" fontId="19" fillId="10" borderId="30" xfId="0" applyNumberFormat="1" applyFont="1" applyFill="1" applyBorder="1"/>
    <xf numFmtId="167" fontId="24" fillId="10" borderId="30" xfId="0" applyNumberFormat="1" applyFont="1" applyFill="1" applyBorder="1"/>
    <xf numFmtId="41" fontId="19" fillId="5" borderId="20" xfId="0" applyNumberFormat="1" applyFont="1" applyFill="1" applyBorder="1"/>
    <xf numFmtId="167" fontId="24" fillId="9" borderId="20" xfId="0" applyNumberFormat="1" applyFont="1" applyFill="1" applyBorder="1"/>
    <xf numFmtId="167" fontId="24" fillId="2" borderId="20" xfId="0" applyNumberFormat="1" applyFont="1" applyFill="1" applyBorder="1"/>
    <xf numFmtId="0" fontId="14" fillId="5" borderId="20" xfId="0" applyFont="1" applyFill="1" applyBorder="1" applyAlignment="1">
      <alignment horizontal="left" wrapText="1"/>
    </xf>
    <xf numFmtId="167" fontId="23" fillId="9" borderId="20" xfId="0" applyNumberFormat="1" applyFont="1" applyFill="1" applyBorder="1" applyAlignment="1">
      <alignment wrapText="1"/>
    </xf>
    <xf numFmtId="167" fontId="23" fillId="2" borderId="20" xfId="0" applyNumberFormat="1" applyFont="1" applyFill="1" applyBorder="1" applyAlignment="1">
      <alignment wrapText="1"/>
    </xf>
    <xf numFmtId="0" fontId="0" fillId="0" borderId="20" xfId="0" applyBorder="1"/>
    <xf numFmtId="170" fontId="23" fillId="9" borderId="20" xfId="0" applyNumberFormat="1" applyFont="1" applyFill="1" applyBorder="1" applyAlignment="1">
      <alignment wrapText="1"/>
    </xf>
    <xf numFmtId="167" fontId="0" fillId="5" borderId="20" xfId="1" applyNumberFormat="1" applyFont="1" applyFill="1" applyBorder="1" applyAlignment="1">
      <alignment horizontal="right" wrapText="1"/>
    </xf>
    <xf numFmtId="170" fontId="23" fillId="2" borderId="20" xfId="0" applyNumberFormat="1" applyFont="1" applyFill="1" applyBorder="1" applyAlignment="1">
      <alignment wrapText="1"/>
    </xf>
    <xf numFmtId="0" fontId="14" fillId="10" borderId="20" xfId="0" applyFont="1" applyFill="1" applyBorder="1" applyAlignment="1">
      <alignment horizontal="left" wrapText="1"/>
    </xf>
    <xf numFmtId="171" fontId="14" fillId="10" borderId="20" xfId="0" applyNumberFormat="1" applyFont="1" applyFill="1" applyBorder="1" applyAlignment="1">
      <alignment horizontal="right" wrapText="1"/>
    </xf>
    <xf numFmtId="171" fontId="24" fillId="10" borderId="20" xfId="0" applyNumberFormat="1" applyFont="1" applyFill="1" applyBorder="1" applyAlignment="1">
      <alignment horizontal="right" wrapText="1"/>
    </xf>
    <xf numFmtId="9" fontId="24" fillId="10" borderId="20" xfId="6" applyFont="1" applyFill="1" applyBorder="1" applyAlignment="1">
      <alignment horizontal="right" wrapText="1"/>
    </xf>
    <xf numFmtId="170" fontId="0" fillId="5" borderId="20" xfId="0" applyNumberFormat="1" applyFill="1" applyBorder="1" applyAlignment="1">
      <alignment wrapText="1"/>
    </xf>
    <xf numFmtId="167" fontId="0" fillId="5" borderId="20" xfId="1" applyNumberFormat="1" applyFont="1" applyFill="1" applyBorder="1" applyAlignment="1">
      <alignment wrapText="1"/>
    </xf>
    <xf numFmtId="170" fontId="23" fillId="9" borderId="20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left" wrapText="1"/>
    </xf>
    <xf numFmtId="43" fontId="0" fillId="5" borderId="20" xfId="1" applyFont="1" applyFill="1" applyBorder="1" applyAlignment="1">
      <alignment horizontal="right" wrapText="1"/>
    </xf>
    <xf numFmtId="170" fontId="23" fillId="2" borderId="20" xfId="0" applyNumberFormat="1" applyFont="1" applyFill="1" applyBorder="1" applyAlignment="1">
      <alignment horizontal="right" wrapText="1"/>
    </xf>
    <xf numFmtId="171" fontId="14" fillId="10" borderId="20" xfId="2" applyNumberFormat="1" applyFont="1" applyFill="1" applyBorder="1" applyAlignment="1">
      <alignment horizontal="right" wrapText="1"/>
    </xf>
    <xf numFmtId="171" fontId="14" fillId="5" borderId="20" xfId="0" applyNumberFormat="1" applyFont="1" applyFill="1" applyBorder="1" applyAlignment="1">
      <alignment horizontal="right" wrapText="1"/>
    </xf>
    <xf numFmtId="171" fontId="24" fillId="9" borderId="20" xfId="0" applyNumberFormat="1" applyFont="1" applyFill="1" applyBorder="1" applyAlignment="1">
      <alignment horizontal="right" wrapText="1"/>
    </xf>
    <xf numFmtId="171" fontId="24" fillId="2" borderId="20" xfId="0" applyNumberFormat="1" applyFont="1" applyFill="1" applyBorder="1" applyAlignment="1">
      <alignment horizontal="right" wrapText="1"/>
    </xf>
    <xf numFmtId="167" fontId="23" fillId="9" borderId="20" xfId="1" applyNumberFormat="1" applyFont="1" applyFill="1" applyBorder="1" applyAlignment="1">
      <alignment wrapText="1"/>
    </xf>
    <xf numFmtId="167" fontId="23" fillId="2" borderId="20" xfId="1" applyNumberFormat="1" applyFont="1" applyFill="1" applyBorder="1" applyAlignment="1">
      <alignment wrapText="1"/>
    </xf>
    <xf numFmtId="0" fontId="14" fillId="0" borderId="20" xfId="0" applyFont="1" applyBorder="1" applyAlignment="1">
      <alignment horizontal="left"/>
    </xf>
    <xf numFmtId="167" fontId="23" fillId="9" borderId="20" xfId="1" applyNumberFormat="1" applyFont="1" applyFill="1" applyBorder="1" applyAlignment="1">
      <alignment horizontal="right" wrapText="1"/>
    </xf>
    <xf numFmtId="167" fontId="23" fillId="2" borderId="20" xfId="1" applyNumberFormat="1" applyFont="1" applyFill="1" applyBorder="1" applyAlignment="1">
      <alignment horizontal="right" wrapText="1"/>
    </xf>
    <xf numFmtId="0" fontId="14" fillId="10" borderId="20" xfId="0" applyFont="1" applyFill="1" applyBorder="1" applyAlignment="1">
      <alignment horizontal="left"/>
    </xf>
    <xf numFmtId="0" fontId="24" fillId="0" borderId="20" xfId="0" applyFont="1" applyBorder="1" applyAlignment="1">
      <alignment horizontal="left"/>
    </xf>
    <xf numFmtId="167" fontId="23" fillId="5" borderId="20" xfId="1" applyNumberFormat="1" applyFont="1" applyFill="1" applyBorder="1" applyAlignment="1">
      <alignment horizontal="right" wrapText="1"/>
    </xf>
    <xf numFmtId="0" fontId="14" fillId="4" borderId="20" xfId="0" applyFont="1" applyFill="1" applyBorder="1" applyAlignment="1">
      <alignment horizontal="left" wrapText="1"/>
    </xf>
    <xf numFmtId="167" fontId="0" fillId="0" borderId="0" xfId="0" applyNumberFormat="1"/>
    <xf numFmtId="167" fontId="27" fillId="9" borderId="20" xfId="1" applyNumberFormat="1" applyFont="1" applyFill="1" applyBorder="1" applyAlignment="1">
      <alignment wrapText="1"/>
    </xf>
    <xf numFmtId="167" fontId="23" fillId="9" borderId="20" xfId="1" applyNumberFormat="1" applyFont="1" applyFill="1" applyBorder="1" applyAlignment="1">
      <alignment vertical="center" wrapText="1"/>
    </xf>
    <xf numFmtId="44" fontId="14" fillId="0" borderId="20" xfId="0" applyNumberFormat="1" applyFont="1" applyBorder="1" applyAlignment="1">
      <alignment horizontal="left" wrapText="1"/>
    </xf>
    <xf numFmtId="0" fontId="28" fillId="8" borderId="20" xfId="0" applyFont="1" applyFill="1" applyBorder="1" applyAlignment="1">
      <alignment horizontal="left" wrapText="1"/>
    </xf>
    <xf numFmtId="6" fontId="19" fillId="8" borderId="20" xfId="0" applyNumberFormat="1" applyFont="1" applyFill="1" applyBorder="1" applyAlignment="1">
      <alignment horizontal="right" wrapText="1"/>
    </xf>
    <xf numFmtId="6" fontId="24" fillId="8" borderId="20" xfId="0" applyNumberFormat="1" applyFont="1" applyFill="1" applyBorder="1" applyAlignment="1">
      <alignment horizontal="right" wrapText="1"/>
    </xf>
    <xf numFmtId="0" fontId="24" fillId="6" borderId="20" xfId="0" applyFont="1" applyFill="1" applyBorder="1" applyAlignment="1">
      <alignment horizontal="right" wrapText="1"/>
    </xf>
    <xf numFmtId="0" fontId="24" fillId="8" borderId="20" xfId="0" applyFont="1" applyFill="1" applyBorder="1" applyAlignment="1">
      <alignment horizontal="right" wrapText="1"/>
    </xf>
    <xf numFmtId="6" fontId="24" fillId="8" borderId="20" xfId="2" applyNumberFormat="1" applyFont="1" applyFill="1" applyBorder="1" applyAlignment="1">
      <alignment horizontal="right" wrapText="1"/>
    </xf>
    <xf numFmtId="171" fontId="0" fillId="0" borderId="0" xfId="0" applyNumberFormat="1"/>
    <xf numFmtId="171" fontId="23" fillId="0" borderId="0" xfId="0" applyNumberFormat="1" applyFont="1"/>
    <xf numFmtId="0" fontId="23" fillId="0" borderId="0" xfId="0" applyFont="1" applyFill="1"/>
    <xf numFmtId="0" fontId="29" fillId="0" borderId="0" xfId="8" applyFont="1" applyFill="1" applyBorder="1" applyAlignment="1"/>
    <xf numFmtId="0" fontId="20" fillId="0" borderId="0" xfId="8" applyFont="1" applyBorder="1" applyAlignment="1">
      <alignment horizontal="center" wrapText="1"/>
    </xf>
    <xf numFmtId="0" fontId="21" fillId="0" borderId="0" xfId="8" applyFont="1" applyBorder="1" applyAlignment="1">
      <alignment horizontal="right"/>
    </xf>
    <xf numFmtId="41" fontId="21" fillId="0" borderId="0" xfId="8" applyNumberFormat="1" applyFont="1" applyBorder="1" applyAlignment="1">
      <alignment horizontal="right"/>
    </xf>
    <xf numFmtId="168" fontId="21" fillId="0" borderId="0" xfId="2" applyNumberFormat="1" applyFont="1" applyBorder="1" applyAlignment="1">
      <alignment horizontal="right"/>
    </xf>
    <xf numFmtId="41" fontId="20" fillId="0" borderId="0" xfId="8" applyNumberFormat="1" applyFont="1" applyBorder="1" applyAlignment="1">
      <alignment horizontal="center"/>
    </xf>
    <xf numFmtId="41" fontId="21" fillId="0" borderId="0" xfId="8" applyNumberFormat="1" applyFont="1" applyBorder="1"/>
    <xf numFmtId="41" fontId="20" fillId="0" borderId="0" xfId="8" applyNumberFormat="1" applyFont="1" applyBorder="1" applyAlignment="1">
      <alignment horizontal="right"/>
    </xf>
    <xf numFmtId="0" fontId="31" fillId="0" borderId="0" xfId="0" applyFont="1" applyFill="1" applyBorder="1"/>
    <xf numFmtId="0" fontId="31" fillId="0" borderId="0" xfId="0" applyFont="1"/>
    <xf numFmtId="43" fontId="32" fillId="0" borderId="0" xfId="1" applyFont="1" applyFill="1" applyBorder="1" applyAlignment="1" applyProtection="1">
      <alignment horizontal="centerContinuous" vertical="top"/>
    </xf>
    <xf numFmtId="0" fontId="34" fillId="0" borderId="0" xfId="3" applyFont="1" applyBorder="1" applyAlignment="1" applyProtection="1">
      <alignment vertical="top"/>
    </xf>
    <xf numFmtId="167" fontId="34" fillId="0" borderId="0" xfId="1" applyNumberFormat="1" applyFont="1" applyBorder="1" applyAlignment="1" applyProtection="1">
      <alignment vertical="top"/>
    </xf>
    <xf numFmtId="167" fontId="34" fillId="0" borderId="0" xfId="1" applyNumberFormat="1" applyFont="1" applyFill="1" applyBorder="1" applyAlignment="1" applyProtection="1">
      <alignment vertical="top"/>
    </xf>
    <xf numFmtId="0" fontId="31" fillId="0" borderId="0" xfId="0" applyFont="1" applyBorder="1"/>
    <xf numFmtId="167" fontId="37" fillId="0" borderId="0" xfId="1" applyNumberFormat="1" applyFont="1" applyFill="1" applyBorder="1" applyAlignment="1" applyProtection="1">
      <alignment vertical="top" wrapText="1"/>
    </xf>
    <xf numFmtId="0" fontId="38" fillId="0" borderId="0" xfId="0" applyFont="1" applyBorder="1" applyAlignment="1">
      <alignment horizontal="left"/>
    </xf>
    <xf numFmtId="164" fontId="39" fillId="0" borderId="0" xfId="0" applyNumberFormat="1" applyFont="1" applyBorder="1" applyAlignment="1"/>
    <xf numFmtId="164" fontId="39" fillId="0" borderId="0" xfId="0" applyNumberFormat="1" applyFont="1" applyBorder="1" applyAlignment="1">
      <alignment horizontal="right"/>
    </xf>
    <xf numFmtId="165" fontId="38" fillId="0" borderId="0" xfId="0" applyNumberFormat="1" applyFont="1" applyBorder="1" applyAlignment="1">
      <alignment horizontal="right"/>
    </xf>
    <xf numFmtId="0" fontId="34" fillId="0" borderId="0" xfId="3" applyFont="1" applyAlignment="1" applyProtection="1">
      <alignment vertical="top"/>
    </xf>
    <xf numFmtId="167" fontId="34" fillId="0" borderId="0" xfId="1" applyNumberFormat="1" applyFont="1" applyAlignment="1" applyProtection="1">
      <alignment vertical="top"/>
    </xf>
    <xf numFmtId="167" fontId="21" fillId="0" borderId="0" xfId="1" applyNumberFormat="1" applyFont="1" applyFill="1" applyBorder="1" applyAlignment="1" applyProtection="1">
      <alignment vertical="top" wrapText="1"/>
    </xf>
    <xf numFmtId="4" fontId="21" fillId="0" borderId="0" xfId="5" applyNumberFormat="1" applyFont="1" applyFill="1" applyBorder="1" applyAlignment="1" applyProtection="1">
      <alignment horizontal="right" vertical="top" wrapText="1"/>
    </xf>
    <xf numFmtId="43" fontId="21" fillId="0" borderId="0" xfId="5" applyNumberFormat="1" applyFont="1" applyFill="1" applyBorder="1" applyAlignment="1" applyProtection="1">
      <alignment horizontal="right" vertical="top" wrapText="1"/>
    </xf>
    <xf numFmtId="44" fontId="20" fillId="0" borderId="0" xfId="5" applyNumberFormat="1" applyFont="1" applyFill="1" applyBorder="1" applyAlignment="1" applyProtection="1">
      <alignment horizontal="right" vertical="top" wrapText="1"/>
    </xf>
    <xf numFmtId="43" fontId="21" fillId="0" borderId="0" xfId="5" applyNumberFormat="1" applyFont="1" applyFill="1" applyBorder="1" applyAlignment="1" applyProtection="1">
      <alignment vertical="top" wrapText="1"/>
    </xf>
    <xf numFmtId="43" fontId="32" fillId="0" borderId="0" xfId="1" applyFont="1" applyFill="1" applyBorder="1" applyAlignment="1" applyProtection="1">
      <alignment vertical="top"/>
    </xf>
    <xf numFmtId="43" fontId="32" fillId="6" borderId="4" xfId="1" applyFont="1" applyFill="1" applyBorder="1" applyAlignment="1" applyProtection="1">
      <alignment vertical="top"/>
    </xf>
    <xf numFmtId="0" fontId="41" fillId="0" borderId="0" xfId="0" applyFont="1" applyFill="1" applyBorder="1" applyAlignment="1">
      <alignment horizontal="centerContinuous"/>
    </xf>
    <xf numFmtId="43" fontId="32" fillId="6" borderId="5" xfId="1" applyFont="1" applyFill="1" applyBorder="1" applyAlignment="1">
      <alignment horizontal="centerContinuous"/>
    </xf>
    <xf numFmtId="43" fontId="32" fillId="0" borderId="0" xfId="1" applyFont="1" applyFill="1" applyBorder="1" applyAlignment="1"/>
    <xf numFmtId="43" fontId="32" fillId="6" borderId="14" xfId="1" applyFont="1" applyFill="1" applyBorder="1" applyAlignment="1"/>
    <xf numFmtId="0" fontId="42" fillId="0" borderId="0" xfId="0" applyNumberFormat="1" applyFont="1"/>
    <xf numFmtId="0" fontId="34" fillId="0" borderId="0" xfId="0" applyFont="1"/>
    <xf numFmtId="38" fontId="34" fillId="0" borderId="0" xfId="1" applyNumberFormat="1" applyFont="1"/>
    <xf numFmtId="0" fontId="34" fillId="0" borderId="0" xfId="0" applyFont="1" applyFill="1"/>
    <xf numFmtId="0" fontId="34" fillId="0" borderId="0" xfId="0" applyFont="1" applyFill="1" applyBorder="1"/>
    <xf numFmtId="0" fontId="34" fillId="0" borderId="0" xfId="0" applyFont="1" applyBorder="1" applyAlignment="1">
      <alignment wrapText="1"/>
    </xf>
    <xf numFmtId="166" fontId="35" fillId="0" borderId="0" xfId="1" applyNumberFormat="1" applyFont="1" applyFill="1" applyBorder="1" applyAlignment="1" applyProtection="1"/>
    <xf numFmtId="166" fontId="35" fillId="0" borderId="0" xfId="1" applyNumberFormat="1" applyFont="1" applyAlignment="1" applyProtection="1"/>
    <xf numFmtId="0" fontId="43" fillId="0" borderId="0" xfId="0" applyFont="1"/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6" borderId="16" xfId="0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38" fontId="37" fillId="0" borderId="0" xfId="3" applyNumberFormat="1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left" wrapText="1"/>
    </xf>
    <xf numFmtId="41" fontId="37" fillId="0" borderId="18" xfId="5" applyNumberFormat="1" applyFont="1" applyFill="1" applyBorder="1" applyAlignment="1" applyProtection="1">
      <alignment horizontal="left" wrapText="1"/>
      <protection locked="0"/>
    </xf>
    <xf numFmtId="167" fontId="43" fillId="0" borderId="0" xfId="1" applyNumberFormat="1" applyFont="1" applyBorder="1" applyAlignment="1">
      <alignment horizontal="right" wrapText="1"/>
    </xf>
    <xf numFmtId="49" fontId="37" fillId="0" borderId="17" xfId="5" applyNumberFormat="1" applyFont="1" applyFill="1" applyBorder="1" applyAlignment="1" applyProtection="1">
      <alignment horizontal="left" wrapText="1"/>
      <protection locked="0"/>
    </xf>
    <xf numFmtId="0" fontId="35" fillId="0" borderId="0" xfId="0" applyNumberFormat="1" applyFont="1"/>
    <xf numFmtId="0" fontId="37" fillId="0" borderId="0" xfId="0" applyFont="1"/>
    <xf numFmtId="38" fontId="37" fillId="0" borderId="0" xfId="1" applyNumberFormat="1" applyFont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Border="1" applyAlignment="1">
      <alignment wrapText="1"/>
    </xf>
    <xf numFmtId="49" fontId="35" fillId="0" borderId="23" xfId="0" applyNumberFormat="1" applyFont="1" applyBorder="1" applyAlignment="1">
      <alignment horizontal="center"/>
    </xf>
    <xf numFmtId="0" fontId="36" fillId="0" borderId="23" xfId="0" applyFont="1" applyBorder="1" applyAlignment="1">
      <alignment horizontal="left" wrapText="1"/>
    </xf>
    <xf numFmtId="38" fontId="37" fillId="0" borderId="24" xfId="3" applyNumberFormat="1" applyFont="1" applyFill="1" applyBorder="1" applyAlignment="1">
      <alignment horizontal="center" vertical="top" wrapText="1"/>
    </xf>
    <xf numFmtId="167" fontId="43" fillId="0" borderId="24" xfId="1" applyNumberFormat="1" applyFont="1" applyBorder="1" applyAlignment="1">
      <alignment horizontal="right" wrapText="1"/>
    </xf>
    <xf numFmtId="0" fontId="36" fillId="0" borderId="23" xfId="0" applyFont="1" applyFill="1" applyBorder="1" applyAlignment="1">
      <alignment horizontal="left" wrapText="1"/>
    </xf>
    <xf numFmtId="0" fontId="36" fillId="0" borderId="31" xfId="0" applyFont="1" applyBorder="1" applyAlignment="1">
      <alignment horizontal="left" wrapText="1"/>
    </xf>
    <xf numFmtId="0" fontId="35" fillId="0" borderId="12" xfId="0" applyFont="1" applyBorder="1" applyAlignment="1">
      <alignment horizontal="left" wrapText="1"/>
    </xf>
    <xf numFmtId="167" fontId="43" fillId="0" borderId="12" xfId="1" applyNumberFormat="1" applyFont="1" applyBorder="1" applyAlignment="1">
      <alignment horizontal="right" wrapText="1"/>
    </xf>
    <xf numFmtId="167" fontId="43" fillId="0" borderId="27" xfId="1" applyNumberFormat="1" applyFont="1" applyBorder="1" applyAlignment="1">
      <alignment horizontal="right" wrapText="1"/>
    </xf>
    <xf numFmtId="0" fontId="34" fillId="0" borderId="23" xfId="3" applyFont="1" applyBorder="1" applyAlignment="1" applyProtection="1">
      <alignment vertical="top"/>
    </xf>
    <xf numFmtId="0" fontId="34" fillId="0" borderId="24" xfId="3" applyFont="1" applyBorder="1" applyAlignment="1" applyProtection="1">
      <alignment vertical="top"/>
    </xf>
    <xf numFmtId="0" fontId="20" fillId="0" borderId="23" xfId="8" applyFont="1" applyBorder="1" applyAlignment="1">
      <alignment horizontal="center"/>
    </xf>
    <xf numFmtId="0" fontId="21" fillId="0" borderId="23" xfId="8" applyFont="1" applyBorder="1"/>
    <xf numFmtId="0" fontId="37" fillId="0" borderId="24" xfId="3" applyFont="1" applyFill="1" applyBorder="1" applyAlignment="1" applyProtection="1">
      <alignment vertical="top"/>
      <protection locked="0"/>
    </xf>
    <xf numFmtId="0" fontId="21" fillId="0" borderId="24" xfId="3" applyFont="1" applyFill="1" applyBorder="1" applyAlignment="1" applyProtection="1">
      <alignment vertical="top"/>
      <protection locked="0"/>
    </xf>
    <xf numFmtId="0" fontId="21" fillId="0" borderId="23" xfId="8" applyFont="1" applyBorder="1" applyAlignment="1">
      <alignment horizontal="left" wrapText="1" indent="2"/>
    </xf>
    <xf numFmtId="0" fontId="21" fillId="0" borderId="23" xfId="8" applyFont="1" applyBorder="1" applyAlignment="1">
      <alignment horizontal="left" indent="2"/>
    </xf>
    <xf numFmtId="0" fontId="21" fillId="0" borderId="24" xfId="3" applyFont="1" applyFill="1" applyBorder="1" applyAlignment="1" applyProtection="1">
      <alignment vertical="top" wrapText="1"/>
      <protection locked="0"/>
    </xf>
    <xf numFmtId="0" fontId="21" fillId="0" borderId="23" xfId="8" applyFont="1" applyBorder="1" applyAlignment="1">
      <alignment horizontal="left" indent="1"/>
    </xf>
    <xf numFmtId="0" fontId="20" fillId="0" borderId="23" xfId="8" applyFont="1" applyBorder="1" applyAlignment="1">
      <alignment horizontal="left" indent="5"/>
    </xf>
    <xf numFmtId="44" fontId="21" fillId="0" borderId="24" xfId="3" applyNumberFormat="1" applyFont="1" applyFill="1" applyBorder="1" applyAlignment="1" applyProtection="1">
      <alignment vertical="top"/>
      <protection locked="0"/>
    </xf>
    <xf numFmtId="0" fontId="34" fillId="0" borderId="31" xfId="3" applyFont="1" applyBorder="1" applyAlignment="1" applyProtection="1">
      <alignment vertical="top"/>
    </xf>
    <xf numFmtId="167" fontId="34" fillId="0" borderId="12" xfId="1" applyNumberFormat="1" applyFont="1" applyBorder="1" applyAlignment="1" applyProtection="1">
      <alignment vertical="top"/>
    </xf>
    <xf numFmtId="167" fontId="34" fillId="0" borderId="12" xfId="1" applyNumberFormat="1" applyFont="1" applyFill="1" applyBorder="1" applyAlignment="1" applyProtection="1">
      <alignment vertical="top"/>
    </xf>
    <xf numFmtId="0" fontId="34" fillId="0" borderId="27" xfId="3" applyFont="1" applyBorder="1" applyAlignment="1" applyProtection="1">
      <alignment vertical="top"/>
    </xf>
    <xf numFmtId="168" fontId="21" fillId="0" borderId="24" xfId="3" applyNumberFormat="1" applyFont="1" applyFill="1" applyBorder="1" applyAlignment="1" applyProtection="1">
      <alignment vertical="top"/>
      <protection locked="0"/>
    </xf>
    <xf numFmtId="172" fontId="0" fillId="5" borderId="20" xfId="1" applyNumberFormat="1" applyFont="1" applyFill="1" applyBorder="1"/>
    <xf numFmtId="172" fontId="23" fillId="9" borderId="20" xfId="1" applyNumberFormat="1" applyFont="1" applyFill="1" applyBorder="1"/>
    <xf numFmtId="6" fontId="24" fillId="10" borderId="20" xfId="0" applyNumberFormat="1" applyFont="1" applyFill="1" applyBorder="1" applyAlignment="1">
      <alignment horizontal="right" wrapText="1"/>
    </xf>
    <xf numFmtId="6" fontId="14" fillId="5" borderId="20" xfId="0" applyNumberFormat="1" applyFont="1" applyFill="1" applyBorder="1" applyAlignment="1">
      <alignment horizontal="right" wrapText="1"/>
    </xf>
    <xf numFmtId="6" fontId="23" fillId="9" borderId="20" xfId="0" applyNumberFormat="1" applyFont="1" applyFill="1" applyBorder="1"/>
    <xf numFmtId="6" fontId="24" fillId="5" borderId="20" xfId="0" applyNumberFormat="1" applyFont="1" applyFill="1" applyBorder="1" applyAlignment="1">
      <alignment horizontal="right" wrapText="1"/>
    </xf>
    <xf numFmtId="6" fontId="24" fillId="9" borderId="20" xfId="0" applyNumberFormat="1" applyFont="1" applyFill="1" applyBorder="1" applyAlignment="1">
      <alignment horizontal="right" wrapText="1"/>
    </xf>
    <xf numFmtId="6" fontId="24" fillId="8" borderId="20" xfId="6" applyNumberFormat="1" applyFont="1" applyFill="1" applyBorder="1" applyAlignment="1">
      <alignment horizontal="right" wrapText="1"/>
    </xf>
    <xf numFmtId="41" fontId="21" fillId="0" borderId="12" xfId="8" applyNumberFormat="1" applyFont="1" applyBorder="1" applyAlignment="1">
      <alignment horizontal="right"/>
    </xf>
    <xf numFmtId="0" fontId="20" fillId="0" borderId="23" xfId="8" applyFont="1" applyBorder="1"/>
    <xf numFmtId="43" fontId="20" fillId="0" borderId="0" xfId="5" applyNumberFormat="1" applyFont="1" applyFill="1" applyBorder="1" applyAlignment="1" applyProtection="1">
      <alignment horizontal="right" vertical="top" wrapText="1"/>
    </xf>
    <xf numFmtId="0" fontId="20" fillId="0" borderId="24" xfId="3" applyFont="1" applyFill="1" applyBorder="1" applyAlignment="1" applyProtection="1">
      <alignment vertical="top"/>
      <protection locked="0"/>
    </xf>
    <xf numFmtId="164" fontId="38" fillId="0" borderId="0" xfId="0" applyNumberFormat="1" applyFont="1" applyBorder="1" applyAlignment="1">
      <alignment horizontal="right"/>
    </xf>
    <xf numFmtId="0" fontId="44" fillId="0" borderId="0" xfId="0" applyFont="1"/>
    <xf numFmtId="168" fontId="20" fillId="0" borderId="19" xfId="2" applyNumberFormat="1" applyFont="1" applyBorder="1" applyAlignment="1">
      <alignment horizontal="right"/>
    </xf>
    <xf numFmtId="0" fontId="20" fillId="0" borderId="24" xfId="3" applyFont="1" applyFill="1" applyBorder="1" applyAlignment="1" applyProtection="1">
      <alignment vertical="top" wrapText="1"/>
      <protection locked="0"/>
    </xf>
    <xf numFmtId="41" fontId="20" fillId="0" borderId="12" xfId="8" applyNumberFormat="1" applyFont="1" applyBorder="1" applyAlignment="1">
      <alignment horizontal="right"/>
    </xf>
    <xf numFmtId="41" fontId="21" fillId="0" borderId="12" xfId="8" applyNumberFormat="1" applyFont="1" applyBorder="1"/>
    <xf numFmtId="41" fontId="20" fillId="0" borderId="15" xfId="8" applyNumberFormat="1" applyFont="1" applyBorder="1" applyAlignment="1">
      <alignment horizontal="right"/>
    </xf>
    <xf numFmtId="5" fontId="11" fillId="4" borderId="0" xfId="2" applyNumberFormat="1" applyFont="1" applyFill="1" applyBorder="1" applyAlignment="1"/>
    <xf numFmtId="6" fontId="11" fillId="4" borderId="0" xfId="2" applyNumberFormat="1" applyFont="1" applyFill="1" applyBorder="1" applyAlignment="1"/>
    <xf numFmtId="40" fontId="9" fillId="3" borderId="13" xfId="1" applyNumberFormat="1" applyFont="1" applyFill="1" applyBorder="1" applyAlignment="1">
      <alignment vertical="center"/>
    </xf>
    <xf numFmtId="9" fontId="43" fillId="0" borderId="0" xfId="6" applyFont="1"/>
    <xf numFmtId="167" fontId="24" fillId="5" borderId="20" xfId="0" applyNumberFormat="1" applyFont="1" applyFill="1" applyBorder="1" applyAlignment="1">
      <alignment horizontal="right" wrapText="1"/>
    </xf>
    <xf numFmtId="167" fontId="24" fillId="5" borderId="20" xfId="1" applyNumberFormat="1" applyFont="1" applyFill="1" applyBorder="1" applyAlignment="1" applyProtection="1">
      <alignment horizontal="center" vertical="center" wrapText="1"/>
      <protection locked="0"/>
    </xf>
    <xf numFmtId="167" fontId="43" fillId="0" borderId="0" xfId="1" applyNumberFormat="1" applyFont="1" applyFill="1" applyBorder="1" applyAlignment="1">
      <alignment horizontal="right" wrapText="1"/>
    </xf>
    <xf numFmtId="0" fontId="47" fillId="0" borderId="0" xfId="0" applyFont="1" applyAlignment="1">
      <alignment horizontal="left" wrapText="1"/>
    </xf>
    <xf numFmtId="164" fontId="48" fillId="0" borderId="0" xfId="0" applyNumberFormat="1" applyFont="1" applyAlignment="1">
      <alignment wrapText="1"/>
    </xf>
    <xf numFmtId="0" fontId="0" fillId="0" borderId="0" xfId="0"/>
    <xf numFmtId="0" fontId="51" fillId="0" borderId="0" xfId="0" applyFont="1"/>
    <xf numFmtId="0" fontId="52" fillId="0" borderId="0" xfId="0" applyFont="1"/>
    <xf numFmtId="17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right"/>
    </xf>
    <xf numFmtId="168" fontId="54" fillId="0" borderId="0" xfId="2" applyNumberFormat="1" applyFont="1"/>
    <xf numFmtId="0" fontId="54" fillId="0" borderId="0" xfId="0" applyFont="1"/>
    <xf numFmtId="167" fontId="51" fillId="0" borderId="0" xfId="1" applyNumberFormat="1" applyFont="1"/>
    <xf numFmtId="167" fontId="51" fillId="0" borderId="12" xfId="1" applyNumberFormat="1" applyFont="1" applyBorder="1"/>
    <xf numFmtId="167" fontId="54" fillId="0" borderId="0" xfId="1" applyNumberFormat="1" applyFont="1"/>
    <xf numFmtId="0" fontId="51" fillId="0" borderId="0" xfId="0" applyFont="1" applyAlignment="1">
      <alignment horizontal="right"/>
    </xf>
    <xf numFmtId="168" fontId="54" fillId="0" borderId="0" xfId="0" applyNumberFormat="1" applyFont="1"/>
    <xf numFmtId="0" fontId="55" fillId="0" borderId="0" xfId="0" applyFont="1"/>
    <xf numFmtId="0" fontId="0" fillId="0" borderId="0" xfId="0"/>
    <xf numFmtId="0" fontId="14" fillId="9" borderId="15" xfId="0" applyFont="1" applyFill="1" applyBorder="1" applyAlignment="1">
      <alignment horizontal="center"/>
    </xf>
    <xf numFmtId="167" fontId="24" fillId="10" borderId="20" xfId="0" applyNumberFormat="1" applyFont="1" applyFill="1" applyBorder="1" applyAlignment="1">
      <alignment horizontal="right" wrapText="1"/>
    </xf>
    <xf numFmtId="0" fontId="14" fillId="5" borderId="25" xfId="0" applyFont="1" applyFill="1" applyBorder="1" applyAlignment="1">
      <alignment horizontal="center" wrapText="1"/>
    </xf>
    <xf numFmtId="168" fontId="36" fillId="0" borderId="0" xfId="2" applyNumberFormat="1" applyFont="1" applyBorder="1" applyAlignment="1">
      <alignment horizontal="right" wrapText="1"/>
    </xf>
    <xf numFmtId="166" fontId="35" fillId="0" borderId="21" xfId="1" applyNumberFormat="1" applyFont="1" applyBorder="1" applyAlignment="1" applyProtection="1">
      <alignment horizontal="centerContinuous"/>
    </xf>
    <xf numFmtId="0" fontId="37" fillId="0" borderId="1" xfId="0" applyFont="1" applyBorder="1" applyAlignment="1">
      <alignment horizontal="centerContinuous"/>
    </xf>
    <xf numFmtId="167" fontId="37" fillId="0" borderId="24" xfId="1" applyNumberFormat="1" applyFont="1" applyFill="1" applyBorder="1" applyAlignment="1">
      <alignment horizontal="right" vertical="top" wrapText="1"/>
    </xf>
    <xf numFmtId="167" fontId="36" fillId="0" borderId="24" xfId="1" applyNumberFormat="1" applyFont="1" applyBorder="1" applyAlignment="1">
      <alignment horizontal="right" wrapText="1"/>
    </xf>
    <xf numFmtId="167" fontId="43" fillId="0" borderId="24" xfId="1" applyNumberFormat="1" applyFont="1" applyFill="1" applyBorder="1" applyAlignment="1">
      <alignment horizontal="right" wrapText="1"/>
    </xf>
    <xf numFmtId="167" fontId="36" fillId="14" borderId="24" xfId="1" applyNumberFormat="1" applyFont="1" applyFill="1" applyBorder="1" applyAlignment="1">
      <alignment horizontal="right" wrapText="1"/>
    </xf>
    <xf numFmtId="38" fontId="35" fillId="13" borderId="1" xfId="0" applyNumberFormat="1" applyFont="1" applyFill="1" applyBorder="1" applyAlignment="1" applyProtection="1">
      <alignment horizontal="center" wrapText="1"/>
    </xf>
    <xf numFmtId="38" fontId="35" fillId="13" borderId="0" xfId="0" applyNumberFormat="1" applyFont="1" applyFill="1" applyBorder="1" applyAlignment="1" applyProtection="1">
      <alignment horizontal="center" wrapText="1"/>
    </xf>
    <xf numFmtId="38" fontId="37" fillId="13" borderId="0" xfId="3" applyNumberFormat="1" applyFont="1" applyFill="1" applyBorder="1" applyAlignment="1">
      <alignment horizontal="center" vertical="top" wrapText="1"/>
    </xf>
    <xf numFmtId="9" fontId="37" fillId="13" borderId="0" xfId="6" applyFont="1" applyFill="1" applyBorder="1" applyAlignment="1">
      <alignment horizontal="center" vertical="top" wrapText="1"/>
    </xf>
    <xf numFmtId="9" fontId="36" fillId="13" borderId="0" xfId="6" applyFont="1" applyFill="1" applyBorder="1" applyAlignment="1">
      <alignment horizontal="center" wrapText="1"/>
    </xf>
    <xf numFmtId="167" fontId="43" fillId="13" borderId="0" xfId="1" applyNumberFormat="1" applyFont="1" applyFill="1" applyBorder="1" applyAlignment="1">
      <alignment horizontal="right" wrapText="1"/>
    </xf>
    <xf numFmtId="168" fontId="36" fillId="13" borderId="0" xfId="2" applyNumberFormat="1" applyFont="1" applyFill="1" applyBorder="1" applyAlignment="1">
      <alignment horizontal="right" wrapText="1"/>
    </xf>
    <xf numFmtId="9" fontId="43" fillId="13" borderId="0" xfId="6" applyFont="1" applyFill="1" applyBorder="1" applyAlignment="1">
      <alignment horizontal="center" wrapText="1"/>
    </xf>
    <xf numFmtId="167" fontId="43" fillId="13" borderId="12" xfId="1" applyNumberFormat="1" applyFont="1" applyFill="1" applyBorder="1" applyAlignment="1">
      <alignment horizontal="right" wrapText="1"/>
    </xf>
    <xf numFmtId="167" fontId="0" fillId="2" borderId="20" xfId="1" applyNumberFormat="1" applyFont="1" applyFill="1" applyBorder="1" applyAlignment="1">
      <alignment horizontal="right" wrapText="1"/>
    </xf>
    <xf numFmtId="170" fontId="0" fillId="2" borderId="20" xfId="0" applyNumberFormat="1" applyFill="1" applyBorder="1" applyAlignment="1">
      <alignment wrapText="1"/>
    </xf>
    <xf numFmtId="167" fontId="0" fillId="2" borderId="20" xfId="1" applyNumberFormat="1" applyFont="1" applyFill="1" applyBorder="1" applyAlignment="1">
      <alignment wrapText="1"/>
    </xf>
    <xf numFmtId="43" fontId="0" fillId="2" borderId="20" xfId="1" applyFont="1" applyFill="1" applyBorder="1" applyAlignment="1">
      <alignment horizontal="right" wrapText="1"/>
    </xf>
    <xf numFmtId="171" fontId="14" fillId="2" borderId="20" xfId="0" applyNumberFormat="1" applyFont="1" applyFill="1" applyBorder="1" applyAlignment="1">
      <alignment horizontal="right" wrapText="1"/>
    </xf>
    <xf numFmtId="9" fontId="23" fillId="2" borderId="20" xfId="6" applyFont="1" applyFill="1" applyBorder="1" applyAlignment="1">
      <alignment wrapText="1"/>
    </xf>
    <xf numFmtId="9" fontId="23" fillId="2" borderId="20" xfId="6" applyFont="1" applyFill="1" applyBorder="1" applyAlignment="1">
      <alignment horizontal="right" wrapText="1"/>
    </xf>
    <xf numFmtId="172" fontId="23" fillId="2" borderId="20" xfId="6" applyNumberFormat="1" applyFont="1" applyFill="1" applyBorder="1"/>
    <xf numFmtId="6" fontId="23" fillId="2" borderId="20" xfId="6" applyNumberFormat="1" applyFont="1" applyFill="1" applyBorder="1"/>
    <xf numFmtId="6" fontId="24" fillId="2" borderId="20" xfId="6" applyNumberFormat="1" applyFont="1" applyFill="1" applyBorder="1" applyAlignment="1">
      <alignment horizontal="right" wrapText="1"/>
    </xf>
    <xf numFmtId="38" fontId="35" fillId="2" borderId="24" xfId="0" applyNumberFormat="1" applyFont="1" applyFill="1" applyBorder="1" applyAlignment="1" applyProtection="1">
      <alignment horizontal="center" wrapText="1"/>
    </xf>
    <xf numFmtId="38" fontId="35" fillId="2" borderId="0" xfId="0" applyNumberFormat="1" applyFont="1" applyFill="1" applyBorder="1" applyAlignment="1" applyProtection="1">
      <alignment horizontal="center" wrapText="1"/>
    </xf>
    <xf numFmtId="167" fontId="36" fillId="2" borderId="24" xfId="1" applyNumberFormat="1" applyFont="1" applyFill="1" applyBorder="1" applyAlignment="1">
      <alignment horizontal="right" wrapText="1"/>
    </xf>
    <xf numFmtId="38" fontId="35" fillId="12" borderId="0" xfId="3" applyNumberFormat="1" applyFont="1" applyFill="1" applyBorder="1" applyAlignment="1">
      <alignment horizontal="center" wrapText="1"/>
    </xf>
    <xf numFmtId="0" fontId="36" fillId="12" borderId="23" xfId="0" applyFont="1" applyFill="1" applyBorder="1" applyAlignment="1">
      <alignment horizontal="left" wrapText="1"/>
    </xf>
    <xf numFmtId="0" fontId="35" fillId="12" borderId="0" xfId="0" applyFont="1" applyFill="1" applyBorder="1" applyAlignment="1">
      <alignment horizontal="left" wrapText="1"/>
    </xf>
    <xf numFmtId="167" fontId="36" fillId="12" borderId="0" xfId="1" applyNumberFormat="1" applyFont="1" applyFill="1" applyBorder="1" applyAlignment="1">
      <alignment horizontal="right" wrapText="1"/>
    </xf>
    <xf numFmtId="0" fontId="0" fillId="0" borderId="0" xfId="0" applyBorder="1"/>
    <xf numFmtId="0" fontId="23" fillId="0" borderId="0" xfId="0" applyFont="1" applyBorder="1"/>
    <xf numFmtId="164" fontId="3" fillId="0" borderId="0" xfId="0" applyNumberFormat="1" applyFont="1" applyAlignment="1">
      <alignment wrapText="1"/>
    </xf>
    <xf numFmtId="167" fontId="24" fillId="10" borderId="20" xfId="1" applyNumberFormat="1" applyFont="1" applyFill="1" applyBorder="1"/>
    <xf numFmtId="167" fontId="24" fillId="10" borderId="29" xfId="1" applyNumberFormat="1" applyFont="1" applyFill="1" applyBorder="1"/>
    <xf numFmtId="167" fontId="24" fillId="10" borderId="30" xfId="1" applyNumberFormat="1" applyFont="1" applyFill="1" applyBorder="1"/>
    <xf numFmtId="10" fontId="37" fillId="0" borderId="0" xfId="6" applyNumberFormat="1" applyFont="1" applyFill="1" applyBorder="1" applyAlignment="1">
      <alignment horizontal="center" vertical="top" wrapText="1"/>
    </xf>
    <xf numFmtId="10" fontId="36" fillId="2" borderId="0" xfId="6" applyNumberFormat="1" applyFont="1" applyFill="1" applyBorder="1" applyAlignment="1">
      <alignment horizontal="center" wrapText="1"/>
    </xf>
    <xf numFmtId="10" fontId="43" fillId="0" borderId="0" xfId="6" applyNumberFormat="1" applyFont="1" applyBorder="1" applyAlignment="1">
      <alignment horizontal="center" wrapText="1"/>
    </xf>
    <xf numFmtId="10" fontId="43" fillId="0" borderId="0" xfId="6" applyNumberFormat="1" applyFont="1" applyFill="1" applyBorder="1" applyAlignment="1">
      <alignment horizontal="center" wrapText="1"/>
    </xf>
    <xf numFmtId="10" fontId="24" fillId="10" borderId="20" xfId="6" applyNumberFormat="1" applyFont="1" applyFill="1" applyBorder="1" applyProtection="1"/>
    <xf numFmtId="10" fontId="24" fillId="10" borderId="29" xfId="6" applyNumberFormat="1" applyFont="1" applyFill="1" applyBorder="1" applyProtection="1"/>
    <xf numFmtId="10" fontId="23" fillId="2" borderId="20" xfId="6" applyNumberFormat="1" applyFont="1" applyFill="1" applyBorder="1" applyAlignment="1">
      <alignment wrapText="1"/>
    </xf>
    <xf numFmtId="10" fontId="24" fillId="10" borderId="20" xfId="6" applyNumberFormat="1" applyFont="1" applyFill="1" applyBorder="1" applyAlignment="1">
      <alignment horizontal="right" wrapText="1"/>
    </xf>
    <xf numFmtId="10" fontId="23" fillId="2" borderId="20" xfId="6" applyNumberFormat="1" applyFont="1" applyFill="1" applyBorder="1" applyAlignment="1">
      <alignment horizontal="right" wrapText="1"/>
    </xf>
    <xf numFmtId="10" fontId="24" fillId="2" borderId="20" xfId="6" applyNumberFormat="1" applyFont="1" applyFill="1" applyBorder="1" applyAlignment="1">
      <alignment horizontal="right" wrapText="1"/>
    </xf>
    <xf numFmtId="10" fontId="14" fillId="10" borderId="20" xfId="6" applyNumberFormat="1" applyFont="1" applyFill="1" applyBorder="1" applyAlignment="1">
      <alignment horizontal="right" wrapText="1"/>
    </xf>
    <xf numFmtId="10" fontId="24" fillId="10" borderId="20" xfId="0" applyNumberFormat="1" applyFont="1" applyFill="1" applyBorder="1" applyAlignment="1">
      <alignment horizontal="right" wrapText="1"/>
    </xf>
    <xf numFmtId="10" fontId="24" fillId="8" borderId="20" xfId="6" applyNumberFormat="1" applyFont="1" applyFill="1" applyBorder="1" applyAlignment="1">
      <alignment horizontal="right" wrapText="1"/>
    </xf>
    <xf numFmtId="0" fontId="0" fillId="0" borderId="0" xfId="0"/>
    <xf numFmtId="0" fontId="56" fillId="0" borderId="0" xfId="0" applyFont="1" applyAlignment="1">
      <alignment horizontal="left"/>
    </xf>
    <xf numFmtId="167" fontId="14" fillId="10" borderId="20" xfId="0" applyNumberFormat="1" applyFont="1" applyFill="1" applyBorder="1" applyAlignment="1">
      <alignment horizontal="right" wrapText="1"/>
    </xf>
    <xf numFmtId="0" fontId="0" fillId="0" borderId="0" xfId="0"/>
    <xf numFmtId="167" fontId="0" fillId="9" borderId="20" xfId="1" applyNumberFormat="1" applyFont="1" applyFill="1" applyBorder="1" applyAlignment="1">
      <alignment horizontal="right" wrapText="1"/>
    </xf>
    <xf numFmtId="10" fontId="23" fillId="9" borderId="20" xfId="6" applyNumberFormat="1" applyFont="1" applyFill="1" applyBorder="1" applyAlignment="1">
      <alignment horizontal="right" wrapText="1"/>
    </xf>
    <xf numFmtId="0" fontId="14" fillId="9" borderId="20" xfId="0" applyFont="1" applyFill="1" applyBorder="1" applyAlignment="1">
      <alignment horizontal="left" wrapText="1"/>
    </xf>
    <xf numFmtId="0" fontId="56" fillId="0" borderId="0" xfId="0" applyFont="1" applyAlignment="1">
      <alignment horizontal="left" wrapText="1"/>
    </xf>
    <xf numFmtId="43" fontId="0" fillId="15" borderId="20" xfId="1" applyFont="1" applyFill="1" applyBorder="1" applyAlignment="1">
      <alignment horizontal="right" wrapText="1"/>
    </xf>
    <xf numFmtId="167" fontId="0" fillId="15" borderId="20" xfId="1" applyNumberFormat="1" applyFont="1" applyFill="1" applyBorder="1" applyAlignment="1">
      <alignment wrapText="1"/>
    </xf>
    <xf numFmtId="0" fontId="14" fillId="0" borderId="20" xfId="0" applyFont="1" applyFill="1" applyBorder="1" applyAlignment="1">
      <alignment horizontal="left" wrapText="1"/>
    </xf>
    <xf numFmtId="0" fontId="57" fillId="9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58" fillId="0" borderId="0" xfId="0" applyFont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57" fillId="0" borderId="24" xfId="0" applyFont="1" applyBorder="1" applyAlignment="1">
      <alignment horizontal="center" wrapText="1"/>
    </xf>
    <xf numFmtId="6" fontId="0" fillId="0" borderId="0" xfId="0" applyNumberFormat="1"/>
    <xf numFmtId="8" fontId="0" fillId="0" borderId="0" xfId="0" applyNumberFormat="1"/>
    <xf numFmtId="0" fontId="0" fillId="0" borderId="0" xfId="0"/>
    <xf numFmtId="164" fontId="61" fillId="0" borderId="0" xfId="0" applyNumberFormat="1" applyFont="1" applyAlignment="1">
      <alignment horizontal="right" wrapText="1"/>
    </xf>
    <xf numFmtId="164" fontId="61" fillId="0" borderId="0" xfId="0" applyNumberFormat="1" applyFont="1" applyAlignment="1">
      <alignment wrapText="1"/>
    </xf>
    <xf numFmtId="165" fontId="56" fillId="0" borderId="1" xfId="0" applyNumberFormat="1" applyFont="1" applyBorder="1" applyAlignment="1">
      <alignment horizontal="right" wrapText="1"/>
    </xf>
    <xf numFmtId="171" fontId="0" fillId="0" borderId="0" xfId="0" applyNumberFormat="1" applyFill="1"/>
    <xf numFmtId="0" fontId="0" fillId="0" borderId="0" xfId="0"/>
    <xf numFmtId="10" fontId="43" fillId="0" borderId="0" xfId="6" applyNumberFormat="1" applyFont="1"/>
    <xf numFmtId="0" fontId="0" fillId="0" borderId="0" xfId="0"/>
    <xf numFmtId="0" fontId="0" fillId="0" borderId="0" xfId="0" applyFill="1" applyAlignment="1">
      <alignment wrapText="1"/>
    </xf>
    <xf numFmtId="0" fontId="14" fillId="0" borderId="20" xfId="0" applyFont="1" applyFill="1" applyBorder="1" applyAlignment="1">
      <alignment horizontal="left" vertical="center" wrapText="1"/>
    </xf>
    <xf numFmtId="167" fontId="23" fillId="2" borderId="20" xfId="1" applyNumberFormat="1" applyFont="1" applyFill="1" applyBorder="1" applyAlignment="1">
      <alignment vertical="center" wrapText="1"/>
    </xf>
    <xf numFmtId="10" fontId="23" fillId="2" borderId="20" xfId="6" applyNumberFormat="1" applyFont="1" applyFill="1" applyBorder="1" applyAlignment="1">
      <alignment vertical="center" wrapText="1"/>
    </xf>
    <xf numFmtId="172" fontId="23" fillId="2" borderId="20" xfId="1" applyNumberFormat="1" applyFont="1" applyFill="1" applyBorder="1"/>
    <xf numFmtId="6" fontId="23" fillId="2" borderId="20" xfId="0" applyNumberFormat="1" applyFont="1" applyFill="1" applyBorder="1"/>
    <xf numFmtId="6" fontId="24" fillId="2" borderId="20" xfId="0" applyNumberFormat="1" applyFont="1" applyFill="1" applyBorder="1" applyAlignment="1">
      <alignment horizontal="right" wrapText="1"/>
    </xf>
    <xf numFmtId="41" fontId="24" fillId="2" borderId="20" xfId="0" applyNumberFormat="1" applyFont="1" applyFill="1" applyBorder="1" applyAlignment="1">
      <alignment horizontal="right" wrapText="1"/>
    </xf>
    <xf numFmtId="0" fontId="9" fillId="3" borderId="34" xfId="0" applyFont="1" applyFill="1" applyBorder="1" applyAlignment="1">
      <alignment horizontal="left" vertical="center" indent="2"/>
    </xf>
    <xf numFmtId="43" fontId="9" fillId="3" borderId="35" xfId="1" applyNumberFormat="1" applyFont="1" applyFill="1" applyBorder="1" applyAlignment="1">
      <alignment vertical="center"/>
    </xf>
    <xf numFmtId="170" fontId="23" fillId="15" borderId="20" xfId="0" applyNumberFormat="1" applyFont="1" applyFill="1" applyBorder="1" applyAlignment="1">
      <alignment wrapText="1"/>
    </xf>
    <xf numFmtId="10" fontId="23" fillId="15" borderId="20" xfId="6" applyNumberFormat="1" applyFont="1" applyFill="1" applyBorder="1" applyAlignment="1">
      <alignment wrapText="1"/>
    </xf>
    <xf numFmtId="43" fontId="23" fillId="15" borderId="20" xfId="1" applyFont="1" applyFill="1" applyBorder="1" applyAlignment="1">
      <alignment wrapText="1"/>
    </xf>
    <xf numFmtId="44" fontId="14" fillId="0" borderId="20" xfId="0" applyNumberFormat="1" applyFont="1" applyFill="1" applyBorder="1" applyAlignment="1">
      <alignment horizontal="left" wrapText="1"/>
    </xf>
    <xf numFmtId="43" fontId="24" fillId="5" borderId="20" xfId="1" applyFont="1" applyFill="1" applyBorder="1" applyAlignment="1" applyProtection="1">
      <alignment horizontal="center" vertical="center" wrapText="1"/>
      <protection locked="0"/>
    </xf>
    <xf numFmtId="43" fontId="24" fillId="9" borderId="20" xfId="1" applyFont="1" applyFill="1" applyBorder="1" applyAlignment="1" applyProtection="1">
      <alignment horizontal="center" vertical="center" wrapText="1"/>
      <protection locked="0"/>
    </xf>
    <xf numFmtId="43" fontId="24" fillId="2" borderId="20" xfId="1" applyFont="1" applyFill="1" applyBorder="1" applyAlignment="1" applyProtection="1">
      <alignment horizontal="center" vertical="center" wrapText="1"/>
      <protection locked="0"/>
    </xf>
    <xf numFmtId="43" fontId="24" fillId="5" borderId="20" xfId="1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167" fontId="23" fillId="11" borderId="20" xfId="1" applyNumberFormat="1" applyFont="1" applyFill="1" applyBorder="1" applyAlignment="1">
      <alignment horizontal="right" wrapText="1"/>
    </xf>
    <xf numFmtId="167" fontId="0" fillId="11" borderId="20" xfId="1" applyNumberFormat="1" applyFont="1" applyFill="1" applyBorder="1" applyAlignment="1">
      <alignment horizontal="right" wrapText="1"/>
    </xf>
    <xf numFmtId="10" fontId="23" fillId="11" borderId="20" xfId="6" applyNumberFormat="1" applyFont="1" applyFill="1" applyBorder="1" applyAlignment="1">
      <alignment horizontal="right" wrapText="1"/>
    </xf>
    <xf numFmtId="44" fontId="0" fillId="0" borderId="0" xfId="0" applyNumberFormat="1"/>
    <xf numFmtId="41" fontId="11" fillId="0" borderId="0" xfId="2" applyNumberFormat="1" applyFont="1" applyFill="1" applyBorder="1" applyAlignment="1"/>
    <xf numFmtId="43" fontId="6" fillId="4" borderId="0" xfId="0" applyNumberFormat="1" applyFont="1" applyFill="1" applyBorder="1" applyAlignment="1">
      <alignment vertical="center"/>
    </xf>
    <xf numFmtId="167" fontId="54" fillId="11" borderId="16" xfId="1" applyNumberFormat="1" applyFont="1" applyFill="1" applyBorder="1"/>
    <xf numFmtId="0" fontId="26" fillId="0" borderId="20" xfId="0" applyFont="1" applyFill="1" applyBorder="1" applyAlignment="1">
      <alignment horizontal="left" wrapText="1"/>
    </xf>
    <xf numFmtId="167" fontId="27" fillId="2" borderId="20" xfId="1" applyNumberFormat="1" applyFont="1" applyFill="1" applyBorder="1" applyAlignment="1">
      <alignment wrapText="1"/>
    </xf>
    <xf numFmtId="10" fontId="27" fillId="2" borderId="20" xfId="6" applyNumberFormat="1" applyFont="1" applyFill="1" applyBorder="1" applyAlignment="1">
      <alignment wrapText="1"/>
    </xf>
    <xf numFmtId="167" fontId="0" fillId="0" borderId="0" xfId="0" applyNumberFormat="1" applyAlignment="1">
      <alignment wrapText="1"/>
    </xf>
    <xf numFmtId="170" fontId="0" fillId="0" borderId="0" xfId="0" applyNumberFormat="1" applyFill="1"/>
    <xf numFmtId="170" fontId="58" fillId="0" borderId="0" xfId="0" applyNumberFormat="1" applyFont="1" applyFill="1" applyBorder="1" applyAlignment="1">
      <alignment horizontal="center"/>
    </xf>
    <xf numFmtId="38" fontId="35" fillId="7" borderId="29" xfId="0" applyNumberFormat="1" applyFont="1" applyFill="1" applyBorder="1" applyAlignment="1" applyProtection="1">
      <alignment horizontal="center" wrapText="1"/>
    </xf>
    <xf numFmtId="38" fontId="35" fillId="7" borderId="30" xfId="0" applyNumberFormat="1" applyFont="1" applyFill="1" applyBorder="1" applyAlignment="1" applyProtection="1">
      <alignment horizontal="center" wrapText="1"/>
    </xf>
    <xf numFmtId="167" fontId="36" fillId="7" borderId="30" xfId="1" applyNumberFormat="1" applyFont="1" applyFill="1" applyBorder="1" applyAlignment="1">
      <alignment horizontal="right" wrapText="1"/>
    </xf>
    <xf numFmtId="0" fontId="53" fillId="0" borderId="0" xfId="0" applyFont="1" applyAlignment="1">
      <alignment horizontal="center"/>
    </xf>
    <xf numFmtId="167" fontId="54" fillId="0" borderId="12" xfId="1" applyNumberFormat="1" applyFont="1" applyBorder="1"/>
    <xf numFmtId="167" fontId="54" fillId="0" borderId="12" xfId="0" applyNumberFormat="1" applyFont="1" applyBorder="1"/>
    <xf numFmtId="167" fontId="51" fillId="0" borderId="0" xfId="0" applyNumberFormat="1" applyFont="1"/>
    <xf numFmtId="167" fontId="51" fillId="0" borderId="12" xfId="0" applyNumberFormat="1" applyFont="1" applyBorder="1"/>
    <xf numFmtId="167" fontId="51" fillId="0" borderId="0" xfId="1" applyNumberFormat="1" applyFont="1" applyFill="1"/>
    <xf numFmtId="0" fontId="14" fillId="0" borderId="20" xfId="0" applyFont="1" applyFill="1" applyBorder="1" applyAlignment="1">
      <alignment horizontal="left"/>
    </xf>
    <xf numFmtId="167" fontId="0" fillId="9" borderId="20" xfId="1" applyNumberFormat="1" applyFont="1" applyFill="1" applyBorder="1" applyAlignment="1">
      <alignment wrapText="1"/>
    </xf>
    <xf numFmtId="0" fontId="14" fillId="9" borderId="20" xfId="0" applyFont="1" applyFill="1" applyBorder="1" applyAlignment="1">
      <alignment horizontal="left"/>
    </xf>
    <xf numFmtId="44" fontId="14" fillId="9" borderId="20" xfId="0" applyNumberFormat="1" applyFont="1" applyFill="1" applyBorder="1" applyAlignment="1">
      <alignment horizontal="left" wrapText="1"/>
    </xf>
    <xf numFmtId="10" fontId="23" fillId="9" borderId="20" xfId="6" applyNumberFormat="1" applyFont="1" applyFill="1" applyBorder="1" applyAlignment="1">
      <alignment wrapText="1"/>
    </xf>
    <xf numFmtId="0" fontId="16" fillId="4" borderId="6" xfId="5" applyFont="1" applyFill="1" applyBorder="1" applyAlignment="1" applyProtection="1">
      <alignment horizontal="center" vertical="center"/>
    </xf>
    <xf numFmtId="0" fontId="16" fillId="4" borderId="7" xfId="5" applyFont="1" applyFill="1" applyBorder="1" applyAlignment="1" applyProtection="1">
      <alignment horizontal="center" vertical="center"/>
    </xf>
    <xf numFmtId="0" fontId="16" fillId="4" borderId="8" xfId="5" applyFont="1" applyFill="1" applyBorder="1" applyAlignment="1" applyProtection="1">
      <alignment horizontal="center" vertical="center"/>
    </xf>
    <xf numFmtId="0" fontId="18" fillId="4" borderId="2" xfId="5" applyFont="1" applyFill="1" applyBorder="1" applyAlignment="1" applyProtection="1">
      <alignment horizontal="center" vertical="center"/>
    </xf>
    <xf numFmtId="0" fontId="18" fillId="4" borderId="0" xfId="5" applyFont="1" applyFill="1" applyBorder="1" applyAlignment="1" applyProtection="1">
      <alignment horizontal="center" vertical="center"/>
    </xf>
    <xf numFmtId="0" fontId="18" fillId="4" borderId="3" xfId="5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7" fillId="4" borderId="5" xfId="0" applyFont="1" applyFill="1" applyBorder="1" applyAlignment="1">
      <alignment horizontal="center" vertical="center" textRotation="90"/>
    </xf>
    <xf numFmtId="0" fontId="7" fillId="4" borderId="14" xfId="0" applyFont="1" applyFill="1" applyBorder="1" applyAlignment="1">
      <alignment horizontal="center" vertical="center" textRotation="90"/>
    </xf>
    <xf numFmtId="166" fontId="8" fillId="4" borderId="10" xfId="0" applyNumberFormat="1" applyFont="1" applyFill="1" applyBorder="1" applyAlignment="1">
      <alignment horizontal="center" vertical="center"/>
    </xf>
    <xf numFmtId="0" fontId="30" fillId="4" borderId="21" xfId="5" applyFont="1" applyFill="1" applyBorder="1" applyAlignment="1" applyProtection="1">
      <alignment horizontal="center" vertical="center"/>
    </xf>
    <xf numFmtId="0" fontId="30" fillId="4" borderId="1" xfId="5" applyFont="1" applyFill="1" applyBorder="1" applyAlignment="1" applyProtection="1">
      <alignment horizontal="center" vertical="center"/>
    </xf>
    <xf numFmtId="0" fontId="30" fillId="4" borderId="22" xfId="5" applyFont="1" applyFill="1" applyBorder="1" applyAlignment="1" applyProtection="1">
      <alignment horizontal="center" vertical="center"/>
    </xf>
    <xf numFmtId="0" fontId="46" fillId="4" borderId="23" xfId="5" applyFont="1" applyFill="1" applyBorder="1" applyAlignment="1" applyProtection="1">
      <alignment horizontal="center" vertical="center"/>
    </xf>
    <xf numFmtId="0" fontId="46" fillId="4" borderId="0" xfId="5" applyFont="1" applyFill="1" applyBorder="1" applyAlignment="1" applyProtection="1">
      <alignment horizontal="center" vertical="center"/>
    </xf>
    <xf numFmtId="0" fontId="46" fillId="4" borderId="24" xfId="5" applyFont="1" applyFill="1" applyBorder="1" applyAlignment="1" applyProtection="1">
      <alignment horizontal="center" vertical="center"/>
    </xf>
    <xf numFmtId="166" fontId="33" fillId="4" borderId="23" xfId="5" applyNumberFormat="1" applyFont="1" applyFill="1" applyBorder="1" applyAlignment="1" applyProtection="1">
      <alignment horizontal="center" vertical="center"/>
    </xf>
    <xf numFmtId="166" fontId="33" fillId="4" borderId="0" xfId="5" applyNumberFormat="1" applyFont="1" applyFill="1" applyBorder="1" applyAlignment="1" applyProtection="1">
      <alignment horizontal="center" vertical="center"/>
    </xf>
    <xf numFmtId="166" fontId="33" fillId="4" borderId="24" xfId="5" applyNumberFormat="1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/>
    <xf numFmtId="0" fontId="50" fillId="0" borderId="0" xfId="0" applyFont="1" applyAlignment="1">
      <alignment horizontal="center"/>
    </xf>
    <xf numFmtId="166" fontId="35" fillId="12" borderId="15" xfId="3" applyNumberFormat="1" applyFont="1" applyFill="1" applyBorder="1" applyAlignment="1">
      <alignment horizontal="center" wrapText="1"/>
    </xf>
    <xf numFmtId="43" fontId="40" fillId="4" borderId="21" xfId="1" applyFont="1" applyFill="1" applyBorder="1" applyAlignment="1" applyProtection="1">
      <alignment horizontal="center" vertical="top"/>
    </xf>
    <xf numFmtId="43" fontId="40" fillId="4" borderId="1" xfId="1" applyFont="1" applyFill="1" applyBorder="1" applyAlignment="1" applyProtection="1">
      <alignment horizontal="center" vertical="top"/>
    </xf>
    <xf numFmtId="43" fontId="40" fillId="4" borderId="22" xfId="1" applyFont="1" applyFill="1" applyBorder="1" applyAlignment="1" applyProtection="1">
      <alignment horizontal="center" vertical="top"/>
    </xf>
    <xf numFmtId="43" fontId="30" fillId="4" borderId="23" xfId="1" applyFont="1" applyFill="1" applyBorder="1" applyAlignment="1" applyProtection="1">
      <alignment horizontal="center" vertical="top"/>
    </xf>
    <xf numFmtId="43" fontId="30" fillId="4" borderId="0" xfId="1" applyFont="1" applyFill="1" applyBorder="1" applyAlignment="1" applyProtection="1">
      <alignment horizontal="center" vertical="top"/>
    </xf>
    <xf numFmtId="43" fontId="30" fillId="4" borderId="24" xfId="1" applyFont="1" applyFill="1" applyBorder="1" applyAlignment="1" applyProtection="1">
      <alignment horizontal="center" vertical="top"/>
    </xf>
    <xf numFmtId="166" fontId="35" fillId="2" borderId="15" xfId="3" applyNumberFormat="1" applyFont="1" applyFill="1" applyBorder="1" applyAlignment="1">
      <alignment horizontal="center" wrapText="1"/>
    </xf>
    <xf numFmtId="14" fontId="17" fillId="4" borderId="21" xfId="1" applyNumberFormat="1" applyFont="1" applyFill="1" applyBorder="1" applyAlignment="1" applyProtection="1">
      <alignment horizontal="center" vertical="top"/>
    </xf>
    <xf numFmtId="14" fontId="17" fillId="4" borderId="1" xfId="1" applyNumberFormat="1" applyFont="1" applyFill="1" applyBorder="1" applyAlignment="1" applyProtection="1">
      <alignment horizontal="center" vertical="top"/>
    </xf>
    <xf numFmtId="14" fontId="17" fillId="4" borderId="22" xfId="1" applyNumberFormat="1" applyFont="1" applyFill="1" applyBorder="1" applyAlignment="1" applyProtection="1">
      <alignment horizontal="center" vertical="top"/>
    </xf>
    <xf numFmtId="14" fontId="45" fillId="4" borderId="23" xfId="1" applyNumberFormat="1" applyFont="1" applyFill="1" applyBorder="1" applyAlignment="1" applyProtection="1">
      <alignment horizontal="center" vertical="top"/>
    </xf>
    <xf numFmtId="14" fontId="45" fillId="4" borderId="0" xfId="1" applyNumberFormat="1" applyFont="1" applyFill="1" applyBorder="1" applyAlignment="1" applyProtection="1">
      <alignment horizontal="center" vertical="top"/>
    </xf>
    <xf numFmtId="14" fontId="45" fillId="4" borderId="24" xfId="1" applyNumberFormat="1" applyFont="1" applyFill="1" applyBorder="1" applyAlignment="1" applyProtection="1">
      <alignment horizontal="center" vertical="top"/>
    </xf>
    <xf numFmtId="166" fontId="15" fillId="4" borderId="32" xfId="1" applyNumberFormat="1" applyFont="1" applyFill="1" applyBorder="1" applyAlignment="1" applyProtection="1">
      <alignment horizontal="center" vertical="top"/>
    </xf>
    <xf numFmtId="166" fontId="15" fillId="4" borderId="10" xfId="1" applyNumberFormat="1" applyFont="1" applyFill="1" applyBorder="1" applyAlignment="1" applyProtection="1">
      <alignment horizontal="center" vertical="top"/>
    </xf>
    <xf numFmtId="166" fontId="15" fillId="4" borderId="33" xfId="1" applyNumberFormat="1" applyFont="1" applyFill="1" applyBorder="1" applyAlignment="1" applyProtection="1">
      <alignment horizontal="center" vertical="top"/>
    </xf>
    <xf numFmtId="0" fontId="14" fillId="14" borderId="25" xfId="0" applyFont="1" applyFill="1" applyBorder="1" applyAlignment="1">
      <alignment horizontal="center"/>
    </xf>
    <xf numFmtId="0" fontId="14" fillId="14" borderId="15" xfId="0" applyFont="1" applyFill="1" applyBorder="1" applyAlignment="1">
      <alignment horizontal="center"/>
    </xf>
    <xf numFmtId="0" fontId="14" fillId="14" borderId="26" xfId="0" applyFont="1" applyFill="1" applyBorder="1" applyAlignment="1">
      <alignment horizontal="center"/>
    </xf>
  </cellXfs>
  <cellStyles count="12">
    <cellStyle name="Comma" xfId="1" builtinId="3"/>
    <cellStyle name="Comma 2" xfId="11" xr:uid="{00000000-0005-0000-0000-000001000000}"/>
    <cellStyle name="Comma 2 2" xfId="7" xr:uid="{00000000-0005-0000-0000-000002000000}"/>
    <cellStyle name="Currency" xfId="2" builtinId="4"/>
    <cellStyle name="Currency 2" xfId="10" xr:uid="{00000000-0005-0000-0000-000004000000}"/>
    <cellStyle name="Normal" xfId="0" builtinId="0"/>
    <cellStyle name="Normal 10" xfId="5" xr:uid="{00000000-0005-0000-0000-000006000000}"/>
    <cellStyle name="Normal 2" xfId="3" xr:uid="{00000000-0005-0000-0000-000007000000}"/>
    <cellStyle name="Normal 223" xfId="4" xr:uid="{00000000-0005-0000-0000-000008000000}"/>
    <cellStyle name="Normal 3" xfId="9" xr:uid="{00000000-0005-0000-0000-000009000000}"/>
    <cellStyle name="Normal 3 2 2 3" xfId="8" xr:uid="{00000000-0005-0000-0000-00000A000000}"/>
    <cellStyle name="Percent" xfId="6" builtinId="5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0AC2E"/>
      <color rgb="FF1FD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</xdr:col>
      <xdr:colOff>1092200</xdr:colOff>
      <xdr:row>3</xdr:row>
      <xdr:rowOff>88899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0"/>
          <a:ext cx="1381124" cy="1381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21982</xdr:colOff>
      <xdr:row>0</xdr:row>
      <xdr:rowOff>0</xdr:rowOff>
    </xdr:from>
    <xdr:to>
      <xdr:col>0</xdr:col>
      <xdr:colOff>1040424</xdr:colOff>
      <xdr:row>4</xdr:row>
      <xdr:rowOff>84124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2" y="0"/>
          <a:ext cx="1018442" cy="1018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1021617</xdr:colOff>
      <xdr:row>2</xdr:row>
      <xdr:rowOff>389792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404812</xdr:colOff>
      <xdr:row>0</xdr:row>
      <xdr:rowOff>0</xdr:rowOff>
    </xdr:from>
    <xdr:to>
      <xdr:col>1</xdr:col>
      <xdr:colOff>1420079</xdr:colOff>
      <xdr:row>3</xdr:row>
      <xdr:rowOff>174919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598E63-223E-4FA0-A666-90EDA0CFD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37" y="0"/>
          <a:ext cx="1018442" cy="1019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D24"/>
  <sheetViews>
    <sheetView zoomScale="80" zoomScaleNormal="80" workbookViewId="0">
      <selection activeCell="C22" sqref="C22"/>
    </sheetView>
  </sheetViews>
  <sheetFormatPr defaultColWidth="8.796875" defaultRowHeight="14.25" x14ac:dyDescent="0.45"/>
  <cols>
    <col min="1" max="1" width="5.19921875" style="8" customWidth="1"/>
    <col min="2" max="2" width="63.46484375" style="8" bestFit="1" customWidth="1"/>
    <col min="3" max="3" width="11" style="8" bestFit="1" customWidth="1"/>
    <col min="4" max="4" width="67.46484375" style="9" bestFit="1" customWidth="1"/>
  </cols>
  <sheetData>
    <row r="1" spans="1:4" ht="32.25" customHeight="1" x14ac:dyDescent="0.45">
      <c r="A1" s="355" t="s">
        <v>91</v>
      </c>
      <c r="B1" s="356"/>
      <c r="C1" s="356"/>
      <c r="D1" s="357"/>
    </row>
    <row r="2" spans="1:4" ht="42" customHeight="1" x14ac:dyDescent="0.45">
      <c r="A2" s="358" t="s">
        <v>50</v>
      </c>
      <c r="B2" s="359"/>
      <c r="C2" s="359"/>
      <c r="D2" s="360"/>
    </row>
    <row r="3" spans="1:4" ht="27.75" customHeight="1" thickBot="1" x14ac:dyDescent="0.5">
      <c r="A3" s="20"/>
      <c r="B3" s="366">
        <v>44377</v>
      </c>
      <c r="C3" s="366"/>
      <c r="D3" s="21" t="s">
        <v>51</v>
      </c>
    </row>
    <row r="4" spans="1:4" x14ac:dyDescent="0.45">
      <c r="A4" s="361" t="s">
        <v>30</v>
      </c>
      <c r="B4" s="15"/>
      <c r="C4" s="3"/>
      <c r="D4" s="12"/>
    </row>
    <row r="5" spans="1:4" x14ac:dyDescent="0.45">
      <c r="A5" s="362"/>
      <c r="B5" s="16" t="s">
        <v>31</v>
      </c>
      <c r="C5" s="5"/>
      <c r="D5" s="6"/>
    </row>
    <row r="6" spans="1:4" x14ac:dyDescent="0.45">
      <c r="A6" s="362"/>
      <c r="B6" s="17" t="s">
        <v>32</v>
      </c>
      <c r="C6" s="203">
        <f>'Balance Sheet'!B12</f>
        <v>2112592.4099999997</v>
      </c>
      <c r="D6" s="7"/>
    </row>
    <row r="7" spans="1:4" x14ac:dyDescent="0.45">
      <c r="A7" s="362"/>
      <c r="B7" s="17" t="s">
        <v>33</v>
      </c>
      <c r="C7" s="203">
        <f>'Balance Sheet'!B26</f>
        <v>99325.700000000012</v>
      </c>
      <c r="D7" s="7"/>
    </row>
    <row r="8" spans="1:4" x14ac:dyDescent="0.45">
      <c r="A8" s="362"/>
      <c r="B8" s="18" t="s">
        <v>34</v>
      </c>
      <c r="C8" s="10">
        <f>IFERROR(C6/C7,"")</f>
        <v>21.269343281748828</v>
      </c>
      <c r="D8" s="13" t="s">
        <v>35</v>
      </c>
    </row>
    <row r="9" spans="1:4" x14ac:dyDescent="0.45">
      <c r="A9" s="362"/>
      <c r="B9" s="19"/>
      <c r="C9" s="5"/>
      <c r="D9" s="7"/>
    </row>
    <row r="10" spans="1:4" x14ac:dyDescent="0.45">
      <c r="A10" s="362"/>
      <c r="B10" s="16" t="s">
        <v>36</v>
      </c>
      <c r="C10" s="5"/>
      <c r="D10" s="7"/>
    </row>
    <row r="11" spans="1:4" x14ac:dyDescent="0.45">
      <c r="A11" s="362"/>
      <c r="B11" s="17" t="s">
        <v>37</v>
      </c>
      <c r="C11" s="204">
        <f>'Balance Sheet'!B8</f>
        <v>1924072.9</v>
      </c>
      <c r="D11" s="7"/>
    </row>
    <row r="12" spans="1:4" x14ac:dyDescent="0.45">
      <c r="A12" s="362"/>
      <c r="B12" s="17" t="s">
        <v>544</v>
      </c>
      <c r="C12" s="332">
        <f>('Budget Vs. Actuals Detail'!F238-'Budget Vs. Actuals Detail'!F232-'Budget Vs. Actuals Detail'!F235+'Budget Vs. Actuals Detail'!F260+'Balance Sheet'!B11-4288)</f>
        <v>2742205.3699999996</v>
      </c>
      <c r="D12" s="7"/>
    </row>
    <row r="13" spans="1:4" x14ac:dyDescent="0.45">
      <c r="A13" s="362"/>
      <c r="B13" s="17" t="s">
        <v>543</v>
      </c>
      <c r="C13" s="333">
        <f>('Budget Vs. Actuals Detail'!F238-'Budget Vs. Actuals Detail'!F235-'Budget Vs. Actuals Detail'!F232+'Budget Vs. Actuals Detail'!F260+'Balance Sheet'!B11-4288)/335</f>
        <v>8185.6876716417901</v>
      </c>
      <c r="D13" s="7"/>
    </row>
    <row r="14" spans="1:4" ht="14.65" thickBot="1" x14ac:dyDescent="0.5">
      <c r="A14" s="362"/>
      <c r="B14" s="18" t="s">
        <v>38</v>
      </c>
      <c r="C14" s="11">
        <f>C11/C13</f>
        <v>235.05330000137809</v>
      </c>
      <c r="D14" s="7" t="s">
        <v>39</v>
      </c>
    </row>
    <row r="15" spans="1:4" x14ac:dyDescent="0.45">
      <c r="A15" s="363" t="s">
        <v>40</v>
      </c>
      <c r="B15" s="15"/>
      <c r="C15" s="3"/>
      <c r="D15" s="4"/>
    </row>
    <row r="16" spans="1:4" x14ac:dyDescent="0.45">
      <c r="A16" s="364"/>
      <c r="B16" s="16" t="s">
        <v>41</v>
      </c>
      <c r="C16" s="5"/>
      <c r="D16" s="6"/>
    </row>
    <row r="17" spans="1:4" x14ac:dyDescent="0.45">
      <c r="A17" s="364"/>
      <c r="B17" s="17" t="s">
        <v>42</v>
      </c>
      <c r="C17" s="204">
        <f>'P&amp;L Summary'!C41</f>
        <v>540852.74000000022</v>
      </c>
      <c r="D17" s="7"/>
    </row>
    <row r="18" spans="1:4" x14ac:dyDescent="0.45">
      <c r="A18" s="364"/>
      <c r="B18" s="17" t="s">
        <v>43</v>
      </c>
      <c r="C18" s="204">
        <f>'P&amp;L Summary'!C10</f>
        <v>3954262.87</v>
      </c>
      <c r="D18" s="7"/>
    </row>
    <row r="19" spans="1:4" x14ac:dyDescent="0.45">
      <c r="A19" s="364"/>
      <c r="B19" s="18" t="s">
        <v>44</v>
      </c>
      <c r="C19" s="205">
        <f>C17/C18</f>
        <v>0.13677713338263731</v>
      </c>
      <c r="D19" s="7" t="s">
        <v>45</v>
      </c>
    </row>
    <row r="20" spans="1:4" x14ac:dyDescent="0.45">
      <c r="A20" s="364"/>
      <c r="B20" s="5"/>
      <c r="C20" s="5"/>
      <c r="D20" s="7"/>
    </row>
    <row r="21" spans="1:4" x14ac:dyDescent="0.45">
      <c r="A21" s="364"/>
      <c r="B21" s="16" t="s">
        <v>46</v>
      </c>
      <c r="C21" s="5"/>
      <c r="D21" s="6"/>
    </row>
    <row r="22" spans="1:4" x14ac:dyDescent="0.45">
      <c r="A22" s="364"/>
      <c r="B22" s="17" t="s">
        <v>47</v>
      </c>
      <c r="C22" s="204">
        <f>'Balance Sheet'!B30</f>
        <v>1727202.14</v>
      </c>
      <c r="D22" s="7"/>
    </row>
    <row r="23" spans="1:4" x14ac:dyDescent="0.45">
      <c r="A23" s="364"/>
      <c r="B23" s="17" t="s">
        <v>48</v>
      </c>
      <c r="C23" s="204">
        <f>'Balance Sheet'!B17</f>
        <v>2510336.4799999995</v>
      </c>
      <c r="D23" s="7"/>
    </row>
    <row r="24" spans="1:4" ht="14.65" thickBot="1" x14ac:dyDescent="0.5">
      <c r="A24" s="365"/>
      <c r="B24" s="317" t="s">
        <v>49</v>
      </c>
      <c r="C24" s="318">
        <f>C22/C23</f>
        <v>0.68803610741457266</v>
      </c>
      <c r="D24" s="14" t="s">
        <v>485</v>
      </c>
    </row>
  </sheetData>
  <mergeCells count="5">
    <mergeCell ref="A1:D1"/>
    <mergeCell ref="A2:D2"/>
    <mergeCell ref="A4:A14"/>
    <mergeCell ref="A15:A24"/>
    <mergeCell ref="B3:C3"/>
  </mergeCells>
  <conditionalFormatting sqref="C8">
    <cfRule type="cellIs" dxfId="9" priority="2" operator="lessThan">
      <formula>1</formula>
    </cfRule>
  </conditionalFormatting>
  <conditionalFormatting sqref="C14">
    <cfRule type="cellIs" dxfId="8" priority="1" operator="lessThan">
      <formula>90</formula>
    </cfRule>
  </conditionalFormatting>
  <pageMargins left="0.45" right="0.45" top="0.5" bottom="0.5" header="0" footer="0"/>
  <pageSetup scale="65" orientation="portrait" r:id="rId1"/>
  <headerFooter>
    <oddFooter>&amp;C&amp;1#&amp;"arial"&amp;9&amp;K008000 C1 - Internal use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G45"/>
  <sheetViews>
    <sheetView topLeftCell="A19" zoomScale="80" zoomScaleNormal="80" workbookViewId="0">
      <selection activeCell="B23" sqref="B23"/>
    </sheetView>
  </sheetViews>
  <sheetFormatPr defaultColWidth="8.796875" defaultRowHeight="15" x14ac:dyDescent="0.35"/>
  <cols>
    <col min="1" max="1" width="66.19921875" style="121" customWidth="1"/>
    <col min="2" max="2" width="18.59765625" style="122" customWidth="1"/>
    <col min="3" max="3" width="0.796875" style="114" customWidth="1"/>
    <col min="4" max="4" width="18.59765625" style="114" customWidth="1"/>
    <col min="5" max="5" width="39.06640625" style="121" customWidth="1"/>
    <col min="6" max="6" width="28.796875" style="115" customWidth="1"/>
    <col min="7" max="7" width="11.46484375" style="115" customWidth="1"/>
    <col min="8" max="16384" width="8.796875" style="110"/>
  </cols>
  <sheetData>
    <row r="1" spans="1:7" ht="22.9" x14ac:dyDescent="0.35">
      <c r="A1" s="367" t="s">
        <v>91</v>
      </c>
      <c r="B1" s="368"/>
      <c r="C1" s="368"/>
      <c r="D1" s="368"/>
      <c r="E1" s="369"/>
      <c r="F1" s="109"/>
      <c r="G1" s="109"/>
    </row>
    <row r="2" spans="1:7" ht="20.25" x14ac:dyDescent="0.35">
      <c r="A2" s="370" t="s">
        <v>87</v>
      </c>
      <c r="B2" s="371"/>
      <c r="C2" s="371"/>
      <c r="D2" s="371"/>
      <c r="E2" s="372"/>
      <c r="F2" s="109"/>
      <c r="G2" s="111"/>
    </row>
    <row r="3" spans="1:7" x14ac:dyDescent="0.35">
      <c r="A3" s="373"/>
      <c r="B3" s="374"/>
      <c r="C3" s="374"/>
      <c r="D3" s="374"/>
      <c r="E3" s="375"/>
      <c r="F3" s="109"/>
      <c r="G3" s="109"/>
    </row>
    <row r="4" spans="1:7" x14ac:dyDescent="0.35">
      <c r="A4" s="167"/>
      <c r="B4" s="113"/>
      <c r="E4" s="168"/>
    </row>
    <row r="5" spans="1:7" ht="40.5" x14ac:dyDescent="0.35">
      <c r="A5" s="169" t="s">
        <v>8</v>
      </c>
      <c r="B5" s="102" t="s">
        <v>551</v>
      </c>
      <c r="C5" s="116"/>
      <c r="D5" s="102" t="s">
        <v>522</v>
      </c>
      <c r="E5" s="298" t="s">
        <v>521</v>
      </c>
      <c r="F5" s="117"/>
      <c r="G5" s="118"/>
    </row>
    <row r="6" spans="1:7" ht="13.5" x14ac:dyDescent="0.35">
      <c r="A6" s="170"/>
      <c r="B6" s="103"/>
      <c r="C6" s="116"/>
      <c r="D6" s="103"/>
      <c r="E6" s="171"/>
      <c r="F6" s="117"/>
      <c r="G6" s="118"/>
    </row>
    <row r="7" spans="1:7" ht="13.5" x14ac:dyDescent="0.35">
      <c r="A7" s="170" t="s">
        <v>262</v>
      </c>
      <c r="B7" s="104"/>
      <c r="C7" s="123"/>
      <c r="D7" s="104"/>
      <c r="E7" s="172"/>
      <c r="F7" s="117"/>
      <c r="G7" s="118"/>
    </row>
    <row r="8" spans="1:7" ht="13.5" x14ac:dyDescent="0.35">
      <c r="A8" s="173" t="s">
        <v>263</v>
      </c>
      <c r="B8" s="105">
        <f>'BS-QB'!B10+'BS-QB'!B12+'BS-QB'!B13+'BS-QB'!B17</f>
        <v>1924072.9</v>
      </c>
      <c r="C8" s="124"/>
      <c r="D8" s="105">
        <f>'BS-QB'!D10+'BS-QB'!D12+'BS-QB'!D13+'BS-QB'!D17</f>
        <v>744348.11</v>
      </c>
      <c r="E8" s="172"/>
      <c r="F8" s="117"/>
      <c r="G8" s="118"/>
    </row>
    <row r="9" spans="1:7" ht="13.5" x14ac:dyDescent="0.35">
      <c r="A9" s="174" t="s">
        <v>264</v>
      </c>
      <c r="B9" s="104">
        <f>'BS-QB'!B14</f>
        <v>50000</v>
      </c>
      <c r="C9" s="125"/>
      <c r="D9" s="104">
        <f>'BS-QB'!D14</f>
        <v>20000</v>
      </c>
      <c r="E9" s="172"/>
      <c r="F9" s="117"/>
      <c r="G9" s="119"/>
    </row>
    <row r="10" spans="1:7" ht="54" x14ac:dyDescent="0.35">
      <c r="A10" s="174" t="s">
        <v>265</v>
      </c>
      <c r="B10" s="104">
        <f>'BS-QB'!B21+'BS-QB'!B23</f>
        <v>49020.69</v>
      </c>
      <c r="C10" s="125"/>
      <c r="D10" s="104">
        <f>'BS-QB'!D21+'BS-QB'!D23</f>
        <v>183357.5</v>
      </c>
      <c r="E10" s="175" t="s">
        <v>548</v>
      </c>
      <c r="F10" s="117"/>
      <c r="G10" s="119"/>
    </row>
    <row r="11" spans="1:7" ht="67.5" x14ac:dyDescent="0.35">
      <c r="A11" s="174" t="s">
        <v>266</v>
      </c>
      <c r="B11" s="192">
        <f>'BS-QB'!B24+'BS-QB'!B26+'BS-QB'!B27+'BS-QB'!B28+'BS-QB'!B29</f>
        <v>89498.82</v>
      </c>
      <c r="C11" s="125"/>
      <c r="D11" s="192">
        <f>'BS-QB'!D24+'BS-QB'!D26+'BS-QB'!D27+'BS-QB'!D28+'BS-QB'!D29</f>
        <v>7382.66</v>
      </c>
      <c r="E11" s="175" t="s">
        <v>547</v>
      </c>
      <c r="F11" s="117"/>
      <c r="G11" s="120"/>
    </row>
    <row r="12" spans="1:7" s="197" customFormat="1" ht="13.5" x14ac:dyDescent="0.35">
      <c r="A12" s="193" t="s">
        <v>267</v>
      </c>
      <c r="B12" s="108">
        <f>SUM(B8:B11)</f>
        <v>2112592.4099999997</v>
      </c>
      <c r="C12" s="194"/>
      <c r="D12" s="108">
        <f>SUM(D8:D11)</f>
        <v>955088.27</v>
      </c>
      <c r="E12" s="195"/>
      <c r="F12" s="117"/>
      <c r="G12" s="196"/>
    </row>
    <row r="13" spans="1:7" ht="13.5" x14ac:dyDescent="0.35">
      <c r="A13" s="170"/>
      <c r="B13" s="104"/>
      <c r="C13" s="126"/>
      <c r="D13" s="104"/>
      <c r="E13" s="172"/>
      <c r="F13" s="117"/>
      <c r="G13" s="120"/>
    </row>
    <row r="14" spans="1:7" ht="13.5" x14ac:dyDescent="0.35">
      <c r="A14" s="174" t="s">
        <v>282</v>
      </c>
      <c r="B14" s="104">
        <f>'BS-QB'!B31</f>
        <v>93750</v>
      </c>
      <c r="C14" s="126"/>
      <c r="D14" s="104">
        <f>'BS-QB'!D31</f>
        <v>93750</v>
      </c>
      <c r="E14" s="172"/>
      <c r="F14" s="117"/>
      <c r="G14" s="120"/>
    </row>
    <row r="15" spans="1:7" ht="13.5" x14ac:dyDescent="0.35">
      <c r="A15" s="174" t="s">
        <v>268</v>
      </c>
      <c r="B15" s="192">
        <f>'BS-QB'!B71</f>
        <v>303994.06999999995</v>
      </c>
      <c r="C15" s="127"/>
      <c r="D15" s="192">
        <f>'BS-QB'!D71</f>
        <v>358471.44999999995</v>
      </c>
      <c r="E15" s="172"/>
      <c r="F15" s="117"/>
      <c r="G15" s="118"/>
    </row>
    <row r="16" spans="1:7" ht="13.5" x14ac:dyDescent="0.35">
      <c r="A16" s="176"/>
      <c r="B16" s="104"/>
      <c r="C16" s="127"/>
      <c r="D16" s="104"/>
      <c r="E16" s="172"/>
      <c r="F16" s="117"/>
      <c r="G16" s="118"/>
    </row>
    <row r="17" spans="1:7" ht="13.9" thickBot="1" x14ac:dyDescent="0.4">
      <c r="A17" s="177" t="s">
        <v>269</v>
      </c>
      <c r="B17" s="198">
        <f>SUM(B12+B14+B15)</f>
        <v>2510336.4799999995</v>
      </c>
      <c r="C17" s="127"/>
      <c r="D17" s="198">
        <f>SUM(D12+D14+D15)</f>
        <v>1407309.72</v>
      </c>
      <c r="E17" s="178"/>
      <c r="F17" s="117"/>
      <c r="G17" s="118"/>
    </row>
    <row r="18" spans="1:7" ht="13.9" thickTop="1" x14ac:dyDescent="0.35">
      <c r="A18" s="170"/>
      <c r="B18" s="104"/>
      <c r="C18" s="127"/>
      <c r="D18" s="104"/>
      <c r="E18" s="172"/>
      <c r="F18" s="117"/>
      <c r="G18" s="118"/>
    </row>
    <row r="19" spans="1:7" ht="13.5" x14ac:dyDescent="0.35">
      <c r="A19" s="170"/>
      <c r="B19" s="104"/>
      <c r="C19" s="127"/>
      <c r="D19" s="104"/>
      <c r="E19" s="172"/>
      <c r="F19" s="117"/>
      <c r="G19" s="118"/>
    </row>
    <row r="20" spans="1:7" ht="13.5" x14ac:dyDescent="0.35">
      <c r="A20" s="169" t="s">
        <v>270</v>
      </c>
      <c r="B20" s="106"/>
      <c r="C20" s="127"/>
      <c r="D20" s="106"/>
      <c r="E20" s="172"/>
      <c r="F20" s="117"/>
      <c r="G20" s="118"/>
    </row>
    <row r="21" spans="1:7" ht="13.5" x14ac:dyDescent="0.35">
      <c r="A21" s="169"/>
      <c r="B21" s="106"/>
      <c r="C21" s="127"/>
      <c r="D21" s="106"/>
      <c r="E21" s="172"/>
      <c r="F21" s="117"/>
      <c r="G21" s="118"/>
    </row>
    <row r="22" spans="1:7" ht="13.5" x14ac:dyDescent="0.35">
      <c r="A22" s="170" t="s">
        <v>271</v>
      </c>
      <c r="B22" s="104"/>
      <c r="C22" s="127"/>
      <c r="D22" s="104"/>
      <c r="E22" s="172"/>
      <c r="F22" s="117"/>
      <c r="G22" s="118"/>
    </row>
    <row r="23" spans="1:7" ht="40.5" x14ac:dyDescent="0.35">
      <c r="A23" s="176" t="s">
        <v>272</v>
      </c>
      <c r="B23" s="105">
        <f>'BS-QB'!B78+'BS-QB'!B83+'BS-QB'!B85+'BS-QB'!B87</f>
        <v>33491.730000000003</v>
      </c>
      <c r="C23" s="127"/>
      <c r="D23" s="105">
        <f>'BS-QB'!D78+'BS-QB'!D83+'BS-QB'!D85+'BS-QB'!D87</f>
        <v>172792.38</v>
      </c>
      <c r="E23" s="175" t="s">
        <v>549</v>
      </c>
      <c r="F23" s="117"/>
      <c r="G23" s="118"/>
    </row>
    <row r="24" spans="1:7" ht="15.75" x14ac:dyDescent="0.35">
      <c r="A24" s="176" t="s">
        <v>273</v>
      </c>
      <c r="B24" s="104">
        <f>'BS-QB'!B89</f>
        <v>0</v>
      </c>
      <c r="C24" s="125"/>
      <c r="D24" s="104">
        <f>'BS-QB'!D89</f>
        <v>0</v>
      </c>
      <c r="E24" s="175"/>
      <c r="F24" s="117"/>
      <c r="G24" s="119"/>
    </row>
    <row r="25" spans="1:7" ht="27" x14ac:dyDescent="0.35">
      <c r="A25" s="176" t="s">
        <v>283</v>
      </c>
      <c r="B25" s="192">
        <f>'BS-QB'!B94+'BS-QB'!B95+'BS-QB'!B88+'BS-QB'!B82</f>
        <v>65833.97</v>
      </c>
      <c r="C25" s="125"/>
      <c r="D25" s="192">
        <f>'BS-QB'!D82+'BS-QB'!D88+'BS-QB'!D94+'BS-QB'!D95</f>
        <v>66297.5</v>
      </c>
      <c r="E25" s="175" t="s">
        <v>550</v>
      </c>
      <c r="F25" s="117"/>
      <c r="G25" s="119"/>
    </row>
    <row r="26" spans="1:7" s="197" customFormat="1" ht="13.5" x14ac:dyDescent="0.35">
      <c r="A26" s="193" t="s">
        <v>274</v>
      </c>
      <c r="B26" s="108">
        <f>SUM(B23:B25)</f>
        <v>99325.700000000012</v>
      </c>
      <c r="C26" s="126"/>
      <c r="D26" s="108">
        <f>SUM(D23:D25)</f>
        <v>239089.88</v>
      </c>
      <c r="E26" s="199"/>
      <c r="F26" s="117"/>
      <c r="G26" s="196"/>
    </row>
    <row r="27" spans="1:7" ht="13.5" x14ac:dyDescent="0.35">
      <c r="A27" s="176"/>
      <c r="B27" s="104"/>
      <c r="C27" s="126"/>
      <c r="D27" s="104"/>
      <c r="E27" s="175"/>
      <c r="F27" s="117"/>
      <c r="G27" s="119"/>
    </row>
    <row r="28" spans="1:7" ht="13.5" x14ac:dyDescent="0.35">
      <c r="A28" s="176" t="s">
        <v>275</v>
      </c>
      <c r="B28" s="192">
        <f>'BS-QB'!B103</f>
        <v>1627876.44</v>
      </c>
      <c r="C28" s="126"/>
      <c r="D28" s="192">
        <f>'BS-QB'!D103</f>
        <v>925938.24</v>
      </c>
      <c r="E28" s="175"/>
      <c r="F28" s="117"/>
      <c r="G28" s="119"/>
    </row>
    <row r="29" spans="1:7" ht="13.5" x14ac:dyDescent="0.35">
      <c r="A29" s="176"/>
      <c r="B29" s="104"/>
      <c r="C29" s="126"/>
      <c r="D29" s="104"/>
      <c r="E29" s="175"/>
      <c r="F29" s="117"/>
      <c r="G29" s="119"/>
    </row>
    <row r="30" spans="1:7" ht="13.5" x14ac:dyDescent="0.35">
      <c r="A30" s="177" t="s">
        <v>276</v>
      </c>
      <c r="B30" s="200">
        <f>B26+B28</f>
        <v>1727202.14</v>
      </c>
      <c r="C30" s="127"/>
      <c r="D30" s="200">
        <f>D26+D28</f>
        <v>1165028.1200000001</v>
      </c>
      <c r="E30" s="172"/>
      <c r="F30" s="117"/>
      <c r="G30" s="120"/>
    </row>
    <row r="31" spans="1:7" ht="13.5" x14ac:dyDescent="0.35">
      <c r="A31" s="170"/>
      <c r="B31" s="107"/>
      <c r="C31" s="127"/>
      <c r="D31" s="107"/>
      <c r="E31" s="172"/>
      <c r="F31" s="117"/>
      <c r="G31" s="118"/>
    </row>
    <row r="32" spans="1:7" ht="13.5" x14ac:dyDescent="0.35">
      <c r="A32" s="170" t="s">
        <v>277</v>
      </c>
      <c r="B32" s="107"/>
      <c r="C32" s="127"/>
      <c r="D32" s="107"/>
      <c r="E32" s="172"/>
      <c r="F32" s="117"/>
      <c r="G32" s="118"/>
    </row>
    <row r="33" spans="1:7" ht="13.5" x14ac:dyDescent="0.35">
      <c r="A33" s="170" t="s">
        <v>278</v>
      </c>
      <c r="B33" s="107">
        <f>'BS-QB'!B106</f>
        <v>242281.60000000001</v>
      </c>
      <c r="C33" s="127"/>
      <c r="D33" s="107">
        <f>'BS-QB'!D106</f>
        <v>413161.24</v>
      </c>
      <c r="E33" s="172"/>
      <c r="F33" s="117"/>
      <c r="G33" s="118"/>
    </row>
    <row r="34" spans="1:7" ht="13.5" x14ac:dyDescent="0.35">
      <c r="A34" s="170" t="s">
        <v>279</v>
      </c>
      <c r="B34" s="201">
        <f>'BS-QB'!B111</f>
        <v>540852.74</v>
      </c>
      <c r="C34" s="127"/>
      <c r="D34" s="201">
        <f>'BS-QB'!D111</f>
        <v>-170879.64</v>
      </c>
      <c r="E34" s="172"/>
      <c r="F34" s="117"/>
      <c r="G34" s="118"/>
    </row>
    <row r="35" spans="1:7" ht="13.5" x14ac:dyDescent="0.35">
      <c r="A35" s="177" t="s">
        <v>280</v>
      </c>
      <c r="B35" s="202">
        <f>SUM(B33:B34)</f>
        <v>783134.34</v>
      </c>
      <c r="C35" s="127"/>
      <c r="D35" s="202">
        <f>SUM(D33:D34)</f>
        <v>242281.59999999998</v>
      </c>
      <c r="E35" s="172"/>
      <c r="F35" s="117"/>
      <c r="G35" s="119"/>
    </row>
    <row r="36" spans="1:7" ht="13.5" x14ac:dyDescent="0.35">
      <c r="A36" s="170"/>
      <c r="B36" s="104"/>
      <c r="C36" s="127"/>
      <c r="D36" s="104"/>
      <c r="E36" s="172"/>
      <c r="F36" s="117"/>
      <c r="G36" s="119"/>
    </row>
    <row r="37" spans="1:7" ht="13.9" thickBot="1" x14ac:dyDescent="0.4">
      <c r="A37" s="177" t="s">
        <v>281</v>
      </c>
      <c r="B37" s="198">
        <f>SUM(B30+B35)</f>
        <v>2510336.48</v>
      </c>
      <c r="C37" s="127"/>
      <c r="D37" s="198">
        <f>SUM(D30+D35)</f>
        <v>1407309.7200000002</v>
      </c>
      <c r="E37" s="183"/>
      <c r="F37" s="117"/>
      <c r="G37" s="120"/>
    </row>
    <row r="38" spans="1:7" ht="15.4" thickTop="1" x14ac:dyDescent="0.35">
      <c r="A38" s="179"/>
      <c r="B38" s="180">
        <f>B17-B37</f>
        <v>0</v>
      </c>
      <c r="C38" s="181"/>
      <c r="D38" s="180">
        <f>D17-D37</f>
        <v>0</v>
      </c>
      <c r="E38" s="182"/>
    </row>
    <row r="39" spans="1:7" x14ac:dyDescent="0.35">
      <c r="A39" s="112"/>
      <c r="B39" s="113"/>
      <c r="E39" s="112"/>
    </row>
    <row r="40" spans="1:7" x14ac:dyDescent="0.35">
      <c r="A40" s="112"/>
      <c r="B40" s="113"/>
      <c r="E40" s="112"/>
    </row>
    <row r="41" spans="1:7" x14ac:dyDescent="0.35">
      <c r="A41" s="112"/>
      <c r="B41" s="113"/>
      <c r="E41" s="112"/>
    </row>
    <row r="42" spans="1:7" x14ac:dyDescent="0.35">
      <c r="B42" s="113"/>
    </row>
    <row r="43" spans="1:7" x14ac:dyDescent="0.35">
      <c r="B43" s="113"/>
    </row>
    <row r="44" spans="1:7" x14ac:dyDescent="0.35">
      <c r="B44" s="113"/>
    </row>
    <row r="45" spans="1:7" x14ac:dyDescent="0.35">
      <c r="B45" s="113"/>
    </row>
  </sheetData>
  <mergeCells count="3">
    <mergeCell ref="A1:E1"/>
    <mergeCell ref="A2:E2"/>
    <mergeCell ref="A3:E3"/>
  </mergeCells>
  <pageMargins left="0.5" right="0.5" top="0.5" bottom="0.5" header="0" footer="0"/>
  <pageSetup scale="80" orientation="portrait" r:id="rId1"/>
  <headerFooter>
    <oddFooter>&amp;C&amp;1#&amp;"arial"&amp;9&amp;K008000 C1 - Internal use</oddFooter>
  </headerFooter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"/>
  <sheetViews>
    <sheetView topLeftCell="A103" workbookViewId="0">
      <selection activeCell="B112" sqref="B112"/>
    </sheetView>
  </sheetViews>
  <sheetFormatPr defaultColWidth="8.73046875" defaultRowHeight="14.25" x14ac:dyDescent="0.45"/>
  <cols>
    <col min="1" max="1" width="55.796875" style="212" customWidth="1"/>
    <col min="2" max="2" width="11.265625" style="212" bestFit="1" customWidth="1"/>
    <col min="3" max="3" width="0.46484375" style="212" customWidth="1"/>
    <col min="4" max="4" width="10.796875" style="212" bestFit="1" customWidth="1"/>
    <col min="5" max="16384" width="8.73046875" style="212"/>
  </cols>
  <sheetData>
    <row r="1" spans="1:4" ht="17.649999999999999" x14ac:dyDescent="0.5">
      <c r="A1" s="376" t="s">
        <v>91</v>
      </c>
      <c r="B1" s="377"/>
    </row>
    <row r="2" spans="1:4" ht="17.649999999999999" x14ac:dyDescent="0.5">
      <c r="A2" s="376" t="s">
        <v>87</v>
      </c>
      <c r="B2" s="377"/>
    </row>
    <row r="3" spans="1:4" x14ac:dyDescent="0.45">
      <c r="A3" s="378"/>
      <c r="B3" s="377"/>
    </row>
    <row r="5" spans="1:4" x14ac:dyDescent="0.45">
      <c r="A5" s="26"/>
      <c r="B5" s="296" t="s">
        <v>512</v>
      </c>
      <c r="D5" s="295" t="s">
        <v>477</v>
      </c>
    </row>
    <row r="6" spans="1:4" x14ac:dyDescent="0.45">
      <c r="A6" s="1" t="s">
        <v>8</v>
      </c>
      <c r="B6" s="264"/>
    </row>
    <row r="7" spans="1:4" x14ac:dyDescent="0.45">
      <c r="A7" s="1" t="s">
        <v>9</v>
      </c>
      <c r="B7" s="264"/>
    </row>
    <row r="8" spans="1:4" x14ac:dyDescent="0.45">
      <c r="A8" s="1" t="s">
        <v>10</v>
      </c>
      <c r="B8" s="264"/>
    </row>
    <row r="9" spans="1:4" x14ac:dyDescent="0.45">
      <c r="A9" s="1" t="s">
        <v>11</v>
      </c>
      <c r="B9" s="264"/>
    </row>
    <row r="10" spans="1:4" x14ac:dyDescent="0.45">
      <c r="A10" s="1" t="s">
        <v>92</v>
      </c>
      <c r="B10" s="302">
        <f>1382789.85</f>
        <v>1382789.85</v>
      </c>
      <c r="D10" s="302">
        <f>737839.57</f>
        <v>737839.57</v>
      </c>
    </row>
    <row r="11" spans="1:4" x14ac:dyDescent="0.45">
      <c r="A11" s="1" t="s">
        <v>207</v>
      </c>
      <c r="B11" s="303"/>
      <c r="D11" s="303"/>
    </row>
    <row r="12" spans="1:4" x14ac:dyDescent="0.45">
      <c r="A12" s="1" t="s">
        <v>93</v>
      </c>
      <c r="B12" s="302">
        <f>2420.98</f>
        <v>2420.98</v>
      </c>
      <c r="D12" s="302">
        <f>4607.56</f>
        <v>4607.5600000000004</v>
      </c>
    </row>
    <row r="13" spans="1:4" x14ac:dyDescent="0.45">
      <c r="A13" s="1" t="s">
        <v>208</v>
      </c>
      <c r="B13" s="302">
        <f>538862.07</f>
        <v>538862.06999999995</v>
      </c>
      <c r="D13" s="302">
        <f>1000.98</f>
        <v>1000.98</v>
      </c>
    </row>
    <row r="14" spans="1:4" x14ac:dyDescent="0.45">
      <c r="A14" s="1" t="s">
        <v>209</v>
      </c>
      <c r="B14" s="302">
        <f>50000</f>
        <v>50000</v>
      </c>
      <c r="D14" s="302">
        <f>20000</f>
        <v>20000</v>
      </c>
    </row>
    <row r="15" spans="1:4" x14ac:dyDescent="0.45">
      <c r="A15" s="1" t="s">
        <v>12</v>
      </c>
      <c r="B15" s="304">
        <f>(((((B9)+(B10))+(B11))+(B12))+(B13))+(B14)</f>
        <v>1974072.9</v>
      </c>
      <c r="D15" s="304">
        <f>(((((D9)+(D10))+(D11))+(D12))+(D13))+(D14)</f>
        <v>763448.11</v>
      </c>
    </row>
    <row r="16" spans="1:4" x14ac:dyDescent="0.45">
      <c r="A16" s="1" t="s">
        <v>210</v>
      </c>
      <c r="B16" s="303"/>
      <c r="D16" s="303"/>
    </row>
    <row r="17" spans="1:4" x14ac:dyDescent="0.45">
      <c r="A17" s="1" t="s">
        <v>88</v>
      </c>
      <c r="B17" s="302">
        <f>0</f>
        <v>0</v>
      </c>
      <c r="D17" s="302">
        <f>900</f>
        <v>900</v>
      </c>
    </row>
    <row r="18" spans="1:4" x14ac:dyDescent="0.45">
      <c r="A18" s="1" t="s">
        <v>13</v>
      </c>
      <c r="B18" s="304">
        <f>((B15)+(B16))+(B17)</f>
        <v>1974072.9</v>
      </c>
      <c r="D18" s="304">
        <f>((D15)+(D16))+(D17)</f>
        <v>764348.11</v>
      </c>
    </row>
    <row r="19" spans="1:4" x14ac:dyDescent="0.45">
      <c r="A19" s="1" t="s">
        <v>211</v>
      </c>
      <c r="B19" s="303"/>
      <c r="D19" s="303"/>
    </row>
    <row r="20" spans="1:4" x14ac:dyDescent="0.45">
      <c r="A20" s="1" t="s">
        <v>212</v>
      </c>
      <c r="B20" s="302">
        <f>0</f>
        <v>0</v>
      </c>
      <c r="D20" s="302">
        <f>0</f>
        <v>0</v>
      </c>
    </row>
    <row r="21" spans="1:4" x14ac:dyDescent="0.45">
      <c r="A21" s="1" t="s">
        <v>213</v>
      </c>
      <c r="B21" s="304">
        <f>B20</f>
        <v>0</v>
      </c>
      <c r="D21" s="304">
        <f>D20</f>
        <v>0</v>
      </c>
    </row>
    <row r="22" spans="1:4" x14ac:dyDescent="0.45">
      <c r="A22" s="1" t="s">
        <v>102</v>
      </c>
      <c r="B22" s="303"/>
      <c r="D22" s="303"/>
    </row>
    <row r="23" spans="1:4" x14ac:dyDescent="0.45">
      <c r="A23" s="1" t="s">
        <v>135</v>
      </c>
      <c r="B23" s="302">
        <f>49020.69</f>
        <v>49020.69</v>
      </c>
      <c r="D23" s="302">
        <f>183357.5</f>
        <v>183357.5</v>
      </c>
    </row>
    <row r="24" spans="1:4" x14ac:dyDescent="0.45">
      <c r="A24" s="1" t="s">
        <v>150</v>
      </c>
      <c r="B24" s="302">
        <f>4288.32</f>
        <v>4288.32</v>
      </c>
      <c r="D24" s="302">
        <f>1655.16</f>
        <v>1655.16</v>
      </c>
    </row>
    <row r="25" spans="1:4" x14ac:dyDescent="0.45">
      <c r="A25" s="1" t="s">
        <v>103</v>
      </c>
      <c r="B25" s="303"/>
      <c r="D25" s="303"/>
    </row>
    <row r="26" spans="1:4" x14ac:dyDescent="0.45">
      <c r="A26" s="1" t="s">
        <v>107</v>
      </c>
      <c r="B26" s="302">
        <f>85210.5</f>
        <v>85210.5</v>
      </c>
      <c r="D26" s="302">
        <f>5727.5</f>
        <v>5727.5</v>
      </c>
    </row>
    <row r="27" spans="1:4" x14ac:dyDescent="0.45">
      <c r="A27" s="1" t="s">
        <v>136</v>
      </c>
      <c r="B27" s="302">
        <f>0</f>
        <v>0</v>
      </c>
      <c r="D27" s="302">
        <f>0</f>
        <v>0</v>
      </c>
    </row>
    <row r="28" spans="1:4" x14ac:dyDescent="0.45">
      <c r="A28" s="1" t="s">
        <v>104</v>
      </c>
      <c r="B28" s="302">
        <f>0</f>
        <v>0</v>
      </c>
      <c r="D28" s="302">
        <f>0</f>
        <v>0</v>
      </c>
    </row>
    <row r="29" spans="1:4" x14ac:dyDescent="0.45">
      <c r="A29" s="1" t="s">
        <v>214</v>
      </c>
      <c r="B29" s="303"/>
      <c r="D29" s="303"/>
    </row>
    <row r="30" spans="1:4" x14ac:dyDescent="0.45">
      <c r="A30" s="1" t="s">
        <v>105</v>
      </c>
      <c r="B30" s="304">
        <f>((((B25)+(B26))+(B27))+(B28))+(B29)</f>
        <v>85210.5</v>
      </c>
      <c r="D30" s="304">
        <f>((((D25)+(D26))+(D27))+(D28))+(D29)</f>
        <v>5727.5</v>
      </c>
    </row>
    <row r="31" spans="1:4" x14ac:dyDescent="0.45">
      <c r="A31" s="1" t="s">
        <v>215</v>
      </c>
      <c r="B31" s="302">
        <f>93750</f>
        <v>93750</v>
      </c>
      <c r="D31" s="302">
        <f>93750</f>
        <v>93750</v>
      </c>
    </row>
    <row r="32" spans="1:4" x14ac:dyDescent="0.45">
      <c r="A32" s="1" t="s">
        <v>216</v>
      </c>
      <c r="B32" s="303"/>
      <c r="D32" s="303"/>
    </row>
    <row r="33" spans="1:4" x14ac:dyDescent="0.45">
      <c r="A33" s="1" t="s">
        <v>217</v>
      </c>
      <c r="B33" s="303"/>
      <c r="D33" s="303"/>
    </row>
    <row r="34" spans="1:4" x14ac:dyDescent="0.45">
      <c r="A34" s="1" t="s">
        <v>218</v>
      </c>
      <c r="B34" s="303"/>
      <c r="D34" s="303"/>
    </row>
    <row r="35" spans="1:4" s="308" customFormat="1" x14ac:dyDescent="0.45">
      <c r="A35" s="282" t="s">
        <v>534</v>
      </c>
      <c r="B35" s="303"/>
      <c r="D35" s="303"/>
    </row>
    <row r="36" spans="1:4" x14ac:dyDescent="0.45">
      <c r="A36" s="1" t="s">
        <v>106</v>
      </c>
      <c r="B36" s="304">
        <f>(((((((B23)+(B24))+(B30))+(B31))+(B32))+(B33))+(B34))+(B35)</f>
        <v>232269.51</v>
      </c>
      <c r="D36" s="304">
        <f>((((((D23)+(D24))+(D30))+(D31))+(D32))+(D33))+(D34)</f>
        <v>284490.16000000003</v>
      </c>
    </row>
    <row r="37" spans="1:4" x14ac:dyDescent="0.45">
      <c r="A37" s="1" t="s">
        <v>14</v>
      </c>
      <c r="B37" s="304">
        <f>((B18)+(B21))+(B36)</f>
        <v>2206342.41</v>
      </c>
      <c r="D37" s="304">
        <f>((D18)+(D21))+(D36)</f>
        <v>1048838.27</v>
      </c>
    </row>
    <row r="38" spans="1:4" x14ac:dyDescent="0.45">
      <c r="A38" s="1" t="s">
        <v>151</v>
      </c>
      <c r="B38" s="303"/>
      <c r="D38" s="303"/>
    </row>
    <row r="39" spans="1:4" x14ac:dyDescent="0.45">
      <c r="A39" s="1" t="s">
        <v>219</v>
      </c>
      <c r="B39" s="303"/>
      <c r="D39" s="303"/>
    </row>
    <row r="40" spans="1:4" x14ac:dyDescent="0.45">
      <c r="A40" s="1" t="s">
        <v>220</v>
      </c>
      <c r="B40" s="303"/>
      <c r="D40" s="303"/>
    </row>
    <row r="41" spans="1:4" x14ac:dyDescent="0.45">
      <c r="A41" s="1" t="s">
        <v>221</v>
      </c>
      <c r="B41" s="302">
        <f>21901.23</f>
        <v>21901.23</v>
      </c>
      <c r="D41" s="302">
        <f>21901.23</f>
        <v>21901.23</v>
      </c>
    </row>
    <row r="42" spans="1:4" x14ac:dyDescent="0.45">
      <c r="A42" s="1" t="s">
        <v>222</v>
      </c>
      <c r="B42" s="302">
        <f>-5543.23</f>
        <v>-5543.23</v>
      </c>
      <c r="D42" s="302">
        <f>-2414.47</f>
        <v>-2414.4699999999998</v>
      </c>
    </row>
    <row r="43" spans="1:4" x14ac:dyDescent="0.45">
      <c r="A43" s="1" t="s">
        <v>223</v>
      </c>
      <c r="B43" s="303"/>
      <c r="D43" s="303"/>
    </row>
    <row r="44" spans="1:4" x14ac:dyDescent="0.45">
      <c r="A44" s="1" t="s">
        <v>224</v>
      </c>
      <c r="B44" s="304">
        <f>((((B39)+(B40))+(B41))+(B42))+(B43)</f>
        <v>16358</v>
      </c>
      <c r="D44" s="304">
        <f>((((D39)+(D40))+(D41))+(D42))+(D43)</f>
        <v>19486.759999999998</v>
      </c>
    </row>
    <row r="45" spans="1:4" x14ac:dyDescent="0.45">
      <c r="A45" s="1" t="s">
        <v>225</v>
      </c>
      <c r="B45" s="303"/>
      <c r="D45" s="303"/>
    </row>
    <row r="46" spans="1:4" x14ac:dyDescent="0.45">
      <c r="A46" s="1" t="s">
        <v>159</v>
      </c>
      <c r="B46" s="303"/>
      <c r="D46" s="303"/>
    </row>
    <row r="47" spans="1:4" x14ac:dyDescent="0.45">
      <c r="A47" s="1" t="s">
        <v>226</v>
      </c>
      <c r="B47" s="302">
        <f>91912.27</f>
        <v>91912.27</v>
      </c>
      <c r="D47" s="302">
        <f>83812.27</f>
        <v>83812.27</v>
      </c>
    </row>
    <row r="48" spans="1:4" x14ac:dyDescent="0.45">
      <c r="A48" s="1" t="s">
        <v>227</v>
      </c>
      <c r="B48" s="302">
        <f>-16889.67</f>
        <v>-16889.669999999998</v>
      </c>
      <c r="D48" s="302">
        <f>-4916.43</f>
        <v>-4916.43</v>
      </c>
    </row>
    <row r="49" spans="1:4" x14ac:dyDescent="0.45">
      <c r="A49" s="1" t="s">
        <v>228</v>
      </c>
      <c r="B49" s="304">
        <f>(((B45)+(B46))+(B47))+(B48)</f>
        <v>75022.600000000006</v>
      </c>
      <c r="D49" s="304">
        <f>(((D45)+(D46))+(D47))+(D48)</f>
        <v>78895.839999999997</v>
      </c>
    </row>
    <row r="50" spans="1:4" x14ac:dyDescent="0.45">
      <c r="A50" s="1" t="s">
        <v>229</v>
      </c>
      <c r="B50" s="303"/>
      <c r="D50" s="303"/>
    </row>
    <row r="51" spans="1:4" x14ac:dyDescent="0.45">
      <c r="A51" s="1" t="s">
        <v>230</v>
      </c>
      <c r="B51" s="302">
        <f>45295</f>
        <v>45295</v>
      </c>
      <c r="D51" s="302">
        <f>34891</f>
        <v>34891</v>
      </c>
    </row>
    <row r="52" spans="1:4" x14ac:dyDescent="0.45">
      <c r="A52" s="1" t="s">
        <v>165</v>
      </c>
      <c r="B52" s="302">
        <f>23313.15</f>
        <v>23313.15</v>
      </c>
      <c r="D52" s="302">
        <f>23313.15</f>
        <v>23313.15</v>
      </c>
    </row>
    <row r="53" spans="1:4" x14ac:dyDescent="0.45">
      <c r="A53" s="1" t="s">
        <v>231</v>
      </c>
      <c r="B53" s="302">
        <f>1705</f>
        <v>1705</v>
      </c>
      <c r="D53" s="302">
        <f>1705</f>
        <v>1705</v>
      </c>
    </row>
    <row r="54" spans="1:4" x14ac:dyDescent="0.45">
      <c r="A54" s="1" t="s">
        <v>232</v>
      </c>
      <c r="B54" s="302">
        <f>9410</f>
        <v>9410</v>
      </c>
      <c r="D54" s="302">
        <f>9410</f>
        <v>9410</v>
      </c>
    </row>
    <row r="55" spans="1:4" x14ac:dyDescent="0.45">
      <c r="A55" s="1" t="s">
        <v>233</v>
      </c>
      <c r="B55" s="302">
        <f>9245</f>
        <v>9245</v>
      </c>
      <c r="D55" s="302">
        <f>9245</f>
        <v>9245</v>
      </c>
    </row>
    <row r="56" spans="1:4" x14ac:dyDescent="0.45">
      <c r="A56" s="1" t="s">
        <v>234</v>
      </c>
      <c r="B56" s="303"/>
      <c r="D56" s="303"/>
    </row>
    <row r="57" spans="1:4" x14ac:dyDescent="0.45">
      <c r="A57" s="1" t="s">
        <v>235</v>
      </c>
      <c r="B57" s="303"/>
      <c r="D57" s="303"/>
    </row>
    <row r="58" spans="1:4" x14ac:dyDescent="0.45">
      <c r="A58" s="1" t="s">
        <v>236</v>
      </c>
      <c r="B58" s="302">
        <f>21005</f>
        <v>21005</v>
      </c>
      <c r="D58" s="302">
        <f>21005</f>
        <v>21005</v>
      </c>
    </row>
    <row r="59" spans="1:4" x14ac:dyDescent="0.45">
      <c r="A59" s="1" t="s">
        <v>166</v>
      </c>
      <c r="B59" s="302">
        <f>13738</f>
        <v>13738</v>
      </c>
      <c r="D59" s="302">
        <f>13738</f>
        <v>13738</v>
      </c>
    </row>
    <row r="60" spans="1:4" x14ac:dyDescent="0.45">
      <c r="A60" s="1" t="s">
        <v>237</v>
      </c>
      <c r="B60" s="303"/>
      <c r="D60" s="303"/>
    </row>
    <row r="61" spans="1:4" x14ac:dyDescent="0.45">
      <c r="A61" s="1" t="s">
        <v>238</v>
      </c>
      <c r="B61" s="303"/>
      <c r="D61" s="303"/>
    </row>
    <row r="62" spans="1:4" x14ac:dyDescent="0.45">
      <c r="A62" s="1" t="s">
        <v>239</v>
      </c>
      <c r="B62" s="302">
        <f>19562</f>
        <v>19562</v>
      </c>
      <c r="D62" s="302">
        <f>19562</f>
        <v>19562</v>
      </c>
    </row>
    <row r="63" spans="1:4" x14ac:dyDescent="0.45">
      <c r="A63" s="1" t="s">
        <v>240</v>
      </c>
      <c r="B63" s="302">
        <f>-79249.02</f>
        <v>-79249.02</v>
      </c>
      <c r="D63" s="302">
        <f>-31780.3</f>
        <v>-31780.3</v>
      </c>
    </row>
    <row r="64" spans="1:4" x14ac:dyDescent="0.45">
      <c r="A64" s="1" t="s">
        <v>241</v>
      </c>
      <c r="B64" s="304">
        <f>(((((((((((((B50)+(B51))+(B52))+(B53))+(B54))+(B55))+(B56))+(B57))+(B58))+(B59))+(B60))+(B61))+(B62))+(B63)</f>
        <v>64024.12999999999</v>
      </c>
      <c r="D64" s="304">
        <f>(((((((((((((D50)+(D51))+(D52))+(D53))+(D54))+(D55))+(D56))+(D57))+(D58))+(D59))+(D60))+(D61))+(D62))+(D63)</f>
        <v>101088.84999999999</v>
      </c>
    </row>
    <row r="65" spans="1:4" x14ac:dyDescent="0.45">
      <c r="A65" s="1" t="s">
        <v>242</v>
      </c>
      <c r="B65" s="303"/>
      <c r="D65" s="303"/>
    </row>
    <row r="66" spans="1:4" x14ac:dyDescent="0.45">
      <c r="A66" s="1" t="s">
        <v>505</v>
      </c>
      <c r="B66" s="302">
        <f>0</f>
        <v>0</v>
      </c>
      <c r="D66" s="302">
        <f>159000</f>
        <v>159000</v>
      </c>
    </row>
    <row r="67" spans="1:4" x14ac:dyDescent="0.45">
      <c r="A67" s="1" t="s">
        <v>243</v>
      </c>
      <c r="B67" s="302">
        <f>159000</f>
        <v>159000</v>
      </c>
      <c r="D67" s="303"/>
    </row>
    <row r="68" spans="1:4" x14ac:dyDescent="0.45">
      <c r="A68" s="1" t="s">
        <v>481</v>
      </c>
      <c r="B68" s="302">
        <f>-10410.66</f>
        <v>-10410.66</v>
      </c>
      <c r="D68" s="303"/>
    </row>
    <row r="69" spans="1:4" x14ac:dyDescent="0.45">
      <c r="A69" s="1" t="s">
        <v>244</v>
      </c>
      <c r="B69" s="304">
        <f>(((B65)+(B66))+(B67))+(B68)</f>
        <v>148589.34</v>
      </c>
      <c r="D69" s="304">
        <f>(((D65)+(D66))+(D67))+(D68)</f>
        <v>159000</v>
      </c>
    </row>
    <row r="70" spans="1:4" x14ac:dyDescent="0.45">
      <c r="A70" s="1" t="s">
        <v>245</v>
      </c>
      <c r="B70" s="303"/>
      <c r="D70" s="303"/>
    </row>
    <row r="71" spans="1:4" x14ac:dyDescent="0.45">
      <c r="A71" s="1" t="s">
        <v>152</v>
      </c>
      <c r="B71" s="304">
        <f>((((B44)+(B49))+(B64))+(B69))+(B70)</f>
        <v>303994.06999999995</v>
      </c>
      <c r="D71" s="304">
        <f>((((D44)+(D49))+(D64))+(D69))+(D70)</f>
        <v>358471.44999999995</v>
      </c>
    </row>
    <row r="72" spans="1:4" x14ac:dyDescent="0.45">
      <c r="A72" s="1" t="s">
        <v>15</v>
      </c>
      <c r="B72" s="304">
        <f>(B37)+(B71)</f>
        <v>2510336.48</v>
      </c>
      <c r="D72" s="304">
        <f>(D37)+(D71)</f>
        <v>1407309.72</v>
      </c>
    </row>
    <row r="73" spans="1:4" x14ac:dyDescent="0.45">
      <c r="A73" s="1" t="s">
        <v>16</v>
      </c>
      <c r="B73" s="303"/>
      <c r="D73" s="303"/>
    </row>
    <row r="74" spans="1:4" x14ac:dyDescent="0.45">
      <c r="A74" s="1" t="s">
        <v>17</v>
      </c>
      <c r="B74" s="303"/>
      <c r="D74" s="303"/>
    </row>
    <row r="75" spans="1:4" x14ac:dyDescent="0.45">
      <c r="A75" s="1" t="s">
        <v>18</v>
      </c>
      <c r="B75" s="303"/>
      <c r="D75" s="303"/>
    </row>
    <row r="76" spans="1:4" x14ac:dyDescent="0.45">
      <c r="A76" s="1" t="s">
        <v>19</v>
      </c>
      <c r="B76" s="303"/>
      <c r="D76" s="303"/>
    </row>
    <row r="77" spans="1:4" x14ac:dyDescent="0.45">
      <c r="A77" s="1" t="s">
        <v>28</v>
      </c>
      <c r="B77" s="302">
        <f>45591.73-6000-6600</f>
        <v>32991.730000000003</v>
      </c>
      <c r="D77" s="302">
        <f>139392.1</f>
        <v>139392.1</v>
      </c>
    </row>
    <row r="78" spans="1:4" x14ac:dyDescent="0.45">
      <c r="A78" s="1" t="s">
        <v>20</v>
      </c>
      <c r="B78" s="304">
        <f>B77</f>
        <v>32991.730000000003</v>
      </c>
      <c r="D78" s="304">
        <f>D77</f>
        <v>139392.1</v>
      </c>
    </row>
    <row r="79" spans="1:4" x14ac:dyDescent="0.45">
      <c r="A79" s="1" t="s">
        <v>21</v>
      </c>
      <c r="B79" s="303"/>
      <c r="D79" s="303"/>
    </row>
    <row r="80" spans="1:4" x14ac:dyDescent="0.45">
      <c r="A80" s="1" t="s">
        <v>246</v>
      </c>
      <c r="B80" s="303"/>
      <c r="D80" s="303"/>
    </row>
    <row r="81" spans="1:4" x14ac:dyDescent="0.45">
      <c r="A81" s="1" t="s">
        <v>247</v>
      </c>
      <c r="B81" s="303"/>
      <c r="D81" s="303"/>
    </row>
    <row r="82" spans="1:4" x14ac:dyDescent="0.45">
      <c r="A82" s="1" t="s">
        <v>248</v>
      </c>
      <c r="B82" s="302">
        <f>64763.63</f>
        <v>64763.63</v>
      </c>
      <c r="D82" s="302">
        <f>62848.76</f>
        <v>62848.76</v>
      </c>
    </row>
    <row r="83" spans="1:4" x14ac:dyDescent="0.45">
      <c r="A83" s="1" t="s">
        <v>249</v>
      </c>
      <c r="B83" s="302">
        <f>500</f>
        <v>500</v>
      </c>
      <c r="D83" s="302">
        <f>28630.87</f>
        <v>28630.87</v>
      </c>
    </row>
    <row r="84" spans="1:4" x14ac:dyDescent="0.45">
      <c r="A84" s="1" t="s">
        <v>250</v>
      </c>
      <c r="B84" s="304">
        <f>((B81)+(B82))+(B83)</f>
        <v>65263.63</v>
      </c>
      <c r="D84" s="304">
        <f>((D81)+(D82))+(D83)</f>
        <v>91479.63</v>
      </c>
    </row>
    <row r="85" spans="1:4" x14ac:dyDescent="0.45">
      <c r="A85" s="1" t="s">
        <v>90</v>
      </c>
      <c r="B85" s="302">
        <f>0</f>
        <v>0</v>
      </c>
      <c r="D85" s="302">
        <f>4365.66</f>
        <v>4365.66</v>
      </c>
    </row>
    <row r="86" spans="1:4" x14ac:dyDescent="0.45">
      <c r="A86" s="1" t="s">
        <v>482</v>
      </c>
      <c r="B86" s="302">
        <f>0</f>
        <v>0</v>
      </c>
      <c r="D86" s="302">
        <f>0</f>
        <v>0</v>
      </c>
    </row>
    <row r="87" spans="1:4" x14ac:dyDescent="0.45">
      <c r="A87" s="23" t="s">
        <v>519</v>
      </c>
      <c r="B87" s="302">
        <f>0</f>
        <v>0</v>
      </c>
      <c r="C87" s="293"/>
      <c r="D87" s="302">
        <f>403.75</f>
        <v>403.75</v>
      </c>
    </row>
    <row r="88" spans="1:4" x14ac:dyDescent="0.45">
      <c r="A88" s="1" t="s">
        <v>483</v>
      </c>
      <c r="B88" s="302">
        <f>322</f>
        <v>322</v>
      </c>
      <c r="D88" s="302">
        <f>2368.85</f>
        <v>2368.85</v>
      </c>
    </row>
    <row r="89" spans="1:4" x14ac:dyDescent="0.45">
      <c r="A89" s="1" t="s">
        <v>167</v>
      </c>
      <c r="B89" s="302">
        <f>0</f>
        <v>0</v>
      </c>
      <c r="D89" s="302">
        <f>0</f>
        <v>0</v>
      </c>
    </row>
    <row r="90" spans="1:4" x14ac:dyDescent="0.45">
      <c r="A90" s="1" t="s">
        <v>251</v>
      </c>
      <c r="B90" s="303"/>
      <c r="D90" s="303"/>
    </row>
    <row r="91" spans="1:4" x14ac:dyDescent="0.45">
      <c r="A91" s="1" t="s">
        <v>252</v>
      </c>
      <c r="B91" s="303"/>
      <c r="D91" s="303"/>
    </row>
    <row r="92" spans="1:4" x14ac:dyDescent="0.45">
      <c r="A92" s="1" t="s">
        <v>253</v>
      </c>
      <c r="B92" s="303"/>
      <c r="D92" s="303"/>
    </row>
    <row r="93" spans="1:4" x14ac:dyDescent="0.45">
      <c r="A93" s="1" t="s">
        <v>254</v>
      </c>
      <c r="B93" s="304">
        <f>((B90)+(B91))+(B92)</f>
        <v>0</v>
      </c>
      <c r="D93" s="304">
        <f>((D90)+(D91))+(D92)</f>
        <v>0</v>
      </c>
    </row>
    <row r="94" spans="1:4" x14ac:dyDescent="0.45">
      <c r="A94" s="1" t="s">
        <v>168</v>
      </c>
      <c r="B94" s="302">
        <f>486.34</f>
        <v>486.34</v>
      </c>
      <c r="D94" s="302">
        <f>609.61</f>
        <v>609.61</v>
      </c>
    </row>
    <row r="95" spans="1:4" x14ac:dyDescent="0.45">
      <c r="A95" s="1" t="s">
        <v>169</v>
      </c>
      <c r="B95" s="302">
        <f>262</f>
        <v>262</v>
      </c>
      <c r="D95" s="302">
        <f>470.28</f>
        <v>470.28</v>
      </c>
    </row>
    <row r="96" spans="1:4" x14ac:dyDescent="0.45">
      <c r="A96" s="1" t="s">
        <v>22</v>
      </c>
      <c r="B96" s="304">
        <f>(((((((((B80)+(B84))+(B85))+(B86))+(B87))+(B88))+(B89))+(B93))+(B94))+(B95)</f>
        <v>66333.97</v>
      </c>
      <c r="D96" s="304">
        <f>(((((((((D80)+(D84))+(D85))+(D86))+(D87))+(D88))+(D89))+(D93))+(D94))+(D95)</f>
        <v>99697.780000000013</v>
      </c>
    </row>
    <row r="97" spans="1:4" x14ac:dyDescent="0.45">
      <c r="A97" s="1" t="s">
        <v>23</v>
      </c>
      <c r="B97" s="304">
        <f>(B78)+(B96)</f>
        <v>99325.700000000012</v>
      </c>
      <c r="D97" s="304">
        <f>(D78)+(D96)</f>
        <v>239089.88</v>
      </c>
    </row>
    <row r="98" spans="1:4" x14ac:dyDescent="0.45">
      <c r="A98" s="1" t="s">
        <v>255</v>
      </c>
      <c r="B98" s="303"/>
      <c r="D98" s="303"/>
    </row>
    <row r="99" spans="1:4" x14ac:dyDescent="0.45">
      <c r="A99" s="1" t="s">
        <v>256</v>
      </c>
      <c r="B99" s="303"/>
      <c r="D99" s="303"/>
    </row>
    <row r="100" spans="1:4" x14ac:dyDescent="0.45">
      <c r="A100" s="1" t="s">
        <v>257</v>
      </c>
      <c r="B100" s="303"/>
      <c r="D100" s="303"/>
    </row>
    <row r="101" spans="1:4" x14ac:dyDescent="0.45">
      <c r="A101" s="1" t="s">
        <v>258</v>
      </c>
      <c r="B101" s="304">
        <f>(B99)+(B100)</f>
        <v>0</v>
      </c>
      <c r="D101" s="304">
        <f>(D99)+(D100)</f>
        <v>0</v>
      </c>
    </row>
    <row r="102" spans="1:4" x14ac:dyDescent="0.45">
      <c r="A102" s="1" t="s">
        <v>170</v>
      </c>
      <c r="B102" s="302">
        <f>1627876.44</f>
        <v>1627876.44</v>
      </c>
      <c r="D102" s="302">
        <f>925938.24</f>
        <v>925938.24</v>
      </c>
    </row>
    <row r="103" spans="1:4" x14ac:dyDescent="0.45">
      <c r="A103" s="1" t="s">
        <v>171</v>
      </c>
      <c r="B103" s="304">
        <f>(B101)+(B102)</f>
        <v>1627876.44</v>
      </c>
      <c r="D103" s="304">
        <f>(D101)+(D102)</f>
        <v>925938.24</v>
      </c>
    </row>
    <row r="104" spans="1:4" x14ac:dyDescent="0.45">
      <c r="A104" s="1" t="s">
        <v>24</v>
      </c>
      <c r="B104" s="304">
        <f>(B97)+(B103)</f>
        <v>1727202.14</v>
      </c>
      <c r="D104" s="304">
        <f>(D97)+(D103)</f>
        <v>1165028.1200000001</v>
      </c>
    </row>
    <row r="105" spans="1:4" s="281" customFormat="1" x14ac:dyDescent="0.45">
      <c r="A105" s="1" t="s">
        <v>25</v>
      </c>
      <c r="B105" s="303"/>
      <c r="C105" s="212"/>
      <c r="D105" s="303"/>
    </row>
    <row r="106" spans="1:4" s="281" customFormat="1" x14ac:dyDescent="0.45">
      <c r="A106" s="282" t="s">
        <v>515</v>
      </c>
      <c r="B106" s="302">
        <f>242281.6</f>
        <v>242281.60000000001</v>
      </c>
      <c r="D106" s="302">
        <f>413161.24</f>
        <v>413161.24</v>
      </c>
    </row>
    <row r="107" spans="1:4" x14ac:dyDescent="0.45">
      <c r="A107" s="282" t="s">
        <v>516</v>
      </c>
      <c r="B107" s="303"/>
      <c r="C107" s="281"/>
      <c r="D107" s="303"/>
    </row>
    <row r="108" spans="1:4" x14ac:dyDescent="0.45">
      <c r="A108" s="1" t="s">
        <v>259</v>
      </c>
      <c r="B108" s="303"/>
      <c r="D108" s="303"/>
    </row>
    <row r="109" spans="1:4" x14ac:dyDescent="0.45">
      <c r="A109" s="1" t="s">
        <v>260</v>
      </c>
      <c r="B109" s="303"/>
      <c r="D109" s="303"/>
    </row>
    <row r="110" spans="1:4" x14ac:dyDescent="0.45">
      <c r="A110" s="1" t="s">
        <v>261</v>
      </c>
      <c r="B110" s="303"/>
      <c r="D110" s="303"/>
    </row>
    <row r="111" spans="1:4" x14ac:dyDescent="0.45">
      <c r="A111" s="1" t="s">
        <v>89</v>
      </c>
      <c r="B111" s="302">
        <f>528252.74+6000+6600</f>
        <v>540852.74</v>
      </c>
      <c r="D111" s="302">
        <f>-170879.64</f>
        <v>-170879.64</v>
      </c>
    </row>
    <row r="112" spans="1:4" x14ac:dyDescent="0.45">
      <c r="A112" s="1" t="s">
        <v>26</v>
      </c>
      <c r="B112" s="304">
        <f>(((((B106)+(B107))+(B108))+(B109))+(B110))+(B111)</f>
        <v>783134.34</v>
      </c>
      <c r="D112" s="304">
        <f>(((((D106)+(D107))+(D108))+(D109))+(D110))+(D111)</f>
        <v>242281.59999999998</v>
      </c>
    </row>
    <row r="113" spans="1:4" x14ac:dyDescent="0.45">
      <c r="A113" s="1" t="s">
        <v>27</v>
      </c>
      <c r="B113" s="304">
        <f>(B104)+(B112)</f>
        <v>2510336.48</v>
      </c>
      <c r="D113" s="304">
        <f>(D104)+(D112)</f>
        <v>1407309.7200000002</v>
      </c>
    </row>
    <row r="114" spans="1:4" x14ac:dyDescent="0.45">
      <c r="A114" s="210"/>
      <c r="B114" s="211"/>
    </row>
    <row r="115" spans="1:4" x14ac:dyDescent="0.45">
      <c r="B115" s="331">
        <f>B72-B113</f>
        <v>0</v>
      </c>
      <c r="D115" s="331">
        <f>C72-C113</f>
        <v>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M42"/>
  <sheetViews>
    <sheetView topLeftCell="A7" zoomScale="90" zoomScaleNormal="90" workbookViewId="0">
      <selection activeCell="M13" sqref="M13"/>
    </sheetView>
  </sheetViews>
  <sheetFormatPr defaultColWidth="8.796875" defaultRowHeight="15" x14ac:dyDescent="0.4"/>
  <cols>
    <col min="1" max="1" width="46.46484375" style="134" customWidth="1" collapsed="1"/>
    <col min="2" max="2" width="1.46484375" style="135" customWidth="1"/>
    <col min="3" max="3" width="17.53125" style="136" customWidth="1"/>
    <col min="4" max="4" width="18.19921875" style="136" bestFit="1" customWidth="1"/>
    <col min="5" max="5" width="13.796875" style="136" customWidth="1"/>
    <col min="6" max="6" width="16.06640625" style="136" hidden="1" customWidth="1"/>
    <col min="7" max="7" width="16.06640625" style="137" hidden="1" customWidth="1"/>
    <col min="8" max="8" width="0.46484375" style="137" customWidth="1"/>
    <col min="9" max="9" width="14.19921875" style="136" customWidth="1"/>
    <col min="10" max="10" width="1.46484375" style="138" customWidth="1"/>
    <col min="11" max="11" width="55" style="139" hidden="1" customWidth="1"/>
    <col min="12" max="16384" width="8.796875" style="110"/>
  </cols>
  <sheetData>
    <row r="1" spans="1:13" ht="27.75" x14ac:dyDescent="0.35">
      <c r="A1" s="380" t="s">
        <v>91</v>
      </c>
      <c r="B1" s="381"/>
      <c r="C1" s="381"/>
      <c r="D1" s="381"/>
      <c r="E1" s="381"/>
      <c r="F1" s="381"/>
      <c r="G1" s="381"/>
      <c r="H1" s="381"/>
      <c r="I1" s="382"/>
      <c r="J1" s="128"/>
      <c r="K1" s="129"/>
    </row>
    <row r="2" spans="1:13" ht="22.9" x14ac:dyDescent="0.5">
      <c r="A2" s="383" t="s">
        <v>478</v>
      </c>
      <c r="B2" s="384"/>
      <c r="C2" s="384"/>
      <c r="D2" s="384"/>
      <c r="E2" s="384"/>
      <c r="F2" s="384"/>
      <c r="G2" s="384"/>
      <c r="H2" s="384"/>
      <c r="I2" s="385"/>
      <c r="J2" s="130"/>
      <c r="K2" s="131"/>
    </row>
    <row r="3" spans="1:13" ht="32.25" customHeight="1" thickBot="1" x14ac:dyDescent="0.55000000000000004">
      <c r="A3" s="373">
        <f>Indicators!B3</f>
        <v>44377</v>
      </c>
      <c r="B3" s="374"/>
      <c r="C3" s="374"/>
      <c r="D3" s="374"/>
      <c r="E3" s="374"/>
      <c r="F3" s="374"/>
      <c r="G3" s="374"/>
      <c r="H3" s="374"/>
      <c r="I3" s="375"/>
      <c r="J3" s="132"/>
      <c r="K3" s="133"/>
    </row>
    <row r="4" spans="1:13" s="142" customFormat="1" ht="13.15" thickBot="1" x14ac:dyDescent="0.4">
      <c r="A4" s="230"/>
      <c r="B4" s="231"/>
      <c r="C4" s="379" t="s">
        <v>513</v>
      </c>
      <c r="D4" s="379"/>
      <c r="E4" s="379"/>
      <c r="F4" s="386" t="s">
        <v>510</v>
      </c>
      <c r="G4" s="386"/>
      <c r="H4" s="236"/>
      <c r="I4" s="341"/>
      <c r="J4" s="140"/>
      <c r="K4" s="141"/>
    </row>
    <row r="5" spans="1:13" s="142" customFormat="1" ht="38.65" thickBot="1" x14ac:dyDescent="0.4">
      <c r="A5" s="158"/>
      <c r="B5" s="143"/>
      <c r="C5" s="258" t="s">
        <v>552</v>
      </c>
      <c r="D5" s="258" t="s">
        <v>514</v>
      </c>
      <c r="E5" s="258" t="s">
        <v>2</v>
      </c>
      <c r="F5" s="255" t="s">
        <v>514</v>
      </c>
      <c r="G5" s="256" t="s">
        <v>562</v>
      </c>
      <c r="H5" s="237"/>
      <c r="I5" s="342" t="s">
        <v>511</v>
      </c>
      <c r="J5" s="144"/>
      <c r="K5" s="145" t="s">
        <v>7</v>
      </c>
      <c r="M5" s="307"/>
    </row>
    <row r="6" spans="1:13" s="142" customFormat="1" ht="12.75" x14ac:dyDescent="0.35">
      <c r="A6" s="159" t="s">
        <v>3</v>
      </c>
      <c r="B6" s="146"/>
      <c r="C6" s="147"/>
      <c r="D6" s="147"/>
      <c r="E6" s="147"/>
      <c r="F6" s="160"/>
      <c r="G6" s="147"/>
      <c r="H6" s="238"/>
      <c r="I6" s="160"/>
      <c r="J6" s="148"/>
      <c r="K6" s="149"/>
      <c r="M6" s="307"/>
    </row>
    <row r="7" spans="1:13" s="142" customFormat="1" ht="12.75" x14ac:dyDescent="0.35">
      <c r="A7" s="159" t="s">
        <v>172</v>
      </c>
      <c r="B7" s="146"/>
      <c r="C7" s="150">
        <f>'Budget Vs. Actuals Detail'!F31</f>
        <v>3778055.58</v>
      </c>
      <c r="D7" s="150">
        <f>('Budget Vs. Actuals Detail'!E31/12)*12</f>
        <v>3786809.4000000004</v>
      </c>
      <c r="E7" s="150">
        <f>C7-D7</f>
        <v>-8753.820000000298</v>
      </c>
      <c r="F7" s="232">
        <f>'Budget Vs. Actuals Detail'!E31</f>
        <v>3786809.4</v>
      </c>
      <c r="G7" s="268">
        <f>C7/F7</f>
        <v>0.99768833889553565</v>
      </c>
      <c r="H7" s="239"/>
      <c r="I7" s="232">
        <f>'Budget Vs. Actuals Detail'!C31</f>
        <v>2597598.4699999997</v>
      </c>
      <c r="J7" s="148"/>
      <c r="K7" s="149"/>
      <c r="M7" s="307"/>
    </row>
    <row r="8" spans="1:13" s="142" customFormat="1" ht="12.75" x14ac:dyDescent="0.35">
      <c r="A8" s="159" t="s">
        <v>53</v>
      </c>
      <c r="B8" s="146"/>
      <c r="C8" s="209">
        <f>'Budget Vs. Actuals Detail'!F41</f>
        <v>162203.19</v>
      </c>
      <c r="D8" s="209">
        <f>('Budget Vs. Actuals Detail'!E41/12)*12</f>
        <v>112524</v>
      </c>
      <c r="E8" s="209">
        <f>C8-D8</f>
        <v>49679.19</v>
      </c>
      <c r="F8" s="234">
        <f>'Budget Vs. Actuals Detail'!E41</f>
        <v>112524</v>
      </c>
      <c r="G8" s="268">
        <f t="shared" ref="G8:G10" si="0">C8/F8</f>
        <v>1.4414986136290924</v>
      </c>
      <c r="H8" s="239"/>
      <c r="I8" s="161">
        <f>'Budget Vs. Actuals Detail'!C41</f>
        <v>479746.79000000004</v>
      </c>
      <c r="J8" s="148"/>
      <c r="K8" s="151"/>
    </row>
    <row r="9" spans="1:13" s="142" customFormat="1" ht="12.75" x14ac:dyDescent="0.35">
      <c r="A9" s="159" t="s">
        <v>55</v>
      </c>
      <c r="B9" s="146"/>
      <c r="C9" s="209">
        <f>'Budget Vs. Actuals Detail'!F45+'Budget Vs. Actuals Detail'!F55+'Budget Vs. Actuals Detail'!F53+'Budget Vs. Actuals Detail'!F51</f>
        <v>14004.1</v>
      </c>
      <c r="D9" s="209">
        <f>('Budget Vs. Actuals Detail'!E45/12)*12</f>
        <v>18000</v>
      </c>
      <c r="E9" s="209">
        <f>C9-D9</f>
        <v>-3995.8999999999996</v>
      </c>
      <c r="F9" s="234">
        <f>'Budget Vs. Actuals Detail'!E45</f>
        <v>18000</v>
      </c>
      <c r="G9" s="268">
        <f t="shared" si="0"/>
        <v>0.77800555555555562</v>
      </c>
      <c r="H9" s="239"/>
      <c r="I9" s="161">
        <f>'Budget Vs. Actuals Detail'!C45+'Budget Vs. Actuals Detail'!C51+'Budget Vs. Actuals Detail'!C57</f>
        <v>50999.71</v>
      </c>
      <c r="J9" s="148"/>
      <c r="K9" s="151"/>
    </row>
    <row r="10" spans="1:13" s="142" customFormat="1" ht="12.75" x14ac:dyDescent="0.35">
      <c r="A10" s="259" t="s">
        <v>4</v>
      </c>
      <c r="B10" s="260"/>
      <c r="C10" s="261">
        <f>SUM(C7:C9)</f>
        <v>3954262.87</v>
      </c>
      <c r="D10" s="261">
        <f>SUM(D7:D9)</f>
        <v>3917333.4000000004</v>
      </c>
      <c r="E10" s="261">
        <f>C10-D10</f>
        <v>36929.469999999739</v>
      </c>
      <c r="F10" s="257">
        <f>SUM(F7:F9)</f>
        <v>3917333.4</v>
      </c>
      <c r="G10" s="269">
        <f t="shared" si="0"/>
        <v>1.0094271960614842</v>
      </c>
      <c r="H10" s="240"/>
      <c r="I10" s="343">
        <f>SUM(I7:I9)</f>
        <v>3128344.9699999997</v>
      </c>
      <c r="J10" s="148"/>
      <c r="K10" s="151"/>
      <c r="L10" s="307"/>
      <c r="M10" s="206"/>
    </row>
    <row r="11" spans="1:13" s="142" customFormat="1" ht="12.75" x14ac:dyDescent="0.35">
      <c r="A11" s="159"/>
      <c r="B11" s="146"/>
      <c r="C11" s="150"/>
      <c r="D11" s="150"/>
      <c r="E11" s="150"/>
      <c r="F11" s="161"/>
      <c r="G11" s="150"/>
      <c r="H11" s="241"/>
      <c r="I11" s="161"/>
      <c r="J11" s="148"/>
      <c r="K11" s="151"/>
    </row>
    <row r="12" spans="1:13" s="142" customFormat="1" ht="12.75" x14ac:dyDescent="0.35">
      <c r="A12" s="159" t="s">
        <v>5</v>
      </c>
      <c r="B12" s="146"/>
      <c r="C12" s="150"/>
      <c r="D12" s="150"/>
      <c r="E12" s="150"/>
      <c r="F12" s="233"/>
      <c r="G12" s="229"/>
      <c r="H12" s="242"/>
      <c r="I12" s="233"/>
      <c r="J12" s="148"/>
      <c r="K12" s="151"/>
    </row>
    <row r="13" spans="1:13" s="142" customFormat="1" ht="12.75" x14ac:dyDescent="0.35">
      <c r="A13" s="162" t="s">
        <v>475</v>
      </c>
      <c r="B13" s="146"/>
      <c r="C13" s="150">
        <f>'Budget Vs. Actuals Detail'!F74</f>
        <v>340565.12</v>
      </c>
      <c r="D13" s="150">
        <f>('Budget Vs. Actuals Detail'!E74/12)*12</f>
        <v>377032.48</v>
      </c>
      <c r="E13" s="150">
        <f>D13-C13</f>
        <v>36467.359999999986</v>
      </c>
      <c r="F13" s="161">
        <f>'Budget Vs. Actuals Detail'!E74</f>
        <v>377032.48</v>
      </c>
      <c r="G13" s="270">
        <f t="shared" ref="G13:G40" si="1">C13/F13</f>
        <v>0.90327793509991505</v>
      </c>
      <c r="H13" s="243"/>
      <c r="I13" s="161">
        <f>'Budget Vs. Actuals Detail'!C74</f>
        <v>352843.39</v>
      </c>
      <c r="J13" s="148"/>
      <c r="K13" s="151"/>
    </row>
    <row r="14" spans="1:13" s="142" customFormat="1" ht="12.75" x14ac:dyDescent="0.35">
      <c r="A14" s="162" t="s">
        <v>476</v>
      </c>
      <c r="B14" s="146"/>
      <c r="C14" s="150">
        <f>'Budget Vs. Actuals Detail'!F83</f>
        <v>805879.84000000008</v>
      </c>
      <c r="D14" s="150">
        <f>('Budget Vs. Actuals Detail'!E83/12)*12</f>
        <v>1053916</v>
      </c>
      <c r="E14" s="150">
        <f t="shared" ref="E14:E39" si="2">D14-C14</f>
        <v>248036.15999999992</v>
      </c>
      <c r="F14" s="161">
        <f>'Budget Vs. Actuals Detail'!E83</f>
        <v>1053916</v>
      </c>
      <c r="G14" s="270">
        <f t="shared" si="1"/>
        <v>0.76465281863070689</v>
      </c>
      <c r="H14" s="243"/>
      <c r="I14" s="161">
        <f>'Budget Vs. Actuals Detail'!C83</f>
        <v>631165.96000000008</v>
      </c>
      <c r="J14" s="148"/>
      <c r="K14" s="151"/>
    </row>
    <row r="15" spans="1:13" s="142" customFormat="1" ht="12.75" x14ac:dyDescent="0.35">
      <c r="A15" s="162" t="s">
        <v>474</v>
      </c>
      <c r="B15" s="146"/>
      <c r="C15" s="150">
        <f>'Budget Vs. Actuals Detail'!F100</f>
        <v>100279.19999999998</v>
      </c>
      <c r="D15" s="150">
        <f>('Budget Vs. Actuals Detail'!E100/12)*12</f>
        <v>122553.40951999999</v>
      </c>
      <c r="E15" s="150">
        <f t="shared" si="2"/>
        <v>22274.209520000004</v>
      </c>
      <c r="F15" s="161">
        <f>'Budget Vs. Actuals Detail'!E100</f>
        <v>122553.40951999999</v>
      </c>
      <c r="G15" s="270">
        <f t="shared" si="1"/>
        <v>0.81824896094494226</v>
      </c>
      <c r="H15" s="243"/>
      <c r="I15" s="161">
        <f>'Budget Vs. Actuals Detail'!C100</f>
        <v>87334.25</v>
      </c>
      <c r="J15" s="148"/>
      <c r="K15" s="151"/>
    </row>
    <row r="16" spans="1:13" s="142" customFormat="1" ht="12.75" x14ac:dyDescent="0.35">
      <c r="A16" s="159" t="s">
        <v>473</v>
      </c>
      <c r="B16" s="146"/>
      <c r="C16" s="150">
        <f>'Budget Vs. Actuals Detail'!F110</f>
        <v>139550.01999999999</v>
      </c>
      <c r="D16" s="150">
        <f>('Budget Vs. Actuals Detail'!E110/12)*12</f>
        <v>183762.03080000001</v>
      </c>
      <c r="E16" s="150">
        <f t="shared" si="2"/>
        <v>44212.010800000018</v>
      </c>
      <c r="F16" s="161">
        <f>'Budget Vs. Actuals Detail'!E110</f>
        <v>183762.03080000001</v>
      </c>
      <c r="G16" s="270">
        <f t="shared" si="1"/>
        <v>0.75940616999319743</v>
      </c>
      <c r="H16" s="243"/>
      <c r="I16" s="161">
        <f>'Budget Vs. Actuals Detail'!C110</f>
        <v>106231.37000000001</v>
      </c>
      <c r="J16" s="148"/>
      <c r="K16" s="151"/>
    </row>
    <row r="17" spans="1:11" s="142" customFormat="1" ht="12.75" x14ac:dyDescent="0.35">
      <c r="A17" s="162" t="s">
        <v>63</v>
      </c>
      <c r="B17" s="146"/>
      <c r="C17" s="209">
        <f>'Budget Vs. Actuals Detail'!F132</f>
        <v>115910.54</v>
      </c>
      <c r="D17" s="209">
        <f>('Budget Vs. Actuals Detail'!E132/12)*12</f>
        <v>152950</v>
      </c>
      <c r="E17" s="209">
        <f t="shared" si="2"/>
        <v>37039.460000000006</v>
      </c>
      <c r="F17" s="234">
        <f>'Budget Vs. Actuals Detail'!E132</f>
        <v>152950</v>
      </c>
      <c r="G17" s="271">
        <f t="shared" si="1"/>
        <v>0.75783288656423664</v>
      </c>
      <c r="H17" s="243"/>
      <c r="I17" s="161">
        <f>'Budget Vs. Actuals Detail'!C132</f>
        <v>120677.65</v>
      </c>
      <c r="J17" s="148"/>
      <c r="K17" s="151"/>
    </row>
    <row r="18" spans="1:11" s="142" customFormat="1" ht="12.75" x14ac:dyDescent="0.35">
      <c r="A18" s="162" t="s">
        <v>65</v>
      </c>
      <c r="B18" s="146"/>
      <c r="C18" s="209">
        <f>'Budget Vs. Actuals Detail'!F136</f>
        <v>0</v>
      </c>
      <c r="D18" s="209">
        <f>('Budget Vs. Actuals Detail'!E136/12)*12</f>
        <v>6100</v>
      </c>
      <c r="E18" s="209">
        <f t="shared" si="2"/>
        <v>6100</v>
      </c>
      <c r="F18" s="234">
        <f>'Budget Vs. Actuals Detail'!E136</f>
        <v>6100</v>
      </c>
      <c r="G18" s="271">
        <f t="shared" si="1"/>
        <v>0</v>
      </c>
      <c r="H18" s="243"/>
      <c r="I18" s="161">
        <f>'Budget Vs. Actuals Detail'!C136</f>
        <v>11602.49</v>
      </c>
      <c r="J18" s="148"/>
      <c r="K18" s="151"/>
    </row>
    <row r="19" spans="1:11" s="142" customFormat="1" ht="12.75" x14ac:dyDescent="0.35">
      <c r="A19" s="162" t="s">
        <v>146</v>
      </c>
      <c r="B19" s="146"/>
      <c r="C19" s="209">
        <f>'Budget Vs. Actuals Detail'!F145</f>
        <v>17982.760000000002</v>
      </c>
      <c r="D19" s="209">
        <f>(('Budget Vs. Actuals Detail'!E145/12)*12)</f>
        <v>46048</v>
      </c>
      <c r="E19" s="209">
        <f t="shared" si="2"/>
        <v>28065.239999999998</v>
      </c>
      <c r="F19" s="234">
        <f>'Budget Vs. Actuals Detail'!E145</f>
        <v>46048</v>
      </c>
      <c r="G19" s="271">
        <f t="shared" si="1"/>
        <v>0.39052206393328703</v>
      </c>
      <c r="H19" s="243"/>
      <c r="I19" s="161">
        <f>'Budget Vs. Actuals Detail'!C145</f>
        <v>50692.1</v>
      </c>
      <c r="J19" s="148"/>
      <c r="K19" s="151"/>
    </row>
    <row r="20" spans="1:11" s="142" customFormat="1" ht="12.75" x14ac:dyDescent="0.35">
      <c r="A20" s="162" t="s">
        <v>364</v>
      </c>
      <c r="B20" s="146"/>
      <c r="C20" s="209">
        <f>'Budget Vs. Actuals Detail'!F148</f>
        <v>100</v>
      </c>
      <c r="D20" s="209">
        <f>('Budget Vs. Actuals Detail'!E148/12)*12</f>
        <v>2700</v>
      </c>
      <c r="E20" s="209">
        <f t="shared" si="2"/>
        <v>2600</v>
      </c>
      <c r="F20" s="234">
        <f>'Budget Vs. Actuals Detail'!E148</f>
        <v>2700</v>
      </c>
      <c r="G20" s="271">
        <f t="shared" si="1"/>
        <v>3.7037037037037035E-2</v>
      </c>
      <c r="H20" s="243"/>
      <c r="I20" s="161">
        <f>'Budget Vs. Actuals Detail'!C148</f>
        <v>0</v>
      </c>
      <c r="J20" s="148"/>
      <c r="K20" s="151"/>
    </row>
    <row r="21" spans="1:11" s="142" customFormat="1" ht="12.75" x14ac:dyDescent="0.35">
      <c r="A21" s="162" t="s">
        <v>190</v>
      </c>
      <c r="B21" s="146"/>
      <c r="C21" s="209">
        <f>'Budget Vs. Actuals Detail'!F154</f>
        <v>8889.4</v>
      </c>
      <c r="D21" s="209">
        <f>('Budget Vs. Actuals Detail'!E154/12)*12</f>
        <v>26390</v>
      </c>
      <c r="E21" s="209">
        <f t="shared" si="2"/>
        <v>17500.599999999999</v>
      </c>
      <c r="F21" s="234">
        <f>'Budget Vs. Actuals Detail'!E154</f>
        <v>26390</v>
      </c>
      <c r="G21" s="271">
        <f t="shared" si="1"/>
        <v>0.33684729064039409</v>
      </c>
      <c r="H21" s="243"/>
      <c r="I21" s="161">
        <f>'Budget Vs. Actuals Detail'!C154</f>
        <v>24234.589999999997</v>
      </c>
      <c r="J21" s="148"/>
      <c r="K21" s="151"/>
    </row>
    <row r="22" spans="1:11" s="142" customFormat="1" ht="12.75" x14ac:dyDescent="0.35">
      <c r="A22" s="162" t="s">
        <v>195</v>
      </c>
      <c r="B22" s="146"/>
      <c r="C22" s="209">
        <f>'Budget Vs. Actuals Detail'!F159</f>
        <v>2136.38</v>
      </c>
      <c r="D22" s="209">
        <f>('Budget Vs. Actuals Detail'!E159/12)*12</f>
        <v>9000</v>
      </c>
      <c r="E22" s="209">
        <f t="shared" si="2"/>
        <v>6863.62</v>
      </c>
      <c r="F22" s="234">
        <f>'Budget Vs. Actuals Detail'!E159</f>
        <v>9000</v>
      </c>
      <c r="G22" s="271">
        <f t="shared" si="1"/>
        <v>0.23737555555555556</v>
      </c>
      <c r="H22" s="243"/>
      <c r="I22" s="161">
        <f>'Budget Vs. Actuals Detail'!C159</f>
        <v>4784.37</v>
      </c>
      <c r="J22" s="148"/>
      <c r="K22" s="151"/>
    </row>
    <row r="23" spans="1:11" s="142" customFormat="1" ht="12.75" x14ac:dyDescent="0.35">
      <c r="A23" s="162" t="s">
        <v>141</v>
      </c>
      <c r="B23" s="148"/>
      <c r="C23" s="209">
        <f>'Budget Vs. Actuals Detail'!F167</f>
        <v>45957.710000000006</v>
      </c>
      <c r="D23" s="209">
        <f>('Budget Vs. Actuals Detail'!E167/12)*12</f>
        <v>20998</v>
      </c>
      <c r="E23" s="209">
        <f t="shared" si="2"/>
        <v>-24959.710000000006</v>
      </c>
      <c r="F23" s="234">
        <f>'Budget Vs. Actuals Detail'!E167</f>
        <v>20998</v>
      </c>
      <c r="G23" s="271">
        <f t="shared" si="1"/>
        <v>2.1886708257929328</v>
      </c>
      <c r="H23" s="243"/>
      <c r="I23" s="234">
        <f>'Budget Vs. Actuals Detail'!C167</f>
        <v>51882.75</v>
      </c>
      <c r="J23" s="148"/>
      <c r="K23" s="151"/>
    </row>
    <row r="24" spans="1:11" s="142" customFormat="1" ht="12.75" x14ac:dyDescent="0.35">
      <c r="A24" s="162" t="s">
        <v>196</v>
      </c>
      <c r="B24" s="148"/>
      <c r="C24" s="209">
        <f>'Budget Vs. Actuals Detail'!F171</f>
        <v>3808.31</v>
      </c>
      <c r="D24" s="209">
        <f>('Budget Vs. Actuals Detail'!E171/12)*12</f>
        <v>5110</v>
      </c>
      <c r="E24" s="209">
        <f t="shared" si="2"/>
        <v>1301.69</v>
      </c>
      <c r="F24" s="234">
        <f>'Budget Vs. Actuals Detail'!E171</f>
        <v>5110</v>
      </c>
      <c r="G24" s="271">
        <f t="shared" si="1"/>
        <v>0.74526614481409004</v>
      </c>
      <c r="H24" s="243"/>
      <c r="I24" s="234">
        <f>'Budget Vs. Actuals Detail'!C171</f>
        <v>6870.24</v>
      </c>
      <c r="J24" s="148"/>
      <c r="K24" s="151"/>
    </row>
    <row r="25" spans="1:11" s="142" customFormat="1" ht="12.75" x14ac:dyDescent="0.35">
      <c r="A25" s="162" t="s">
        <v>68</v>
      </c>
      <c r="B25" s="148"/>
      <c r="C25" s="209">
        <f>'Budget Vs. Actuals Detail'!F178</f>
        <v>97990.82</v>
      </c>
      <c r="D25" s="209">
        <f>('Budget Vs. Actuals Detail'!E178/12)*12</f>
        <v>50101</v>
      </c>
      <c r="E25" s="209">
        <f t="shared" si="2"/>
        <v>-47889.820000000007</v>
      </c>
      <c r="F25" s="234">
        <f>'Budget Vs. Actuals Detail'!E178</f>
        <v>50101</v>
      </c>
      <c r="G25" s="271">
        <f t="shared" si="1"/>
        <v>1.9558655515857968</v>
      </c>
      <c r="H25" s="243"/>
      <c r="I25" s="234">
        <f>'Budget Vs. Actuals Detail'!C178</f>
        <v>83030.240000000005</v>
      </c>
      <c r="J25" s="148"/>
      <c r="K25" s="151"/>
    </row>
    <row r="26" spans="1:11" s="142" customFormat="1" ht="12.75" x14ac:dyDescent="0.35">
      <c r="A26" s="162" t="s">
        <v>377</v>
      </c>
      <c r="B26" s="148"/>
      <c r="C26" s="209">
        <f>'Budget Vs. Actuals Detail'!F181</f>
        <v>7498</v>
      </c>
      <c r="D26" s="209">
        <f>('Budget Vs. Actuals Detail'!E181/12)*12</f>
        <v>19823.400000000001</v>
      </c>
      <c r="E26" s="209">
        <f t="shared" si="2"/>
        <v>12325.400000000001</v>
      </c>
      <c r="F26" s="234">
        <f>'Budget Vs. Actuals Detail'!E181</f>
        <v>19823.400000000001</v>
      </c>
      <c r="G26" s="271">
        <f t="shared" si="1"/>
        <v>0.37823985794566017</v>
      </c>
      <c r="H26" s="243"/>
      <c r="I26" s="234">
        <f>'Budget Vs. Actuals Detail'!C181</f>
        <v>29602.82</v>
      </c>
      <c r="J26" s="148"/>
      <c r="K26" s="151"/>
    </row>
    <row r="27" spans="1:11" s="142" customFormat="1" ht="12.75" x14ac:dyDescent="0.35">
      <c r="A27" s="162" t="s">
        <v>382</v>
      </c>
      <c r="B27" s="148"/>
      <c r="C27" s="209">
        <f>'Budget Vs. Actuals Detail'!F185</f>
        <v>0</v>
      </c>
      <c r="D27" s="209">
        <f>('Budget Vs. Actuals Detail'!E185/12)*12</f>
        <v>1050</v>
      </c>
      <c r="E27" s="209">
        <f t="shared" si="2"/>
        <v>1050</v>
      </c>
      <c r="F27" s="234">
        <f>'Budget Vs. Actuals Detail'!E185</f>
        <v>1050</v>
      </c>
      <c r="G27" s="271">
        <f t="shared" si="1"/>
        <v>0</v>
      </c>
      <c r="H27" s="243"/>
      <c r="I27" s="234">
        <f>'Budget Vs. Actuals Detail'!C185</f>
        <v>0</v>
      </c>
      <c r="J27" s="148"/>
      <c r="K27" s="151"/>
    </row>
    <row r="28" spans="1:11" s="142" customFormat="1" ht="12.75" x14ac:dyDescent="0.35">
      <c r="A28" s="162" t="s">
        <v>164</v>
      </c>
      <c r="B28" s="148"/>
      <c r="C28" s="209">
        <f>'Budget Vs. Actuals Detail'!F189</f>
        <v>1024.8</v>
      </c>
      <c r="D28" s="209">
        <f>('Budget Vs. Actuals Detail'!E189/12)*12</f>
        <v>2700</v>
      </c>
      <c r="E28" s="209">
        <f>D28-C28</f>
        <v>1675.2</v>
      </c>
      <c r="F28" s="234">
        <f>'Budget Vs. Actuals Detail'!E189</f>
        <v>2700</v>
      </c>
      <c r="G28" s="271">
        <f t="shared" si="1"/>
        <v>0.37955555555555553</v>
      </c>
      <c r="H28" s="243"/>
      <c r="I28" s="234">
        <f>'Budget Vs. Actuals Detail'!C189</f>
        <v>2862.9</v>
      </c>
      <c r="J28" s="148"/>
      <c r="K28" s="151"/>
    </row>
    <row r="29" spans="1:11" s="142" customFormat="1" ht="12.75" x14ac:dyDescent="0.35">
      <c r="A29" s="162" t="s">
        <v>71</v>
      </c>
      <c r="B29" s="148"/>
      <c r="C29" s="209">
        <f>'Budget Vs. Actuals Detail'!F193</f>
        <v>13500.470000000001</v>
      </c>
      <c r="D29" s="209">
        <f>('Budget Vs. Actuals Detail'!E193/12)*12</f>
        <v>21992</v>
      </c>
      <c r="E29" s="209">
        <f t="shared" si="2"/>
        <v>8491.5299999999988</v>
      </c>
      <c r="F29" s="234">
        <f>'Budget Vs. Actuals Detail'!E193</f>
        <v>21992</v>
      </c>
      <c r="G29" s="271">
        <f t="shared" si="1"/>
        <v>0.61388095671153153</v>
      </c>
      <c r="H29" s="243"/>
      <c r="I29" s="234">
        <f>'Budget Vs. Actuals Detail'!C193</f>
        <v>17160.329999999998</v>
      </c>
      <c r="J29" s="148"/>
      <c r="K29" s="151"/>
    </row>
    <row r="30" spans="1:11" s="142" customFormat="1" ht="12.75" x14ac:dyDescent="0.35">
      <c r="A30" s="162" t="s">
        <v>74</v>
      </c>
      <c r="B30" s="148"/>
      <c r="C30" s="209">
        <f>'Budget Vs. Actuals Detail'!F198</f>
        <v>35631.799999999996</v>
      </c>
      <c r="D30" s="209">
        <f>('Budget Vs. Actuals Detail'!E198/12)*12</f>
        <v>29000</v>
      </c>
      <c r="E30" s="209">
        <f t="shared" si="2"/>
        <v>-6631.7999999999956</v>
      </c>
      <c r="F30" s="234">
        <f>'Budget Vs. Actuals Detail'!E198</f>
        <v>29000</v>
      </c>
      <c r="G30" s="271">
        <f t="shared" si="1"/>
        <v>1.2286827586206894</v>
      </c>
      <c r="H30" s="243"/>
      <c r="I30" s="234">
        <f>'Budget Vs. Actuals Detail'!C198</f>
        <v>33251.64</v>
      </c>
      <c r="J30" s="148"/>
      <c r="K30" s="151"/>
    </row>
    <row r="31" spans="1:11" s="142" customFormat="1" ht="12.75" x14ac:dyDescent="0.35">
      <c r="A31" s="162" t="s">
        <v>76</v>
      </c>
      <c r="B31" s="148"/>
      <c r="C31" s="209">
        <f>'Budget Vs. Actuals Detail'!F200</f>
        <v>23567.31</v>
      </c>
      <c r="D31" s="209">
        <f>('Budget Vs. Actuals Detail'!E201/12)*12</f>
        <v>13200</v>
      </c>
      <c r="E31" s="209">
        <f t="shared" si="2"/>
        <v>-10367.310000000001</v>
      </c>
      <c r="F31" s="234">
        <f>'Budget Vs. Actuals Detail'!E201</f>
        <v>13200</v>
      </c>
      <c r="G31" s="271">
        <f t="shared" si="1"/>
        <v>1.7854022727272729</v>
      </c>
      <c r="H31" s="243"/>
      <c r="I31" s="234">
        <f>'Budget Vs. Actuals Detail'!C201</f>
        <v>6120.74</v>
      </c>
      <c r="J31" s="148"/>
      <c r="K31" s="151"/>
    </row>
    <row r="32" spans="1:11" s="142" customFormat="1" ht="12.75" x14ac:dyDescent="0.35">
      <c r="A32" s="162" t="s">
        <v>79</v>
      </c>
      <c r="B32" s="148"/>
      <c r="C32" s="209">
        <f>'Budget Vs. Actuals Detail'!F204</f>
        <v>8438.2199999999993</v>
      </c>
      <c r="D32" s="209">
        <f>('Budget Vs. Actuals Detail'!E204/12)*12</f>
        <v>12000</v>
      </c>
      <c r="E32" s="209">
        <f t="shared" si="2"/>
        <v>3561.7800000000007</v>
      </c>
      <c r="F32" s="234">
        <f>'Budget Vs. Actuals Detail'!E204</f>
        <v>12000</v>
      </c>
      <c r="G32" s="271">
        <f t="shared" si="1"/>
        <v>0.70318499999999995</v>
      </c>
      <c r="H32" s="243"/>
      <c r="I32" s="234">
        <f>'Budget Vs. Actuals Detail'!C204</f>
        <v>20531.78</v>
      </c>
      <c r="J32" s="148"/>
      <c r="K32" s="151"/>
    </row>
    <row r="33" spans="1:11" s="142" customFormat="1" ht="12.75" x14ac:dyDescent="0.35">
      <c r="A33" s="162" t="s">
        <v>387</v>
      </c>
      <c r="B33" s="146"/>
      <c r="C33" s="209">
        <f>'Budget Vs. Actuals Detail'!F207</f>
        <v>0</v>
      </c>
      <c r="D33" s="209">
        <f>('Budget Vs. Actuals Detail'!E207/12)*12</f>
        <v>4500</v>
      </c>
      <c r="E33" s="209">
        <f t="shared" si="2"/>
        <v>4500</v>
      </c>
      <c r="F33" s="234">
        <f>'Budget Vs. Actuals Detail'!E207</f>
        <v>4500</v>
      </c>
      <c r="G33" s="271">
        <f t="shared" si="1"/>
        <v>0</v>
      </c>
      <c r="H33" s="243"/>
      <c r="I33" s="161">
        <f>'Budget Vs. Actuals Detail'!C207</f>
        <v>1232.02</v>
      </c>
      <c r="J33" s="148"/>
      <c r="K33" s="151"/>
    </row>
    <row r="34" spans="1:11" s="142" customFormat="1" ht="12.75" x14ac:dyDescent="0.35">
      <c r="A34" s="159" t="s">
        <v>101</v>
      </c>
      <c r="B34" s="146"/>
      <c r="C34" s="209">
        <f>'Budget Vs. Actuals Detail'!F211</f>
        <v>253.84</v>
      </c>
      <c r="D34" s="209">
        <f>('Budget Vs. Actuals Detail'!E211/12)*12</f>
        <v>3200</v>
      </c>
      <c r="E34" s="209">
        <f t="shared" si="2"/>
        <v>2946.16</v>
      </c>
      <c r="F34" s="234">
        <f>'Budget Vs. Actuals Detail'!E211</f>
        <v>3200</v>
      </c>
      <c r="G34" s="271">
        <f t="shared" si="1"/>
        <v>7.9325000000000007E-2</v>
      </c>
      <c r="H34" s="243"/>
      <c r="I34" s="161">
        <f>'Budget Vs. Actuals Detail'!C211</f>
        <v>4011.94</v>
      </c>
      <c r="J34" s="148"/>
      <c r="K34" s="151"/>
    </row>
    <row r="35" spans="1:11" s="142" customFormat="1" ht="12.75" x14ac:dyDescent="0.35">
      <c r="A35" s="159" t="s">
        <v>390</v>
      </c>
      <c r="B35" s="146"/>
      <c r="C35" s="209">
        <f>'Budget Vs. Actuals Detail'!F214</f>
        <v>159.9</v>
      </c>
      <c r="D35" s="209">
        <f>('Budget Vs. Actuals Detail'!E214/12)*12</f>
        <v>3000</v>
      </c>
      <c r="E35" s="209">
        <f t="shared" si="2"/>
        <v>2840.1</v>
      </c>
      <c r="F35" s="234">
        <f>'Budget Vs. Actuals Detail'!E214</f>
        <v>3000</v>
      </c>
      <c r="G35" s="271">
        <f t="shared" si="1"/>
        <v>5.33E-2</v>
      </c>
      <c r="H35" s="243"/>
      <c r="I35" s="161">
        <f>'Budget Vs. Actuals Detail'!C214</f>
        <v>1354.36</v>
      </c>
      <c r="J35" s="148"/>
      <c r="K35" s="151"/>
    </row>
    <row r="36" spans="1:11" s="142" customFormat="1" ht="12.75" x14ac:dyDescent="0.35">
      <c r="A36" s="162" t="s">
        <v>82</v>
      </c>
      <c r="B36" s="146"/>
      <c r="C36" s="209">
        <f>'Budget Vs. Actuals Detail'!F221</f>
        <v>703.3</v>
      </c>
      <c r="D36" s="209">
        <f>('Budget Vs. Actuals Detail'!E221/12)*12</f>
        <v>1200</v>
      </c>
      <c r="E36" s="209">
        <f t="shared" si="2"/>
        <v>496.70000000000005</v>
      </c>
      <c r="F36" s="234">
        <f>'Budget Vs. Actuals Detail'!E221</f>
        <v>1200</v>
      </c>
      <c r="G36" s="271">
        <f t="shared" si="1"/>
        <v>0.58608333333333329</v>
      </c>
      <c r="H36" s="243"/>
      <c r="I36" s="161">
        <f>'Budget Vs. Actuals Detail'!C221</f>
        <v>912.41000000000008</v>
      </c>
      <c r="J36" s="148"/>
      <c r="K36" s="151"/>
    </row>
    <row r="37" spans="1:11" s="142" customFormat="1" ht="12.75" x14ac:dyDescent="0.35">
      <c r="A37" s="162" t="s">
        <v>85</v>
      </c>
      <c r="B37" s="146"/>
      <c r="C37" s="209">
        <f>'Budget Vs. Actuals Detail'!F225</f>
        <v>25307.99</v>
      </c>
      <c r="D37" s="209">
        <f>('Budget Vs. Actuals Detail'!E225/12)*12</f>
        <v>43418.100000000006</v>
      </c>
      <c r="E37" s="209">
        <f t="shared" si="2"/>
        <v>18110.110000000004</v>
      </c>
      <c r="F37" s="234">
        <f>'Budget Vs. Actuals Detail'!E225</f>
        <v>43418.100000000006</v>
      </c>
      <c r="G37" s="271">
        <f t="shared" si="1"/>
        <v>0.58289031532932112</v>
      </c>
      <c r="H37" s="243"/>
      <c r="I37" s="161">
        <f>'Budget Vs. Actuals Detail'!C225</f>
        <v>29135.03</v>
      </c>
      <c r="J37" s="148"/>
      <c r="K37" s="151"/>
    </row>
    <row r="38" spans="1:11" s="142" customFormat="1" ht="12.75" x14ac:dyDescent="0.35">
      <c r="A38" s="159" t="s">
        <v>157</v>
      </c>
      <c r="B38" s="146"/>
      <c r="C38" s="209">
        <f>'Budget Vs. Actuals Detail'!F233</f>
        <v>1545293.02</v>
      </c>
      <c r="D38" s="209">
        <f>('Budget Vs. Actuals Detail'!E233/12)*12</f>
        <v>1597188.2086399277</v>
      </c>
      <c r="E38" s="209">
        <f t="shared" si="2"/>
        <v>51895.188639927655</v>
      </c>
      <c r="F38" s="234">
        <f>'Budget Vs. Actuals Detail'!E233</f>
        <v>1597188.2086399279</v>
      </c>
      <c r="G38" s="271">
        <f t="shared" si="1"/>
        <v>0.96750840736288757</v>
      </c>
      <c r="H38" s="243"/>
      <c r="I38" s="161">
        <f>'Budget Vs. Actuals Detail'!C233</f>
        <v>1582588.04</v>
      </c>
      <c r="J38" s="148"/>
      <c r="K38" s="151"/>
    </row>
    <row r="39" spans="1:11" s="142" customFormat="1" ht="12.75" x14ac:dyDescent="0.35">
      <c r="A39" s="159" t="s">
        <v>398</v>
      </c>
      <c r="B39" s="146"/>
      <c r="C39" s="209">
        <f>'Budget Vs. Actuals Detail'!F237</f>
        <v>72981.38</v>
      </c>
      <c r="D39" s="209">
        <f>('Budget Vs. Actuals Detail'!E237/12)*12</f>
        <v>40000</v>
      </c>
      <c r="E39" s="209">
        <f t="shared" si="2"/>
        <v>-32981.380000000005</v>
      </c>
      <c r="F39" s="234">
        <f>'Budget Vs. Actuals Detail'!E237</f>
        <v>40000</v>
      </c>
      <c r="G39" s="271">
        <f t="shared" si="1"/>
        <v>1.8245345000000002</v>
      </c>
      <c r="H39" s="243"/>
      <c r="I39" s="161">
        <f>'Budget Vs. Actuals Detail'!C237</f>
        <v>39111.199999999997</v>
      </c>
      <c r="J39" s="148"/>
      <c r="K39" s="151"/>
    </row>
    <row r="40" spans="1:11" s="142" customFormat="1" ht="12.75" x14ac:dyDescent="0.35">
      <c r="A40" s="259" t="s">
        <v>6</v>
      </c>
      <c r="B40" s="260"/>
      <c r="C40" s="261">
        <f>SUM(C13:C39)</f>
        <v>3413410.13</v>
      </c>
      <c r="D40" s="261">
        <f>SUM(D13:D39)</f>
        <v>3848932.6289599277</v>
      </c>
      <c r="E40" s="261">
        <f>SUM(E13:E39)</f>
        <v>435522.49895992759</v>
      </c>
      <c r="F40" s="235">
        <f>SUM(F13:F39)</f>
        <v>3848932.6289599277</v>
      </c>
      <c r="G40" s="269">
        <f t="shared" si="1"/>
        <v>0.88684590224235327</v>
      </c>
      <c r="H40" s="240"/>
      <c r="I40" s="343">
        <f>SUM(I13:I39)</f>
        <v>3299224.6100000003</v>
      </c>
      <c r="J40" s="148"/>
      <c r="K40" s="151"/>
    </row>
    <row r="41" spans="1:11" s="142" customFormat="1" ht="12.75" x14ac:dyDescent="0.35">
      <c r="A41" s="163" t="s">
        <v>29</v>
      </c>
      <c r="B41" s="164"/>
      <c r="C41" s="165">
        <f>C10-C40</f>
        <v>540852.74000000022</v>
      </c>
      <c r="D41" s="165">
        <f>D10-D40</f>
        <v>68400.771040072665</v>
      </c>
      <c r="E41" s="165">
        <f>E40-E10</f>
        <v>398593.02895992785</v>
      </c>
      <c r="F41" s="166">
        <f>F10-F40</f>
        <v>68400.771040072199</v>
      </c>
      <c r="G41" s="165"/>
      <c r="H41" s="244"/>
      <c r="I41" s="166">
        <f>I10-I40</f>
        <v>-170879.6400000006</v>
      </c>
      <c r="J41" s="148"/>
      <c r="K41" s="151"/>
    </row>
    <row r="42" spans="1:11" s="142" customFormat="1" ht="12.75" x14ac:dyDescent="0.35">
      <c r="A42" s="152"/>
      <c r="B42" s="153"/>
      <c r="C42" s="154"/>
      <c r="D42" s="154"/>
      <c r="E42" s="154"/>
      <c r="F42" s="154"/>
      <c r="G42" s="155"/>
      <c r="H42" s="155"/>
      <c r="I42" s="154"/>
      <c r="J42" s="156"/>
      <c r="K42" s="157"/>
    </row>
  </sheetData>
  <mergeCells count="5">
    <mergeCell ref="C4:E4"/>
    <mergeCell ref="A1:I1"/>
    <mergeCell ref="A2:I2"/>
    <mergeCell ref="A3:I3"/>
    <mergeCell ref="F4:G4"/>
  </mergeCells>
  <conditionalFormatting sqref="C8:E12 C13:D22 C25:D33 E13:E39 C40:E40 I8:I9 G10:I41">
    <cfRule type="cellIs" dxfId="7" priority="30" operator="lessThan">
      <formula>0</formula>
    </cfRule>
  </conditionalFormatting>
  <conditionalFormatting sqref="C41:E41">
    <cfRule type="cellIs" dxfId="6" priority="33" operator="lessThan">
      <formula>0</formula>
    </cfRule>
  </conditionalFormatting>
  <conditionalFormatting sqref="C36:D39">
    <cfRule type="cellIs" dxfId="5" priority="21" operator="lessThan">
      <formula>0</formula>
    </cfRule>
  </conditionalFormatting>
  <conditionalFormatting sqref="C34:D35">
    <cfRule type="cellIs" dxfId="4" priority="11" operator="lessThan">
      <formula>0</formula>
    </cfRule>
  </conditionalFormatting>
  <conditionalFormatting sqref="C23:D24">
    <cfRule type="cellIs" dxfId="3" priority="7" operator="lessThan">
      <formula>0</formula>
    </cfRule>
  </conditionalFormatting>
  <conditionalFormatting sqref="C7">
    <cfRule type="cellIs" dxfId="2" priority="3" operator="lessThan">
      <formula>0</formula>
    </cfRule>
  </conditionalFormatting>
  <conditionalFormatting sqref="D7:E7">
    <cfRule type="cellIs" dxfId="1" priority="2" operator="lessThan">
      <formula>0</formula>
    </cfRule>
  </conditionalFormatting>
  <conditionalFormatting sqref="F8:F41">
    <cfRule type="cellIs" dxfId="0" priority="1" operator="lessThan">
      <formula>0</formula>
    </cfRule>
  </conditionalFormatting>
  <pageMargins left="0.5" right="0.5" top="0.5" bottom="0.5" header="0" footer="0"/>
  <pageSetup scale="91" orientation="landscape" r:id="rId1"/>
  <headerFooter>
    <oddFooter>&amp;C&amp;1#&amp;"arial"&amp;9&amp;K008000 C1 - Internal use</oddFooter>
  </headerFooter>
  <colBreaks count="1" manualBreakCount="1">
    <brk id="10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I282"/>
  <sheetViews>
    <sheetView zoomScale="90" zoomScaleNormal="90" workbookViewId="0">
      <pane xSplit="2" ySplit="6" topLeftCell="C248" activePane="bottomRight" state="frozen"/>
      <selection pane="topRight" activeCell="C1" sqref="C1"/>
      <selection pane="bottomLeft" activeCell="A7" sqref="A7"/>
      <selection pane="bottomRight" activeCell="G7" sqref="G7"/>
    </sheetView>
  </sheetViews>
  <sheetFormatPr defaultColWidth="8.796875" defaultRowHeight="14.25" outlineLevelRow="1" x14ac:dyDescent="0.45"/>
  <cols>
    <col min="1" max="1" width="1.46484375" style="22" customWidth="1"/>
    <col min="2" max="2" width="50.46484375" style="22" customWidth="1"/>
    <col min="3" max="3" width="20.59765625" style="22" customWidth="1"/>
    <col min="4" max="4" width="13.19921875" style="27" hidden="1" customWidth="1"/>
    <col min="5" max="5" width="15.59765625" style="27" customWidth="1"/>
    <col min="6" max="6" width="19.53125" style="27" customWidth="1"/>
    <col min="7" max="7" width="16.19921875" style="27" customWidth="1"/>
    <col min="8" max="8" width="0.46484375" style="22" customWidth="1"/>
    <col min="9" max="9" width="54.33203125" style="22" bestFit="1" customWidth="1"/>
    <col min="10" max="16384" width="8.796875" style="22"/>
  </cols>
  <sheetData>
    <row r="1" spans="1:8" s="100" customFormat="1" ht="27.75" customHeight="1" x14ac:dyDescent="0.45">
      <c r="A1" s="101"/>
      <c r="B1" s="387" t="s">
        <v>91</v>
      </c>
      <c r="C1" s="388"/>
      <c r="D1" s="388"/>
      <c r="E1" s="388"/>
      <c r="F1" s="388"/>
      <c r="G1" s="389"/>
      <c r="H1" s="101"/>
    </row>
    <row r="2" spans="1:8" s="100" customFormat="1" ht="21" customHeight="1" x14ac:dyDescent="0.45">
      <c r="B2" s="390" t="s">
        <v>479</v>
      </c>
      <c r="C2" s="391"/>
      <c r="D2" s="391"/>
      <c r="E2" s="391"/>
      <c r="F2" s="391"/>
      <c r="G2" s="392"/>
    </row>
    <row r="3" spans="1:8" ht="17.25" thickBot="1" x14ac:dyDescent="0.5">
      <c r="B3" s="393">
        <f>Indicators!B3</f>
        <v>44377</v>
      </c>
      <c r="C3" s="394"/>
      <c r="D3" s="394"/>
      <c r="E3" s="394"/>
      <c r="F3" s="394"/>
      <c r="G3" s="395"/>
    </row>
    <row r="4" spans="1:8" x14ac:dyDescent="0.45">
      <c r="B4" s="28"/>
      <c r="C4" s="262"/>
      <c r="D4" s="263"/>
      <c r="E4" s="263"/>
      <c r="F4" s="263"/>
      <c r="G4" s="29"/>
    </row>
    <row r="5" spans="1:8" ht="29" customHeight="1" x14ac:dyDescent="0.45">
      <c r="B5" s="30"/>
      <c r="C5" s="228" t="s">
        <v>426</v>
      </c>
      <c r="D5" s="226"/>
      <c r="E5" s="396" t="s">
        <v>507</v>
      </c>
      <c r="F5" s="397"/>
      <c r="G5" s="398"/>
    </row>
    <row r="6" spans="1:8" ht="42.75" x14ac:dyDescent="0.45">
      <c r="B6" s="30"/>
      <c r="C6" s="32" t="s">
        <v>508</v>
      </c>
      <c r="D6" s="31" t="s">
        <v>0</v>
      </c>
      <c r="E6" s="33" t="s">
        <v>427</v>
      </c>
      <c r="F6" s="33" t="str">
        <f>'P&amp;L Summary'!C5</f>
        <v>Actuals
July 1, 20-June 30, 21</v>
      </c>
      <c r="G6" s="33" t="str">
        <f>'P&amp;L Summary'!G5</f>
        <v>% 
Achieved/Utilized
=100%</v>
      </c>
    </row>
    <row r="7" spans="1:8" x14ac:dyDescent="0.45">
      <c r="B7" s="34" t="s">
        <v>428</v>
      </c>
      <c r="C7" s="323">
        <v>17</v>
      </c>
      <c r="D7" s="324">
        <v>14.5</v>
      </c>
      <c r="E7" s="325">
        <v>25</v>
      </c>
      <c r="F7" s="325">
        <v>17</v>
      </c>
      <c r="G7" s="35"/>
    </row>
    <row r="8" spans="1:8" x14ac:dyDescent="0.45">
      <c r="B8" s="34" t="s">
        <v>429</v>
      </c>
      <c r="C8" s="323">
        <v>120</v>
      </c>
      <c r="D8" s="324">
        <v>120</v>
      </c>
      <c r="E8" s="325">
        <v>180</v>
      </c>
      <c r="F8" s="325">
        <v>180</v>
      </c>
      <c r="G8" s="35"/>
    </row>
    <row r="9" spans="1:8" x14ac:dyDescent="0.45">
      <c r="B9" s="36" t="s">
        <v>430</v>
      </c>
      <c r="C9" s="323">
        <v>113.3</v>
      </c>
      <c r="D9" s="324">
        <v>106</v>
      </c>
      <c r="E9" s="325">
        <v>162</v>
      </c>
      <c r="F9" s="325">
        <v>175.77500000000001</v>
      </c>
      <c r="G9" s="37"/>
    </row>
    <row r="10" spans="1:8" ht="28.5" x14ac:dyDescent="0.45">
      <c r="B10" s="36" t="s">
        <v>431</v>
      </c>
      <c r="C10" s="323">
        <v>1</v>
      </c>
      <c r="D10" s="324">
        <v>1</v>
      </c>
      <c r="E10" s="325">
        <v>12</v>
      </c>
      <c r="F10" s="325">
        <v>13.175000000000001</v>
      </c>
      <c r="G10" s="35"/>
    </row>
    <row r="11" spans="1:8" ht="28.5" x14ac:dyDescent="0.45">
      <c r="B11" s="36" t="s">
        <v>432</v>
      </c>
      <c r="C11" s="326">
        <v>10.875</v>
      </c>
      <c r="D11" s="324">
        <v>10</v>
      </c>
      <c r="E11" s="325">
        <v>15</v>
      </c>
      <c r="F11" s="325">
        <v>3</v>
      </c>
      <c r="G11" s="35"/>
    </row>
    <row r="12" spans="1:8" x14ac:dyDescent="0.45">
      <c r="B12" s="36" t="s">
        <v>433</v>
      </c>
      <c r="C12" s="39"/>
      <c r="D12" s="38">
        <v>0.8</v>
      </c>
      <c r="E12" s="40">
        <f t="shared" ref="E12:E15" si="0">D12</f>
        <v>0.8</v>
      </c>
      <c r="F12" s="40">
        <v>0.8</v>
      </c>
      <c r="G12" s="40"/>
    </row>
    <row r="13" spans="1:8" x14ac:dyDescent="0.45">
      <c r="B13" s="36" t="s">
        <v>434</v>
      </c>
      <c r="C13" s="208">
        <v>16150</v>
      </c>
      <c r="D13" s="41">
        <v>16154</v>
      </c>
      <c r="E13" s="42">
        <v>16124</v>
      </c>
      <c r="F13" s="42">
        <v>16123</v>
      </c>
      <c r="G13" s="42"/>
    </row>
    <row r="14" spans="1:8" ht="28.5" x14ac:dyDescent="0.45">
      <c r="B14" s="36" t="s">
        <v>435</v>
      </c>
      <c r="C14" s="208">
        <v>10390</v>
      </c>
      <c r="D14" s="41">
        <v>10390</v>
      </c>
      <c r="E14" s="42">
        <f t="shared" si="0"/>
        <v>10390</v>
      </c>
      <c r="F14" s="42">
        <v>10390</v>
      </c>
      <c r="G14" s="42"/>
    </row>
    <row r="15" spans="1:8" ht="28.5" x14ac:dyDescent="0.45">
      <c r="B15" s="36" t="s">
        <v>436</v>
      </c>
      <c r="C15" s="208">
        <v>19049</v>
      </c>
      <c r="D15" s="41">
        <v>19049</v>
      </c>
      <c r="E15" s="42">
        <f t="shared" si="0"/>
        <v>19049</v>
      </c>
      <c r="F15" s="42">
        <v>19049</v>
      </c>
      <c r="G15" s="42"/>
    </row>
    <row r="16" spans="1:8" x14ac:dyDescent="0.45">
      <c r="B16" s="43" t="s">
        <v>437</v>
      </c>
      <c r="C16" s="44">
        <f t="shared" ref="C16:E16" si="1">C58</f>
        <v>3128344.9699999997</v>
      </c>
      <c r="D16" s="45">
        <f t="shared" si="1"/>
        <v>3026229.8000000003</v>
      </c>
      <c r="E16" s="45">
        <f t="shared" si="1"/>
        <v>3917333.4</v>
      </c>
      <c r="F16" s="265">
        <f t="shared" ref="F16" si="2">F58</f>
        <v>3954262.8699999996</v>
      </c>
      <c r="G16" s="272">
        <f>F16/E16</f>
        <v>1.009427196061484</v>
      </c>
    </row>
    <row r="17" spans="2:9" x14ac:dyDescent="0.45">
      <c r="B17" s="46" t="s">
        <v>438</v>
      </c>
      <c r="C17" s="47">
        <f t="shared" ref="C17:E17" si="3">C238</f>
        <v>3299224.6100000003</v>
      </c>
      <c r="D17" s="48" t="e">
        <f t="shared" si="3"/>
        <v>#VALUE!</v>
      </c>
      <c r="E17" s="48">
        <f t="shared" si="3"/>
        <v>3848932.6289599277</v>
      </c>
      <c r="F17" s="266">
        <f t="shared" ref="F17" si="4">F238</f>
        <v>3413410.13</v>
      </c>
      <c r="G17" s="272">
        <f t="shared" ref="G17:G81" si="5">F17/E17</f>
        <v>0.88684590224235327</v>
      </c>
      <c r="I17" s="88"/>
    </row>
    <row r="18" spans="2:9" x14ac:dyDescent="0.45">
      <c r="B18" s="49" t="s">
        <v>439</v>
      </c>
      <c r="C18" s="50">
        <f t="shared" ref="C18:E18" si="6">C16-C17</f>
        <v>-170879.6400000006</v>
      </c>
      <c r="D18" s="51" t="e">
        <f t="shared" si="6"/>
        <v>#VALUE!</v>
      </c>
      <c r="E18" s="51">
        <f t="shared" si="6"/>
        <v>68400.771040072199</v>
      </c>
      <c r="F18" s="265">
        <f t="shared" ref="F18" si="7">F16-F17</f>
        <v>540852.73999999976</v>
      </c>
      <c r="G18" s="272">
        <f t="shared" si="5"/>
        <v>7.9071146680955433</v>
      </c>
    </row>
    <row r="19" spans="2:9" x14ac:dyDescent="0.45">
      <c r="B19" s="52" t="s">
        <v>440</v>
      </c>
      <c r="C19" s="53">
        <f t="shared" ref="C19:E19" si="8">C268</f>
        <v>402952.26999999938</v>
      </c>
      <c r="D19" s="54" t="e">
        <f t="shared" si="8"/>
        <v>#VALUE!</v>
      </c>
      <c r="E19" s="54">
        <f t="shared" si="8"/>
        <v>780338.97968000011</v>
      </c>
      <c r="F19" s="267">
        <f t="shared" ref="F19" si="9">F268</f>
        <v>1267268.3199999998</v>
      </c>
      <c r="G19" s="273">
        <f t="shared" si="5"/>
        <v>1.6239972024974054</v>
      </c>
    </row>
    <row r="20" spans="2:9" x14ac:dyDescent="0.45">
      <c r="B20" s="24" t="s">
        <v>441</v>
      </c>
      <c r="C20" s="55"/>
      <c r="D20" s="56"/>
      <c r="E20" s="57"/>
      <c r="F20" s="57"/>
      <c r="G20" s="57"/>
      <c r="I20" s="292" t="s">
        <v>521</v>
      </c>
    </row>
    <row r="21" spans="2:9" x14ac:dyDescent="0.45">
      <c r="B21" s="24" t="s">
        <v>173</v>
      </c>
      <c r="C21" s="58"/>
      <c r="D21" s="59"/>
      <c r="E21" s="60"/>
      <c r="F21" s="60"/>
      <c r="G21" s="60"/>
    </row>
    <row r="22" spans="2:9" ht="28.5" x14ac:dyDescent="0.45">
      <c r="B22" s="24" t="s">
        <v>174</v>
      </c>
      <c r="C22" s="63">
        <f>'P&amp;L (QB)'!B8</f>
        <v>1829391.25</v>
      </c>
      <c r="D22" s="59">
        <f>D9*D13</f>
        <v>1712324</v>
      </c>
      <c r="E22" s="60">
        <v>2612088</v>
      </c>
      <c r="F22" s="245">
        <f>'P&amp;L (QB)'!D8</f>
        <v>2834020.33</v>
      </c>
      <c r="G22" s="274">
        <f t="shared" si="5"/>
        <v>1.0849635732027405</v>
      </c>
      <c r="I22" s="26" t="s">
        <v>527</v>
      </c>
    </row>
    <row r="23" spans="2:9" ht="28.5" x14ac:dyDescent="0.45">
      <c r="B23" s="24" t="s">
        <v>176</v>
      </c>
      <c r="C23" s="63">
        <f>'P&amp;L (QB)'!B9</f>
        <v>217547.88</v>
      </c>
      <c r="D23" s="59">
        <f>(D10*D14)+(D11*D15)</f>
        <v>200880</v>
      </c>
      <c r="E23" s="60">
        <v>410415</v>
      </c>
      <c r="F23" s="245">
        <f>'P&amp;L (QB)'!D9</f>
        <v>194035.25</v>
      </c>
      <c r="G23" s="274">
        <f t="shared" si="5"/>
        <v>0.47277816356614644</v>
      </c>
      <c r="I23" s="26" t="s">
        <v>527</v>
      </c>
    </row>
    <row r="24" spans="2:9" x14ac:dyDescent="0.45">
      <c r="B24" s="24" t="s">
        <v>175</v>
      </c>
      <c r="C24" s="63">
        <f>'P&amp;L (QB)'!B10</f>
        <v>521828.34</v>
      </c>
      <c r="D24" s="59">
        <f>MIN(D227,D22*0.3)-125000</f>
        <v>388697.19999999995</v>
      </c>
      <c r="E24" s="60">
        <v>750000</v>
      </c>
      <c r="F24" s="245">
        <f>'P&amp;L (QB)'!D10</f>
        <v>750000</v>
      </c>
      <c r="G24" s="274">
        <f t="shared" si="5"/>
        <v>1</v>
      </c>
      <c r="I24" s="88"/>
    </row>
    <row r="25" spans="2:9" x14ac:dyDescent="0.45">
      <c r="B25" s="24" t="s">
        <v>285</v>
      </c>
      <c r="C25" s="63">
        <f>'P&amp;L (QB)'!B11</f>
        <v>0</v>
      </c>
      <c r="D25" s="59">
        <f>58.25*D8</f>
        <v>6990</v>
      </c>
      <c r="E25" s="60">
        <v>10485</v>
      </c>
      <c r="F25" s="245">
        <f>'P&amp;L (QB)'!D11</f>
        <v>0</v>
      </c>
      <c r="G25" s="274"/>
      <c r="I25" s="25"/>
    </row>
    <row r="26" spans="2:9" x14ac:dyDescent="0.45">
      <c r="B26" s="24" t="s">
        <v>286</v>
      </c>
      <c r="C26" s="63">
        <f>'P&amp;L (QB)'!B12</f>
        <v>4950</v>
      </c>
      <c r="D26" s="59">
        <f>14.98*D8</f>
        <v>1797.6000000000001</v>
      </c>
      <c r="E26" s="60">
        <v>2696.4</v>
      </c>
      <c r="F26" s="245">
        <f>'P&amp;L (QB)'!D12</f>
        <v>0</v>
      </c>
      <c r="G26" s="274"/>
    </row>
    <row r="27" spans="2:9" x14ac:dyDescent="0.45">
      <c r="B27" s="24" t="s">
        <v>287</v>
      </c>
      <c r="C27" s="63">
        <f>'P&amp;L (QB)'!B13</f>
        <v>624</v>
      </c>
      <c r="D27" s="62">
        <f>6.25*D8</f>
        <v>750</v>
      </c>
      <c r="E27" s="64">
        <v>1125</v>
      </c>
      <c r="F27" s="245">
        <f>'P&amp;L (QB)'!D13</f>
        <v>0</v>
      </c>
      <c r="G27" s="274"/>
    </row>
    <row r="28" spans="2:9" hidden="1" x14ac:dyDescent="0.45">
      <c r="B28" s="24" t="s">
        <v>288</v>
      </c>
      <c r="C28" s="63">
        <f>'P&amp;L (QB)'!B14</f>
        <v>0</v>
      </c>
      <c r="D28" s="62"/>
      <c r="E28" s="64"/>
      <c r="F28" s="245">
        <f>'P&amp;L (QB)'!D14</f>
        <v>0</v>
      </c>
      <c r="G28" s="274"/>
    </row>
    <row r="29" spans="2:9" hidden="1" x14ac:dyDescent="0.45">
      <c r="B29" s="24" t="s">
        <v>289</v>
      </c>
      <c r="C29" s="63">
        <f>'P&amp;L (QB)'!B15</f>
        <v>0</v>
      </c>
      <c r="D29" s="62">
        <f>185000+(450*D9)</f>
        <v>232700</v>
      </c>
      <c r="E29" s="64" t="s">
        <v>506</v>
      </c>
      <c r="F29" s="245">
        <f>'P&amp;L (QB)'!D15</f>
        <v>0</v>
      </c>
      <c r="G29" s="274"/>
    </row>
    <row r="30" spans="2:9" x14ac:dyDescent="0.45">
      <c r="B30" s="24" t="s">
        <v>290</v>
      </c>
      <c r="C30" s="63">
        <f>'P&amp;L (QB)'!B16</f>
        <v>23257</v>
      </c>
      <c r="D30" s="62">
        <f>188*D9</f>
        <v>19928</v>
      </c>
      <c r="E30" s="64">
        <v>0</v>
      </c>
      <c r="F30" s="245">
        <f>'P&amp;L (QB)'!D16</f>
        <v>0</v>
      </c>
      <c r="G30" s="274"/>
    </row>
    <row r="31" spans="2:9" x14ac:dyDescent="0.45">
      <c r="B31" s="65" t="s">
        <v>172</v>
      </c>
      <c r="C31" s="67">
        <f>(((((((((C21)+(C22))+(C23))+(C24))+(C25))+(C26))+(C27))+(C28))+(C29))+(C30)</f>
        <v>2597598.4699999997</v>
      </c>
      <c r="D31" s="67">
        <f t="shared" ref="D31" si="10">(((((((((D21)+(D22))+(D23))+(D24))+(D25))+(D26))+(D27))+(D28))+(D29))+(D30)</f>
        <v>2564066.8000000003</v>
      </c>
      <c r="E31" s="67">
        <v>3786809.4</v>
      </c>
      <c r="F31" s="67">
        <f>(((((((((F21)+(F22))+(F23))+(F24))+(F25))+(F26))+(F27))+(F28))+(F29))+(F30)</f>
        <v>3778055.58</v>
      </c>
      <c r="G31" s="275">
        <f t="shared" si="5"/>
        <v>0.99768833889553565</v>
      </c>
    </row>
    <row r="32" spans="2:9" x14ac:dyDescent="0.45">
      <c r="B32" s="24" t="s">
        <v>52</v>
      </c>
      <c r="C32" s="69"/>
      <c r="D32" s="62"/>
      <c r="E32" s="64"/>
      <c r="F32" s="246"/>
      <c r="G32" s="250"/>
    </row>
    <row r="33" spans="2:9" x14ac:dyDescent="0.45">
      <c r="B33" s="291" t="s">
        <v>291</v>
      </c>
      <c r="C33" s="70">
        <f>'P&amp;L (QB)'!B19</f>
        <v>12884</v>
      </c>
      <c r="D33" s="62"/>
      <c r="E33" s="319">
        <v>15000</v>
      </c>
      <c r="F33" s="290">
        <f>'P&amp;L (QB)'!D19</f>
        <v>12911</v>
      </c>
      <c r="G33" s="320">
        <f t="shared" si="5"/>
        <v>0.86073333333333335</v>
      </c>
      <c r="I33" s="22" t="s">
        <v>535</v>
      </c>
    </row>
    <row r="34" spans="2:9" x14ac:dyDescent="0.45">
      <c r="B34" s="291" t="s">
        <v>292</v>
      </c>
      <c r="C34" s="70">
        <f>'P&amp;L (QB)'!B20</f>
        <v>48485</v>
      </c>
      <c r="D34" s="62">
        <f>D9*D12*500</f>
        <v>42400.000000000007</v>
      </c>
      <c r="E34" s="319">
        <v>64800</v>
      </c>
      <c r="F34" s="290">
        <f>'P&amp;L (QB)'!D20</f>
        <v>75854.789999999994</v>
      </c>
      <c r="G34" s="320">
        <f t="shared" si="5"/>
        <v>1.1705986111111111</v>
      </c>
      <c r="I34" s="22" t="s">
        <v>539</v>
      </c>
    </row>
    <row r="35" spans="2:9" x14ac:dyDescent="0.45">
      <c r="B35" s="291" t="s">
        <v>293</v>
      </c>
      <c r="C35" s="70">
        <f>'P&amp;L (QB)'!B21</f>
        <v>7023</v>
      </c>
      <c r="D35" s="62">
        <f>D9*D12*40</f>
        <v>3392.0000000000005</v>
      </c>
      <c r="E35" s="319">
        <v>5184</v>
      </c>
      <c r="F35" s="290">
        <f>'P&amp;L (QB)'!D21</f>
        <v>12119.4</v>
      </c>
      <c r="G35" s="320">
        <f t="shared" si="5"/>
        <v>2.337847222222222</v>
      </c>
      <c r="I35" s="327" t="s">
        <v>540</v>
      </c>
    </row>
    <row r="36" spans="2:9" x14ac:dyDescent="0.45">
      <c r="B36" s="291" t="s">
        <v>294</v>
      </c>
      <c r="C36" s="70">
        <f>'P&amp;L (QB)'!B22</f>
        <v>0</v>
      </c>
      <c r="D36" s="62"/>
      <c r="E36" s="319" t="s">
        <v>506</v>
      </c>
      <c r="F36" s="290">
        <f>'P&amp;L (QB)'!D22</f>
        <v>10000</v>
      </c>
      <c r="G36" s="320"/>
      <c r="I36" s="294" t="s">
        <v>526</v>
      </c>
    </row>
    <row r="37" spans="2:9" x14ac:dyDescent="0.45">
      <c r="B37" s="291" t="s">
        <v>295</v>
      </c>
      <c r="C37" s="70">
        <f>'P&amp;L (QB)'!B23</f>
        <v>37524.29</v>
      </c>
      <c r="D37" s="62">
        <f>(2550*12)*90%</f>
        <v>27540</v>
      </c>
      <c r="E37" s="319">
        <v>27540</v>
      </c>
      <c r="F37" s="290">
        <f>'P&amp;L (QB)'!D23</f>
        <v>36533</v>
      </c>
      <c r="G37" s="320">
        <f t="shared" si="5"/>
        <v>1.3265432098765433</v>
      </c>
      <c r="I37" s="26"/>
    </row>
    <row r="38" spans="2:9" hidden="1" x14ac:dyDescent="0.45">
      <c r="B38" s="291" t="s">
        <v>296</v>
      </c>
      <c r="C38" s="70">
        <f>'P&amp;L (QB)'!B24</f>
        <v>0</v>
      </c>
      <c r="D38" s="62"/>
      <c r="E38" s="319" t="s">
        <v>506</v>
      </c>
      <c r="F38" s="290">
        <f>'P&amp;L (QB)'!D24</f>
        <v>0</v>
      </c>
      <c r="G38" s="320"/>
    </row>
    <row r="39" spans="2:9" x14ac:dyDescent="0.45">
      <c r="B39" s="291" t="s">
        <v>109</v>
      </c>
      <c r="C39" s="70">
        <f>'P&amp;L (QB)'!B25</f>
        <v>373830.5</v>
      </c>
      <c r="D39" s="62">
        <v>373831</v>
      </c>
      <c r="E39" s="321">
        <v>0</v>
      </c>
      <c r="F39" s="290">
        <f>'P&amp;L (QB)'!D25</f>
        <v>0</v>
      </c>
      <c r="G39" s="320"/>
      <c r="H39" s="72"/>
    </row>
    <row r="40" spans="2:9" s="293" customFormat="1" x14ac:dyDescent="0.45">
      <c r="B40" s="291" t="s">
        <v>520</v>
      </c>
      <c r="C40" s="70"/>
      <c r="D40" s="62"/>
      <c r="E40" s="319"/>
      <c r="F40" s="290">
        <f>'P&amp;L (QB)'!D26</f>
        <v>14785</v>
      </c>
      <c r="G40" s="320"/>
      <c r="H40" s="72"/>
      <c r="I40" s="293" t="s">
        <v>526</v>
      </c>
    </row>
    <row r="41" spans="2:9" x14ac:dyDescent="0.45">
      <c r="B41" s="65" t="s">
        <v>53</v>
      </c>
      <c r="C41" s="67">
        <f>(((((((C32)+(C33))+(C34))+(C35))+(C36))+(C37))+(C38))+(C39)</f>
        <v>479746.79000000004</v>
      </c>
      <c r="D41" s="67">
        <f t="shared" ref="D41" si="11">(((((((D32)+(D33))+(D34))+(D35))+(D36))+(D37))+(D38))+(D39)</f>
        <v>447163</v>
      </c>
      <c r="E41" s="67">
        <v>112524</v>
      </c>
      <c r="F41" s="67">
        <f>(((((((F32)+(F33))+(F34))+(F35))+(F36))+(F37))+(F38))+(F39)+(F40)</f>
        <v>162203.19</v>
      </c>
      <c r="G41" s="275">
        <f t="shared" si="5"/>
        <v>1.4414986136290924</v>
      </c>
    </row>
    <row r="42" spans="2:9" x14ac:dyDescent="0.45">
      <c r="B42" s="24" t="s">
        <v>54</v>
      </c>
      <c r="C42" s="69"/>
      <c r="D42" s="62"/>
      <c r="E42" s="64"/>
      <c r="F42" s="246"/>
      <c r="G42" s="274"/>
    </row>
    <row r="43" spans="2:9" x14ac:dyDescent="0.45">
      <c r="B43" s="291" t="s">
        <v>153</v>
      </c>
      <c r="C43" s="70">
        <f>'P&amp;L (QB)'!B30</f>
        <v>31135.73</v>
      </c>
      <c r="D43" s="62">
        <v>15000</v>
      </c>
      <c r="E43" s="64">
        <v>18000</v>
      </c>
      <c r="F43" s="247">
        <f>'P&amp;L (QB)'!D30</f>
        <v>13643.01</v>
      </c>
      <c r="G43" s="274">
        <f t="shared" si="5"/>
        <v>0.75794499999999998</v>
      </c>
    </row>
    <row r="44" spans="2:9" x14ac:dyDescent="0.45">
      <c r="B44" s="24" t="s">
        <v>94</v>
      </c>
      <c r="C44" s="70">
        <f>'P&amp;L (QB)'!B31</f>
        <v>0</v>
      </c>
      <c r="D44" s="62"/>
      <c r="E44" s="64" t="s">
        <v>506</v>
      </c>
      <c r="F44" s="247">
        <f>'P&amp;L (QB)'!D31</f>
        <v>0</v>
      </c>
      <c r="G44" s="274"/>
    </row>
    <row r="45" spans="2:9" x14ac:dyDescent="0.45">
      <c r="B45" s="65" t="s">
        <v>55</v>
      </c>
      <c r="C45" s="67">
        <f t="shared" ref="C45:D45" si="12">C43+C44</f>
        <v>31135.73</v>
      </c>
      <c r="D45" s="67">
        <f t="shared" si="12"/>
        <v>15000</v>
      </c>
      <c r="E45" s="67">
        <v>18000</v>
      </c>
      <c r="F45" s="67">
        <f t="shared" ref="F45" si="13">F43+F44</f>
        <v>13643.01</v>
      </c>
      <c r="G45" s="275">
        <f t="shared" si="5"/>
        <v>0.75794499999999998</v>
      </c>
    </row>
    <row r="46" spans="2:9" outlineLevel="1" x14ac:dyDescent="0.45">
      <c r="B46" s="24" t="s">
        <v>299</v>
      </c>
      <c r="C46" s="69"/>
      <c r="D46" s="62"/>
      <c r="E46" s="64"/>
      <c r="F46" s="246"/>
      <c r="G46" s="274"/>
    </row>
    <row r="47" spans="2:9" outlineLevel="1" x14ac:dyDescent="0.45">
      <c r="B47" s="24" t="s">
        <v>300</v>
      </c>
      <c r="C47" s="73">
        <f>'P&amp;L (QB)'!B35</f>
        <v>0</v>
      </c>
      <c r="D47" s="71"/>
      <c r="E47" s="74"/>
      <c r="F47" s="248">
        <f>'P&amp;L (QB)'!D35</f>
        <v>0</v>
      </c>
      <c r="G47" s="276"/>
    </row>
    <row r="48" spans="2:9" outlineLevel="1" x14ac:dyDescent="0.45">
      <c r="B48" s="65" t="s">
        <v>301</v>
      </c>
      <c r="C48" s="66">
        <f>C47</f>
        <v>0</v>
      </c>
      <c r="D48" s="66">
        <f t="shared" ref="D48" si="14">D47</f>
        <v>0</v>
      </c>
      <c r="E48" s="66">
        <v>0</v>
      </c>
      <c r="F48" s="66">
        <f>F47</f>
        <v>0</v>
      </c>
      <c r="G48" s="275"/>
    </row>
    <row r="49" spans="2:9" outlineLevel="1" x14ac:dyDescent="0.45">
      <c r="B49" s="24" t="s">
        <v>302</v>
      </c>
      <c r="C49" s="69"/>
      <c r="D49" s="62"/>
      <c r="E49" s="64"/>
      <c r="F49" s="246"/>
      <c r="G49" s="274"/>
    </row>
    <row r="50" spans="2:9" outlineLevel="1" x14ac:dyDescent="0.45">
      <c r="B50" s="24" t="s">
        <v>303</v>
      </c>
      <c r="C50" s="63">
        <f>'P&amp;L (QB)'!B38</f>
        <v>0.98</v>
      </c>
      <c r="D50" s="71">
        <v>0</v>
      </c>
      <c r="E50" s="74"/>
      <c r="F50" s="245">
        <f>'P&amp;L (QB)'!D38</f>
        <v>361.09</v>
      </c>
      <c r="G50" s="276"/>
      <c r="I50" s="22" t="s">
        <v>545</v>
      </c>
    </row>
    <row r="51" spans="2:9" outlineLevel="1" x14ac:dyDescent="0.45">
      <c r="B51" s="65" t="s">
        <v>304</v>
      </c>
      <c r="C51" s="66">
        <f>C50</f>
        <v>0.98</v>
      </c>
      <c r="D51" s="66">
        <f t="shared" ref="D51" si="15">D50</f>
        <v>0</v>
      </c>
      <c r="E51" s="66">
        <v>0</v>
      </c>
      <c r="F51" s="66">
        <f>F50</f>
        <v>361.09</v>
      </c>
      <c r="G51" s="275"/>
    </row>
    <row r="52" spans="2:9" outlineLevel="1" x14ac:dyDescent="0.45">
      <c r="B52" s="24" t="s">
        <v>305</v>
      </c>
      <c r="C52" s="69"/>
      <c r="D52" s="62"/>
      <c r="E52" s="64"/>
      <c r="F52" s="246"/>
      <c r="G52" s="274"/>
    </row>
    <row r="53" spans="2:9" outlineLevel="1" x14ac:dyDescent="0.45">
      <c r="B53" s="24" t="s">
        <v>306</v>
      </c>
      <c r="C53" s="73">
        <f>'P&amp;L (QB)'!B41</f>
        <v>2363</v>
      </c>
      <c r="D53" s="71"/>
      <c r="E53" s="74"/>
      <c r="F53" s="248">
        <f>'P&amp;L (QB)'!D41</f>
        <v>0</v>
      </c>
      <c r="G53" s="276"/>
    </row>
    <row r="54" spans="2:9" hidden="1" outlineLevel="1" x14ac:dyDescent="0.45">
      <c r="B54" s="24" t="s">
        <v>307</v>
      </c>
      <c r="C54" s="73">
        <f>'P&amp;L (QB)'!B42</f>
        <v>0</v>
      </c>
      <c r="D54" s="71"/>
      <c r="E54" s="74"/>
      <c r="F54" s="248">
        <f>'P&amp;L (QB)'!D42</f>
        <v>0</v>
      </c>
      <c r="G54" s="276"/>
    </row>
    <row r="55" spans="2:9" outlineLevel="1" x14ac:dyDescent="0.45">
      <c r="B55" s="24" t="s">
        <v>308</v>
      </c>
      <c r="C55" s="73">
        <f>'P&amp;L (QB)'!B43</f>
        <v>17500</v>
      </c>
      <c r="D55" s="71"/>
      <c r="E55" s="74"/>
      <c r="F55" s="289">
        <f>'P&amp;L (QB)'!D43</f>
        <v>0</v>
      </c>
      <c r="G55" s="276"/>
    </row>
    <row r="56" spans="2:9" hidden="1" outlineLevel="1" x14ac:dyDescent="0.45">
      <c r="B56" s="24" t="s">
        <v>309</v>
      </c>
      <c r="C56" s="73">
        <v>0</v>
      </c>
      <c r="D56" s="71"/>
      <c r="E56" s="74"/>
      <c r="F56" s="248">
        <v>0</v>
      </c>
      <c r="G56" s="276"/>
    </row>
    <row r="57" spans="2:9" outlineLevel="1" x14ac:dyDescent="0.45">
      <c r="B57" s="65" t="s">
        <v>310</v>
      </c>
      <c r="C57" s="75">
        <f>((((C52)+(C53))+(C54))+(C55))+(C56)</f>
        <v>19863</v>
      </c>
      <c r="D57" s="75">
        <f t="shared" ref="D57" si="16">((((D52)+(D53))+(D54))+(D55))+(D56)</f>
        <v>0</v>
      </c>
      <c r="E57" s="75">
        <v>0</v>
      </c>
      <c r="F57" s="75">
        <f>((((F52)+(F53))+(F54))+(F55))+(F56)</f>
        <v>0</v>
      </c>
      <c r="G57" s="275"/>
    </row>
    <row r="58" spans="2:9" x14ac:dyDescent="0.45">
      <c r="B58" s="65" t="s">
        <v>4</v>
      </c>
      <c r="C58" s="67">
        <f>(((((C31)+(C41))+(C45))+(C48))+(C51))+(C57)</f>
        <v>3128344.9699999997</v>
      </c>
      <c r="D58" s="67">
        <f t="shared" ref="D58" si="17">(((((D31)+(D41))+(D45))+(D48))+(D51))+(D57)</f>
        <v>3026229.8000000003</v>
      </c>
      <c r="E58" s="67">
        <v>3917333.4</v>
      </c>
      <c r="F58" s="67">
        <f>(((((F31)+(F41))+(F45))+(F48))+(F51))+(F57)</f>
        <v>3954262.8699999996</v>
      </c>
      <c r="G58" s="275">
        <f t="shared" si="5"/>
        <v>1.009427196061484</v>
      </c>
    </row>
    <row r="59" spans="2:9" x14ac:dyDescent="0.45">
      <c r="B59" s="24" t="s">
        <v>1</v>
      </c>
      <c r="C59" s="76">
        <f>(C58)-(0)</f>
        <v>3128344.9699999997</v>
      </c>
      <c r="D59" s="77">
        <f t="shared" ref="D59" si="18">(D58)-(0)</f>
        <v>3026229.8000000003</v>
      </c>
      <c r="E59" s="78">
        <v>3917333.4</v>
      </c>
      <c r="F59" s="249">
        <f>(F58)-(0)</f>
        <v>3954262.8699999996</v>
      </c>
      <c r="G59" s="277">
        <f t="shared" si="5"/>
        <v>1.009427196061484</v>
      </c>
    </row>
    <row r="60" spans="2:9" x14ac:dyDescent="0.45">
      <c r="B60" s="24" t="s">
        <v>5</v>
      </c>
      <c r="C60" s="70"/>
      <c r="D60" s="79"/>
      <c r="E60" s="80"/>
      <c r="F60" s="247"/>
      <c r="G60" s="274"/>
    </row>
    <row r="61" spans="2:9" x14ac:dyDescent="0.45">
      <c r="B61" s="81" t="s">
        <v>110</v>
      </c>
      <c r="C61" s="70"/>
      <c r="D61" s="79"/>
      <c r="E61" s="80"/>
      <c r="F61" s="247"/>
      <c r="G61" s="274"/>
    </row>
    <row r="62" spans="2:9" x14ac:dyDescent="0.45">
      <c r="B62" s="81" t="s">
        <v>111</v>
      </c>
      <c r="C62" s="70"/>
      <c r="D62" s="79"/>
      <c r="E62" s="80"/>
      <c r="F62" s="247"/>
      <c r="G62" s="274"/>
    </row>
    <row r="63" spans="2:9" x14ac:dyDescent="0.45">
      <c r="B63" s="81" t="s">
        <v>112</v>
      </c>
      <c r="C63" s="63">
        <f>'P&amp;L (QB)'!B60</f>
        <v>133900.07999999999</v>
      </c>
      <c r="D63" s="82" t="e">
        <v>#VALUE!</v>
      </c>
      <c r="E63" s="83">
        <v>133900.07999999999</v>
      </c>
      <c r="F63" s="245">
        <f>'P&amp;L (QB)'!D60</f>
        <v>133900.07999999999</v>
      </c>
      <c r="G63" s="276">
        <f t="shared" si="5"/>
        <v>1</v>
      </c>
    </row>
    <row r="64" spans="2:9" hidden="1" x14ac:dyDescent="0.45">
      <c r="B64" s="81" t="s">
        <v>320</v>
      </c>
      <c r="C64" s="63">
        <f>'P&amp;L (QB)'!B61</f>
        <v>0</v>
      </c>
      <c r="D64" s="82"/>
      <c r="E64" s="83">
        <v>0</v>
      </c>
      <c r="F64" s="245">
        <f>'P&amp;L (QB)'!D61</f>
        <v>0</v>
      </c>
      <c r="G64" s="276"/>
    </row>
    <row r="65" spans="2:9" hidden="1" x14ac:dyDescent="0.45">
      <c r="B65" s="81" t="s">
        <v>442</v>
      </c>
      <c r="C65" s="63"/>
      <c r="D65" s="82"/>
      <c r="E65" s="83">
        <v>0</v>
      </c>
      <c r="F65" s="245"/>
      <c r="G65" s="276"/>
    </row>
    <row r="66" spans="2:9" x14ac:dyDescent="0.45">
      <c r="B66" s="350" t="s">
        <v>177</v>
      </c>
      <c r="C66" s="63">
        <f>'P&amp;L (QB)'!B63</f>
        <v>83640.94</v>
      </c>
      <c r="D66" s="82" t="e">
        <v>#VALUE!</v>
      </c>
      <c r="E66" s="83">
        <v>81280</v>
      </c>
      <c r="F66" s="245">
        <f>'P&amp;L (QB)'!D63</f>
        <v>74613.41</v>
      </c>
      <c r="G66" s="276">
        <f t="shared" si="5"/>
        <v>0.91797994586614173</v>
      </c>
      <c r="I66" s="22" t="s">
        <v>525</v>
      </c>
    </row>
    <row r="67" spans="2:9" x14ac:dyDescent="0.45">
      <c r="B67" s="81" t="s">
        <v>113</v>
      </c>
      <c r="C67" s="63">
        <f>'P&amp;L (QB)'!B64</f>
        <v>79442.37</v>
      </c>
      <c r="D67" s="82" t="e">
        <v>#VALUE!</v>
      </c>
      <c r="E67" s="83">
        <v>86360</v>
      </c>
      <c r="F67" s="245">
        <f>'P&amp;L (QB)'!D64</f>
        <v>76564.44</v>
      </c>
      <c r="G67" s="276">
        <f t="shared" si="5"/>
        <v>0.8865729504400186</v>
      </c>
    </row>
    <row r="68" spans="2:9" x14ac:dyDescent="0.45">
      <c r="B68" s="81" t="s">
        <v>322</v>
      </c>
      <c r="C68" s="63">
        <f>'P&amp;L (QB)'!B65</f>
        <v>0</v>
      </c>
      <c r="D68" s="82"/>
      <c r="E68" s="83">
        <v>0</v>
      </c>
      <c r="F68" s="245">
        <f>'P&amp;L (QB)'!D65</f>
        <v>0</v>
      </c>
      <c r="G68" s="276"/>
    </row>
    <row r="69" spans="2:9" ht="42.75" x14ac:dyDescent="0.45">
      <c r="B69" s="352" t="s">
        <v>114</v>
      </c>
      <c r="C69" s="285">
        <f>'P&amp;L (QB)'!B67</f>
        <v>52650</v>
      </c>
      <c r="D69" s="82" t="e">
        <v>#VALUE!</v>
      </c>
      <c r="E69" s="82">
        <v>53492.4</v>
      </c>
      <c r="F69" s="285">
        <f>'P&amp;L (QB)'!D67</f>
        <v>55487.19</v>
      </c>
      <c r="G69" s="286">
        <f t="shared" si="5"/>
        <v>1.0372910918186509</v>
      </c>
      <c r="I69" s="26" t="s">
        <v>560</v>
      </c>
    </row>
    <row r="70" spans="2:9" x14ac:dyDescent="0.45">
      <c r="B70" s="81" t="s">
        <v>324</v>
      </c>
      <c r="C70" s="63">
        <f>'P&amp;L (QB)'!B68</f>
        <v>0</v>
      </c>
      <c r="D70" s="82"/>
      <c r="E70" s="83">
        <v>0</v>
      </c>
      <c r="F70" s="245">
        <f>'P&amp;L (QB)'!D68</f>
        <v>0</v>
      </c>
      <c r="G70" s="276"/>
    </row>
    <row r="71" spans="2:9" x14ac:dyDescent="0.45">
      <c r="B71" s="81" t="s">
        <v>325</v>
      </c>
      <c r="C71" s="63">
        <f>'P&amp;L (QB)'!B69</f>
        <v>0</v>
      </c>
      <c r="D71" s="82"/>
      <c r="E71" s="83">
        <v>0</v>
      </c>
      <c r="F71" s="245">
        <f>'P&amp;L (QB)'!D69</f>
        <v>0</v>
      </c>
      <c r="G71" s="276"/>
      <c r="H71" s="72"/>
    </row>
    <row r="72" spans="2:9" x14ac:dyDescent="0.45">
      <c r="B72" s="81" t="s">
        <v>326</v>
      </c>
      <c r="C72" s="63">
        <f>'P&amp;L (QB)'!B70</f>
        <v>0</v>
      </c>
      <c r="D72" s="82"/>
      <c r="E72" s="83">
        <v>0</v>
      </c>
      <c r="F72" s="245">
        <f>'P&amp;L (QB)'!D70</f>
        <v>0</v>
      </c>
      <c r="G72" s="276"/>
    </row>
    <row r="73" spans="2:9" x14ac:dyDescent="0.45">
      <c r="B73" s="81" t="s">
        <v>327</v>
      </c>
      <c r="C73" s="63">
        <f>'P&amp;L (QB)'!B71</f>
        <v>3210</v>
      </c>
      <c r="D73" s="82" t="e">
        <v>#VALUE!</v>
      </c>
      <c r="E73" s="83">
        <v>22000</v>
      </c>
      <c r="F73" s="245">
        <f>'P&amp;L (QB)'!D71</f>
        <v>0</v>
      </c>
      <c r="G73" s="276">
        <f t="shared" si="5"/>
        <v>0</v>
      </c>
    </row>
    <row r="74" spans="2:9" x14ac:dyDescent="0.45">
      <c r="B74" s="84" t="s">
        <v>115</v>
      </c>
      <c r="C74" s="66">
        <f>((((((((((C62)+(C63))+(C64))+(C65))+(C66))+(C67))+(C68))+(C69))+(C70))+(C71))+(C72)+C73</f>
        <v>352843.39</v>
      </c>
      <c r="D74" s="66" t="e">
        <f t="shared" ref="D74" si="19">((((((((((D62)+(D63))+(D64))+(D65))+(D66))+(D67))+(D68))+(D69))+(D70))+(D71))+(D72)+D73</f>
        <v>#VALUE!</v>
      </c>
      <c r="E74" s="66">
        <v>377032.48</v>
      </c>
      <c r="F74" s="66">
        <f>((((((((((F62)+(F63))+(F64))+(F65))+(F66))+(F67))+(F68))+(F69))+(F70))+(F71))+(F72)+F73</f>
        <v>340565.12</v>
      </c>
      <c r="G74" s="278">
        <f t="shared" si="5"/>
        <v>0.90327793509991505</v>
      </c>
    </row>
    <row r="75" spans="2:9" x14ac:dyDescent="0.45">
      <c r="B75" s="81" t="s">
        <v>142</v>
      </c>
      <c r="C75" s="70"/>
      <c r="D75" s="79"/>
      <c r="E75" s="80"/>
      <c r="F75" s="247"/>
      <c r="G75" s="274"/>
    </row>
    <row r="76" spans="2:9" x14ac:dyDescent="0.45">
      <c r="B76" s="81" t="s">
        <v>178</v>
      </c>
      <c r="C76" s="63">
        <f>'P&amp;L (QB)'!B78</f>
        <v>272354.5</v>
      </c>
      <c r="D76" s="82" t="e">
        <v>#VALUE!</v>
      </c>
      <c r="E76" s="83">
        <v>444408</v>
      </c>
      <c r="F76" s="245">
        <f>'P&amp;L (QB)'!D78</f>
        <v>274765.65000000002</v>
      </c>
      <c r="G76" s="276">
        <f t="shared" si="5"/>
        <v>0.61827341091969545</v>
      </c>
    </row>
    <row r="77" spans="2:9" x14ac:dyDescent="0.45">
      <c r="B77" s="81" t="s">
        <v>179</v>
      </c>
      <c r="C77" s="63">
        <f>'P&amp;L (QB)'!B80</f>
        <v>242490.79</v>
      </c>
      <c r="D77" s="82" t="e">
        <v>#VALUE!</v>
      </c>
      <c r="E77" s="83">
        <v>373040</v>
      </c>
      <c r="F77" s="245">
        <f>'P&amp;L (QB)'!D80</f>
        <v>333908.88</v>
      </c>
      <c r="G77" s="276">
        <f t="shared" si="5"/>
        <v>0.89510208020587601</v>
      </c>
    </row>
    <row r="78" spans="2:9" x14ac:dyDescent="0.45">
      <c r="B78" s="81" t="s">
        <v>180</v>
      </c>
      <c r="C78" s="63">
        <f>'P&amp;L (QB)'!B83</f>
        <v>0</v>
      </c>
      <c r="D78" s="82"/>
      <c r="E78" s="83">
        <v>60000</v>
      </c>
      <c r="F78" s="245">
        <f>'P&amp;L (QB)'!D83</f>
        <v>39375</v>
      </c>
      <c r="G78" s="276">
        <f t="shared" si="5"/>
        <v>0.65625</v>
      </c>
    </row>
    <row r="79" spans="2:9" s="27" customFormat="1" hidden="1" x14ac:dyDescent="0.45">
      <c r="B79" s="85" t="s">
        <v>181</v>
      </c>
      <c r="C79" s="86">
        <f>'P&amp;L (QB)'!B84</f>
        <v>0</v>
      </c>
      <c r="D79" s="82"/>
      <c r="E79" s="83">
        <v>0</v>
      </c>
      <c r="F79" s="83">
        <f>'P&amp;L (QB)'!D84</f>
        <v>0</v>
      </c>
      <c r="G79" s="276"/>
    </row>
    <row r="80" spans="2:9" x14ac:dyDescent="0.45">
      <c r="B80" s="352" t="s">
        <v>182</v>
      </c>
      <c r="C80" s="285">
        <f>'P&amp;L (QB)'!B85</f>
        <v>55534.18</v>
      </c>
      <c r="D80" s="82" t="e">
        <v>#VALUE!</v>
      </c>
      <c r="E80" s="82">
        <v>61468</v>
      </c>
      <c r="F80" s="285">
        <f>'P&amp;L (QB)'!D85</f>
        <v>67912.7</v>
      </c>
      <c r="G80" s="286">
        <f t="shared" si="5"/>
        <v>1.1048464241556581</v>
      </c>
      <c r="I80" s="26" t="s">
        <v>553</v>
      </c>
    </row>
    <row r="81" spans="2:9" x14ac:dyDescent="0.45">
      <c r="B81" s="81" t="s">
        <v>183</v>
      </c>
      <c r="C81" s="63">
        <f>'P&amp;L (QB)'!B86</f>
        <v>18132.189999999999</v>
      </c>
      <c r="D81" s="82" t="e">
        <v>#VALUE!</v>
      </c>
      <c r="E81" s="83">
        <v>55000</v>
      </c>
      <c r="F81" s="245">
        <f>'P&amp;L (QB)'!D86</f>
        <v>29917.56</v>
      </c>
      <c r="G81" s="276">
        <f t="shared" si="5"/>
        <v>0.54395563636363642</v>
      </c>
    </row>
    <row r="82" spans="2:9" x14ac:dyDescent="0.45">
      <c r="B82" s="81" t="s">
        <v>184</v>
      </c>
      <c r="C82" s="63">
        <f>'P&amp;L (QB)'!B87</f>
        <v>42654.3</v>
      </c>
      <c r="D82" s="82" t="e">
        <v>#VALUE!</v>
      </c>
      <c r="E82" s="83">
        <v>60000</v>
      </c>
      <c r="F82" s="245">
        <f>'P&amp;L (QB)'!D87</f>
        <v>60000.05</v>
      </c>
      <c r="G82" s="276">
        <f t="shared" ref="G82:G145" si="20">F82/E82</f>
        <v>1.0000008333333334</v>
      </c>
    </row>
    <row r="83" spans="2:9" x14ac:dyDescent="0.45">
      <c r="B83" s="84" t="s">
        <v>143</v>
      </c>
      <c r="C83" s="67">
        <f>((((((C75)+(C76))+(C77))+(C78))+C79+(C80))+(C81))+(C82)</f>
        <v>631165.96000000008</v>
      </c>
      <c r="D83" s="67" t="e">
        <f>((((((D75)+(D76))+(D77))+(D78))+(D80))+(D81))+(D82)</f>
        <v>#VALUE!</v>
      </c>
      <c r="E83" s="67">
        <v>1053916</v>
      </c>
      <c r="F83" s="67">
        <f>((((((F75)+(F76))+(F77))+(F78))+F79+(F80))+(F81))+(F82)</f>
        <v>805879.84000000008</v>
      </c>
      <c r="G83" s="275">
        <f t="shared" si="20"/>
        <v>0.76465281863070689</v>
      </c>
      <c r="I83" s="284" t="s">
        <v>524</v>
      </c>
    </row>
    <row r="84" spans="2:9" x14ac:dyDescent="0.45">
      <c r="B84" s="81" t="s">
        <v>336</v>
      </c>
      <c r="C84" s="70"/>
      <c r="D84" s="79"/>
      <c r="E84" s="80"/>
      <c r="F84" s="247"/>
      <c r="G84" s="274"/>
    </row>
    <row r="85" spans="2:9" x14ac:dyDescent="0.45">
      <c r="B85" s="81" t="s">
        <v>337</v>
      </c>
      <c r="C85" s="63">
        <f>'P&amp;L (QB)'!B90</f>
        <v>0</v>
      </c>
      <c r="D85" s="82"/>
      <c r="E85" s="83">
        <v>0</v>
      </c>
      <c r="F85" s="245">
        <f>'P&amp;L (QB)'!D90</f>
        <v>0</v>
      </c>
      <c r="G85" s="276"/>
    </row>
    <row r="86" spans="2:9" x14ac:dyDescent="0.45">
      <c r="B86" s="84" t="s">
        <v>338</v>
      </c>
      <c r="C86" s="67">
        <f>(C84)+(C85)</f>
        <v>0</v>
      </c>
      <c r="D86" s="67">
        <f>(D84)+(D85)</f>
        <v>0</v>
      </c>
      <c r="E86" s="67">
        <v>0</v>
      </c>
      <c r="F86" s="67">
        <f>(F84)+(F85)</f>
        <v>0</v>
      </c>
      <c r="G86" s="279"/>
    </row>
    <row r="87" spans="2:9" x14ac:dyDescent="0.45">
      <c r="B87" s="24" t="s">
        <v>116</v>
      </c>
      <c r="C87" s="70"/>
      <c r="D87" s="79"/>
      <c r="E87" s="80"/>
      <c r="F87" s="247"/>
      <c r="G87" s="274"/>
    </row>
    <row r="88" spans="2:9" x14ac:dyDescent="0.45">
      <c r="B88" s="24" t="s">
        <v>339</v>
      </c>
      <c r="C88" s="70">
        <f>'P&amp;L (QB)'!B93</f>
        <v>0</v>
      </c>
      <c r="D88" s="79"/>
      <c r="E88" s="80"/>
      <c r="F88" s="247">
        <f>'P&amp;L (QB)'!D93</f>
        <v>0</v>
      </c>
      <c r="G88" s="274"/>
    </row>
    <row r="89" spans="2:9" x14ac:dyDescent="0.45">
      <c r="B89" s="24" t="s">
        <v>117</v>
      </c>
      <c r="C89" s="63">
        <f>'P&amp;L (QB)'!B94</f>
        <v>12104.59</v>
      </c>
      <c r="D89" s="82" t="e">
        <f>(D$74+D$83+D$86)*1%</f>
        <v>#VALUE!</v>
      </c>
      <c r="E89" s="83">
        <v>14309.4848</v>
      </c>
      <c r="F89" s="245">
        <f>'P&amp;L (QB)'!D94</f>
        <v>12668.96</v>
      </c>
      <c r="G89" s="276">
        <f t="shared" si="20"/>
        <v>0.88535402756079651</v>
      </c>
    </row>
    <row r="90" spans="2:9" x14ac:dyDescent="0.45">
      <c r="B90" s="24" t="s">
        <v>118</v>
      </c>
      <c r="C90" s="63">
        <f>'P&amp;L (QB)'!B95</f>
        <v>60298.2</v>
      </c>
      <c r="D90" s="82" t="e">
        <f>(D$74+D$83+D$86)*6.2%</f>
        <v>#VALUE!</v>
      </c>
      <c r="E90" s="83">
        <v>84635.981759999995</v>
      </c>
      <c r="F90" s="245">
        <f>'P&amp;L (QB)'!D95</f>
        <v>79017.75</v>
      </c>
      <c r="G90" s="276">
        <f t="shared" si="20"/>
        <v>0.93361887411040534</v>
      </c>
    </row>
    <row r="91" spans="2:9" x14ac:dyDescent="0.45">
      <c r="B91" s="24" t="s">
        <v>119</v>
      </c>
      <c r="C91" s="63">
        <f>'P&amp;L (QB)'!B96</f>
        <v>14102.01</v>
      </c>
      <c r="D91" s="82" t="e">
        <f>(D$74+D$83+D$86)*1.45%</f>
        <v>#VALUE!</v>
      </c>
      <c r="E91" s="83">
        <v>19793.898959999999</v>
      </c>
      <c r="F91" s="245">
        <f>'P&amp;L (QB)'!D96</f>
        <v>7914.86</v>
      </c>
      <c r="G91" s="276">
        <f t="shared" si="20"/>
        <v>0.39986361534908027</v>
      </c>
    </row>
    <row r="92" spans="2:9" hidden="1" outlineLevel="1" x14ac:dyDescent="0.45">
      <c r="B92" s="24" t="s">
        <v>120</v>
      </c>
      <c r="C92" s="63"/>
      <c r="D92" s="82"/>
      <c r="E92" s="83">
        <v>0</v>
      </c>
      <c r="F92" s="245"/>
      <c r="G92" s="276"/>
    </row>
    <row r="93" spans="2:9" hidden="1" outlineLevel="1" x14ac:dyDescent="0.45">
      <c r="B93" s="24" t="s">
        <v>121</v>
      </c>
      <c r="C93" s="63"/>
      <c r="D93" s="82"/>
      <c r="E93" s="83">
        <v>0</v>
      </c>
      <c r="F93" s="245"/>
      <c r="G93" s="276"/>
    </row>
    <row r="94" spans="2:9" hidden="1" outlineLevel="1" x14ac:dyDescent="0.45">
      <c r="B94" s="24" t="s">
        <v>122</v>
      </c>
      <c r="C94" s="63"/>
      <c r="D94" s="82"/>
      <c r="E94" s="83">
        <v>0</v>
      </c>
      <c r="F94" s="245"/>
      <c r="G94" s="276"/>
    </row>
    <row r="95" spans="2:9" hidden="1" outlineLevel="1" x14ac:dyDescent="0.45">
      <c r="B95" s="24" t="s">
        <v>123</v>
      </c>
      <c r="C95" s="63"/>
      <c r="D95" s="82"/>
      <c r="E95" s="83">
        <v>0</v>
      </c>
      <c r="F95" s="245"/>
      <c r="G95" s="276"/>
    </row>
    <row r="96" spans="2:9" hidden="1" outlineLevel="1" x14ac:dyDescent="0.45">
      <c r="B96" s="24" t="s">
        <v>124</v>
      </c>
      <c r="C96" s="63"/>
      <c r="D96" s="82"/>
      <c r="E96" s="83">
        <v>0</v>
      </c>
      <c r="F96" s="245"/>
      <c r="G96" s="276"/>
    </row>
    <row r="97" spans="2:9" collapsed="1" x14ac:dyDescent="0.45">
      <c r="B97" s="24" t="s">
        <v>125</v>
      </c>
      <c r="C97" s="63">
        <f>'P&amp;L (QB)'!B102</f>
        <v>1194.1300000000001</v>
      </c>
      <c r="D97" s="82">
        <v>1000</v>
      </c>
      <c r="E97" s="83">
        <v>3814.0439999999994</v>
      </c>
      <c r="F97" s="245">
        <f>'P&amp;L (QB)'!D102</f>
        <v>288.68</v>
      </c>
      <c r="G97" s="276">
        <f t="shared" si="20"/>
        <v>7.5688691583002204E-2</v>
      </c>
    </row>
    <row r="98" spans="2:9" hidden="1" x14ac:dyDescent="0.45">
      <c r="B98" s="24" t="s">
        <v>340</v>
      </c>
      <c r="C98" s="70"/>
      <c r="D98" s="79"/>
      <c r="E98" s="80">
        <v>0</v>
      </c>
      <c r="F98" s="247"/>
      <c r="G98" s="274"/>
    </row>
    <row r="99" spans="2:9" x14ac:dyDescent="0.45">
      <c r="B99" s="24" t="s">
        <v>126</v>
      </c>
      <c r="C99" s="63">
        <f>'P&amp;L (QB)'!B104</f>
        <v>-364.68</v>
      </c>
      <c r="D99" s="82">
        <v>0</v>
      </c>
      <c r="E99" s="83">
        <v>0</v>
      </c>
      <c r="F99" s="245">
        <f>'P&amp;L (QB)'!D104</f>
        <v>388.95</v>
      </c>
      <c r="G99" s="83"/>
    </row>
    <row r="100" spans="2:9" x14ac:dyDescent="0.45">
      <c r="B100" s="65" t="s">
        <v>127</v>
      </c>
      <c r="C100" s="67">
        <f>((((((((((((C87)+(C88))+(C89))+(C90))+(C91))+(C92))+(C93))+(C94))+(C95))+(C96))+(C97))+(C98))+(C99)</f>
        <v>87334.25</v>
      </c>
      <c r="D100" s="67" t="e">
        <f t="shared" ref="D100" si="21">((((((((((((D87)+(D88))+(D89))+(D90))+(D91))+(D92))+(D93))+(D94))+(D95))+(D96))+(D97))+(D98))+(D99)</f>
        <v>#VALUE!</v>
      </c>
      <c r="E100" s="67">
        <v>122553.40951999999</v>
      </c>
      <c r="F100" s="67">
        <f>((((((((((((F87)+(F88))+(F89))+(F90))+(F91))+(F92))+(F93))+(F94))+(F95))+(F96))+(F97))+(F98))+(F99)</f>
        <v>100279.19999999998</v>
      </c>
      <c r="G100" s="275">
        <f t="shared" si="20"/>
        <v>0.81824896094494226</v>
      </c>
    </row>
    <row r="101" spans="2:9" x14ac:dyDescent="0.45">
      <c r="B101" s="24" t="s">
        <v>128</v>
      </c>
      <c r="C101" s="70"/>
      <c r="D101" s="79"/>
      <c r="E101" s="80"/>
      <c r="F101" s="247"/>
      <c r="G101" s="274"/>
    </row>
    <row r="102" spans="2:9" x14ac:dyDescent="0.45">
      <c r="B102" s="24" t="s">
        <v>129</v>
      </c>
      <c r="C102" s="70">
        <f>'P&amp;L (QB)'!B107+'P&amp;L (QB)'!B108+'P&amp;L (QB)'!B109</f>
        <v>82132.38</v>
      </c>
      <c r="D102" s="79">
        <v>91590.796999999991</v>
      </c>
      <c r="E102" s="80">
        <v>157131.21600000001</v>
      </c>
      <c r="F102" s="247">
        <f>'P&amp;L (QB)'!D107+'P&amp;L (QB)'!D108+'P&amp;L (QB)'!D109</f>
        <v>116916.35</v>
      </c>
      <c r="G102" s="274">
        <f t="shared" si="20"/>
        <v>0.74406825694011047</v>
      </c>
    </row>
    <row r="103" spans="2:9" hidden="1" x14ac:dyDescent="0.45">
      <c r="B103" s="24" t="s">
        <v>130</v>
      </c>
      <c r="C103" s="63"/>
      <c r="D103" s="82"/>
      <c r="E103" s="83" t="s">
        <v>506</v>
      </c>
      <c r="F103" s="245"/>
      <c r="G103" s="276"/>
    </row>
    <row r="104" spans="2:9" hidden="1" x14ac:dyDescent="0.45">
      <c r="B104" s="24" t="s">
        <v>147</v>
      </c>
      <c r="C104" s="70"/>
      <c r="D104" s="79"/>
      <c r="E104" s="80" t="s">
        <v>506</v>
      </c>
      <c r="F104" s="247"/>
      <c r="G104" s="274"/>
    </row>
    <row r="105" spans="2:9" x14ac:dyDescent="0.45">
      <c r="B105" s="291" t="s">
        <v>131</v>
      </c>
      <c r="C105" s="63">
        <f>'P&amp;L (QB)'!B110</f>
        <v>11738.99</v>
      </c>
      <c r="D105" s="82">
        <v>10368</v>
      </c>
      <c r="E105" s="83">
        <v>14309.4848</v>
      </c>
      <c r="F105" s="245">
        <f>'P&amp;L (QB)'!D110</f>
        <v>11341.01</v>
      </c>
      <c r="G105" s="276">
        <f t="shared" si="20"/>
        <v>0.79255194428802911</v>
      </c>
      <c r="I105" s="306"/>
    </row>
    <row r="106" spans="2:9" ht="28.5" x14ac:dyDescent="0.45">
      <c r="B106" s="24" t="s">
        <v>443</v>
      </c>
      <c r="C106" s="70">
        <f>'P&amp;L (QB)'!B111+'P&amp;L (QB)'!B115+'P&amp;L (QB)'!B116+'P&amp;L (QB)'!B117+'P&amp;L (QB)'!B118</f>
        <v>8610</v>
      </c>
      <c r="D106" s="79">
        <v>10600.962000000001</v>
      </c>
      <c r="E106" s="80">
        <v>12321.330000000002</v>
      </c>
      <c r="F106" s="247">
        <f>'P&amp;L (QB)'!D111+'P&amp;L (QB)'!D115+'P&amp;L (QB)'!D116+'P&amp;L (QB)'!D117+'P&amp;L (QB)'!D118+'P&amp;L (QB)'!D114</f>
        <v>11292.66</v>
      </c>
      <c r="G106" s="274">
        <f t="shared" si="20"/>
        <v>0.91651307123500447</v>
      </c>
      <c r="I106" s="301"/>
    </row>
    <row r="107" spans="2:9" hidden="1" x14ac:dyDescent="0.45">
      <c r="B107" s="24" t="s">
        <v>341</v>
      </c>
      <c r="C107" s="70"/>
      <c r="D107" s="79"/>
      <c r="E107" s="80"/>
      <c r="F107" s="247"/>
      <c r="G107" s="274"/>
    </row>
    <row r="108" spans="2:9" hidden="1" x14ac:dyDescent="0.45">
      <c r="B108" s="24" t="s">
        <v>160</v>
      </c>
      <c r="C108" s="70">
        <f>'P&amp;L (QB)'!B113</f>
        <v>0</v>
      </c>
      <c r="D108" s="79"/>
      <c r="E108" s="80"/>
      <c r="F108" s="247">
        <f>'P&amp;L (QB)'!D113</f>
        <v>0</v>
      </c>
      <c r="G108" s="274"/>
    </row>
    <row r="109" spans="2:9" s="293" customFormat="1" x14ac:dyDescent="0.45">
      <c r="B109" s="24" t="s">
        <v>509</v>
      </c>
      <c r="C109" s="70">
        <f>'P&amp;L (QB)'!B119</f>
        <v>3750</v>
      </c>
      <c r="D109" s="79"/>
      <c r="E109" s="80"/>
      <c r="F109" s="247"/>
      <c r="G109" s="274"/>
    </row>
    <row r="110" spans="2:9" x14ac:dyDescent="0.45">
      <c r="B110" s="65" t="s">
        <v>132</v>
      </c>
      <c r="C110" s="67">
        <f>(((((((C101)+(C102))+(C103))+(C104))+(C105))+(C106))+(C107))+(C108)+(C109)</f>
        <v>106231.37000000001</v>
      </c>
      <c r="D110" s="67">
        <f t="shared" ref="D110" si="22">(((((((D101)+(D102))+(D103))+(D104))+(D105))+(D106))+(D107))+(D108)</f>
        <v>112559.75899999999</v>
      </c>
      <c r="E110" s="67">
        <v>183762.03080000001</v>
      </c>
      <c r="F110" s="67">
        <f>(((((((F101)+(F102))+(F103))+(F104))+(F105))+(F106))+(F107))+(F108)</f>
        <v>139550.01999999999</v>
      </c>
      <c r="G110" s="275">
        <f t="shared" si="20"/>
        <v>0.75940616999319743</v>
      </c>
    </row>
    <row r="111" spans="2:9" x14ac:dyDescent="0.45">
      <c r="B111" s="24" t="s">
        <v>347</v>
      </c>
      <c r="C111" s="70"/>
      <c r="D111" s="79"/>
      <c r="E111" s="80"/>
      <c r="F111" s="247"/>
      <c r="G111" s="274"/>
    </row>
    <row r="112" spans="2:9" x14ac:dyDescent="0.45">
      <c r="B112" s="24" t="s">
        <v>348</v>
      </c>
      <c r="C112" s="70">
        <f>'P&amp;L (QB)'!B122</f>
        <v>0</v>
      </c>
      <c r="D112" s="79"/>
      <c r="E112" s="80">
        <v>0</v>
      </c>
      <c r="F112" s="247">
        <f>'P&amp;L (QB)'!D122</f>
        <v>0</v>
      </c>
      <c r="G112" s="274"/>
    </row>
    <row r="113" spans="2:9" x14ac:dyDescent="0.45">
      <c r="B113" s="24" t="s">
        <v>349</v>
      </c>
      <c r="C113" s="70">
        <f>'P&amp;L (QB)'!B123</f>
        <v>0</v>
      </c>
      <c r="D113" s="82"/>
      <c r="E113" s="83">
        <v>0</v>
      </c>
      <c r="F113" s="247">
        <f>'P&amp;L (QB)'!D123</f>
        <v>0</v>
      </c>
      <c r="G113" s="276"/>
    </row>
    <row r="114" spans="2:9" x14ac:dyDescent="0.45">
      <c r="B114" s="24" t="s">
        <v>350</v>
      </c>
      <c r="C114" s="70">
        <f>'P&amp;L (QB)'!B124</f>
        <v>0</v>
      </c>
      <c r="D114" s="79"/>
      <c r="E114" s="80">
        <v>0</v>
      </c>
      <c r="F114" s="247">
        <f>'P&amp;L (QB)'!D124</f>
        <v>0</v>
      </c>
      <c r="G114" s="274"/>
    </row>
    <row r="115" spans="2:9" x14ac:dyDescent="0.45">
      <c r="B115" s="65" t="s">
        <v>351</v>
      </c>
      <c r="C115" s="67">
        <f>(((C111)+(C112))+(C113))+(C114)</f>
        <v>0</v>
      </c>
      <c r="D115" s="67">
        <f>(((D111)+(D112))+(D113))+(D114)</f>
        <v>0</v>
      </c>
      <c r="E115" s="67">
        <v>0</v>
      </c>
      <c r="F115" s="67">
        <f>(((F111)+(F112))+(F113))+(F114)</f>
        <v>0</v>
      </c>
      <c r="G115" s="275"/>
    </row>
    <row r="116" spans="2:9" x14ac:dyDescent="0.45">
      <c r="B116" s="65" t="s">
        <v>133</v>
      </c>
      <c r="C116" s="67">
        <f t="shared" ref="C116:D116" si="23">((((((C61)+(C74))+(C83))+(C86))+(C100))+(C110))+(C115)</f>
        <v>1177574.9700000002</v>
      </c>
      <c r="D116" s="67" t="e">
        <f t="shared" si="23"/>
        <v>#VALUE!</v>
      </c>
      <c r="E116" s="67">
        <v>1737263.92032</v>
      </c>
      <c r="F116" s="67">
        <f t="shared" ref="F116" si="24">((((((F61)+(F74))+(F83))+(F86))+(F100))+(F110))+(F115)</f>
        <v>1386274.18</v>
      </c>
      <c r="G116" s="275">
        <f t="shared" si="20"/>
        <v>0.79796406509418061</v>
      </c>
      <c r="I116" s="98"/>
    </row>
    <row r="117" spans="2:9" x14ac:dyDescent="0.45">
      <c r="B117" s="24" t="s">
        <v>56</v>
      </c>
      <c r="C117" s="70"/>
      <c r="D117" s="79"/>
      <c r="E117" s="80"/>
      <c r="F117" s="247"/>
      <c r="G117" s="274"/>
    </row>
    <row r="118" spans="2:9" x14ac:dyDescent="0.45">
      <c r="B118" s="24" t="s">
        <v>57</v>
      </c>
      <c r="C118" s="70">
        <f>'P&amp;L (QB)'!B128</f>
        <v>23000</v>
      </c>
      <c r="D118" s="79">
        <v>23000</v>
      </c>
      <c r="E118" s="80">
        <v>20000</v>
      </c>
      <c r="F118" s="247">
        <f>'P&amp;L (QB)'!D128</f>
        <v>5250</v>
      </c>
      <c r="G118" s="274">
        <f t="shared" si="20"/>
        <v>0.26250000000000001</v>
      </c>
    </row>
    <row r="119" spans="2:9" x14ac:dyDescent="0.45">
      <c r="B119" s="24" t="s">
        <v>58</v>
      </c>
      <c r="C119" s="70">
        <f>'P&amp;L (QB)'!B129</f>
        <v>18060</v>
      </c>
      <c r="D119" s="82">
        <v>26460</v>
      </c>
      <c r="E119" s="83">
        <v>31500</v>
      </c>
      <c r="F119" s="247">
        <f>'P&amp;L (QB)'!D129</f>
        <v>17535</v>
      </c>
      <c r="G119" s="276">
        <f t="shared" si="20"/>
        <v>0.55666666666666664</v>
      </c>
    </row>
    <row r="120" spans="2:9" ht="42.75" x14ac:dyDescent="0.45">
      <c r="B120" s="287" t="s">
        <v>59</v>
      </c>
      <c r="C120" s="351">
        <f>'P&amp;L (QB)'!B130</f>
        <v>68107.649999999994</v>
      </c>
      <c r="D120" s="82">
        <f>127530-D124-7500-39530</f>
        <v>70000</v>
      </c>
      <c r="E120" s="82">
        <v>70000</v>
      </c>
      <c r="F120" s="351">
        <f>'P&amp;L (QB)'!D130</f>
        <v>75699.5</v>
      </c>
      <c r="G120" s="286">
        <f t="shared" si="20"/>
        <v>1.0814214285714285</v>
      </c>
      <c r="I120" s="26" t="s">
        <v>559</v>
      </c>
    </row>
    <row r="121" spans="2:9" x14ac:dyDescent="0.45">
      <c r="B121" s="24" t="s">
        <v>60</v>
      </c>
      <c r="C121" s="70">
        <f>'P&amp;L (QB)'!B131</f>
        <v>630</v>
      </c>
      <c r="D121" s="82">
        <v>10000</v>
      </c>
      <c r="E121" s="83">
        <v>10000</v>
      </c>
      <c r="F121" s="247">
        <f>'P&amp;L (QB)'!D131</f>
        <v>0</v>
      </c>
      <c r="G121" s="276">
        <f t="shared" si="20"/>
        <v>0</v>
      </c>
    </row>
    <row r="122" spans="2:9" hidden="1" x14ac:dyDescent="0.45">
      <c r="B122" s="24" t="s">
        <v>352</v>
      </c>
      <c r="C122" s="70">
        <f>'P&amp;L (QB)'!B132</f>
        <v>0</v>
      </c>
      <c r="D122" s="79"/>
      <c r="E122" s="80">
        <v>0</v>
      </c>
      <c r="F122" s="247">
        <f>'P&amp;L (QB)'!D132</f>
        <v>0</v>
      </c>
      <c r="G122" s="274"/>
    </row>
    <row r="123" spans="2:9" hidden="1" x14ac:dyDescent="0.45">
      <c r="B123" s="24" t="s">
        <v>353</v>
      </c>
      <c r="C123" s="70">
        <f>'P&amp;L (QB)'!B133</f>
        <v>0</v>
      </c>
      <c r="D123" s="79"/>
      <c r="E123" s="80">
        <v>0</v>
      </c>
      <c r="F123" s="247">
        <f>'P&amp;L (QB)'!D133</f>
        <v>0</v>
      </c>
      <c r="G123" s="274"/>
    </row>
    <row r="124" spans="2:9" x14ac:dyDescent="0.45">
      <c r="B124" s="291" t="s">
        <v>154</v>
      </c>
      <c r="C124" s="70">
        <f>'P&amp;L (QB)'!B134</f>
        <v>2500</v>
      </c>
      <c r="D124" s="79">
        <f>5500+5000</f>
        <v>10500</v>
      </c>
      <c r="E124" s="80">
        <v>10500</v>
      </c>
      <c r="F124" s="247">
        <f>'P&amp;L (QB)'!D134</f>
        <v>6775</v>
      </c>
      <c r="G124" s="274">
        <f t="shared" si="20"/>
        <v>0.64523809523809528</v>
      </c>
    </row>
    <row r="125" spans="2:9" x14ac:dyDescent="0.45">
      <c r="B125" s="291" t="s">
        <v>61</v>
      </c>
      <c r="C125" s="70">
        <f>'P&amp;L (QB)'!B135</f>
        <v>3000</v>
      </c>
      <c r="D125" s="79">
        <v>6000</v>
      </c>
      <c r="E125" s="80">
        <v>6000</v>
      </c>
      <c r="F125" s="247">
        <f>'P&amp;L (QB)'!D135</f>
        <v>6000</v>
      </c>
      <c r="G125" s="274">
        <f t="shared" si="20"/>
        <v>1</v>
      </c>
      <c r="I125" s="22" t="s">
        <v>523</v>
      </c>
    </row>
    <row r="126" spans="2:9" hidden="1" x14ac:dyDescent="0.45">
      <c r="B126" s="291" t="s">
        <v>95</v>
      </c>
      <c r="C126" s="70">
        <f>'P&amp;L (QB)'!B136</f>
        <v>0</v>
      </c>
      <c r="D126" s="79"/>
      <c r="E126" s="80">
        <v>0</v>
      </c>
      <c r="F126" s="247">
        <f>'P&amp;L (QB)'!D136</f>
        <v>0</v>
      </c>
      <c r="G126" s="274"/>
    </row>
    <row r="127" spans="2:9" hidden="1" x14ac:dyDescent="0.45">
      <c r="B127" s="291" t="s">
        <v>354</v>
      </c>
      <c r="C127" s="70">
        <f>'P&amp;L (QB)'!B137</f>
        <v>0</v>
      </c>
      <c r="D127" s="79"/>
      <c r="E127" s="80">
        <v>0</v>
      </c>
      <c r="F127" s="247">
        <f>'P&amp;L (QB)'!D137</f>
        <v>0</v>
      </c>
      <c r="G127" s="274"/>
    </row>
    <row r="128" spans="2:9" x14ac:dyDescent="0.45">
      <c r="B128" s="335" t="s">
        <v>355</v>
      </c>
      <c r="C128" s="70">
        <f>'P&amp;L (QB)'!B138</f>
        <v>0</v>
      </c>
      <c r="D128" s="89"/>
      <c r="E128" s="336"/>
      <c r="F128" s="247">
        <f>'P&amp;L (QB)'!D138</f>
        <v>4000</v>
      </c>
      <c r="G128" s="337"/>
      <c r="I128" s="22" t="s">
        <v>518</v>
      </c>
    </row>
    <row r="129" spans="2:7" x14ac:dyDescent="0.45">
      <c r="B129" s="24" t="s">
        <v>356</v>
      </c>
      <c r="C129" s="70">
        <f>'P&amp;L (QB)'!B139</f>
        <v>0</v>
      </c>
      <c r="D129" s="79">
        <f>4500</f>
        <v>4500</v>
      </c>
      <c r="E129" s="80">
        <v>4950</v>
      </c>
      <c r="F129" s="247">
        <f>'P&amp;L (QB)'!D139</f>
        <v>0</v>
      </c>
      <c r="G129" s="274">
        <f t="shared" si="20"/>
        <v>0</v>
      </c>
    </row>
    <row r="130" spans="2:7" hidden="1" x14ac:dyDescent="0.45">
      <c r="B130" s="24" t="s">
        <v>185</v>
      </c>
      <c r="C130" s="70">
        <f>'P&amp;L (QB)'!B140</f>
        <v>0</v>
      </c>
      <c r="D130" s="79">
        <v>2500</v>
      </c>
      <c r="E130" s="80"/>
      <c r="F130" s="247">
        <f>'P&amp;L (QB)'!D140</f>
        <v>0</v>
      </c>
      <c r="G130" s="274"/>
    </row>
    <row r="131" spans="2:7" x14ac:dyDescent="0.45">
      <c r="B131" s="87" t="s">
        <v>62</v>
      </c>
      <c r="C131" s="70">
        <f>'P&amp;L (QB)'!B141</f>
        <v>5380</v>
      </c>
      <c r="D131" s="79">
        <f>103000-93000+25000</f>
        <v>35000</v>
      </c>
      <c r="E131" s="80">
        <v>0</v>
      </c>
      <c r="F131" s="247">
        <f>'P&amp;L (QB)'!D141</f>
        <v>651.04</v>
      </c>
      <c r="G131" s="274"/>
    </row>
    <row r="132" spans="2:7" x14ac:dyDescent="0.45">
      <c r="B132" s="65" t="s">
        <v>63</v>
      </c>
      <c r="C132" s="67">
        <f>(((((((((((((C117)+(C118))+(C119))+(C120))+(C121))+(C122))+(C123))+(C124))+(C125))+(C126))+(C127))+C128+(C129))+(C130))+(C131)</f>
        <v>120677.65</v>
      </c>
      <c r="D132" s="67">
        <f t="shared" ref="D132" si="25">(((((((((((((D117)+(D118))+(D119))+(D120))+(D121))+(D122))+(D123))+(D124))+(D125))+(D126))+(D127))+(D129))+(D130))+(D131)</f>
        <v>187960</v>
      </c>
      <c r="E132" s="67">
        <v>152950</v>
      </c>
      <c r="F132" s="67">
        <f>(((((((((((((F117)+(F118))+(F119))+(F120))+(F121))+(F122))+(F123))+(F124))+(F125))+(F126))+(F127))+F128+(F129))+(F130))+(F131)</f>
        <v>115910.54</v>
      </c>
      <c r="G132" s="275">
        <f t="shared" si="20"/>
        <v>0.75783288656423664</v>
      </c>
    </row>
    <row r="133" spans="2:7" x14ac:dyDescent="0.45">
      <c r="B133" s="24" t="s">
        <v>64</v>
      </c>
      <c r="C133" s="70"/>
      <c r="D133" s="79"/>
      <c r="E133" s="80"/>
      <c r="F133" s="247"/>
      <c r="G133" s="274"/>
    </row>
    <row r="134" spans="2:7" x14ac:dyDescent="0.45">
      <c r="B134" s="24" t="s">
        <v>96</v>
      </c>
      <c r="C134" s="70">
        <f>'P&amp;L (QB)'!B144</f>
        <v>414.99</v>
      </c>
      <c r="D134" s="79">
        <v>1000</v>
      </c>
      <c r="E134" s="80">
        <v>1100</v>
      </c>
      <c r="F134" s="247">
        <f>'P&amp;L (QB)'!D144</f>
        <v>0</v>
      </c>
      <c r="G134" s="274">
        <f t="shared" si="20"/>
        <v>0</v>
      </c>
    </row>
    <row r="135" spans="2:7" x14ac:dyDescent="0.45">
      <c r="B135" s="24" t="s">
        <v>186</v>
      </c>
      <c r="C135" s="70">
        <f>'P&amp;L (QB)'!B145</f>
        <v>11187.5</v>
      </c>
      <c r="D135" s="79">
        <v>7500</v>
      </c>
      <c r="E135" s="80">
        <v>5000</v>
      </c>
      <c r="F135" s="247">
        <f>'P&amp;L (QB)'!D145</f>
        <v>0</v>
      </c>
      <c r="G135" s="274">
        <f t="shared" si="20"/>
        <v>0</v>
      </c>
    </row>
    <row r="136" spans="2:7" x14ac:dyDescent="0.45">
      <c r="B136" s="65" t="s">
        <v>65</v>
      </c>
      <c r="C136" s="67">
        <f>((C133)+(C134))+(C135)</f>
        <v>11602.49</v>
      </c>
      <c r="D136" s="67">
        <f t="shared" ref="D136" si="26">((D133)+(D134))+(D135)</f>
        <v>8500</v>
      </c>
      <c r="E136" s="67">
        <v>6100</v>
      </c>
      <c r="F136" s="67">
        <f>((F133)+(F134))+(F135)</f>
        <v>0</v>
      </c>
      <c r="G136" s="275">
        <f t="shared" si="20"/>
        <v>0</v>
      </c>
    </row>
    <row r="137" spans="2:7" x14ac:dyDescent="0.45">
      <c r="B137" s="24" t="s">
        <v>144</v>
      </c>
      <c r="C137" s="70"/>
      <c r="D137" s="79"/>
      <c r="E137" s="80"/>
      <c r="F137" s="247"/>
      <c r="G137" s="274"/>
    </row>
    <row r="138" spans="2:7" x14ac:dyDescent="0.45">
      <c r="B138" s="291" t="s">
        <v>145</v>
      </c>
      <c r="C138" s="70">
        <f>'P&amp;L (QB)'!B148</f>
        <v>41823.18</v>
      </c>
      <c r="D138" s="79">
        <f>250*D8</f>
        <v>30000</v>
      </c>
      <c r="E138" s="80">
        <v>36000</v>
      </c>
      <c r="F138" s="247">
        <f>'P&amp;L (QB)'!D148</f>
        <v>17783.04</v>
      </c>
      <c r="G138" s="274">
        <f t="shared" si="20"/>
        <v>0.49397333333333338</v>
      </c>
    </row>
    <row r="139" spans="2:7" x14ac:dyDescent="0.45">
      <c r="B139" s="24" t="s">
        <v>187</v>
      </c>
      <c r="C139" s="70">
        <f>'P&amp;L (QB)'!B149</f>
        <v>33.479999999999997</v>
      </c>
      <c r="D139" s="79">
        <f>1000*4</f>
        <v>4000</v>
      </c>
      <c r="E139" s="80">
        <v>4000</v>
      </c>
      <c r="F139" s="247">
        <f>'P&amp;L (QB)'!D149</f>
        <v>44.5</v>
      </c>
      <c r="G139" s="274">
        <f t="shared" si="20"/>
        <v>1.1124999999999999E-2</v>
      </c>
    </row>
    <row r="140" spans="2:7" x14ac:dyDescent="0.45">
      <c r="B140" s="24" t="s">
        <v>188</v>
      </c>
      <c r="C140" s="70">
        <f>'P&amp;L (QB)'!B150</f>
        <v>513.38</v>
      </c>
      <c r="D140" s="79">
        <f>1000*4</f>
        <v>4000</v>
      </c>
      <c r="E140" s="80">
        <v>1500</v>
      </c>
      <c r="F140" s="247">
        <f>'P&amp;L (QB)'!D150</f>
        <v>105.23</v>
      </c>
      <c r="G140" s="274">
        <f t="shared" si="20"/>
        <v>7.0153333333333331E-2</v>
      </c>
    </row>
    <row r="141" spans="2:7" x14ac:dyDescent="0.45">
      <c r="B141" s="24" t="s">
        <v>189</v>
      </c>
      <c r="C141" s="70">
        <f>'P&amp;L (QB)'!B153</f>
        <v>385.06</v>
      </c>
      <c r="D141" s="79">
        <v>4000</v>
      </c>
      <c r="E141" s="80">
        <v>2000</v>
      </c>
      <c r="F141" s="247">
        <f>'P&amp;L (QB)'!D151</f>
        <v>0</v>
      </c>
      <c r="G141" s="274">
        <f t="shared" si="20"/>
        <v>0</v>
      </c>
    </row>
    <row r="142" spans="2:7" x14ac:dyDescent="0.45">
      <c r="B142" s="24" t="s">
        <v>359</v>
      </c>
      <c r="C142" s="70">
        <f>'P&amp;L (QB)'!B154</f>
        <v>4950</v>
      </c>
      <c r="D142" s="79">
        <f>D26</f>
        <v>1797.6000000000001</v>
      </c>
      <c r="E142" s="80">
        <v>1798</v>
      </c>
      <c r="F142" s="247">
        <f>'P&amp;L (QB)'!D152</f>
        <v>0</v>
      </c>
      <c r="G142" s="274">
        <f t="shared" si="20"/>
        <v>0</v>
      </c>
    </row>
    <row r="143" spans="2:7" x14ac:dyDescent="0.45">
      <c r="B143" s="24" t="s">
        <v>360</v>
      </c>
      <c r="C143" s="70">
        <f>'P&amp;L (QB)'!B155</f>
        <v>624</v>
      </c>
      <c r="D143" s="79">
        <f>D27</f>
        <v>750</v>
      </c>
      <c r="E143" s="80">
        <v>750</v>
      </c>
      <c r="F143" s="247">
        <f>'P&amp;L (QB)'!D153</f>
        <v>49.99</v>
      </c>
      <c r="G143" s="274">
        <f t="shared" si="20"/>
        <v>6.6653333333333342E-2</v>
      </c>
    </row>
    <row r="144" spans="2:7" x14ac:dyDescent="0.45">
      <c r="B144" s="24" t="s">
        <v>361</v>
      </c>
      <c r="C144" s="70">
        <f>'P&amp;L (QB)'!B257</f>
        <v>2363</v>
      </c>
      <c r="D144" s="79"/>
      <c r="E144" s="80">
        <v>0</v>
      </c>
      <c r="F144" s="247">
        <f>'P&amp;L (QB)'!D154</f>
        <v>0</v>
      </c>
      <c r="G144" s="274"/>
    </row>
    <row r="145" spans="2:7" x14ac:dyDescent="0.45">
      <c r="B145" s="65" t="s">
        <v>146</v>
      </c>
      <c r="C145" s="67">
        <f>(((((((C137)+(C138))+(C139))+(C140))+(C141))+(C142))+(C143))+(C144)</f>
        <v>50692.1</v>
      </c>
      <c r="D145" s="67">
        <f t="shared" ref="D145" si="27">(((((((D137)+(D138))+(D139))+(D140))+(D141))+(D142))+(D143))+(D144)</f>
        <v>44547.6</v>
      </c>
      <c r="E145" s="67">
        <v>46048</v>
      </c>
      <c r="F145" s="67">
        <f>(((((((F137)+(F138))+(F139))+(F140))+(F141))+(F142))+(F143))+(F144)</f>
        <v>17982.760000000002</v>
      </c>
      <c r="G145" s="275">
        <f t="shared" si="20"/>
        <v>0.39052206393328703</v>
      </c>
    </row>
    <row r="146" spans="2:7" x14ac:dyDescent="0.45">
      <c r="B146" s="24" t="s">
        <v>362</v>
      </c>
      <c r="C146" s="70"/>
      <c r="D146" s="79"/>
      <c r="E146" s="80"/>
      <c r="F146" s="247"/>
      <c r="G146" s="274"/>
    </row>
    <row r="147" spans="2:7" x14ac:dyDescent="0.45">
      <c r="B147" s="24" t="s">
        <v>363</v>
      </c>
      <c r="C147" s="70">
        <f>'P&amp;L (QB)'!B159</f>
        <v>0</v>
      </c>
      <c r="D147" s="79">
        <f>5200+17414</f>
        <v>22614</v>
      </c>
      <c r="E147" s="80">
        <v>2700</v>
      </c>
      <c r="F147" s="247">
        <f>'P&amp;L (QB)'!D159</f>
        <v>100</v>
      </c>
      <c r="G147" s="274">
        <f t="shared" ref="G147:G211" si="28">F147/E147</f>
        <v>3.7037037037037035E-2</v>
      </c>
    </row>
    <row r="148" spans="2:7" x14ac:dyDescent="0.45">
      <c r="B148" s="65" t="s">
        <v>364</v>
      </c>
      <c r="C148" s="67">
        <f>(C146)+(C147)</f>
        <v>0</v>
      </c>
      <c r="D148" s="67">
        <f t="shared" ref="D148" si="29">(D146)+(D147)</f>
        <v>22614</v>
      </c>
      <c r="E148" s="67">
        <v>2700</v>
      </c>
      <c r="F148" s="67">
        <f>(F146)+(F147)</f>
        <v>100</v>
      </c>
      <c r="G148" s="275">
        <f t="shared" si="28"/>
        <v>3.7037037037037035E-2</v>
      </c>
    </row>
    <row r="149" spans="2:7" x14ac:dyDescent="0.45">
      <c r="B149" s="24" t="s">
        <v>191</v>
      </c>
      <c r="C149" s="70"/>
      <c r="D149" s="79"/>
      <c r="E149" s="80"/>
      <c r="F149" s="247"/>
      <c r="G149" s="274"/>
    </row>
    <row r="150" spans="2:7" x14ac:dyDescent="0.45">
      <c r="B150" s="24" t="s">
        <v>192</v>
      </c>
      <c r="C150" s="70">
        <f>'P&amp;L (QB)'!B162</f>
        <v>8706.3799999999992</v>
      </c>
      <c r="D150" s="79">
        <v>24000</v>
      </c>
      <c r="E150" s="80">
        <v>0</v>
      </c>
      <c r="F150" s="247">
        <f>'P&amp;L (QB)'!D162</f>
        <v>0</v>
      </c>
      <c r="G150" s="274"/>
    </row>
    <row r="151" spans="2:7" x14ac:dyDescent="0.45">
      <c r="B151" s="24" t="s">
        <v>365</v>
      </c>
      <c r="C151" s="70">
        <f>'P&amp;L (QB)'!B163</f>
        <v>0</v>
      </c>
      <c r="D151" s="79"/>
      <c r="E151" s="80">
        <v>10000</v>
      </c>
      <c r="F151" s="247">
        <f>'P&amp;L (QB)'!D163</f>
        <v>2809.94</v>
      </c>
      <c r="G151" s="274">
        <f t="shared" si="28"/>
        <v>0.28099400000000002</v>
      </c>
    </row>
    <row r="152" spans="2:7" x14ac:dyDescent="0.45">
      <c r="B152" s="24" t="s">
        <v>193</v>
      </c>
      <c r="C152" s="70">
        <f>'P&amp;L (QB)'!B164</f>
        <v>15528.21</v>
      </c>
      <c r="D152" s="79">
        <v>25000</v>
      </c>
      <c r="E152" s="80">
        <v>9400</v>
      </c>
      <c r="F152" s="247">
        <f>'P&amp;L (QB)'!D164</f>
        <v>6079.46</v>
      </c>
      <c r="G152" s="274">
        <f t="shared" si="28"/>
        <v>0.6467510638297872</v>
      </c>
    </row>
    <row r="153" spans="2:7" x14ac:dyDescent="0.45">
      <c r="B153" s="24" t="s">
        <v>366</v>
      </c>
      <c r="C153" s="70">
        <f>'P&amp;L (QB)'!B165</f>
        <v>0</v>
      </c>
      <c r="D153" s="79">
        <f>D25</f>
        <v>6990</v>
      </c>
      <c r="E153" s="80">
        <v>6990</v>
      </c>
      <c r="F153" s="247">
        <f>'P&amp;L (QB)'!D165</f>
        <v>0</v>
      </c>
      <c r="G153" s="274">
        <f t="shared" si="28"/>
        <v>0</v>
      </c>
    </row>
    <row r="154" spans="2:7" x14ac:dyDescent="0.45">
      <c r="B154" s="65" t="s">
        <v>190</v>
      </c>
      <c r="C154" s="67">
        <f>((((C149)+(C150))+(C151))+(C152))+(C153)</f>
        <v>24234.589999999997</v>
      </c>
      <c r="D154" s="67">
        <f t="shared" ref="D154" si="30">((((D149)+(D150))+(D151))+(D152))+(D153)</f>
        <v>55990</v>
      </c>
      <c r="E154" s="67">
        <v>26390</v>
      </c>
      <c r="F154" s="67">
        <f>((((F149)+(F150))+(F151))+(F152))+(F153)</f>
        <v>8889.4</v>
      </c>
      <c r="G154" s="275">
        <f t="shared" si="28"/>
        <v>0.33684729064039409</v>
      </c>
    </row>
    <row r="155" spans="2:7" x14ac:dyDescent="0.45">
      <c r="B155" s="24" t="s">
        <v>367</v>
      </c>
      <c r="C155" s="70"/>
      <c r="D155" s="79"/>
      <c r="E155" s="80"/>
      <c r="F155" s="247"/>
      <c r="G155" s="274"/>
    </row>
    <row r="156" spans="2:7" x14ac:dyDescent="0.45">
      <c r="B156" s="24" t="s">
        <v>368</v>
      </c>
      <c r="C156" s="70">
        <f>'P&amp;L (QB)'!B168</f>
        <v>503.63</v>
      </c>
      <c r="D156" s="79">
        <v>5000</v>
      </c>
      <c r="E156" s="80">
        <v>2000</v>
      </c>
      <c r="F156" s="247">
        <f>'P&amp;L (QB)'!D168</f>
        <v>701.21</v>
      </c>
      <c r="G156" s="274">
        <f t="shared" si="28"/>
        <v>0.350605</v>
      </c>
    </row>
    <row r="157" spans="2:7" x14ac:dyDescent="0.45">
      <c r="B157" s="24" t="s">
        <v>369</v>
      </c>
      <c r="C157" s="70">
        <f>'P&amp;L (QB)'!B169</f>
        <v>130.11000000000001</v>
      </c>
      <c r="D157" s="79">
        <v>2500</v>
      </c>
      <c r="E157" s="80">
        <v>2000</v>
      </c>
      <c r="F157" s="247">
        <f>'P&amp;L (QB)'!D169</f>
        <v>0</v>
      </c>
      <c r="G157" s="274">
        <f t="shared" si="28"/>
        <v>0</v>
      </c>
    </row>
    <row r="158" spans="2:7" x14ac:dyDescent="0.45">
      <c r="B158" s="24" t="s">
        <v>370</v>
      </c>
      <c r="C158" s="70">
        <f>'P&amp;L (QB)'!B170</f>
        <v>4150.63</v>
      </c>
      <c r="D158" s="79">
        <v>6000</v>
      </c>
      <c r="E158" s="80">
        <v>5000</v>
      </c>
      <c r="F158" s="247">
        <f>'P&amp;L (QB)'!D170</f>
        <v>1435.17</v>
      </c>
      <c r="G158" s="274">
        <f t="shared" si="28"/>
        <v>0.28703400000000001</v>
      </c>
    </row>
    <row r="159" spans="2:7" x14ac:dyDescent="0.45">
      <c r="B159" s="65" t="s">
        <v>195</v>
      </c>
      <c r="C159" s="67">
        <f>(((C155)+(C156))+(C157))+(C158)</f>
        <v>4784.37</v>
      </c>
      <c r="D159" s="67">
        <f t="shared" ref="D159" si="31">(((D155)+(D156))+(D157))+(D158)</f>
        <v>13500</v>
      </c>
      <c r="E159" s="67">
        <v>9000</v>
      </c>
      <c r="F159" s="67">
        <f>(((F155)+(F156))+(F157))+(F158)</f>
        <v>2136.38</v>
      </c>
      <c r="G159" s="275">
        <f t="shared" si="28"/>
        <v>0.23737555555555556</v>
      </c>
    </row>
    <row r="160" spans="2:7" x14ac:dyDescent="0.45">
      <c r="B160" s="24" t="s">
        <v>139</v>
      </c>
      <c r="C160" s="70"/>
      <c r="D160" s="79"/>
      <c r="E160" s="80"/>
      <c r="F160" s="247"/>
      <c r="G160" s="274"/>
    </row>
    <row r="161" spans="2:9" ht="28.5" x14ac:dyDescent="0.45">
      <c r="B161" s="291" t="s">
        <v>194</v>
      </c>
      <c r="C161" s="70">
        <f>'P&amp;L (QB)'!B173</f>
        <v>17858.740000000002</v>
      </c>
      <c r="D161" s="79">
        <f>1276*12</f>
        <v>15312</v>
      </c>
      <c r="E161" s="80">
        <v>16000</v>
      </c>
      <c r="F161" s="247">
        <f>'P&amp;L (QB)'!D173</f>
        <v>18827.810000000001</v>
      </c>
      <c r="G161" s="274">
        <f t="shared" si="28"/>
        <v>1.1767381250000002</v>
      </c>
      <c r="I161" s="26" t="s">
        <v>536</v>
      </c>
    </row>
    <row r="162" spans="2:9" x14ac:dyDescent="0.45">
      <c r="B162" s="24" t="s">
        <v>148</v>
      </c>
      <c r="C162" s="70">
        <f>'P&amp;L (QB)'!B174</f>
        <v>4888.3900000000003</v>
      </c>
      <c r="D162" s="79">
        <v>2000</v>
      </c>
      <c r="E162" s="80"/>
      <c r="F162" s="247">
        <f>'P&amp;L (QB)'!D174</f>
        <v>2543.09</v>
      </c>
      <c r="G162" s="274"/>
    </row>
    <row r="163" spans="2:9" x14ac:dyDescent="0.45">
      <c r="B163" s="24" t="s">
        <v>161</v>
      </c>
      <c r="C163" s="70">
        <f>'P&amp;L (QB)'!B175</f>
        <v>14703.02</v>
      </c>
      <c r="D163" s="79">
        <v>2000</v>
      </c>
      <c r="E163" s="80"/>
      <c r="F163" s="247">
        <f>'P&amp;L (QB)'!D175</f>
        <v>2400</v>
      </c>
      <c r="G163" s="274"/>
    </row>
    <row r="164" spans="2:9" x14ac:dyDescent="0.45">
      <c r="B164" s="24" t="s">
        <v>140</v>
      </c>
      <c r="C164" s="70">
        <f>'P&amp;L (QB)'!B176</f>
        <v>1835.64</v>
      </c>
      <c r="D164" s="79">
        <v>2000</v>
      </c>
      <c r="E164" s="80"/>
      <c r="F164" s="247">
        <f>'P&amp;L (QB)'!D176</f>
        <v>0</v>
      </c>
      <c r="G164" s="274"/>
    </row>
    <row r="165" spans="2:9" x14ac:dyDescent="0.45">
      <c r="B165" s="24" t="s">
        <v>162</v>
      </c>
      <c r="C165" s="70">
        <f>'P&amp;L (QB)'!B177</f>
        <v>12596.96</v>
      </c>
      <c r="D165" s="79">
        <v>2000</v>
      </c>
      <c r="E165" s="80">
        <v>4998</v>
      </c>
      <c r="F165" s="247">
        <f>'P&amp;L (QB)'!D177</f>
        <v>4329.22</v>
      </c>
      <c r="G165" s="274">
        <f t="shared" si="28"/>
        <v>0.86619047619047629</v>
      </c>
    </row>
    <row r="166" spans="2:9" s="284" customFormat="1" ht="57" x14ac:dyDescent="0.45">
      <c r="B166" s="291" t="s">
        <v>517</v>
      </c>
      <c r="C166" s="70"/>
      <c r="D166" s="79"/>
      <c r="E166" s="80"/>
      <c r="F166" s="247">
        <f>'P&amp;L (QB)'!D178</f>
        <v>17857.59</v>
      </c>
      <c r="G166" s="274"/>
      <c r="I166" s="26" t="s">
        <v>537</v>
      </c>
    </row>
    <row r="167" spans="2:9" x14ac:dyDescent="0.45">
      <c r="B167" s="65" t="s">
        <v>141</v>
      </c>
      <c r="C167" s="67">
        <f>(((((C160)+(C161))+(C162))+(C163))+(C164))+(C165)</f>
        <v>51882.75</v>
      </c>
      <c r="D167" s="67">
        <f>(((((D160)+(D161))+(D162))+(D163))+(D164))+(D165)</f>
        <v>23312</v>
      </c>
      <c r="E167" s="67">
        <v>20998</v>
      </c>
      <c r="F167" s="67">
        <f>(((((F160)+(F161))+(F162))+(F163))+(F164))+(F165)+(F166)</f>
        <v>45957.710000000006</v>
      </c>
      <c r="G167" s="275">
        <f t="shared" si="28"/>
        <v>2.1886708257929328</v>
      </c>
    </row>
    <row r="168" spans="2:9" x14ac:dyDescent="0.45">
      <c r="B168" s="24" t="s">
        <v>197</v>
      </c>
      <c r="C168" s="70"/>
      <c r="D168" s="79"/>
      <c r="E168" s="80"/>
      <c r="F168" s="247"/>
      <c r="G168" s="274"/>
    </row>
    <row r="169" spans="2:9" x14ac:dyDescent="0.45">
      <c r="B169" s="24" t="s">
        <v>198</v>
      </c>
      <c r="C169" s="70">
        <f>'P&amp;L (QB)'!B181</f>
        <v>6870.24</v>
      </c>
      <c r="D169" s="79">
        <f>346*12+4340</f>
        <v>8492</v>
      </c>
      <c r="E169" s="80">
        <v>5110</v>
      </c>
      <c r="F169" s="247">
        <f>'P&amp;L (QB)'!D181</f>
        <v>3808.31</v>
      </c>
      <c r="G169" s="274">
        <f t="shared" si="28"/>
        <v>0.74526614481409004</v>
      </c>
    </row>
    <row r="170" spans="2:9" x14ac:dyDescent="0.45">
      <c r="B170" s="24" t="s">
        <v>371</v>
      </c>
      <c r="C170" s="70">
        <f>'P&amp;L (QB)'!B182</f>
        <v>0</v>
      </c>
      <c r="D170" s="79"/>
      <c r="E170" s="80">
        <v>0</v>
      </c>
      <c r="F170" s="247">
        <f>'P&amp;L (QB)'!D182</f>
        <v>0</v>
      </c>
      <c r="G170" s="274"/>
    </row>
    <row r="171" spans="2:9" x14ac:dyDescent="0.45">
      <c r="B171" s="65" t="s">
        <v>196</v>
      </c>
      <c r="C171" s="67">
        <f>((C168)+(C169))+(C170)</f>
        <v>6870.24</v>
      </c>
      <c r="D171" s="67">
        <f t="shared" ref="D171" si="32">((D168)+(D169))+(D170)</f>
        <v>8492</v>
      </c>
      <c r="E171" s="67">
        <v>5110</v>
      </c>
      <c r="F171" s="67">
        <f>((F168)+(F169))+(F170)</f>
        <v>3808.31</v>
      </c>
      <c r="G171" s="275">
        <f t="shared" si="28"/>
        <v>0.74526614481409004</v>
      </c>
    </row>
    <row r="172" spans="2:9" x14ac:dyDescent="0.45">
      <c r="B172" s="24" t="s">
        <v>66</v>
      </c>
      <c r="C172" s="70"/>
      <c r="D172" s="79"/>
      <c r="E172" s="80"/>
      <c r="F172" s="247"/>
      <c r="G172" s="274"/>
    </row>
    <row r="173" spans="2:9" ht="57" x14ac:dyDescent="0.45">
      <c r="B173" s="291" t="s">
        <v>199</v>
      </c>
      <c r="C173" s="70">
        <f>'P&amp;L (QB)'!B185</f>
        <v>24055.599999999999</v>
      </c>
      <c r="D173" s="79">
        <f>2550*12</f>
        <v>30600</v>
      </c>
      <c r="E173" s="80">
        <v>3060</v>
      </c>
      <c r="F173" s="247">
        <f>'P&amp;L (QB)'!D185</f>
        <v>33372</v>
      </c>
      <c r="G173" s="274">
        <f t="shared" si="28"/>
        <v>10.905882352941177</v>
      </c>
      <c r="I173" s="26" t="s">
        <v>528</v>
      </c>
    </row>
    <row r="174" spans="2:9" x14ac:dyDescent="0.45">
      <c r="B174" s="310" t="s">
        <v>149</v>
      </c>
      <c r="C174" s="70">
        <f>'P&amp;L (QB)'!B186</f>
        <v>43430.5</v>
      </c>
      <c r="D174" s="90">
        <f>13700+24000</f>
        <v>37700</v>
      </c>
      <c r="E174" s="311">
        <v>33041</v>
      </c>
      <c r="F174" s="247">
        <f>'P&amp;L (QB)'!D186</f>
        <v>35565.94</v>
      </c>
      <c r="G174" s="312">
        <f t="shared" si="28"/>
        <v>1.0764183892739325</v>
      </c>
      <c r="I174" s="338" t="s">
        <v>546</v>
      </c>
    </row>
    <row r="175" spans="2:9" ht="28.5" x14ac:dyDescent="0.45">
      <c r="B175" s="291" t="s">
        <v>529</v>
      </c>
      <c r="C175" s="70">
        <f>'P&amp;L (QB)'!B187</f>
        <v>6511.39</v>
      </c>
      <c r="D175" s="82">
        <v>2000</v>
      </c>
      <c r="E175" s="83">
        <v>3000</v>
      </c>
      <c r="F175" s="247">
        <f>'P&amp;L (QB)'!D187</f>
        <v>11795.34</v>
      </c>
      <c r="G175" s="276">
        <f t="shared" si="28"/>
        <v>3.9317799999999998</v>
      </c>
      <c r="I175" s="309" t="s">
        <v>533</v>
      </c>
    </row>
    <row r="176" spans="2:9" x14ac:dyDescent="0.45">
      <c r="B176" s="291" t="s">
        <v>158</v>
      </c>
      <c r="C176" s="70">
        <f>'P&amp;L (QB)'!B188</f>
        <v>7032.75</v>
      </c>
      <c r="D176" s="79">
        <f>2000+7500</f>
        <v>9500</v>
      </c>
      <c r="E176" s="80">
        <v>9500</v>
      </c>
      <c r="F176" s="247">
        <f>'P&amp;L (QB)'!D188</f>
        <v>15757.54</v>
      </c>
      <c r="G176" s="274">
        <f t="shared" si="28"/>
        <v>1.6586884210526316</v>
      </c>
      <c r="I176" s="22" t="s">
        <v>541</v>
      </c>
    </row>
    <row r="177" spans="2:9" x14ac:dyDescent="0.45">
      <c r="B177" s="24" t="s">
        <v>98</v>
      </c>
      <c r="C177" s="70">
        <f>'P&amp;L (QB)'!B189</f>
        <v>2000</v>
      </c>
      <c r="D177" s="82">
        <f>250*12</f>
        <v>3000</v>
      </c>
      <c r="E177" s="83">
        <v>1500</v>
      </c>
      <c r="F177" s="247">
        <f>'P&amp;L (QB)'!D189</f>
        <v>1500</v>
      </c>
      <c r="G177" s="276">
        <f t="shared" si="28"/>
        <v>1</v>
      </c>
    </row>
    <row r="178" spans="2:9" x14ac:dyDescent="0.45">
      <c r="B178" s="65" t="s">
        <v>68</v>
      </c>
      <c r="C178" s="67">
        <f>(((((C172)+(C173))+(C174))+(C175))+(C176))+(C177)</f>
        <v>83030.240000000005</v>
      </c>
      <c r="D178" s="67">
        <f t="shared" ref="D178" si="33">(((((D172)+(D173))+(D174))+(D175))+(D176))+(D177)</f>
        <v>82800</v>
      </c>
      <c r="E178" s="67">
        <v>50101</v>
      </c>
      <c r="F178" s="67">
        <f>(((((F172)+(F173))+(F174))+(F175))+(F176))+(F177)</f>
        <v>97990.82</v>
      </c>
      <c r="G178" s="275">
        <f t="shared" si="28"/>
        <v>1.9558655515857968</v>
      </c>
      <c r="I178" s="88"/>
    </row>
    <row r="179" spans="2:9" x14ac:dyDescent="0.45">
      <c r="B179" s="24" t="s">
        <v>375</v>
      </c>
      <c r="C179" s="70"/>
      <c r="D179" s="79"/>
      <c r="E179" s="80"/>
      <c r="F179" s="247"/>
      <c r="G179" s="274"/>
    </row>
    <row r="180" spans="2:9" x14ac:dyDescent="0.45">
      <c r="B180" s="24" t="s">
        <v>376</v>
      </c>
      <c r="C180" s="70">
        <f>'P&amp;L (QB)'!B195</f>
        <v>29602.82</v>
      </c>
      <c r="D180" s="79">
        <v>40000</v>
      </c>
      <c r="E180" s="80">
        <v>19823.400000000001</v>
      </c>
      <c r="F180" s="247">
        <f>'P&amp;L (QB)'!D195</f>
        <v>7498</v>
      </c>
      <c r="G180" s="274">
        <f t="shared" si="28"/>
        <v>0.37823985794566017</v>
      </c>
    </row>
    <row r="181" spans="2:9" x14ac:dyDescent="0.45">
      <c r="B181" s="65" t="s">
        <v>377</v>
      </c>
      <c r="C181" s="67">
        <f>(C179)+(C180)</f>
        <v>29602.82</v>
      </c>
      <c r="D181" s="67">
        <f t="shared" ref="D181" si="34">(D179)+(D180)</f>
        <v>40000</v>
      </c>
      <c r="E181" s="67">
        <v>19823.400000000001</v>
      </c>
      <c r="F181" s="67">
        <f>(F179)+(F180)</f>
        <v>7498</v>
      </c>
      <c r="G181" s="275">
        <f t="shared" si="28"/>
        <v>0.37823985794566017</v>
      </c>
    </row>
    <row r="182" spans="2:9" x14ac:dyDescent="0.45">
      <c r="B182" s="24" t="s">
        <v>378</v>
      </c>
      <c r="C182" s="70"/>
      <c r="D182" s="79"/>
      <c r="E182" s="80"/>
      <c r="F182" s="247"/>
      <c r="G182" s="274"/>
    </row>
    <row r="183" spans="2:9" x14ac:dyDescent="0.45">
      <c r="B183" s="24" t="s">
        <v>379</v>
      </c>
      <c r="C183" s="70">
        <f>'P&amp;L (QB)'!B198</f>
        <v>0</v>
      </c>
      <c r="D183" s="79">
        <v>5000</v>
      </c>
      <c r="E183" s="80">
        <v>1050</v>
      </c>
      <c r="F183" s="247"/>
      <c r="G183" s="274">
        <f t="shared" si="28"/>
        <v>0</v>
      </c>
    </row>
    <row r="184" spans="2:9" x14ac:dyDescent="0.45">
      <c r="B184" s="24" t="s">
        <v>380</v>
      </c>
      <c r="C184" s="70">
        <f>'P&amp;L (QB)'!B199</f>
        <v>0</v>
      </c>
      <c r="D184" s="79"/>
      <c r="E184" s="80"/>
      <c r="F184" s="247"/>
      <c r="G184" s="274"/>
    </row>
    <row r="185" spans="2:9" x14ac:dyDescent="0.45">
      <c r="B185" s="65" t="s">
        <v>382</v>
      </c>
      <c r="C185" s="67">
        <f>((C182)+(C183))+(C184)</f>
        <v>0</v>
      </c>
      <c r="D185" s="67">
        <f t="shared" ref="D185" si="35">((D182)+(D183))+(D184)</f>
        <v>5000</v>
      </c>
      <c r="E185" s="67">
        <v>1050</v>
      </c>
      <c r="F185" s="67">
        <f>((F182)+(F183))+(F184)</f>
        <v>0</v>
      </c>
      <c r="G185" s="275">
        <f t="shared" si="28"/>
        <v>0</v>
      </c>
    </row>
    <row r="186" spans="2:9" x14ac:dyDescent="0.45">
      <c r="B186" s="24" t="s">
        <v>163</v>
      </c>
      <c r="C186" s="70"/>
      <c r="D186" s="79"/>
      <c r="E186" s="80"/>
      <c r="F186" s="247"/>
      <c r="G186" s="274"/>
    </row>
    <row r="187" spans="2:9" x14ac:dyDescent="0.45">
      <c r="B187" s="24" t="s">
        <v>383</v>
      </c>
      <c r="C187" s="70">
        <f>'P&amp;L (QB)'!B203</f>
        <v>2862.9</v>
      </c>
      <c r="D187" s="79">
        <f>2500+500</f>
        <v>3000</v>
      </c>
      <c r="E187" s="80">
        <v>2700</v>
      </c>
      <c r="F187" s="247">
        <f>'P&amp;L (QB)'!D203</f>
        <v>1024.8</v>
      </c>
      <c r="G187" s="274">
        <f t="shared" si="28"/>
        <v>0.37955555555555553</v>
      </c>
    </row>
    <row r="188" spans="2:9" x14ac:dyDescent="0.45">
      <c r="B188" s="87" t="s">
        <v>444</v>
      </c>
      <c r="C188" s="70">
        <v>0</v>
      </c>
      <c r="D188" s="79"/>
      <c r="E188" s="80">
        <v>0</v>
      </c>
      <c r="F188" s="247"/>
      <c r="G188" s="274"/>
    </row>
    <row r="189" spans="2:9" x14ac:dyDescent="0.45">
      <c r="B189" s="65" t="s">
        <v>164</v>
      </c>
      <c r="C189" s="67">
        <f>(C186)+(C187)+C188</f>
        <v>2862.9</v>
      </c>
      <c r="D189" s="67">
        <f t="shared" ref="D189" si="36">(D186)+(D187)+D188</f>
        <v>3000</v>
      </c>
      <c r="E189" s="67">
        <v>2700</v>
      </c>
      <c r="F189" s="67">
        <f>(F186)+(F187)+F188</f>
        <v>1024.8</v>
      </c>
      <c r="G189" s="275">
        <f t="shared" si="28"/>
        <v>0.37955555555555553</v>
      </c>
    </row>
    <row r="190" spans="2:9" x14ac:dyDescent="0.45">
      <c r="B190" s="24" t="s">
        <v>69</v>
      </c>
      <c r="C190" s="70"/>
      <c r="D190" s="79"/>
      <c r="E190" s="80"/>
      <c r="F190" s="247"/>
      <c r="G190" s="274"/>
    </row>
    <row r="191" spans="2:9" x14ac:dyDescent="0.45">
      <c r="B191" s="24" t="s">
        <v>70</v>
      </c>
      <c r="C191" s="70">
        <f>'P&amp;L (QB)'!B207</f>
        <v>16938.41</v>
      </c>
      <c r="D191" s="79">
        <v>20000</v>
      </c>
      <c r="E191" s="80">
        <v>19992</v>
      </c>
      <c r="F191" s="247">
        <f>'P&amp;L (QB)'!D207</f>
        <v>12651.02</v>
      </c>
      <c r="G191" s="274">
        <f t="shared" si="28"/>
        <v>0.63280412164865951</v>
      </c>
    </row>
    <row r="192" spans="2:9" x14ac:dyDescent="0.45">
      <c r="B192" s="24" t="s">
        <v>137</v>
      </c>
      <c r="C192" s="70">
        <f>'P&amp;L (QB)'!B208</f>
        <v>221.92</v>
      </c>
      <c r="D192" s="79">
        <f>(200*0.5)+1000</f>
        <v>1100</v>
      </c>
      <c r="E192" s="80">
        <v>2000</v>
      </c>
      <c r="F192" s="247">
        <f>'P&amp;L (QB)'!D208</f>
        <v>849.45</v>
      </c>
      <c r="G192" s="274">
        <f t="shared" si="28"/>
        <v>0.42472500000000002</v>
      </c>
    </row>
    <row r="193" spans="2:9" x14ac:dyDescent="0.45">
      <c r="B193" s="65" t="s">
        <v>71</v>
      </c>
      <c r="C193" s="67">
        <f>((C190)+(C191))+(C192)</f>
        <v>17160.329999999998</v>
      </c>
      <c r="D193" s="67">
        <f t="shared" ref="D193" si="37">((D190)+(D191))+(D192)</f>
        <v>21100</v>
      </c>
      <c r="E193" s="67">
        <v>21992</v>
      </c>
      <c r="F193" s="67">
        <f>((F190)+(F191))+(F192)</f>
        <v>13500.470000000001</v>
      </c>
      <c r="G193" s="275">
        <f t="shared" si="28"/>
        <v>0.61388095671153153</v>
      </c>
    </row>
    <row r="194" spans="2:9" x14ac:dyDescent="0.45">
      <c r="B194" s="24" t="s">
        <v>72</v>
      </c>
      <c r="C194" s="70"/>
      <c r="D194" s="79"/>
      <c r="E194" s="80"/>
      <c r="F194" s="247"/>
      <c r="G194" s="274"/>
    </row>
    <row r="195" spans="2:9" ht="57" x14ac:dyDescent="0.45">
      <c r="B195" s="291" t="s">
        <v>200</v>
      </c>
      <c r="C195" s="70">
        <f>'P&amp;L (QB)'!B211</f>
        <v>4757.8999999999996</v>
      </c>
      <c r="D195" s="79">
        <f>9000+8000</f>
        <v>17000</v>
      </c>
      <c r="E195" s="80">
        <v>11000</v>
      </c>
      <c r="F195" s="247">
        <f>'P&amp;L (QB)'!D211</f>
        <v>9651.74</v>
      </c>
      <c r="G195" s="274">
        <f t="shared" si="28"/>
        <v>0.87743090909090904</v>
      </c>
      <c r="I195" s="309" t="s">
        <v>532</v>
      </c>
    </row>
    <row r="196" spans="2:9" ht="28.5" x14ac:dyDescent="0.45">
      <c r="B196" s="291" t="s">
        <v>73</v>
      </c>
      <c r="C196" s="70">
        <f>'P&amp;L (QB)'!B212</f>
        <v>20794.63</v>
      </c>
      <c r="D196" s="82">
        <f>5000+5000</f>
        <v>10000</v>
      </c>
      <c r="E196" s="83">
        <v>8000</v>
      </c>
      <c r="F196" s="247">
        <f>'P&amp;L (QB)'!D212</f>
        <v>16550</v>
      </c>
      <c r="G196" s="276">
        <f t="shared" si="28"/>
        <v>2.0687500000000001</v>
      </c>
      <c r="I196" s="309" t="s">
        <v>542</v>
      </c>
    </row>
    <row r="197" spans="2:9" x14ac:dyDescent="0.45">
      <c r="B197" s="291" t="s">
        <v>201</v>
      </c>
      <c r="C197" s="70">
        <f>'P&amp;L (QB)'!B213</f>
        <v>7699.11</v>
      </c>
      <c r="D197" s="79">
        <v>5000</v>
      </c>
      <c r="E197" s="80">
        <v>10000</v>
      </c>
      <c r="F197" s="247">
        <f>'P&amp;L (QB)'!D213</f>
        <v>9430.06</v>
      </c>
      <c r="G197" s="274">
        <f t="shared" si="28"/>
        <v>0.9430059999999999</v>
      </c>
    </row>
    <row r="198" spans="2:9" x14ac:dyDescent="0.45">
      <c r="B198" s="65" t="s">
        <v>74</v>
      </c>
      <c r="C198" s="67">
        <f>(((C194)+(C195))+(C196))+(C197)</f>
        <v>33251.64</v>
      </c>
      <c r="D198" s="67">
        <f t="shared" ref="D198" si="38">(((D194)+(D195))+(D196))+(D197)</f>
        <v>32000</v>
      </c>
      <c r="E198" s="67">
        <v>29000</v>
      </c>
      <c r="F198" s="67">
        <f>(((F194)+(F195))+(F196))+(F197)</f>
        <v>35631.799999999996</v>
      </c>
      <c r="G198" s="275">
        <f t="shared" si="28"/>
        <v>1.2286827586206894</v>
      </c>
    </row>
    <row r="199" spans="2:9" x14ac:dyDescent="0.45">
      <c r="B199" s="24" t="s">
        <v>75</v>
      </c>
      <c r="C199" s="70"/>
      <c r="D199" s="79"/>
      <c r="E199" s="80"/>
      <c r="F199" s="247"/>
      <c r="G199" s="274"/>
    </row>
    <row r="200" spans="2:9" ht="28.5" x14ac:dyDescent="0.45">
      <c r="B200" s="287" t="s">
        <v>97</v>
      </c>
      <c r="C200" s="285">
        <f>'P&amp;L (QB)'!B218</f>
        <v>6120.74</v>
      </c>
      <c r="D200" s="82">
        <v>8245</v>
      </c>
      <c r="E200" s="82">
        <v>13200</v>
      </c>
      <c r="F200" s="285">
        <f>'P&amp;L (QB)'!D218</f>
        <v>23567.31</v>
      </c>
      <c r="G200" s="286">
        <f t="shared" si="28"/>
        <v>1.7854022727272729</v>
      </c>
      <c r="I200" s="26" t="s">
        <v>554</v>
      </c>
    </row>
    <row r="201" spans="2:9" x14ac:dyDescent="0.45">
      <c r="B201" s="65" t="s">
        <v>76</v>
      </c>
      <c r="C201" s="67">
        <f>(C199)+(C200)</f>
        <v>6120.74</v>
      </c>
      <c r="D201" s="67">
        <f t="shared" ref="D201" si="39">(D199)+(D200)</f>
        <v>8245</v>
      </c>
      <c r="E201" s="67">
        <v>13200</v>
      </c>
      <c r="F201" s="67">
        <f>(F199)+(F200)</f>
        <v>23567.31</v>
      </c>
      <c r="G201" s="275">
        <f t="shared" si="28"/>
        <v>1.7854022727272729</v>
      </c>
      <c r="I201" s="88"/>
    </row>
    <row r="202" spans="2:9" x14ac:dyDescent="0.45">
      <c r="B202" s="24" t="s">
        <v>77</v>
      </c>
      <c r="C202" s="70"/>
      <c r="D202" s="79"/>
      <c r="E202" s="80"/>
      <c r="F202" s="247"/>
      <c r="G202" s="274"/>
    </row>
    <row r="203" spans="2:9" x14ac:dyDescent="0.45">
      <c r="B203" s="291" t="s">
        <v>78</v>
      </c>
      <c r="C203" s="63">
        <f>'P&amp;L (QB)'!B221</f>
        <v>20531.78</v>
      </c>
      <c r="D203" s="82">
        <v>18060</v>
      </c>
      <c r="E203" s="328">
        <v>12000</v>
      </c>
      <c r="F203" s="329">
        <f>'P&amp;L (QB)'!D221</f>
        <v>8438.2199999999993</v>
      </c>
      <c r="G203" s="330">
        <f t="shared" si="28"/>
        <v>0.70318499999999995</v>
      </c>
      <c r="I203" s="2"/>
    </row>
    <row r="204" spans="2:9" x14ac:dyDescent="0.45">
      <c r="B204" s="65" t="s">
        <v>79</v>
      </c>
      <c r="C204" s="67">
        <f>(C202)+(C203)</f>
        <v>20531.78</v>
      </c>
      <c r="D204" s="67">
        <f t="shared" ref="D204" si="40">(D202)+(D203)</f>
        <v>18060</v>
      </c>
      <c r="E204" s="67">
        <v>12000</v>
      </c>
      <c r="F204" s="67">
        <f>(F202)+(F203)</f>
        <v>8438.2199999999993</v>
      </c>
      <c r="G204" s="275">
        <f t="shared" si="28"/>
        <v>0.70318499999999995</v>
      </c>
    </row>
    <row r="205" spans="2:9" x14ac:dyDescent="0.45">
      <c r="B205" s="24" t="s">
        <v>385</v>
      </c>
      <c r="C205" s="70"/>
      <c r="D205" s="79"/>
      <c r="E205" s="80"/>
      <c r="F205" s="247"/>
      <c r="G205" s="274"/>
    </row>
    <row r="206" spans="2:9" x14ac:dyDescent="0.45">
      <c r="B206" s="24" t="s">
        <v>386</v>
      </c>
      <c r="C206" s="63">
        <f>'P&amp;L (QB)'!B224</f>
        <v>1232.02</v>
      </c>
      <c r="D206" s="82">
        <v>8000</v>
      </c>
      <c r="E206" s="83">
        <v>4500</v>
      </c>
      <c r="F206" s="245">
        <f>'P&amp;L (QB)'!D223</f>
        <v>0</v>
      </c>
      <c r="G206" s="276">
        <f t="shared" si="28"/>
        <v>0</v>
      </c>
    </row>
    <row r="207" spans="2:9" x14ac:dyDescent="0.45">
      <c r="B207" s="65" t="s">
        <v>387</v>
      </c>
      <c r="C207" s="67">
        <f>(C205)+(C206)</f>
        <v>1232.02</v>
      </c>
      <c r="D207" s="67">
        <f t="shared" ref="D207" si="41">(D205)+(D206)</f>
        <v>8000</v>
      </c>
      <c r="E207" s="67">
        <v>4500</v>
      </c>
      <c r="F207" s="67">
        <f>(F205)+(F206)</f>
        <v>0</v>
      </c>
      <c r="G207" s="275">
        <f t="shared" si="28"/>
        <v>0</v>
      </c>
    </row>
    <row r="208" spans="2:9" x14ac:dyDescent="0.45">
      <c r="B208" s="24" t="s">
        <v>100</v>
      </c>
      <c r="C208" s="70"/>
      <c r="D208" s="79"/>
      <c r="E208" s="80"/>
      <c r="F208" s="247"/>
      <c r="G208" s="274"/>
    </row>
    <row r="209" spans="2:9" x14ac:dyDescent="0.45">
      <c r="B209" s="24" t="s">
        <v>134</v>
      </c>
      <c r="C209" s="70">
        <f>'P&amp;L (QB)'!B227</f>
        <v>711.35</v>
      </c>
      <c r="D209" s="79">
        <v>2500</v>
      </c>
      <c r="E209" s="80">
        <v>1200</v>
      </c>
      <c r="F209" s="247">
        <f>'P&amp;L (QB)'!D227</f>
        <v>0</v>
      </c>
      <c r="G209" s="274">
        <f t="shared" si="28"/>
        <v>0</v>
      </c>
    </row>
    <row r="210" spans="2:9" x14ac:dyDescent="0.45">
      <c r="B210" s="24" t="s">
        <v>99</v>
      </c>
      <c r="C210" s="70">
        <f>'P&amp;L (QB)'!B228</f>
        <v>3300.59</v>
      </c>
      <c r="D210" s="82">
        <v>3000</v>
      </c>
      <c r="E210" s="83">
        <v>2000</v>
      </c>
      <c r="F210" s="247">
        <f>'P&amp;L (QB)'!D228</f>
        <v>253.84</v>
      </c>
      <c r="G210" s="276">
        <f t="shared" si="28"/>
        <v>0.12692000000000001</v>
      </c>
    </row>
    <row r="211" spans="2:9" x14ac:dyDescent="0.45">
      <c r="B211" s="65" t="s">
        <v>101</v>
      </c>
      <c r="C211" s="67">
        <f>((C208)+(C209))+(C210)</f>
        <v>4011.94</v>
      </c>
      <c r="D211" s="67">
        <f t="shared" ref="D211" si="42">((D208)+(D209))+(D210)</f>
        <v>5500</v>
      </c>
      <c r="E211" s="67">
        <v>3200</v>
      </c>
      <c r="F211" s="67">
        <f>((F208)+(F209))+(F210)</f>
        <v>253.84</v>
      </c>
      <c r="G211" s="275">
        <f t="shared" si="28"/>
        <v>7.9325000000000007E-2</v>
      </c>
    </row>
    <row r="212" spans="2:9" x14ac:dyDescent="0.45">
      <c r="B212" s="24" t="s">
        <v>388</v>
      </c>
      <c r="C212" s="70"/>
      <c r="D212" s="79"/>
      <c r="E212" s="80"/>
      <c r="F212" s="247"/>
      <c r="G212" s="274"/>
    </row>
    <row r="213" spans="2:9" x14ac:dyDescent="0.45">
      <c r="B213" s="24" t="s">
        <v>389</v>
      </c>
      <c r="C213" s="70">
        <f>'P&amp;L (QB)'!B231</f>
        <v>1354.36</v>
      </c>
      <c r="D213" s="79">
        <v>4000</v>
      </c>
      <c r="E213" s="80">
        <v>3000</v>
      </c>
      <c r="F213" s="247">
        <f>'P&amp;L (QB)'!D231</f>
        <v>159.9</v>
      </c>
      <c r="G213" s="274">
        <f t="shared" ref="G213:G239" si="43">F213/E213</f>
        <v>5.33E-2</v>
      </c>
    </row>
    <row r="214" spans="2:9" x14ac:dyDescent="0.45">
      <c r="B214" s="65" t="s">
        <v>390</v>
      </c>
      <c r="C214" s="67">
        <f>(C212)+(C213)</f>
        <v>1354.36</v>
      </c>
      <c r="D214" s="67">
        <f t="shared" ref="D214" si="44">(D212)+(D213)</f>
        <v>4000</v>
      </c>
      <c r="E214" s="67">
        <v>3000</v>
      </c>
      <c r="F214" s="67">
        <f>(F212)+(F213)</f>
        <v>159.9</v>
      </c>
      <c r="G214" s="275">
        <f t="shared" si="43"/>
        <v>5.33E-2</v>
      </c>
    </row>
    <row r="215" spans="2:9" x14ac:dyDescent="0.45">
      <c r="B215" s="24" t="s">
        <v>80</v>
      </c>
      <c r="C215" s="70"/>
      <c r="D215" s="79"/>
      <c r="E215" s="80"/>
      <c r="F215" s="247"/>
      <c r="G215" s="274"/>
    </row>
    <row r="216" spans="2:9" ht="28.5" x14ac:dyDescent="0.45">
      <c r="B216" s="291" t="s">
        <v>202</v>
      </c>
      <c r="C216" s="70">
        <f>'P&amp;L (QB)'!B234</f>
        <v>803.2</v>
      </c>
      <c r="D216" s="79">
        <v>200</v>
      </c>
      <c r="E216" s="80">
        <v>200</v>
      </c>
      <c r="F216" s="247">
        <f>'P&amp;L (QB)'!D234</f>
        <v>703.3</v>
      </c>
      <c r="G216" s="274">
        <f t="shared" si="43"/>
        <v>3.5164999999999997</v>
      </c>
      <c r="I216" s="26" t="s">
        <v>555</v>
      </c>
    </row>
    <row r="217" spans="2:9" x14ac:dyDescent="0.45">
      <c r="B217" s="24" t="s">
        <v>138</v>
      </c>
      <c r="C217" s="70">
        <f>'P&amp;L (QB)'!B235</f>
        <v>109.21</v>
      </c>
      <c r="D217" s="79"/>
      <c r="E217" s="80"/>
      <c r="F217" s="247">
        <f>'P&amp;L (QB)'!D235</f>
        <v>0</v>
      </c>
      <c r="G217" s="274"/>
    </row>
    <row r="218" spans="2:9" x14ac:dyDescent="0.45">
      <c r="B218" s="291" t="s">
        <v>81</v>
      </c>
      <c r="C218" s="70">
        <v>0</v>
      </c>
      <c r="D218" s="82">
        <v>1000</v>
      </c>
      <c r="E218" s="83">
        <v>1000</v>
      </c>
      <c r="F218" s="247">
        <f>'P&amp;L (QB)'!D236</f>
        <v>0</v>
      </c>
      <c r="G218" s="276">
        <f t="shared" si="43"/>
        <v>0</v>
      </c>
    </row>
    <row r="219" spans="2:9" hidden="1" x14ac:dyDescent="0.45">
      <c r="B219" s="24" t="s">
        <v>108</v>
      </c>
      <c r="C219" s="70">
        <v>0</v>
      </c>
      <c r="D219" s="82"/>
      <c r="E219" s="83"/>
      <c r="F219" s="247">
        <f>'P&amp;L (QB)'!D237</f>
        <v>0</v>
      </c>
      <c r="G219" s="276"/>
    </row>
    <row r="220" spans="2:9" hidden="1" x14ac:dyDescent="0.45">
      <c r="B220" s="24" t="s">
        <v>203</v>
      </c>
      <c r="C220" s="70">
        <v>0</v>
      </c>
      <c r="D220" s="82"/>
      <c r="E220" s="83"/>
      <c r="F220" s="247">
        <f>'P&amp;L (QB)'!D238</f>
        <v>0</v>
      </c>
      <c r="G220" s="276"/>
    </row>
    <row r="221" spans="2:9" x14ac:dyDescent="0.45">
      <c r="B221" s="65" t="s">
        <v>82</v>
      </c>
      <c r="C221" s="67">
        <f>(((((C215)+(C216))+(C217))+(C218))+(C219))+(C220)</f>
        <v>912.41000000000008</v>
      </c>
      <c r="D221" s="67">
        <f t="shared" ref="D221" si="45">(((((D215)+(D216))+(D217))+(D218))+(D219))+(D220)</f>
        <v>1200</v>
      </c>
      <c r="E221" s="67">
        <v>1200</v>
      </c>
      <c r="F221" s="67">
        <f>(((((F215)+(F216))+(F217))+(F218))+(F219))+(F220)</f>
        <v>703.3</v>
      </c>
      <c r="G221" s="275">
        <f t="shared" si="43"/>
        <v>0.58608333333333329</v>
      </c>
    </row>
    <row r="222" spans="2:9" x14ac:dyDescent="0.45">
      <c r="B222" s="24" t="s">
        <v>83</v>
      </c>
      <c r="C222" s="70"/>
      <c r="D222" s="79"/>
      <c r="E222" s="80"/>
      <c r="F222" s="247"/>
      <c r="G222" s="274"/>
    </row>
    <row r="223" spans="2:9" x14ac:dyDescent="0.45">
      <c r="B223" s="291" t="s">
        <v>84</v>
      </c>
      <c r="C223" s="70">
        <f>'P&amp;L (QB)'!B241</f>
        <v>29135.03</v>
      </c>
      <c r="D223" s="79">
        <v>30531.66</v>
      </c>
      <c r="E223" s="80">
        <v>43418.100000000006</v>
      </c>
      <c r="F223" s="247">
        <f>'P&amp;L (QB)'!D241</f>
        <v>25307.99</v>
      </c>
      <c r="G223" s="274">
        <f t="shared" si="43"/>
        <v>0.58289031532932112</v>
      </c>
      <c r="I223" s="294"/>
    </row>
    <row r="224" spans="2:9" x14ac:dyDescent="0.45">
      <c r="B224" s="24" t="s">
        <v>391</v>
      </c>
      <c r="C224" s="70">
        <f>'P&amp;L (QB)'!B242</f>
        <v>0</v>
      </c>
      <c r="D224" s="79"/>
      <c r="E224" s="80"/>
      <c r="F224" s="247">
        <f>'P&amp;L (QB)'!D242</f>
        <v>0</v>
      </c>
      <c r="G224" s="274"/>
    </row>
    <row r="225" spans="2:9" x14ac:dyDescent="0.45">
      <c r="B225" s="65" t="s">
        <v>85</v>
      </c>
      <c r="C225" s="67">
        <f>((C222)+(C223))+(C224)</f>
        <v>29135.03</v>
      </c>
      <c r="D225" s="67">
        <f t="shared" ref="D225" si="46">((D222)+(D223))+(D224)</f>
        <v>30531.66</v>
      </c>
      <c r="E225" s="67">
        <v>43418.100000000006</v>
      </c>
      <c r="F225" s="67">
        <f>((F222)+(F223))+(F224)</f>
        <v>25307.99</v>
      </c>
      <c r="G225" s="275">
        <f t="shared" si="43"/>
        <v>0.58289031532932112</v>
      </c>
    </row>
    <row r="226" spans="2:9" x14ac:dyDescent="0.45">
      <c r="B226" s="24" t="s">
        <v>155</v>
      </c>
      <c r="C226" s="70"/>
      <c r="D226" s="79"/>
      <c r="E226" s="80"/>
      <c r="F226" s="247"/>
      <c r="G226" s="274"/>
    </row>
    <row r="227" spans="2:9" x14ac:dyDescent="0.45">
      <c r="B227" s="24" t="s">
        <v>204</v>
      </c>
      <c r="C227" s="70">
        <f>'P&amp;L (QB)'!B245</f>
        <v>521828.34</v>
      </c>
      <c r="D227" s="79">
        <v>526000</v>
      </c>
      <c r="E227" s="80">
        <v>750000</v>
      </c>
      <c r="F227" s="247">
        <f>'P&amp;L (QB)'!D245</f>
        <v>750000</v>
      </c>
      <c r="G227" s="274">
        <f t="shared" si="43"/>
        <v>1</v>
      </c>
    </row>
    <row r="228" spans="2:9" x14ac:dyDescent="0.45">
      <c r="B228" s="87" t="s">
        <v>156</v>
      </c>
      <c r="C228" s="70">
        <f>'P&amp;L (QB)'!B246</f>
        <v>27355.59</v>
      </c>
      <c r="D228" s="79">
        <v>2000</v>
      </c>
      <c r="E228" s="80">
        <v>15000</v>
      </c>
      <c r="F228" s="247">
        <f>'P&amp;L (QB)'!D246</f>
        <v>5146.3</v>
      </c>
      <c r="G228" s="274">
        <f t="shared" si="43"/>
        <v>0.34308666666666671</v>
      </c>
    </row>
    <row r="229" spans="2:9" x14ac:dyDescent="0.45">
      <c r="B229" s="91" t="s">
        <v>205</v>
      </c>
      <c r="C229" s="70">
        <f>'P&amp;L (QB)'!B247</f>
        <v>37913.94</v>
      </c>
      <c r="D229" s="79">
        <v>60000</v>
      </c>
      <c r="E229" s="80">
        <v>55000</v>
      </c>
      <c r="F229" s="247">
        <f>'P&amp;L (QB)'!D247</f>
        <v>9389.52</v>
      </c>
      <c r="G229" s="274">
        <f t="shared" si="43"/>
        <v>0.17071854545454546</v>
      </c>
    </row>
    <row r="230" spans="2:9" ht="57" x14ac:dyDescent="0.45">
      <c r="B230" s="322" t="s">
        <v>445</v>
      </c>
      <c r="C230" s="70">
        <f>'P&amp;L (QB)'!B248</f>
        <v>4595</v>
      </c>
      <c r="D230" s="79">
        <v>6000</v>
      </c>
      <c r="E230" s="80">
        <v>3250</v>
      </c>
      <c r="F230" s="247">
        <f>'P&amp;L (QB)'!D248</f>
        <v>6075</v>
      </c>
      <c r="G230" s="274">
        <f t="shared" si="43"/>
        <v>1.8692307692307693</v>
      </c>
      <c r="I230" s="26" t="s">
        <v>538</v>
      </c>
    </row>
    <row r="231" spans="2:9" x14ac:dyDescent="0.45">
      <c r="B231" s="353" t="s">
        <v>393</v>
      </c>
      <c r="C231" s="351">
        <f>'P&amp;L (QB)'!B249</f>
        <v>64956.93</v>
      </c>
      <c r="D231" s="79">
        <f>7200*12</f>
        <v>86400</v>
      </c>
      <c r="E231" s="79">
        <v>72000</v>
      </c>
      <c r="F231" s="351">
        <f>'P&amp;L (QB)'!D249</f>
        <v>72744</v>
      </c>
      <c r="G231" s="354">
        <f t="shared" si="43"/>
        <v>1.0103333333333333</v>
      </c>
      <c r="I231" s="26" t="s">
        <v>561</v>
      </c>
    </row>
    <row r="232" spans="2:9" x14ac:dyDescent="0.45">
      <c r="B232" s="91" t="s">
        <v>206</v>
      </c>
      <c r="C232" s="70">
        <f>'P&amp;L (QB)'!B250</f>
        <v>925938.24</v>
      </c>
      <c r="D232" s="79">
        <v>925938.20863992791</v>
      </c>
      <c r="E232" s="80">
        <v>701938.20863992791</v>
      </c>
      <c r="F232" s="247">
        <f>'P&amp;L (QB)'!D250</f>
        <v>701938.2</v>
      </c>
      <c r="G232" s="274">
        <f t="shared" si="43"/>
        <v>0.99999998769132692</v>
      </c>
    </row>
    <row r="233" spans="2:9" x14ac:dyDescent="0.45">
      <c r="B233" s="65" t="s">
        <v>157</v>
      </c>
      <c r="C233" s="66">
        <f>((((C226)+(C227))+(C228))+(C229))+(C232)+C231+C230</f>
        <v>1582588.04</v>
      </c>
      <c r="D233" s="66">
        <f t="shared" ref="D233" si="47">((((D226)+(D227))+(D228))+(D229))+(D232)+D231+D230</f>
        <v>1606338.2086399279</v>
      </c>
      <c r="E233" s="66">
        <v>1597188.2086399279</v>
      </c>
      <c r="F233" s="66">
        <f>((((F226)+(F227))+(F228))+(F229))+(F232)+F231+F230</f>
        <v>1545293.02</v>
      </c>
      <c r="G233" s="275">
        <f t="shared" si="43"/>
        <v>0.96750840736288757</v>
      </c>
    </row>
    <row r="234" spans="2:9" x14ac:dyDescent="0.45">
      <c r="B234" s="24" t="s">
        <v>395</v>
      </c>
      <c r="C234" s="70"/>
      <c r="D234" s="79"/>
      <c r="E234" s="80"/>
      <c r="F234" s="247"/>
      <c r="G234" s="274"/>
    </row>
    <row r="235" spans="2:9" ht="57" x14ac:dyDescent="0.45">
      <c r="B235" s="291" t="s">
        <v>396</v>
      </c>
      <c r="C235" s="70">
        <f>'P&amp;L (QB)'!B254</f>
        <v>39111.199999999997</v>
      </c>
      <c r="D235" s="79" t="e">
        <f>SUM(#REF!)</f>
        <v>#REF!</v>
      </c>
      <c r="E235" s="80">
        <v>40000</v>
      </c>
      <c r="F235" s="247">
        <f>'P&amp;L (QB)'!D254</f>
        <v>72981.38</v>
      </c>
      <c r="G235" s="274">
        <f t="shared" si="43"/>
        <v>1.8245345000000002</v>
      </c>
      <c r="I235" s="26" t="s">
        <v>556</v>
      </c>
    </row>
    <row r="236" spans="2:9" x14ac:dyDescent="0.45">
      <c r="B236" s="24" t="s">
        <v>397</v>
      </c>
      <c r="C236" s="70"/>
      <c r="D236" s="79"/>
      <c r="E236" s="80"/>
      <c r="F236" s="247"/>
      <c r="G236" s="274"/>
    </row>
    <row r="237" spans="2:9" x14ac:dyDescent="0.45">
      <c r="B237" s="65" t="s">
        <v>398</v>
      </c>
      <c r="C237" s="67">
        <f>((C234)+(C235))+(C236)</f>
        <v>39111.199999999997</v>
      </c>
      <c r="D237" s="67" t="e">
        <f t="shared" ref="D237" si="48">((D234)+(D235))+(D236)</f>
        <v>#REF!</v>
      </c>
      <c r="E237" s="67">
        <v>40000</v>
      </c>
      <c r="F237" s="67">
        <f>((F234)+(F235))+(F236)</f>
        <v>72981.38</v>
      </c>
      <c r="G237" s="275">
        <f t="shared" si="43"/>
        <v>1.8245345000000002</v>
      </c>
    </row>
    <row r="238" spans="2:9" x14ac:dyDescent="0.45">
      <c r="B238" s="65" t="s">
        <v>6</v>
      </c>
      <c r="C238" s="67">
        <f>(((((((((((((((((((((((C116)+(C132))+(C136))+(C145))+(C148))+(C154))+(C159))+(C167))+(C171))+(C178))+(C181))+(C185))+(C189))+(C193))+(C198))+(C201))+(C204))+(C207))+(C211))+(C214))+(C221))+(C225))+(C233))+(C237)</f>
        <v>3299224.6100000003</v>
      </c>
      <c r="D238" s="67" t="e">
        <f>(((((((((((((((((((((((D116)+(D132))+(D136))+(D145))+(D148))+(D154))+(D159))+(D167))+(D171))+(D178))+(D181))+(D185))+(D189))+(D193))+(D198))+(D201))+(D204))+(D207))+(D211))+(D214))+(D221))+(D225))+(D233))+(D237)</f>
        <v>#VALUE!</v>
      </c>
      <c r="E238" s="67">
        <v>3848932.6289599277</v>
      </c>
      <c r="F238" s="67">
        <f>(((((((((((((((((((((((F116)+(F132))+(F136))+(F145))+(F148))+(F154))+(F159))+(F167))+(F171))+(F178))+(F181))+(F185))+(F189))+(F193))+(F198))+(F201))+(F204))+(F207))+(F211))+(F214))+(F221))+(F225))+(F233))+(F237)</f>
        <v>3413410.13</v>
      </c>
      <c r="G238" s="275">
        <f t="shared" si="43"/>
        <v>0.88684590224235327</v>
      </c>
      <c r="I238" s="98"/>
    </row>
    <row r="239" spans="2:9" x14ac:dyDescent="0.45">
      <c r="B239" s="92" t="s">
        <v>86</v>
      </c>
      <c r="C239" s="93">
        <f>(C59)-(C238)</f>
        <v>-170879.6400000006</v>
      </c>
      <c r="D239" s="94" t="e">
        <f>(D59)-(D238)</f>
        <v>#VALUE!</v>
      </c>
      <c r="E239" s="94">
        <v>68400.771040072199</v>
      </c>
      <c r="F239" s="93">
        <f>(F59)-(F238)</f>
        <v>540852.73999999976</v>
      </c>
      <c r="G239" s="280">
        <f t="shared" si="43"/>
        <v>7.9071146680955433</v>
      </c>
      <c r="I239" s="98"/>
    </row>
    <row r="240" spans="2:9" x14ac:dyDescent="0.45">
      <c r="B240" s="61"/>
      <c r="C240" s="184"/>
      <c r="D240" s="185"/>
      <c r="E240" s="313"/>
      <c r="F240" s="313"/>
      <c r="G240" s="252"/>
      <c r="H240" s="2"/>
      <c r="I240" s="305"/>
    </row>
    <row r="241" spans="2:9" x14ac:dyDescent="0.45">
      <c r="B241" s="24" t="s">
        <v>446</v>
      </c>
      <c r="C241" s="184"/>
      <c r="D241" s="185"/>
      <c r="E241" s="313"/>
      <c r="F241" s="313"/>
      <c r="G241" s="252"/>
      <c r="H241" s="2"/>
      <c r="I241" s="2"/>
    </row>
    <row r="242" spans="2:9" x14ac:dyDescent="0.45">
      <c r="B242" s="24" t="s">
        <v>447</v>
      </c>
      <c r="C242" s="63"/>
      <c r="D242" s="82"/>
      <c r="E242" s="83"/>
      <c r="F242" s="83"/>
      <c r="G242" s="251"/>
      <c r="H242" s="2"/>
      <c r="I242" s="2"/>
    </row>
    <row r="243" spans="2:9" x14ac:dyDescent="0.45">
      <c r="B243" s="24" t="s">
        <v>448</v>
      </c>
      <c r="C243" s="63">
        <v>11346.61</v>
      </c>
      <c r="D243" s="82">
        <v>19119</v>
      </c>
      <c r="E243" s="83"/>
      <c r="F243" s="83"/>
      <c r="G243" s="251"/>
      <c r="H243" s="2"/>
      <c r="I243" s="2"/>
    </row>
    <row r="244" spans="2:9" x14ac:dyDescent="0.45">
      <c r="B244" s="24" t="s">
        <v>471</v>
      </c>
      <c r="C244" s="63">
        <v>0</v>
      </c>
      <c r="D244" s="82"/>
      <c r="E244" s="83"/>
      <c r="F244" s="83"/>
      <c r="G244" s="251"/>
      <c r="H244" s="2"/>
      <c r="I244" s="2"/>
    </row>
    <row r="245" spans="2:9" x14ac:dyDescent="0.45">
      <c r="B245" s="24" t="s">
        <v>472</v>
      </c>
      <c r="C245" s="63">
        <v>68001.77</v>
      </c>
      <c r="D245" s="82">
        <v>57142</v>
      </c>
      <c r="E245" s="83"/>
      <c r="F245" s="83">
        <v>8100</v>
      </c>
      <c r="G245" s="251"/>
      <c r="H245" s="2"/>
      <c r="I245" s="2"/>
    </row>
    <row r="246" spans="2:9" x14ac:dyDescent="0.45">
      <c r="B246" s="24" t="s">
        <v>449</v>
      </c>
      <c r="C246" s="63">
        <v>34891</v>
      </c>
      <c r="D246" s="82">
        <v>34950</v>
      </c>
      <c r="E246" s="83"/>
      <c r="F246" s="83">
        <v>10404</v>
      </c>
      <c r="G246" s="251"/>
      <c r="H246" s="2"/>
      <c r="I246" s="2"/>
    </row>
    <row r="247" spans="2:9" x14ac:dyDescent="0.45">
      <c r="B247" s="24" t="s">
        <v>450</v>
      </c>
      <c r="C247" s="63">
        <v>23313.15</v>
      </c>
      <c r="D247" s="82">
        <v>21290</v>
      </c>
      <c r="E247" s="83"/>
      <c r="F247" s="83"/>
      <c r="G247" s="251"/>
    </row>
    <row r="248" spans="2:9" x14ac:dyDescent="0.45">
      <c r="B248" s="24" t="s">
        <v>451</v>
      </c>
      <c r="C248" s="63">
        <v>1705</v>
      </c>
      <c r="D248" s="82">
        <v>2000</v>
      </c>
      <c r="E248" s="83"/>
      <c r="F248" s="83"/>
      <c r="G248" s="251"/>
    </row>
    <row r="249" spans="2:9" x14ac:dyDescent="0.45">
      <c r="B249" s="24" t="s">
        <v>452</v>
      </c>
      <c r="C249" s="63">
        <v>9410</v>
      </c>
      <c r="D249" s="82">
        <v>10332</v>
      </c>
      <c r="E249" s="83"/>
      <c r="F249" s="83"/>
      <c r="G249" s="251"/>
    </row>
    <row r="250" spans="2:9" x14ac:dyDescent="0.45">
      <c r="B250" s="24" t="s">
        <v>453</v>
      </c>
      <c r="C250" s="63">
        <v>9245</v>
      </c>
      <c r="D250" s="82">
        <v>9245</v>
      </c>
      <c r="E250" s="83"/>
      <c r="F250" s="83"/>
      <c r="G250" s="251"/>
    </row>
    <row r="251" spans="2:9" x14ac:dyDescent="0.45">
      <c r="B251" s="24" t="s">
        <v>454</v>
      </c>
      <c r="C251" s="63">
        <v>0</v>
      </c>
      <c r="D251" s="82"/>
      <c r="E251" s="83"/>
      <c r="F251" s="83"/>
      <c r="G251" s="251"/>
    </row>
    <row r="252" spans="2:9" x14ac:dyDescent="0.45">
      <c r="B252" s="24" t="s">
        <v>455</v>
      </c>
      <c r="C252" s="63">
        <v>0</v>
      </c>
      <c r="D252" s="82"/>
      <c r="E252" s="83"/>
      <c r="F252" s="83"/>
      <c r="G252" s="251"/>
    </row>
    <row r="253" spans="2:9" x14ac:dyDescent="0.45">
      <c r="B253" s="24" t="s">
        <v>456</v>
      </c>
      <c r="C253" s="63">
        <v>21005</v>
      </c>
      <c r="D253" s="82">
        <v>10715</v>
      </c>
      <c r="E253" s="83"/>
      <c r="F253" s="83"/>
      <c r="G253" s="251"/>
    </row>
    <row r="254" spans="2:9" x14ac:dyDescent="0.45">
      <c r="B254" s="24" t="s">
        <v>457</v>
      </c>
      <c r="C254" s="63">
        <v>13738</v>
      </c>
      <c r="D254" s="82">
        <v>13738</v>
      </c>
      <c r="E254" s="83"/>
      <c r="F254" s="83"/>
      <c r="G254" s="251"/>
    </row>
    <row r="255" spans="2:9" x14ac:dyDescent="0.45">
      <c r="B255" s="24" t="s">
        <v>458</v>
      </c>
      <c r="C255" s="63">
        <v>0</v>
      </c>
      <c r="D255" s="82">
        <v>9676</v>
      </c>
      <c r="E255" s="83"/>
      <c r="F255" s="83"/>
      <c r="G255" s="251"/>
    </row>
    <row r="256" spans="2:9" x14ac:dyDescent="0.45">
      <c r="B256" s="24" t="s">
        <v>459</v>
      </c>
      <c r="C256" s="63">
        <v>0</v>
      </c>
      <c r="D256" s="82">
        <v>11000</v>
      </c>
      <c r="E256" s="83"/>
      <c r="F256" s="83"/>
      <c r="G256" s="251"/>
    </row>
    <row r="257" spans="2:7" x14ac:dyDescent="0.45">
      <c r="B257" s="24" t="s">
        <v>460</v>
      </c>
      <c r="C257" s="63">
        <v>19562</v>
      </c>
      <c r="D257" s="82">
        <v>24000</v>
      </c>
      <c r="E257" s="83"/>
      <c r="F257" s="83"/>
      <c r="G257" s="251"/>
    </row>
    <row r="258" spans="2:7" x14ac:dyDescent="0.45">
      <c r="B258" s="24" t="s">
        <v>461</v>
      </c>
      <c r="C258" s="63">
        <v>159000</v>
      </c>
      <c r="D258" s="82"/>
      <c r="E258" s="83"/>
      <c r="F258" s="83"/>
      <c r="G258" s="251"/>
    </row>
    <row r="259" spans="2:7" x14ac:dyDescent="0.45">
      <c r="B259" s="24" t="s">
        <v>462</v>
      </c>
      <c r="C259" s="63"/>
      <c r="D259" s="82"/>
      <c r="E259" s="83"/>
      <c r="F259" s="83"/>
      <c r="G259" s="251"/>
    </row>
    <row r="260" spans="2:7" x14ac:dyDescent="0.45">
      <c r="B260" s="65" t="s">
        <v>463</v>
      </c>
      <c r="C260" s="283">
        <f>SUM(C242:C259)</f>
        <v>371217.53</v>
      </c>
      <c r="D260" s="186">
        <f t="shared" ref="D260" si="49">SUM(D242:D259)</f>
        <v>223207</v>
      </c>
      <c r="E260" s="227">
        <f>SUM(E242:E259)</f>
        <v>0</v>
      </c>
      <c r="F260" s="283">
        <f>SUM(F242:F259)</f>
        <v>18504</v>
      </c>
      <c r="G260" s="68"/>
    </row>
    <row r="261" spans="2:7" x14ac:dyDescent="0.45">
      <c r="B261" s="61"/>
      <c r="C261" s="187"/>
      <c r="D261" s="188"/>
      <c r="E261" s="314"/>
      <c r="F261" s="314"/>
      <c r="G261" s="253"/>
    </row>
    <row r="262" spans="2:7" x14ac:dyDescent="0.45">
      <c r="B262" s="95" t="s">
        <v>464</v>
      </c>
      <c r="C262" s="189">
        <f t="shared" ref="C262:E262" si="50">C239</f>
        <v>-170879.6400000006</v>
      </c>
      <c r="D262" s="190" t="e">
        <f t="shared" si="50"/>
        <v>#VALUE!</v>
      </c>
      <c r="E262" s="315">
        <f t="shared" si="50"/>
        <v>68400.771040072199</v>
      </c>
      <c r="F262" s="315">
        <f t="shared" ref="F262" si="51">F239</f>
        <v>540852.73999999976</v>
      </c>
      <c r="G262" s="254"/>
    </row>
    <row r="263" spans="2:7" x14ac:dyDescent="0.45">
      <c r="B263" s="95" t="s">
        <v>465</v>
      </c>
      <c r="C263" s="189">
        <f t="shared" ref="C263:D263" si="52">C260</f>
        <v>371217.53</v>
      </c>
      <c r="D263" s="190">
        <f t="shared" si="52"/>
        <v>223207</v>
      </c>
      <c r="E263" s="315">
        <f>E260</f>
        <v>0</v>
      </c>
      <c r="F263" s="315">
        <f>F260</f>
        <v>18504</v>
      </c>
      <c r="G263" s="254"/>
    </row>
    <row r="264" spans="2:7" x14ac:dyDescent="0.45">
      <c r="B264" s="95" t="s">
        <v>466</v>
      </c>
      <c r="C264" s="189"/>
      <c r="D264" s="190"/>
      <c r="E264" s="315"/>
      <c r="F264" s="315"/>
      <c r="G264" s="254"/>
    </row>
    <row r="265" spans="2:7" x14ac:dyDescent="0.45">
      <c r="B265" s="95" t="s">
        <v>467</v>
      </c>
      <c r="C265" s="189">
        <v>20000</v>
      </c>
      <c r="D265" s="190">
        <v>20000</v>
      </c>
      <c r="E265" s="316">
        <v>30000</v>
      </c>
      <c r="F265" s="316">
        <v>30000</v>
      </c>
      <c r="G265" s="254"/>
    </row>
    <row r="266" spans="2:7" x14ac:dyDescent="0.45">
      <c r="B266" s="95" t="s">
        <v>468</v>
      </c>
      <c r="C266" s="207">
        <f>C235</f>
        <v>39111.199999999997</v>
      </c>
      <c r="D266" s="190" t="e">
        <f t="shared" ref="D266:E266" si="53">D235</f>
        <v>#REF!</v>
      </c>
      <c r="E266" s="315">
        <f t="shared" si="53"/>
        <v>40000</v>
      </c>
      <c r="F266" s="315">
        <f t="shared" ref="F266" si="54">F235</f>
        <v>72981.38</v>
      </c>
      <c r="G266" s="254"/>
    </row>
    <row r="267" spans="2:7" x14ac:dyDescent="0.45">
      <c r="B267" s="95" t="s">
        <v>469</v>
      </c>
      <c r="C267" s="189">
        <f t="shared" ref="C267:E267" si="55">C232</f>
        <v>925938.24</v>
      </c>
      <c r="D267" s="190">
        <f t="shared" si="55"/>
        <v>925938.20863992791</v>
      </c>
      <c r="E267" s="315">
        <f t="shared" si="55"/>
        <v>701938.20863992791</v>
      </c>
      <c r="F267" s="315">
        <f t="shared" ref="F267" si="56">F232</f>
        <v>701938.2</v>
      </c>
      <c r="G267" s="254"/>
    </row>
    <row r="268" spans="2:7" x14ac:dyDescent="0.45">
      <c r="B268" s="96" t="s">
        <v>470</v>
      </c>
      <c r="C268" s="94">
        <f t="shared" ref="C268:E268" si="57">C262-C263-C264-C265+C266+C267</f>
        <v>402952.26999999938</v>
      </c>
      <c r="D268" s="97" t="e">
        <f t="shared" si="57"/>
        <v>#VALUE!</v>
      </c>
      <c r="E268" s="97">
        <f t="shared" si="57"/>
        <v>780338.97968000011</v>
      </c>
      <c r="F268" s="97">
        <f t="shared" ref="F268" si="58">F262-F263-F264-F265+F266+F267</f>
        <v>1267268.3199999998</v>
      </c>
      <c r="G268" s="191"/>
    </row>
    <row r="271" spans="2:7" x14ac:dyDescent="0.45">
      <c r="C271" s="98"/>
      <c r="E271" s="99"/>
      <c r="F271" s="99"/>
    </row>
    <row r="272" spans="2:7" x14ac:dyDescent="0.45">
      <c r="C272" s="98"/>
      <c r="D272" s="99"/>
      <c r="E272" s="99"/>
      <c r="F272" s="99"/>
    </row>
    <row r="273" spans="3:7" x14ac:dyDescent="0.45">
      <c r="C273" s="98"/>
      <c r="D273" s="99"/>
      <c r="E273" s="99"/>
      <c r="F273" s="99"/>
    </row>
    <row r="274" spans="3:7" x14ac:dyDescent="0.45">
      <c r="D274" s="99"/>
      <c r="E274" s="99"/>
      <c r="F274" s="99"/>
      <c r="G274" s="99"/>
    </row>
    <row r="275" spans="3:7" x14ac:dyDescent="0.45">
      <c r="D275" s="99"/>
      <c r="E275" s="99"/>
      <c r="F275" s="99"/>
      <c r="G275" s="99"/>
    </row>
    <row r="276" spans="3:7" x14ac:dyDescent="0.45">
      <c r="D276" s="99"/>
      <c r="E276" s="99"/>
      <c r="F276" s="99"/>
      <c r="G276" s="99"/>
    </row>
    <row r="278" spans="3:7" x14ac:dyDescent="0.45">
      <c r="D278" s="99"/>
      <c r="E278" s="99"/>
      <c r="F278" s="99"/>
      <c r="G278" s="99"/>
    </row>
    <row r="279" spans="3:7" x14ac:dyDescent="0.45">
      <c r="D279" s="99"/>
      <c r="E279" s="99"/>
      <c r="F279" s="99"/>
      <c r="G279" s="99"/>
    </row>
    <row r="280" spans="3:7" x14ac:dyDescent="0.45">
      <c r="D280" s="99"/>
      <c r="E280" s="99"/>
      <c r="F280" s="99"/>
      <c r="G280" s="99"/>
    </row>
    <row r="282" spans="3:7" x14ac:dyDescent="0.45">
      <c r="D282" s="99"/>
      <c r="E282" s="99"/>
      <c r="F282" s="99"/>
      <c r="G282" s="99"/>
    </row>
  </sheetData>
  <mergeCells count="4">
    <mergeCell ref="B1:G1"/>
    <mergeCell ref="B2:G2"/>
    <mergeCell ref="B3:G3"/>
    <mergeCell ref="E5:G5"/>
  </mergeCells>
  <pageMargins left="0.5" right="0.5" top="0.5" bottom="0.5" header="0" footer="0"/>
  <pageSetup scale="8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91"/>
  <sheetViews>
    <sheetView topLeftCell="A280" workbookViewId="0">
      <selection activeCell="D250" sqref="D250"/>
    </sheetView>
  </sheetViews>
  <sheetFormatPr defaultColWidth="8.73046875" defaultRowHeight="14.25" x14ac:dyDescent="0.45"/>
  <cols>
    <col min="1" max="1" width="49" style="212" customWidth="1"/>
    <col min="2" max="2" width="12.06640625" style="212" bestFit="1" customWidth="1"/>
    <col min="3" max="3" width="0.46484375" style="212" customWidth="1"/>
    <col min="4" max="4" width="10.796875" style="339" bestFit="1" customWidth="1"/>
    <col min="5" max="16384" width="8.73046875" style="212"/>
  </cols>
  <sheetData>
    <row r="1" spans="1:4" ht="17.649999999999999" x14ac:dyDescent="0.5">
      <c r="A1" s="376" t="s">
        <v>91</v>
      </c>
      <c r="B1" s="377"/>
    </row>
    <row r="2" spans="1:4" ht="17.649999999999999" x14ac:dyDescent="0.5">
      <c r="A2" s="376" t="s">
        <v>284</v>
      </c>
      <c r="B2" s="377"/>
    </row>
    <row r="3" spans="1:4" x14ac:dyDescent="0.45">
      <c r="A3" s="378"/>
      <c r="B3" s="377"/>
    </row>
    <row r="5" spans="1:4" x14ac:dyDescent="0.45">
      <c r="A5" s="26"/>
      <c r="B5" s="296" t="s">
        <v>477</v>
      </c>
      <c r="C5" s="297"/>
      <c r="D5" s="340" t="s">
        <v>512</v>
      </c>
    </row>
    <row r="6" spans="1:4" x14ac:dyDescent="0.45">
      <c r="A6" s="288" t="s">
        <v>3</v>
      </c>
      <c r="B6" s="211"/>
    </row>
    <row r="7" spans="1:4" x14ac:dyDescent="0.45">
      <c r="A7" s="288" t="s">
        <v>173</v>
      </c>
      <c r="B7" s="211"/>
    </row>
    <row r="8" spans="1:4" x14ac:dyDescent="0.45">
      <c r="A8" s="288" t="s">
        <v>174</v>
      </c>
      <c r="B8" s="302">
        <f>1829391.25</f>
        <v>1829391.25</v>
      </c>
      <c r="D8" s="302">
        <f>2834020.33</f>
        <v>2834020.33</v>
      </c>
    </row>
    <row r="9" spans="1:4" x14ac:dyDescent="0.45">
      <c r="A9" s="288" t="s">
        <v>176</v>
      </c>
      <c r="B9" s="302">
        <f>217547.88</f>
        <v>217547.88</v>
      </c>
      <c r="D9" s="302">
        <f>194035.25</f>
        <v>194035.25</v>
      </c>
    </row>
    <row r="10" spans="1:4" x14ac:dyDescent="0.45">
      <c r="A10" s="288" t="s">
        <v>175</v>
      </c>
      <c r="B10" s="302">
        <f>521828.34</f>
        <v>521828.34</v>
      </c>
      <c r="D10" s="302">
        <f>750000</f>
        <v>750000</v>
      </c>
    </row>
    <row r="11" spans="1:4" x14ac:dyDescent="0.45">
      <c r="A11" s="288" t="s">
        <v>285</v>
      </c>
      <c r="B11" s="303"/>
      <c r="D11" s="303"/>
    </row>
    <row r="12" spans="1:4" x14ac:dyDescent="0.45">
      <c r="A12" s="288" t="s">
        <v>286</v>
      </c>
      <c r="B12" s="302">
        <f>4950</f>
        <v>4950</v>
      </c>
      <c r="D12" s="303"/>
    </row>
    <row r="13" spans="1:4" x14ac:dyDescent="0.45">
      <c r="A13" s="288" t="s">
        <v>287</v>
      </c>
      <c r="B13" s="302">
        <f>624</f>
        <v>624</v>
      </c>
      <c r="D13" s="303"/>
    </row>
    <row r="14" spans="1:4" x14ac:dyDescent="0.45">
      <c r="A14" s="288" t="s">
        <v>288</v>
      </c>
      <c r="B14" s="303"/>
      <c r="D14" s="303"/>
    </row>
    <row r="15" spans="1:4" x14ac:dyDescent="0.45">
      <c r="A15" s="288" t="s">
        <v>289</v>
      </c>
      <c r="B15" s="303"/>
      <c r="D15" s="303"/>
    </row>
    <row r="16" spans="1:4" x14ac:dyDescent="0.45">
      <c r="A16" s="288" t="s">
        <v>290</v>
      </c>
      <c r="B16" s="302">
        <f>23257</f>
        <v>23257</v>
      </c>
      <c r="D16" s="303"/>
    </row>
    <row r="17" spans="1:4" x14ac:dyDescent="0.45">
      <c r="A17" s="288" t="s">
        <v>172</v>
      </c>
      <c r="B17" s="304">
        <f>(((((((((B7)+(B8))+(B9))+(B10))+(B11))+(B12))+(B13))+(B14))+(B15))+(B16)</f>
        <v>2597598.4699999997</v>
      </c>
      <c r="D17" s="304">
        <f>(((((((((D7)+(D8))+(D9))+(D10))+(D11))+(D12))+(D13))+(D14))+(D15))+(D16)</f>
        <v>3778055.58</v>
      </c>
    </row>
    <row r="18" spans="1:4" x14ac:dyDescent="0.45">
      <c r="A18" s="288" t="s">
        <v>52</v>
      </c>
      <c r="B18" s="303"/>
      <c r="D18" s="303"/>
    </row>
    <row r="19" spans="1:4" x14ac:dyDescent="0.45">
      <c r="A19" s="288" t="s">
        <v>291</v>
      </c>
      <c r="B19" s="302">
        <f>12884</f>
        <v>12884</v>
      </c>
      <c r="D19" s="302">
        <f>12911</f>
        <v>12911</v>
      </c>
    </row>
    <row r="20" spans="1:4" x14ac:dyDescent="0.45">
      <c r="A20" s="288" t="s">
        <v>292</v>
      </c>
      <c r="B20" s="302">
        <f>48485</f>
        <v>48485</v>
      </c>
      <c r="D20" s="302">
        <f>75854.79</f>
        <v>75854.789999999994</v>
      </c>
    </row>
    <row r="21" spans="1:4" x14ac:dyDescent="0.45">
      <c r="A21" s="288" t="s">
        <v>293</v>
      </c>
      <c r="B21" s="302">
        <f>7023</f>
        <v>7023</v>
      </c>
      <c r="D21" s="302">
        <f>12119.4</f>
        <v>12119.4</v>
      </c>
    </row>
    <row r="22" spans="1:4" x14ac:dyDescent="0.45">
      <c r="A22" s="288" t="s">
        <v>294</v>
      </c>
      <c r="B22" s="303"/>
      <c r="D22" s="302">
        <f>10000</f>
        <v>10000</v>
      </c>
    </row>
    <row r="23" spans="1:4" x14ac:dyDescent="0.45">
      <c r="A23" s="288" t="s">
        <v>295</v>
      </c>
      <c r="B23" s="302">
        <f>37524.29</f>
        <v>37524.29</v>
      </c>
      <c r="D23" s="302">
        <f>36533</f>
        <v>36533</v>
      </c>
    </row>
    <row r="24" spans="1:4" x14ac:dyDescent="0.45">
      <c r="A24" s="288" t="s">
        <v>296</v>
      </c>
      <c r="B24" s="303"/>
      <c r="D24" s="303"/>
    </row>
    <row r="25" spans="1:4" x14ac:dyDescent="0.45">
      <c r="A25" s="288" t="s">
        <v>109</v>
      </c>
      <c r="B25" s="302">
        <f>373830.5</f>
        <v>373830.5</v>
      </c>
      <c r="D25" s="303"/>
    </row>
    <row r="26" spans="1:4" s="293" customFormat="1" x14ac:dyDescent="0.45">
      <c r="A26" s="1" t="s">
        <v>520</v>
      </c>
      <c r="B26" s="303"/>
      <c r="D26" s="302">
        <f>14785</f>
        <v>14785</v>
      </c>
    </row>
    <row r="27" spans="1:4" x14ac:dyDescent="0.45">
      <c r="A27" s="288" t="s">
        <v>53</v>
      </c>
      <c r="B27" s="304">
        <f>((((((((B18)+(B19))+(B20))+(B21))+(B22))+(B23))+(B24))+(B25))+(B26)</f>
        <v>479746.79000000004</v>
      </c>
      <c r="D27" s="304">
        <f>((((((((D18)+(D19))+(D20))+(D21))+(D22))+(D23))+(D24))+(D25))+(D26)</f>
        <v>162203.19</v>
      </c>
    </row>
    <row r="28" spans="1:4" x14ac:dyDescent="0.45">
      <c r="A28" s="288" t="s">
        <v>54</v>
      </c>
      <c r="B28" s="303"/>
      <c r="D28" s="303"/>
    </row>
    <row r="29" spans="1:4" x14ac:dyDescent="0.45">
      <c r="A29" s="288" t="s">
        <v>297</v>
      </c>
      <c r="B29" s="303"/>
      <c r="D29" s="303"/>
    </row>
    <row r="30" spans="1:4" x14ac:dyDescent="0.45">
      <c r="A30" s="288" t="s">
        <v>153</v>
      </c>
      <c r="B30" s="302">
        <f>31135.73</f>
        <v>31135.73</v>
      </c>
      <c r="D30" s="302">
        <f>13643.01</f>
        <v>13643.01</v>
      </c>
    </row>
    <row r="31" spans="1:4" x14ac:dyDescent="0.45">
      <c r="A31" s="288" t="s">
        <v>94</v>
      </c>
      <c r="B31" s="302">
        <f>0</f>
        <v>0</v>
      </c>
      <c r="D31" s="303"/>
    </row>
    <row r="32" spans="1:4" x14ac:dyDescent="0.45">
      <c r="A32" s="288" t="s">
        <v>298</v>
      </c>
      <c r="B32" s="303"/>
      <c r="D32" s="303"/>
    </row>
    <row r="33" spans="1:4" x14ac:dyDescent="0.45">
      <c r="A33" s="288" t="s">
        <v>55</v>
      </c>
      <c r="B33" s="304">
        <f>((((B28)+(B29))+(B30))+(B31))+(B32)</f>
        <v>31135.73</v>
      </c>
      <c r="D33" s="304">
        <f>((((D28)+(D29))+(D30))+(D31))+(D32)</f>
        <v>13643.01</v>
      </c>
    </row>
    <row r="34" spans="1:4" x14ac:dyDescent="0.45">
      <c r="A34" s="288" t="s">
        <v>299</v>
      </c>
      <c r="B34" s="303"/>
      <c r="D34" s="303"/>
    </row>
    <row r="35" spans="1:4" x14ac:dyDescent="0.45">
      <c r="A35" s="288" t="s">
        <v>300</v>
      </c>
      <c r="B35" s="303"/>
      <c r="D35" s="303"/>
    </row>
    <row r="36" spans="1:4" x14ac:dyDescent="0.45">
      <c r="A36" s="288" t="s">
        <v>301</v>
      </c>
      <c r="B36" s="304">
        <f>(B34)+(B35)</f>
        <v>0</v>
      </c>
      <c r="D36" s="304">
        <f>(D34)+(D35)</f>
        <v>0</v>
      </c>
    </row>
    <row r="37" spans="1:4" x14ac:dyDescent="0.45">
      <c r="A37" s="288" t="s">
        <v>302</v>
      </c>
      <c r="B37" s="303"/>
      <c r="D37" s="303"/>
    </row>
    <row r="38" spans="1:4" x14ac:dyDescent="0.45">
      <c r="A38" s="288" t="s">
        <v>303</v>
      </c>
      <c r="B38" s="302">
        <f>0.98</f>
        <v>0.98</v>
      </c>
      <c r="D38" s="302">
        <f>361.09</f>
        <v>361.09</v>
      </c>
    </row>
    <row r="39" spans="1:4" x14ac:dyDescent="0.45">
      <c r="A39" s="288" t="s">
        <v>304</v>
      </c>
      <c r="B39" s="304">
        <f>(B37)+(B38)</f>
        <v>0.98</v>
      </c>
      <c r="D39" s="304">
        <f>(D37)+(D38)</f>
        <v>361.09</v>
      </c>
    </row>
    <row r="40" spans="1:4" x14ac:dyDescent="0.45">
      <c r="A40" s="288" t="s">
        <v>305</v>
      </c>
      <c r="B40" s="303"/>
      <c r="D40" s="303"/>
    </row>
    <row r="41" spans="1:4" x14ac:dyDescent="0.45">
      <c r="A41" s="288" t="s">
        <v>306</v>
      </c>
      <c r="B41" s="302">
        <f>2363</f>
        <v>2363</v>
      </c>
      <c r="D41" s="303"/>
    </row>
    <row r="42" spans="1:4" x14ac:dyDescent="0.45">
      <c r="A42" s="288" t="s">
        <v>307</v>
      </c>
      <c r="B42" s="303"/>
      <c r="D42" s="303"/>
    </row>
    <row r="43" spans="1:4" x14ac:dyDescent="0.45">
      <c r="A43" s="288" t="s">
        <v>308</v>
      </c>
      <c r="B43" s="302">
        <f>17500</f>
        <v>17500</v>
      </c>
      <c r="D43" s="303"/>
    </row>
    <row r="44" spans="1:4" x14ac:dyDescent="0.45">
      <c r="A44" s="288" t="s">
        <v>309</v>
      </c>
      <c r="B44" s="303"/>
      <c r="D44" s="303"/>
    </row>
    <row r="45" spans="1:4" x14ac:dyDescent="0.45">
      <c r="A45" s="288" t="s">
        <v>310</v>
      </c>
      <c r="B45" s="304">
        <f>((((B40)+(B41))+(B42))+(B43))+(B44)</f>
        <v>19863</v>
      </c>
      <c r="D45" s="304">
        <f>((((D40)+(D41))+(D42))+(D43))+(D44)</f>
        <v>0</v>
      </c>
    </row>
    <row r="46" spans="1:4" x14ac:dyDescent="0.45">
      <c r="A46" s="288" t="s">
        <v>311</v>
      </c>
      <c r="B46" s="303"/>
      <c r="D46" s="303"/>
    </row>
    <row r="47" spans="1:4" x14ac:dyDescent="0.45">
      <c r="A47" s="288" t="s">
        <v>312</v>
      </c>
      <c r="B47" s="303"/>
      <c r="D47" s="303"/>
    </row>
    <row r="48" spans="1:4" x14ac:dyDescent="0.45">
      <c r="A48" s="288" t="s">
        <v>313</v>
      </c>
      <c r="B48" s="303"/>
      <c r="D48" s="303"/>
    </row>
    <row r="49" spans="1:4" x14ac:dyDescent="0.45">
      <c r="A49" s="288" t="s">
        <v>314</v>
      </c>
      <c r="B49" s="303"/>
      <c r="D49" s="303"/>
    </row>
    <row r="50" spans="1:4" x14ac:dyDescent="0.45">
      <c r="A50" s="288" t="s">
        <v>4</v>
      </c>
      <c r="B50" s="304">
        <f>(((((((((B17)+(B27))+(B33))+(B36))+(B39))+(B45))+(B46))+(B47))+(B48))+(B49)</f>
        <v>3128344.9699999997</v>
      </c>
      <c r="D50" s="304">
        <f>(((((((((D17)+(D27))+(D33))+(D36))+(D39))+(D45))+(D46))+(D47))+(D48))+(D49)</f>
        <v>3954262.8699999996</v>
      </c>
    </row>
    <row r="51" spans="1:4" x14ac:dyDescent="0.45">
      <c r="A51" s="288" t="s">
        <v>315</v>
      </c>
      <c r="B51" s="303"/>
      <c r="D51" s="303"/>
    </row>
    <row r="52" spans="1:4" x14ac:dyDescent="0.45">
      <c r="A52" s="288" t="s">
        <v>316</v>
      </c>
      <c r="B52" s="303"/>
      <c r="D52" s="303"/>
    </row>
    <row r="53" spans="1:4" x14ac:dyDescent="0.45">
      <c r="A53" s="288" t="s">
        <v>317</v>
      </c>
      <c r="B53" s="303"/>
      <c r="D53" s="303"/>
    </row>
    <row r="54" spans="1:4" x14ac:dyDescent="0.45">
      <c r="A54" s="288" t="s">
        <v>318</v>
      </c>
      <c r="B54" s="303"/>
      <c r="D54" s="303"/>
    </row>
    <row r="55" spans="1:4" x14ac:dyDescent="0.45">
      <c r="A55" s="288" t="s">
        <v>319</v>
      </c>
      <c r="B55" s="304">
        <f>((B52)+(B53))+(B54)</f>
        <v>0</v>
      </c>
      <c r="D55" s="304">
        <f>((D52)+(D53))+(D54)</f>
        <v>0</v>
      </c>
    </row>
    <row r="56" spans="1:4" x14ac:dyDescent="0.45">
      <c r="A56" s="288" t="s">
        <v>1</v>
      </c>
      <c r="B56" s="304">
        <f>(B50)-(B55)</f>
        <v>3128344.9699999997</v>
      </c>
      <c r="D56" s="304">
        <f>(D50)-(D55)</f>
        <v>3954262.8699999996</v>
      </c>
    </row>
    <row r="57" spans="1:4" x14ac:dyDescent="0.45">
      <c r="A57" s="288" t="s">
        <v>5</v>
      </c>
      <c r="B57" s="303"/>
      <c r="D57" s="303"/>
    </row>
    <row r="58" spans="1:4" x14ac:dyDescent="0.45">
      <c r="A58" s="288" t="s">
        <v>110</v>
      </c>
      <c r="B58" s="303"/>
      <c r="D58" s="303"/>
    </row>
    <row r="59" spans="1:4" x14ac:dyDescent="0.45">
      <c r="A59" s="288" t="s">
        <v>111</v>
      </c>
      <c r="B59" s="303"/>
      <c r="D59" s="303"/>
    </row>
    <row r="60" spans="1:4" x14ac:dyDescent="0.45">
      <c r="A60" s="288" t="s">
        <v>112</v>
      </c>
      <c r="B60" s="302">
        <f>133900.08</f>
        <v>133900.07999999999</v>
      </c>
      <c r="D60" s="302">
        <f>133900.08</f>
        <v>133900.07999999999</v>
      </c>
    </row>
    <row r="61" spans="1:4" x14ac:dyDescent="0.45">
      <c r="A61" s="288" t="s">
        <v>320</v>
      </c>
      <c r="B61" s="303"/>
      <c r="D61" s="303"/>
    </row>
    <row r="62" spans="1:4" x14ac:dyDescent="0.45">
      <c r="A62" s="288" t="s">
        <v>321</v>
      </c>
      <c r="B62" s="303"/>
      <c r="D62" s="303"/>
    </row>
    <row r="63" spans="1:4" x14ac:dyDescent="0.45">
      <c r="A63" s="288" t="s">
        <v>177</v>
      </c>
      <c r="B63" s="302">
        <f>83640.94</f>
        <v>83640.94</v>
      </c>
      <c r="D63" s="302">
        <f>74613.41</f>
        <v>74613.41</v>
      </c>
    </row>
    <row r="64" spans="1:4" x14ac:dyDescent="0.45">
      <c r="A64" s="288" t="s">
        <v>113</v>
      </c>
      <c r="B64" s="302">
        <f>79442.37</f>
        <v>79442.37</v>
      </c>
      <c r="D64" s="302">
        <f>76564.44</f>
        <v>76564.44</v>
      </c>
    </row>
    <row r="65" spans="1:4" x14ac:dyDescent="0.45">
      <c r="A65" s="288" t="s">
        <v>322</v>
      </c>
      <c r="B65" s="303"/>
      <c r="D65" s="303"/>
    </row>
    <row r="66" spans="1:4" x14ac:dyDescent="0.45">
      <c r="A66" s="288" t="s">
        <v>323</v>
      </c>
      <c r="B66" s="303"/>
      <c r="D66" s="303"/>
    </row>
    <row r="67" spans="1:4" x14ac:dyDescent="0.45">
      <c r="A67" s="288" t="s">
        <v>114</v>
      </c>
      <c r="B67" s="302">
        <f>52650</f>
        <v>52650</v>
      </c>
      <c r="D67" s="302">
        <f>55487.19</f>
        <v>55487.19</v>
      </c>
    </row>
    <row r="68" spans="1:4" x14ac:dyDescent="0.45">
      <c r="A68" s="288" t="s">
        <v>324</v>
      </c>
      <c r="B68" s="303"/>
      <c r="D68" s="303"/>
    </row>
    <row r="69" spans="1:4" x14ac:dyDescent="0.45">
      <c r="A69" s="288" t="s">
        <v>325</v>
      </c>
      <c r="B69" s="303"/>
      <c r="D69" s="303"/>
    </row>
    <row r="70" spans="1:4" x14ac:dyDescent="0.45">
      <c r="A70" s="288" t="s">
        <v>326</v>
      </c>
      <c r="B70" s="303"/>
      <c r="D70" s="303"/>
    </row>
    <row r="71" spans="1:4" x14ac:dyDescent="0.45">
      <c r="A71" s="288" t="s">
        <v>327</v>
      </c>
      <c r="B71" s="302">
        <f>3210</f>
        <v>3210</v>
      </c>
      <c r="D71" s="303"/>
    </row>
    <row r="72" spans="1:4" x14ac:dyDescent="0.45">
      <c r="A72" s="288" t="s">
        <v>115</v>
      </c>
      <c r="B72" s="304">
        <f>((((((((((((B59)+(B60))+(B61))+(B62))+(B63))+(B64))+(B65))+(B66))+(B67))+(B68))+(B69))+(B70))+(B71)</f>
        <v>352843.39</v>
      </c>
      <c r="D72" s="304">
        <f>((((((((((((D59)+(D60))+(D61))+(D62))+(D63))+(D64))+(D65))+(D66))+(D67))+(D68))+(D69))+(D70))+(D71)</f>
        <v>340565.12</v>
      </c>
    </row>
    <row r="73" spans="1:4" x14ac:dyDescent="0.45">
      <c r="A73" s="288" t="s">
        <v>142</v>
      </c>
      <c r="B73" s="303"/>
      <c r="D73" s="303"/>
    </row>
    <row r="74" spans="1:4" x14ac:dyDescent="0.45">
      <c r="A74" s="288" t="s">
        <v>328</v>
      </c>
      <c r="B74" s="303"/>
      <c r="D74" s="303"/>
    </row>
    <row r="75" spans="1:4" x14ac:dyDescent="0.45">
      <c r="A75" s="288" t="s">
        <v>329</v>
      </c>
      <c r="B75" s="303"/>
      <c r="D75" s="303"/>
    </row>
    <row r="76" spans="1:4" x14ac:dyDescent="0.45">
      <c r="A76" s="288" t="s">
        <v>330</v>
      </c>
      <c r="B76" s="303"/>
      <c r="D76" s="303"/>
    </row>
    <row r="77" spans="1:4" x14ac:dyDescent="0.45">
      <c r="A77" s="288" t="s">
        <v>331</v>
      </c>
      <c r="B77" s="303"/>
      <c r="D77" s="303"/>
    </row>
    <row r="78" spans="1:4" x14ac:dyDescent="0.45">
      <c r="A78" s="288" t="s">
        <v>178</v>
      </c>
      <c r="B78" s="302">
        <f>272354.5</f>
        <v>272354.5</v>
      </c>
      <c r="D78" s="302">
        <f>274765.65</f>
        <v>274765.65000000002</v>
      </c>
    </row>
    <row r="79" spans="1:4" x14ac:dyDescent="0.45">
      <c r="A79" s="288" t="s">
        <v>332</v>
      </c>
      <c r="B79" s="303"/>
      <c r="D79" s="303"/>
    </row>
    <row r="80" spans="1:4" x14ac:dyDescent="0.45">
      <c r="A80" s="288" t="s">
        <v>179</v>
      </c>
      <c r="B80" s="302">
        <f>242490.79</f>
        <v>242490.79</v>
      </c>
      <c r="D80" s="302">
        <f>333908.88</f>
        <v>333908.88</v>
      </c>
    </row>
    <row r="81" spans="1:4" x14ac:dyDescent="0.45">
      <c r="A81" s="288" t="s">
        <v>333</v>
      </c>
      <c r="B81" s="303"/>
      <c r="D81" s="303"/>
    </row>
    <row r="82" spans="1:4" x14ac:dyDescent="0.45">
      <c r="A82" s="288" t="s">
        <v>334</v>
      </c>
      <c r="B82" s="303"/>
      <c r="D82" s="303"/>
    </row>
    <row r="83" spans="1:4" x14ac:dyDescent="0.45">
      <c r="A83" s="288" t="s">
        <v>180</v>
      </c>
      <c r="B83" s="303"/>
      <c r="D83" s="302">
        <f>39375</f>
        <v>39375</v>
      </c>
    </row>
    <row r="84" spans="1:4" x14ac:dyDescent="0.45">
      <c r="A84" s="288" t="s">
        <v>335</v>
      </c>
      <c r="B84" s="303"/>
      <c r="D84" s="303"/>
    </row>
    <row r="85" spans="1:4" x14ac:dyDescent="0.45">
      <c r="A85" s="288" t="s">
        <v>182</v>
      </c>
      <c r="B85" s="302">
        <f>55534.18</f>
        <v>55534.18</v>
      </c>
      <c r="D85" s="302">
        <f>67912.7</f>
        <v>67912.7</v>
      </c>
    </row>
    <row r="86" spans="1:4" x14ac:dyDescent="0.45">
      <c r="A86" s="288" t="s">
        <v>183</v>
      </c>
      <c r="B86" s="302">
        <f>18132.19</f>
        <v>18132.189999999999</v>
      </c>
      <c r="D86" s="302">
        <f>29917.56</f>
        <v>29917.56</v>
      </c>
    </row>
    <row r="87" spans="1:4" x14ac:dyDescent="0.45">
      <c r="A87" s="288" t="s">
        <v>184</v>
      </c>
      <c r="B87" s="302">
        <f>42654.3</f>
        <v>42654.3</v>
      </c>
      <c r="D87" s="302">
        <f>60000.05</f>
        <v>60000.05</v>
      </c>
    </row>
    <row r="88" spans="1:4" x14ac:dyDescent="0.45">
      <c r="A88" s="288" t="s">
        <v>143</v>
      </c>
      <c r="B88" s="304">
        <f>((((((((((((((B73)+(B74))+(B75))+(B76))+(B77))+(B78))+(B79))+(B80))+(B81))+(B82))+(B83))+(B84))+(B85))+(B86))+(B87)</f>
        <v>631165.96000000008</v>
      </c>
      <c r="D88" s="304">
        <f>((((((((((((((D73)+(D74))+(D75))+(D76))+(D77))+(D78))+(D79))+(D80))+(D81))+(D82))+(D83))+(D84))+(D85))+(D86))+(D87)</f>
        <v>805879.84000000008</v>
      </c>
    </row>
    <row r="89" spans="1:4" x14ac:dyDescent="0.45">
      <c r="A89" s="288" t="s">
        <v>336</v>
      </c>
      <c r="B89" s="303"/>
      <c r="D89" s="303"/>
    </row>
    <row r="90" spans="1:4" x14ac:dyDescent="0.45">
      <c r="A90" s="288" t="s">
        <v>337</v>
      </c>
      <c r="B90" s="303"/>
      <c r="D90" s="303"/>
    </row>
    <row r="91" spans="1:4" x14ac:dyDescent="0.45">
      <c r="A91" s="288" t="s">
        <v>338</v>
      </c>
      <c r="B91" s="304">
        <f>(B89)+(B90)</f>
        <v>0</v>
      </c>
      <c r="D91" s="304">
        <f>(D89)+(D90)</f>
        <v>0</v>
      </c>
    </row>
    <row r="92" spans="1:4" x14ac:dyDescent="0.45">
      <c r="A92" s="288" t="s">
        <v>116</v>
      </c>
      <c r="B92" s="303"/>
      <c r="D92" s="303"/>
    </row>
    <row r="93" spans="1:4" x14ac:dyDescent="0.45">
      <c r="A93" s="288" t="s">
        <v>339</v>
      </c>
      <c r="B93" s="303"/>
      <c r="D93" s="303"/>
    </row>
    <row r="94" spans="1:4" x14ac:dyDescent="0.45">
      <c r="A94" s="288" t="s">
        <v>117</v>
      </c>
      <c r="B94" s="302">
        <f>12104.59</f>
        <v>12104.59</v>
      </c>
      <c r="D94" s="302">
        <f>12668.96</f>
        <v>12668.96</v>
      </c>
    </row>
    <row r="95" spans="1:4" x14ac:dyDescent="0.45">
      <c r="A95" s="288" t="s">
        <v>118</v>
      </c>
      <c r="B95" s="302">
        <f>60298.2</f>
        <v>60298.2</v>
      </c>
      <c r="D95" s="302">
        <f>79017.75</f>
        <v>79017.75</v>
      </c>
    </row>
    <row r="96" spans="1:4" x14ac:dyDescent="0.45">
      <c r="A96" s="288" t="s">
        <v>119</v>
      </c>
      <c r="B96" s="302">
        <f>14102.01</f>
        <v>14102.01</v>
      </c>
      <c r="D96" s="302">
        <f>7914.86</f>
        <v>7914.86</v>
      </c>
    </row>
    <row r="97" spans="1:4" x14ac:dyDescent="0.45">
      <c r="A97" s="288" t="s">
        <v>120</v>
      </c>
      <c r="B97" s="303"/>
      <c r="D97" s="303"/>
    </row>
    <row r="98" spans="1:4" x14ac:dyDescent="0.45">
      <c r="A98" s="288" t="s">
        <v>121</v>
      </c>
      <c r="B98" s="303"/>
      <c r="D98" s="303"/>
    </row>
    <row r="99" spans="1:4" x14ac:dyDescent="0.45">
      <c r="A99" s="288" t="s">
        <v>122</v>
      </c>
      <c r="B99" s="303"/>
      <c r="D99" s="303"/>
    </row>
    <row r="100" spans="1:4" x14ac:dyDescent="0.45">
      <c r="A100" s="288" t="s">
        <v>123</v>
      </c>
      <c r="B100" s="303"/>
      <c r="D100" s="303"/>
    </row>
    <row r="101" spans="1:4" x14ac:dyDescent="0.45">
      <c r="A101" s="288" t="s">
        <v>124</v>
      </c>
      <c r="B101" s="303"/>
      <c r="D101" s="303"/>
    </row>
    <row r="102" spans="1:4" x14ac:dyDescent="0.45">
      <c r="A102" s="288" t="s">
        <v>125</v>
      </c>
      <c r="B102" s="302">
        <f>1194.13</f>
        <v>1194.1300000000001</v>
      </c>
      <c r="D102" s="302">
        <f>288.68</f>
        <v>288.68</v>
      </c>
    </row>
    <row r="103" spans="1:4" x14ac:dyDescent="0.45">
      <c r="A103" s="288" t="s">
        <v>340</v>
      </c>
      <c r="B103" s="303"/>
      <c r="D103" s="303"/>
    </row>
    <row r="104" spans="1:4" x14ac:dyDescent="0.45">
      <c r="A104" s="288" t="s">
        <v>126</v>
      </c>
      <c r="B104" s="302">
        <f>-364.68</f>
        <v>-364.68</v>
      </c>
      <c r="D104" s="302">
        <f>388.95</f>
        <v>388.95</v>
      </c>
    </row>
    <row r="105" spans="1:4" x14ac:dyDescent="0.45">
      <c r="A105" s="288" t="s">
        <v>127</v>
      </c>
      <c r="B105" s="304">
        <f>((((((((((((B92)+(B93))+(B94))+(B95))+(B96))+(B97))+(B98))+(B99))+(B100))+(B101))+(B102))+(B103))+(B104)</f>
        <v>87334.25</v>
      </c>
      <c r="D105" s="304">
        <f>((((((((((((D92)+(D93))+(D94))+(D95))+(D96))+(D97))+(D98))+(D99))+(D100))+(D101))+(D102))+(D103))+(D104)</f>
        <v>100279.19999999998</v>
      </c>
    </row>
    <row r="106" spans="1:4" x14ac:dyDescent="0.45">
      <c r="A106" s="288" t="s">
        <v>128</v>
      </c>
      <c r="B106" s="303"/>
      <c r="D106" s="303"/>
    </row>
    <row r="107" spans="1:4" x14ac:dyDescent="0.45">
      <c r="A107" s="288" t="s">
        <v>129</v>
      </c>
      <c r="B107" s="302">
        <f>77466.09</f>
        <v>77466.09</v>
      </c>
      <c r="D107" s="302">
        <f>113451.81</f>
        <v>113451.81</v>
      </c>
    </row>
    <row r="108" spans="1:4" x14ac:dyDescent="0.45">
      <c r="A108" s="288" t="s">
        <v>130</v>
      </c>
      <c r="B108" s="302">
        <f>3607.55</f>
        <v>3607.55</v>
      </c>
      <c r="D108" s="302">
        <f>2728.21</f>
        <v>2728.21</v>
      </c>
    </row>
    <row r="109" spans="1:4" x14ac:dyDescent="0.45">
      <c r="A109" s="288" t="s">
        <v>147</v>
      </c>
      <c r="B109" s="302">
        <f>1058.74</f>
        <v>1058.74</v>
      </c>
      <c r="D109" s="302">
        <f>736.33</f>
        <v>736.33</v>
      </c>
    </row>
    <row r="110" spans="1:4" x14ac:dyDescent="0.45">
      <c r="A110" s="288" t="s">
        <v>131</v>
      </c>
      <c r="B110" s="302">
        <f>11738.99</f>
        <v>11738.99</v>
      </c>
      <c r="D110" s="302">
        <f>11341.01</f>
        <v>11341.01</v>
      </c>
    </row>
    <row r="111" spans="1:4" x14ac:dyDescent="0.45">
      <c r="A111" s="288" t="s">
        <v>484</v>
      </c>
      <c r="B111" s="302">
        <f>5529.36</f>
        <v>5529.36</v>
      </c>
      <c r="D111" s="302">
        <f>10487.39</f>
        <v>10487.39</v>
      </c>
    </row>
    <row r="112" spans="1:4" x14ac:dyDescent="0.45">
      <c r="A112" s="288" t="s">
        <v>341</v>
      </c>
      <c r="B112" s="303"/>
      <c r="D112" s="303"/>
    </row>
    <row r="113" spans="1:4" x14ac:dyDescent="0.45">
      <c r="A113" s="288" t="s">
        <v>480</v>
      </c>
      <c r="B113" s="303"/>
      <c r="D113" s="303"/>
    </row>
    <row r="114" spans="1:4" x14ac:dyDescent="0.45">
      <c r="A114" s="288" t="s">
        <v>342</v>
      </c>
      <c r="B114" s="302">
        <f>0</f>
        <v>0</v>
      </c>
      <c r="D114" s="302">
        <f>684</f>
        <v>684</v>
      </c>
    </row>
    <row r="115" spans="1:4" x14ac:dyDescent="0.45">
      <c r="A115" s="288" t="s">
        <v>343</v>
      </c>
      <c r="B115" s="302">
        <f>625.86</f>
        <v>625.86</v>
      </c>
      <c r="D115" s="302">
        <f>121.27</f>
        <v>121.27</v>
      </c>
    </row>
    <row r="116" spans="1:4" x14ac:dyDescent="0.45">
      <c r="A116" s="288" t="s">
        <v>344</v>
      </c>
      <c r="B116" s="302">
        <f>204.41</f>
        <v>204.41</v>
      </c>
      <c r="D116" s="303"/>
    </row>
    <row r="117" spans="1:4" x14ac:dyDescent="0.45">
      <c r="A117" s="288" t="s">
        <v>345</v>
      </c>
      <c r="B117" s="302">
        <f>386.01</f>
        <v>386.01</v>
      </c>
      <c r="D117" s="303"/>
    </row>
    <row r="118" spans="1:4" x14ac:dyDescent="0.45">
      <c r="A118" s="288" t="s">
        <v>346</v>
      </c>
      <c r="B118" s="302">
        <f>1864.36</f>
        <v>1864.36</v>
      </c>
      <c r="D118" s="303"/>
    </row>
    <row r="119" spans="1:4" s="225" customFormat="1" x14ac:dyDescent="0.45">
      <c r="A119" s="1" t="s">
        <v>509</v>
      </c>
      <c r="B119" s="302">
        <f>3750</f>
        <v>3750</v>
      </c>
      <c r="D119" s="303"/>
    </row>
    <row r="120" spans="1:4" x14ac:dyDescent="0.45">
      <c r="A120" s="288" t="s">
        <v>132</v>
      </c>
      <c r="B120" s="304">
        <f>(((((((((((((B106)+(B107))+(B108))+(B109))+(B110))+(B111))+(B112))+(B113))+(B114))+(B115))+(B116))+(B117))+(B118))+(B119)</f>
        <v>106231.37000000001</v>
      </c>
      <c r="D120" s="304">
        <f>(((((((((((((D106)+(D107))+(D108))+(D109))+(D110))+(D111))+(D112))+(D113))+(D114))+(D115))+(D116))+(D117))+(D118))+(D119)</f>
        <v>139550.01999999999</v>
      </c>
    </row>
    <row r="121" spans="1:4" x14ac:dyDescent="0.45">
      <c r="A121" s="288" t="s">
        <v>347</v>
      </c>
      <c r="B121" s="303"/>
      <c r="D121" s="303"/>
    </row>
    <row r="122" spans="1:4" x14ac:dyDescent="0.45">
      <c r="A122" s="288" t="s">
        <v>348</v>
      </c>
      <c r="B122" s="303"/>
      <c r="D122" s="303"/>
    </row>
    <row r="123" spans="1:4" x14ac:dyDescent="0.45">
      <c r="A123" s="288" t="s">
        <v>349</v>
      </c>
      <c r="B123" s="303"/>
      <c r="D123" s="303"/>
    </row>
    <row r="124" spans="1:4" x14ac:dyDescent="0.45">
      <c r="A124" s="288" t="s">
        <v>350</v>
      </c>
      <c r="B124" s="303"/>
      <c r="D124" s="303"/>
    </row>
    <row r="125" spans="1:4" x14ac:dyDescent="0.45">
      <c r="A125" s="288" t="s">
        <v>351</v>
      </c>
      <c r="B125" s="304">
        <f>(((B121)+(B122))+(B123))+(B124)</f>
        <v>0</v>
      </c>
      <c r="D125" s="304">
        <f>(((D121)+(D122))+(D123))+(D124)</f>
        <v>0</v>
      </c>
    </row>
    <row r="126" spans="1:4" x14ac:dyDescent="0.45">
      <c r="A126" s="288" t="s">
        <v>133</v>
      </c>
      <c r="B126" s="304">
        <f>((((((B58)+(B72))+(B88))+(B91))+(B105))+(B120))+(B125)</f>
        <v>1177574.9700000002</v>
      </c>
      <c r="D126" s="304">
        <f>((((((D58)+(D72))+(D88))+(D91))+(D105))+(D120))+(D125)</f>
        <v>1386274.18</v>
      </c>
    </row>
    <row r="127" spans="1:4" x14ac:dyDescent="0.45">
      <c r="A127" s="288" t="s">
        <v>56</v>
      </c>
      <c r="B127" s="303"/>
      <c r="D127" s="303"/>
    </row>
    <row r="128" spans="1:4" x14ac:dyDescent="0.45">
      <c r="A128" s="288" t="s">
        <v>57</v>
      </c>
      <c r="B128" s="302">
        <f>23000</f>
        <v>23000</v>
      </c>
      <c r="D128" s="302">
        <f>5250</f>
        <v>5250</v>
      </c>
    </row>
    <row r="129" spans="1:4" x14ac:dyDescent="0.45">
      <c r="A129" s="288" t="s">
        <v>58</v>
      </c>
      <c r="B129" s="302">
        <f>18060</f>
        <v>18060</v>
      </c>
      <c r="D129" s="302">
        <f>17535</f>
        <v>17535</v>
      </c>
    </row>
    <row r="130" spans="1:4" x14ac:dyDescent="0.45">
      <c r="A130" s="288" t="s">
        <v>59</v>
      </c>
      <c r="B130" s="302">
        <f>68107.65</f>
        <v>68107.649999999994</v>
      </c>
      <c r="D130" s="302">
        <f>75699.5</f>
        <v>75699.5</v>
      </c>
    </row>
    <row r="131" spans="1:4" x14ac:dyDescent="0.45">
      <c r="A131" s="288" t="s">
        <v>60</v>
      </c>
      <c r="B131" s="302">
        <f>630</f>
        <v>630</v>
      </c>
      <c r="D131" s="303"/>
    </row>
    <row r="132" spans="1:4" x14ac:dyDescent="0.45">
      <c r="A132" s="288" t="s">
        <v>352</v>
      </c>
      <c r="B132" s="303"/>
      <c r="D132" s="303"/>
    </row>
    <row r="133" spans="1:4" x14ac:dyDescent="0.45">
      <c r="A133" s="288" t="s">
        <v>353</v>
      </c>
      <c r="B133" s="303"/>
      <c r="D133" s="303"/>
    </row>
    <row r="134" spans="1:4" x14ac:dyDescent="0.45">
      <c r="A134" s="288" t="s">
        <v>154</v>
      </c>
      <c r="B134" s="302">
        <f>2500</f>
        <v>2500</v>
      </c>
      <c r="D134" s="302">
        <f>6775</f>
        <v>6775</v>
      </c>
    </row>
    <row r="135" spans="1:4" x14ac:dyDescent="0.45">
      <c r="A135" s="288" t="s">
        <v>61</v>
      </c>
      <c r="B135" s="302">
        <f>3000</f>
        <v>3000</v>
      </c>
      <c r="D135" s="302">
        <f>6000</f>
        <v>6000</v>
      </c>
    </row>
    <row r="136" spans="1:4" x14ac:dyDescent="0.45">
      <c r="A136" s="288" t="s">
        <v>95</v>
      </c>
      <c r="B136" s="303"/>
      <c r="D136" s="303"/>
    </row>
    <row r="137" spans="1:4" x14ac:dyDescent="0.45">
      <c r="A137" s="288" t="s">
        <v>354</v>
      </c>
      <c r="B137" s="303"/>
      <c r="D137" s="303"/>
    </row>
    <row r="138" spans="1:4" x14ac:dyDescent="0.45">
      <c r="A138" s="288" t="s">
        <v>355</v>
      </c>
      <c r="B138" s="303"/>
      <c r="D138" s="302">
        <f>4000</f>
        <v>4000</v>
      </c>
    </row>
    <row r="139" spans="1:4" x14ac:dyDescent="0.45">
      <c r="A139" s="288" t="s">
        <v>356</v>
      </c>
      <c r="B139" s="303"/>
      <c r="D139" s="303"/>
    </row>
    <row r="140" spans="1:4" x14ac:dyDescent="0.45">
      <c r="A140" s="288" t="s">
        <v>185</v>
      </c>
      <c r="B140" s="303"/>
      <c r="D140" s="303"/>
    </row>
    <row r="141" spans="1:4" x14ac:dyDescent="0.45">
      <c r="A141" s="288" t="s">
        <v>62</v>
      </c>
      <c r="B141" s="302">
        <f>5380</f>
        <v>5380</v>
      </c>
      <c r="D141" s="302">
        <f>651.04</f>
        <v>651.04</v>
      </c>
    </row>
    <row r="142" spans="1:4" x14ac:dyDescent="0.45">
      <c r="A142" s="288" t="s">
        <v>63</v>
      </c>
      <c r="B142" s="304">
        <f>((((((((((((((B127)+(B128))+(B129))+(B130))+(B131))+(B132))+(B133))+(B134))+(B135))+(B136))+(B137))+(B138))+(B139))+(B140))+(B141)</f>
        <v>120677.65</v>
      </c>
      <c r="D142" s="304">
        <f>((((((((((((((D127)+(D128))+(D129))+(D130))+(D131))+(D132))+(D133))+(D134))+(D135))+(D136))+(D137))+(D138))+(D139))+(D140))+(D141)</f>
        <v>115910.54</v>
      </c>
    </row>
    <row r="143" spans="1:4" x14ac:dyDescent="0.45">
      <c r="A143" s="288" t="s">
        <v>64</v>
      </c>
      <c r="B143" s="303"/>
      <c r="D143" s="303"/>
    </row>
    <row r="144" spans="1:4" x14ac:dyDescent="0.45">
      <c r="A144" s="288" t="s">
        <v>96</v>
      </c>
      <c r="B144" s="302">
        <f>414.99</f>
        <v>414.99</v>
      </c>
      <c r="D144" s="303"/>
    </row>
    <row r="145" spans="1:4" x14ac:dyDescent="0.45">
      <c r="A145" s="288" t="s">
        <v>186</v>
      </c>
      <c r="B145" s="302">
        <f>11187.5</f>
        <v>11187.5</v>
      </c>
      <c r="D145" s="302">
        <v>0</v>
      </c>
    </row>
    <row r="146" spans="1:4" x14ac:dyDescent="0.45">
      <c r="A146" s="288" t="s">
        <v>65</v>
      </c>
      <c r="B146" s="304">
        <f>((B143)+(B144))+(B145)</f>
        <v>11602.49</v>
      </c>
      <c r="D146" s="304">
        <f>((D143)+(D144))+(D145)</f>
        <v>0</v>
      </c>
    </row>
    <row r="147" spans="1:4" x14ac:dyDescent="0.45">
      <c r="A147" s="288" t="s">
        <v>144</v>
      </c>
      <c r="B147" s="303"/>
      <c r="D147" s="303"/>
    </row>
    <row r="148" spans="1:4" x14ac:dyDescent="0.45">
      <c r="A148" s="288" t="s">
        <v>145</v>
      </c>
      <c r="B148" s="302">
        <f>41823.18</f>
        <v>41823.18</v>
      </c>
      <c r="D148" s="302">
        <f>17783.04</f>
        <v>17783.04</v>
      </c>
    </row>
    <row r="149" spans="1:4" x14ac:dyDescent="0.45">
      <c r="A149" s="288" t="s">
        <v>187</v>
      </c>
      <c r="B149" s="302">
        <f>33.48</f>
        <v>33.479999999999997</v>
      </c>
      <c r="D149" s="302">
        <f>44.5</f>
        <v>44.5</v>
      </c>
    </row>
    <row r="150" spans="1:4" x14ac:dyDescent="0.45">
      <c r="A150" s="288" t="s">
        <v>188</v>
      </c>
      <c r="B150" s="302">
        <f>513.38</f>
        <v>513.38</v>
      </c>
      <c r="D150" s="302">
        <f>105.23</f>
        <v>105.23</v>
      </c>
    </row>
    <row r="151" spans="1:4" x14ac:dyDescent="0.45">
      <c r="A151" s="288" t="s">
        <v>357</v>
      </c>
      <c r="B151" s="303"/>
      <c r="D151" s="303"/>
    </row>
    <row r="152" spans="1:4" x14ac:dyDescent="0.45">
      <c r="A152" s="288" t="s">
        <v>358</v>
      </c>
      <c r="B152" s="303"/>
      <c r="D152" s="303"/>
    </row>
    <row r="153" spans="1:4" x14ac:dyDescent="0.45">
      <c r="A153" s="288" t="s">
        <v>189</v>
      </c>
      <c r="B153" s="302">
        <f>385.06</f>
        <v>385.06</v>
      </c>
      <c r="D153" s="302">
        <f>49.99</f>
        <v>49.99</v>
      </c>
    </row>
    <row r="154" spans="1:4" x14ac:dyDescent="0.45">
      <c r="A154" s="288" t="s">
        <v>359</v>
      </c>
      <c r="B154" s="302">
        <f>4950</f>
        <v>4950</v>
      </c>
      <c r="D154" s="303"/>
    </row>
    <row r="155" spans="1:4" x14ac:dyDescent="0.45">
      <c r="A155" s="288" t="s">
        <v>360</v>
      </c>
      <c r="B155" s="302">
        <f>624</f>
        <v>624</v>
      </c>
      <c r="D155" s="303"/>
    </row>
    <row r="156" spans="1:4" x14ac:dyDescent="0.45">
      <c r="A156" s="288" t="s">
        <v>361</v>
      </c>
      <c r="B156" s="303"/>
      <c r="D156" s="303"/>
    </row>
    <row r="157" spans="1:4" x14ac:dyDescent="0.45">
      <c r="A157" s="288" t="s">
        <v>146</v>
      </c>
      <c r="B157" s="304">
        <f>(((((((((B147)+(B148))+(B149))+(B150))+(B151))+(B152))+(B153))+(B154))+(B155))+(B156)</f>
        <v>48329.1</v>
      </c>
      <c r="D157" s="304">
        <f>(((((((((D147)+(D148))+(D149))+(D150))+(D151))+(D152))+(D153))+(D154))+(D155))+(D156)</f>
        <v>17982.760000000002</v>
      </c>
    </row>
    <row r="158" spans="1:4" x14ac:dyDescent="0.45">
      <c r="A158" s="288" t="s">
        <v>362</v>
      </c>
      <c r="B158" s="303"/>
      <c r="D158" s="303"/>
    </row>
    <row r="159" spans="1:4" x14ac:dyDescent="0.45">
      <c r="A159" s="288" t="s">
        <v>363</v>
      </c>
      <c r="B159" s="303"/>
      <c r="D159" s="302">
        <f>100</f>
        <v>100</v>
      </c>
    </row>
    <row r="160" spans="1:4" x14ac:dyDescent="0.45">
      <c r="A160" s="288" t="s">
        <v>364</v>
      </c>
      <c r="B160" s="304">
        <f>(B158)+(B159)</f>
        <v>0</v>
      </c>
      <c r="D160" s="304">
        <f>(D158)+(D159)</f>
        <v>100</v>
      </c>
    </row>
    <row r="161" spans="1:4" x14ac:dyDescent="0.45">
      <c r="A161" s="288" t="s">
        <v>191</v>
      </c>
      <c r="B161" s="303"/>
      <c r="D161" s="303"/>
    </row>
    <row r="162" spans="1:4" x14ac:dyDescent="0.45">
      <c r="A162" s="288" t="s">
        <v>192</v>
      </c>
      <c r="B162" s="302">
        <f>8706.38</f>
        <v>8706.3799999999992</v>
      </c>
      <c r="D162" s="303"/>
    </row>
    <row r="163" spans="1:4" x14ac:dyDescent="0.45">
      <c r="A163" s="288" t="s">
        <v>365</v>
      </c>
      <c r="B163" s="303"/>
      <c r="D163" s="302">
        <f>2809.94</f>
        <v>2809.94</v>
      </c>
    </row>
    <row r="164" spans="1:4" x14ac:dyDescent="0.45">
      <c r="A164" s="288" t="s">
        <v>193</v>
      </c>
      <c r="B164" s="302">
        <f>15528.21</f>
        <v>15528.21</v>
      </c>
      <c r="D164" s="302">
        <f>6079.46</f>
        <v>6079.46</v>
      </c>
    </row>
    <row r="165" spans="1:4" x14ac:dyDescent="0.45">
      <c r="A165" s="288" t="s">
        <v>366</v>
      </c>
      <c r="B165" s="303"/>
      <c r="D165" s="303"/>
    </row>
    <row r="166" spans="1:4" x14ac:dyDescent="0.45">
      <c r="A166" s="288" t="s">
        <v>190</v>
      </c>
      <c r="B166" s="304">
        <f>((((B161)+(B162))+(B163))+(B164))+(B165)</f>
        <v>24234.589999999997</v>
      </c>
      <c r="D166" s="304">
        <f>((((D161)+(D162))+(D163))+(D164))+(D165)</f>
        <v>8889.4</v>
      </c>
    </row>
    <row r="167" spans="1:4" x14ac:dyDescent="0.45">
      <c r="A167" s="288" t="s">
        <v>367</v>
      </c>
      <c r="B167" s="303"/>
      <c r="D167" s="303"/>
    </row>
    <row r="168" spans="1:4" x14ac:dyDescent="0.45">
      <c r="A168" s="288" t="s">
        <v>368</v>
      </c>
      <c r="B168" s="302">
        <f>503.63</f>
        <v>503.63</v>
      </c>
      <c r="D168" s="302">
        <f>701.21</f>
        <v>701.21</v>
      </c>
    </row>
    <row r="169" spans="1:4" x14ac:dyDescent="0.45">
      <c r="A169" s="288" t="s">
        <v>369</v>
      </c>
      <c r="B169" s="302">
        <f>130.11</f>
        <v>130.11000000000001</v>
      </c>
      <c r="D169" s="303"/>
    </row>
    <row r="170" spans="1:4" x14ac:dyDescent="0.45">
      <c r="A170" s="288" t="s">
        <v>370</v>
      </c>
      <c r="B170" s="302">
        <f>4150.63</f>
        <v>4150.63</v>
      </c>
      <c r="D170" s="302">
        <f>1435.17</f>
        <v>1435.17</v>
      </c>
    </row>
    <row r="171" spans="1:4" x14ac:dyDescent="0.45">
      <c r="A171" s="288" t="s">
        <v>195</v>
      </c>
      <c r="B171" s="304">
        <f>(((B167)+(B168))+(B169))+(B170)</f>
        <v>4784.37</v>
      </c>
      <c r="D171" s="304">
        <f>(((D167)+(D168))+(D169))+(D170)</f>
        <v>2136.38</v>
      </c>
    </row>
    <row r="172" spans="1:4" x14ac:dyDescent="0.45">
      <c r="A172" s="288" t="s">
        <v>139</v>
      </c>
      <c r="B172" s="303"/>
      <c r="D172" s="303"/>
    </row>
    <row r="173" spans="1:4" x14ac:dyDescent="0.45">
      <c r="A173" s="288" t="s">
        <v>194</v>
      </c>
      <c r="B173" s="302">
        <f>17858.74</f>
        <v>17858.740000000002</v>
      </c>
      <c r="D173" s="302">
        <f>18827.81</f>
        <v>18827.810000000001</v>
      </c>
    </row>
    <row r="174" spans="1:4" x14ac:dyDescent="0.45">
      <c r="A174" s="288" t="s">
        <v>148</v>
      </c>
      <c r="B174" s="302">
        <f>4888.39</f>
        <v>4888.3900000000003</v>
      </c>
      <c r="D174" s="302">
        <f>2543.09</f>
        <v>2543.09</v>
      </c>
    </row>
    <row r="175" spans="1:4" x14ac:dyDescent="0.45">
      <c r="A175" s="288" t="s">
        <v>161</v>
      </c>
      <c r="B175" s="302">
        <f>14703.02</f>
        <v>14703.02</v>
      </c>
      <c r="D175" s="302">
        <f>2400</f>
        <v>2400</v>
      </c>
    </row>
    <row r="176" spans="1:4" x14ac:dyDescent="0.45">
      <c r="A176" s="288" t="s">
        <v>140</v>
      </c>
      <c r="B176" s="302">
        <f>1835.64</f>
        <v>1835.64</v>
      </c>
      <c r="D176" s="303"/>
    </row>
    <row r="177" spans="1:4" x14ac:dyDescent="0.45">
      <c r="A177" s="288" t="s">
        <v>162</v>
      </c>
      <c r="B177" s="302">
        <f>12596.96</f>
        <v>12596.96</v>
      </c>
      <c r="D177" s="302">
        <f>4329.22</f>
        <v>4329.22</v>
      </c>
    </row>
    <row r="178" spans="1:4" s="284" customFormat="1" x14ac:dyDescent="0.45">
      <c r="A178" s="288" t="s">
        <v>517</v>
      </c>
      <c r="B178" s="303"/>
      <c r="D178" s="302">
        <f>17857.59</f>
        <v>17857.59</v>
      </c>
    </row>
    <row r="179" spans="1:4" x14ac:dyDescent="0.45">
      <c r="A179" s="288" t="s">
        <v>141</v>
      </c>
      <c r="B179" s="304">
        <f>((((((B172)+(B173))+(B174))+(B175))+(B176))+(B177))+(B178)</f>
        <v>51882.75</v>
      </c>
      <c r="D179" s="304">
        <f>((((((D172)+(D173))+(D174))+(D175))+(D176))+(D177))+(D178)</f>
        <v>45957.710000000006</v>
      </c>
    </row>
    <row r="180" spans="1:4" x14ac:dyDescent="0.45">
      <c r="A180" s="288" t="s">
        <v>197</v>
      </c>
      <c r="B180" s="303"/>
      <c r="D180" s="303"/>
    </row>
    <row r="181" spans="1:4" x14ac:dyDescent="0.45">
      <c r="A181" s="288" t="s">
        <v>198</v>
      </c>
      <c r="B181" s="302">
        <f>6870.24</f>
        <v>6870.24</v>
      </c>
      <c r="D181" s="302">
        <f>3808.31</f>
        <v>3808.31</v>
      </c>
    </row>
    <row r="182" spans="1:4" x14ac:dyDescent="0.45">
      <c r="A182" s="288" t="s">
        <v>371</v>
      </c>
      <c r="B182" s="303"/>
      <c r="D182" s="303"/>
    </row>
    <row r="183" spans="1:4" x14ac:dyDescent="0.45">
      <c r="A183" s="288" t="s">
        <v>196</v>
      </c>
      <c r="B183" s="304">
        <f>((B180)+(B181))+(B182)</f>
        <v>6870.24</v>
      </c>
      <c r="D183" s="304">
        <f>((D180)+(D181))+(D182)</f>
        <v>3808.31</v>
      </c>
    </row>
    <row r="184" spans="1:4" x14ac:dyDescent="0.45">
      <c r="A184" s="288" t="s">
        <v>66</v>
      </c>
      <c r="B184" s="303"/>
      <c r="D184" s="303"/>
    </row>
    <row r="185" spans="1:4" x14ac:dyDescent="0.45">
      <c r="A185" s="288" t="s">
        <v>199</v>
      </c>
      <c r="B185" s="302">
        <f>24055.6</f>
        <v>24055.599999999999</v>
      </c>
      <c r="D185" s="302">
        <f>33372</f>
        <v>33372</v>
      </c>
    </row>
    <row r="186" spans="1:4" x14ac:dyDescent="0.45">
      <c r="A186" s="288" t="s">
        <v>149</v>
      </c>
      <c r="B186" s="302">
        <f>43430.5</f>
        <v>43430.5</v>
      </c>
      <c r="D186" s="302">
        <f>35565.94</f>
        <v>35565.94</v>
      </c>
    </row>
    <row r="187" spans="1:4" x14ac:dyDescent="0.45">
      <c r="A187" s="288" t="s">
        <v>67</v>
      </c>
      <c r="B187" s="302">
        <f>6511.39</f>
        <v>6511.39</v>
      </c>
      <c r="D187" s="302">
        <f>11795.34</f>
        <v>11795.34</v>
      </c>
    </row>
    <row r="188" spans="1:4" x14ac:dyDescent="0.45">
      <c r="A188" s="288" t="s">
        <v>158</v>
      </c>
      <c r="B188" s="302">
        <f>7032.75</f>
        <v>7032.75</v>
      </c>
      <c r="D188" s="302">
        <f>15757.54</f>
        <v>15757.54</v>
      </c>
    </row>
    <row r="189" spans="1:4" x14ac:dyDescent="0.45">
      <c r="A189" s="288" t="s">
        <v>98</v>
      </c>
      <c r="B189" s="302">
        <f>2000</f>
        <v>2000</v>
      </c>
      <c r="D189" s="302">
        <f>1500</f>
        <v>1500</v>
      </c>
    </row>
    <row r="190" spans="1:4" x14ac:dyDescent="0.45">
      <c r="A190" s="288" t="s">
        <v>372</v>
      </c>
      <c r="B190" s="302">
        <f>0</f>
        <v>0</v>
      </c>
      <c r="D190" s="303"/>
    </row>
    <row r="191" spans="1:4" x14ac:dyDescent="0.45">
      <c r="A191" s="288" t="s">
        <v>373</v>
      </c>
      <c r="B191" s="303"/>
      <c r="D191" s="303"/>
    </row>
    <row r="192" spans="1:4" x14ac:dyDescent="0.45">
      <c r="A192" s="288" t="s">
        <v>374</v>
      </c>
      <c r="B192" s="303"/>
      <c r="D192" s="303"/>
    </row>
    <row r="193" spans="1:4" x14ac:dyDescent="0.45">
      <c r="A193" s="288" t="s">
        <v>68</v>
      </c>
      <c r="B193" s="304">
        <f>((((((((B184)+(B185))+(B186))+(B187))+(B188))+(B189))+(B190))+(B191))+(B192)</f>
        <v>83030.240000000005</v>
      </c>
      <c r="D193" s="304">
        <f>((((((((D184)+(D185))+(D186))+(D187))+(D188))+(D189))+(D190))+(D191))+(D192)</f>
        <v>97990.82</v>
      </c>
    </row>
    <row r="194" spans="1:4" x14ac:dyDescent="0.45">
      <c r="A194" s="288" t="s">
        <v>375</v>
      </c>
      <c r="B194" s="303"/>
      <c r="D194" s="303"/>
    </row>
    <row r="195" spans="1:4" x14ac:dyDescent="0.45">
      <c r="A195" s="288" t="s">
        <v>376</v>
      </c>
      <c r="B195" s="302">
        <f>29602.82</f>
        <v>29602.82</v>
      </c>
      <c r="D195" s="302">
        <f>7498</f>
        <v>7498</v>
      </c>
    </row>
    <row r="196" spans="1:4" x14ac:dyDescent="0.45">
      <c r="A196" s="288" t="s">
        <v>377</v>
      </c>
      <c r="B196" s="304">
        <f>(B194)+(B195)</f>
        <v>29602.82</v>
      </c>
      <c r="D196" s="304">
        <f>(D194)+(D195)</f>
        <v>7498</v>
      </c>
    </row>
    <row r="197" spans="1:4" x14ac:dyDescent="0.45">
      <c r="A197" s="288" t="s">
        <v>378</v>
      </c>
      <c r="B197" s="303"/>
      <c r="D197" s="303"/>
    </row>
    <row r="198" spans="1:4" x14ac:dyDescent="0.45">
      <c r="A198" s="288" t="s">
        <v>379</v>
      </c>
      <c r="B198" s="303"/>
      <c r="D198" s="303"/>
    </row>
    <row r="199" spans="1:4" x14ac:dyDescent="0.45">
      <c r="A199" s="288" t="s">
        <v>380</v>
      </c>
      <c r="B199" s="303"/>
      <c r="D199" s="303"/>
    </row>
    <row r="200" spans="1:4" x14ac:dyDescent="0.45">
      <c r="A200" s="288" t="s">
        <v>381</v>
      </c>
      <c r="B200" s="303"/>
      <c r="D200" s="303"/>
    </row>
    <row r="201" spans="1:4" x14ac:dyDescent="0.45">
      <c r="A201" s="288" t="s">
        <v>382</v>
      </c>
      <c r="B201" s="304">
        <f>(((B197)+(B198))+(B199))+(B200)</f>
        <v>0</v>
      </c>
      <c r="D201" s="304">
        <f>(((D197)+(D198))+(D199))+(D200)</f>
        <v>0</v>
      </c>
    </row>
    <row r="202" spans="1:4" x14ac:dyDescent="0.45">
      <c r="A202" s="288" t="s">
        <v>163</v>
      </c>
      <c r="B202" s="303"/>
      <c r="D202" s="303"/>
    </row>
    <row r="203" spans="1:4" x14ac:dyDescent="0.45">
      <c r="A203" s="288" t="s">
        <v>383</v>
      </c>
      <c r="B203" s="302">
        <f>2862.9</f>
        <v>2862.9</v>
      </c>
      <c r="D203" s="302">
        <f>1024.8</f>
        <v>1024.8</v>
      </c>
    </row>
    <row r="204" spans="1:4" x14ac:dyDescent="0.45">
      <c r="A204" s="288" t="s">
        <v>384</v>
      </c>
      <c r="B204" s="303"/>
      <c r="D204" s="303"/>
    </row>
    <row r="205" spans="1:4" x14ac:dyDescent="0.45">
      <c r="A205" s="288" t="s">
        <v>164</v>
      </c>
      <c r="B205" s="304">
        <f>((B202)+(B203))+(B204)</f>
        <v>2862.9</v>
      </c>
      <c r="D205" s="304">
        <f>((D202)+(D203))+(D204)</f>
        <v>1024.8</v>
      </c>
    </row>
    <row r="206" spans="1:4" x14ac:dyDescent="0.45">
      <c r="A206" s="288" t="s">
        <v>69</v>
      </c>
      <c r="B206" s="303"/>
      <c r="D206" s="303"/>
    </row>
    <row r="207" spans="1:4" x14ac:dyDescent="0.45">
      <c r="A207" s="288" t="s">
        <v>70</v>
      </c>
      <c r="B207" s="302">
        <f>16938.41</f>
        <v>16938.41</v>
      </c>
      <c r="D207" s="302">
        <f>12651.02</f>
        <v>12651.02</v>
      </c>
    </row>
    <row r="208" spans="1:4" x14ac:dyDescent="0.45">
      <c r="A208" s="288" t="s">
        <v>137</v>
      </c>
      <c r="B208" s="302">
        <f>221.92</f>
        <v>221.92</v>
      </c>
      <c r="D208" s="302">
        <f>849.45</f>
        <v>849.45</v>
      </c>
    </row>
    <row r="209" spans="1:4" x14ac:dyDescent="0.45">
      <c r="A209" s="288" t="s">
        <v>71</v>
      </c>
      <c r="B209" s="304">
        <f>((B206)+(B207))+(B208)</f>
        <v>17160.329999999998</v>
      </c>
      <c r="D209" s="304">
        <f>((D206)+(D207))+(D208)</f>
        <v>13500.470000000001</v>
      </c>
    </row>
    <row r="210" spans="1:4" x14ac:dyDescent="0.45">
      <c r="A210" s="288" t="s">
        <v>72</v>
      </c>
      <c r="B210" s="303"/>
      <c r="D210" s="303"/>
    </row>
    <row r="211" spans="1:4" x14ac:dyDescent="0.45">
      <c r="A211" s="288" t="s">
        <v>200</v>
      </c>
      <c r="B211" s="302">
        <f>4757.9</f>
        <v>4757.8999999999996</v>
      </c>
      <c r="D211" s="302">
        <f>9651.74</f>
        <v>9651.74</v>
      </c>
    </row>
    <row r="212" spans="1:4" x14ac:dyDescent="0.45">
      <c r="A212" s="288" t="s">
        <v>73</v>
      </c>
      <c r="B212" s="302">
        <f>20794.63</f>
        <v>20794.63</v>
      </c>
      <c r="D212" s="302">
        <f>16550</f>
        <v>16550</v>
      </c>
    </row>
    <row r="213" spans="1:4" x14ac:dyDescent="0.45">
      <c r="A213" s="288" t="s">
        <v>201</v>
      </c>
      <c r="B213" s="302">
        <f>7699.11</f>
        <v>7699.11</v>
      </c>
      <c r="D213" s="302">
        <f>9430.06</f>
        <v>9430.06</v>
      </c>
    </row>
    <row r="214" spans="1:4" s="306" customFormat="1" x14ac:dyDescent="0.45">
      <c r="A214" s="288" t="s">
        <v>530</v>
      </c>
      <c r="B214" s="303"/>
      <c r="D214" s="303"/>
    </row>
    <row r="215" spans="1:4" x14ac:dyDescent="0.45">
      <c r="A215" s="288" t="s">
        <v>531</v>
      </c>
      <c r="B215" s="304">
        <f>(B213)+(B214)</f>
        <v>7699.11</v>
      </c>
      <c r="D215" s="304">
        <f>(D213)+(D214)</f>
        <v>9430.06</v>
      </c>
    </row>
    <row r="216" spans="1:4" s="306" customFormat="1" x14ac:dyDescent="0.45">
      <c r="A216" s="288" t="s">
        <v>74</v>
      </c>
      <c r="B216" s="304">
        <f>(((B210)+(B211))+(B212))+(B215)</f>
        <v>33251.64</v>
      </c>
      <c r="D216" s="304">
        <f>(((D210)+(D211))+(D212))+(D215)</f>
        <v>35631.799999999996</v>
      </c>
    </row>
    <row r="217" spans="1:4" x14ac:dyDescent="0.45">
      <c r="A217" s="288" t="s">
        <v>75</v>
      </c>
      <c r="B217" s="303"/>
      <c r="D217" s="303"/>
    </row>
    <row r="218" spans="1:4" x14ac:dyDescent="0.45">
      <c r="A218" s="288" t="s">
        <v>97</v>
      </c>
      <c r="B218" s="302">
        <f>6120.74</f>
        <v>6120.74</v>
      </c>
      <c r="D218" s="302">
        <f>23567.31</f>
        <v>23567.31</v>
      </c>
    </row>
    <row r="219" spans="1:4" x14ac:dyDescent="0.45">
      <c r="A219" s="288" t="s">
        <v>76</v>
      </c>
      <c r="B219" s="304">
        <f>(B217)+(B218)</f>
        <v>6120.74</v>
      </c>
      <c r="D219" s="304">
        <f>(D217)+(D218)</f>
        <v>23567.31</v>
      </c>
    </row>
    <row r="220" spans="1:4" x14ac:dyDescent="0.45">
      <c r="A220" s="288" t="s">
        <v>77</v>
      </c>
      <c r="B220" s="303"/>
      <c r="D220" s="303"/>
    </row>
    <row r="221" spans="1:4" x14ac:dyDescent="0.45">
      <c r="A221" s="288" t="s">
        <v>78</v>
      </c>
      <c r="B221" s="302">
        <f>20531.78</f>
        <v>20531.78</v>
      </c>
      <c r="D221" s="302">
        <f>8438.22</f>
        <v>8438.2199999999993</v>
      </c>
    </row>
    <row r="222" spans="1:4" x14ac:dyDescent="0.45">
      <c r="A222" s="288" t="s">
        <v>79</v>
      </c>
      <c r="B222" s="304">
        <f>(B220)+(B221)</f>
        <v>20531.78</v>
      </c>
      <c r="D222" s="304">
        <f>(D220)+(D221)</f>
        <v>8438.2199999999993</v>
      </c>
    </row>
    <row r="223" spans="1:4" x14ac:dyDescent="0.45">
      <c r="A223" s="288" t="s">
        <v>385</v>
      </c>
      <c r="B223" s="303"/>
      <c r="D223" s="303"/>
    </row>
    <row r="224" spans="1:4" x14ac:dyDescent="0.45">
      <c r="A224" s="288" t="s">
        <v>386</v>
      </c>
      <c r="B224" s="302">
        <f>1232.02</f>
        <v>1232.02</v>
      </c>
      <c r="D224" s="303"/>
    </row>
    <row r="225" spans="1:4" x14ac:dyDescent="0.45">
      <c r="A225" s="288" t="s">
        <v>387</v>
      </c>
      <c r="B225" s="304">
        <f>(B223)+(B224)</f>
        <v>1232.02</v>
      </c>
      <c r="D225" s="304">
        <f>(D223)+(D224)</f>
        <v>0</v>
      </c>
    </row>
    <row r="226" spans="1:4" x14ac:dyDescent="0.45">
      <c r="A226" s="288" t="s">
        <v>100</v>
      </c>
      <c r="B226" s="303"/>
      <c r="D226" s="303"/>
    </row>
    <row r="227" spans="1:4" x14ac:dyDescent="0.45">
      <c r="A227" s="288" t="s">
        <v>134</v>
      </c>
      <c r="B227" s="302">
        <f>711.35</f>
        <v>711.35</v>
      </c>
      <c r="D227" s="303"/>
    </row>
    <row r="228" spans="1:4" x14ac:dyDescent="0.45">
      <c r="A228" s="288" t="s">
        <v>99</v>
      </c>
      <c r="B228" s="302">
        <f>3300.59</f>
        <v>3300.59</v>
      </c>
      <c r="D228" s="302">
        <f>253.84</f>
        <v>253.84</v>
      </c>
    </row>
    <row r="229" spans="1:4" x14ac:dyDescent="0.45">
      <c r="A229" s="288" t="s">
        <v>101</v>
      </c>
      <c r="B229" s="304">
        <f>((B226)+(B227))+(B228)</f>
        <v>4011.94</v>
      </c>
      <c r="D229" s="304">
        <f>((D226)+(D227))+(D228)</f>
        <v>253.84</v>
      </c>
    </row>
    <row r="230" spans="1:4" x14ac:dyDescent="0.45">
      <c r="A230" s="288" t="s">
        <v>388</v>
      </c>
      <c r="B230" s="303"/>
      <c r="D230" s="303"/>
    </row>
    <row r="231" spans="1:4" x14ac:dyDescent="0.45">
      <c r="A231" s="288" t="s">
        <v>389</v>
      </c>
      <c r="B231" s="302">
        <f>1354.36</f>
        <v>1354.36</v>
      </c>
      <c r="D231" s="302">
        <f>159.9</f>
        <v>159.9</v>
      </c>
    </row>
    <row r="232" spans="1:4" x14ac:dyDescent="0.45">
      <c r="A232" s="288" t="s">
        <v>390</v>
      </c>
      <c r="B232" s="304">
        <f>(B230)+(B231)</f>
        <v>1354.36</v>
      </c>
      <c r="D232" s="304">
        <f>(D230)+(D231)</f>
        <v>159.9</v>
      </c>
    </row>
    <row r="233" spans="1:4" x14ac:dyDescent="0.45">
      <c r="A233" s="288" t="s">
        <v>80</v>
      </c>
      <c r="B233" s="303"/>
      <c r="D233" s="303"/>
    </row>
    <row r="234" spans="1:4" x14ac:dyDescent="0.45">
      <c r="A234" s="288" t="s">
        <v>202</v>
      </c>
      <c r="B234" s="302">
        <f>803.2</f>
        <v>803.2</v>
      </c>
      <c r="D234" s="302">
        <f>703.3</f>
        <v>703.3</v>
      </c>
    </row>
    <row r="235" spans="1:4" x14ac:dyDescent="0.45">
      <c r="A235" s="288" t="s">
        <v>138</v>
      </c>
      <c r="B235" s="302">
        <f>109.21</f>
        <v>109.21</v>
      </c>
      <c r="D235" s="303"/>
    </row>
    <row r="236" spans="1:4" x14ac:dyDescent="0.45">
      <c r="A236" s="288" t="s">
        <v>81</v>
      </c>
      <c r="B236" s="302">
        <f>0</f>
        <v>0</v>
      </c>
      <c r="D236" s="303"/>
    </row>
    <row r="237" spans="1:4" x14ac:dyDescent="0.45">
      <c r="A237" s="288" t="s">
        <v>108</v>
      </c>
      <c r="B237" s="303"/>
      <c r="D237" s="303"/>
    </row>
    <row r="238" spans="1:4" x14ac:dyDescent="0.45">
      <c r="A238" s="288" t="s">
        <v>203</v>
      </c>
      <c r="B238" s="303"/>
      <c r="D238" s="303"/>
    </row>
    <row r="239" spans="1:4" x14ac:dyDescent="0.45">
      <c r="A239" s="288" t="s">
        <v>82</v>
      </c>
      <c r="B239" s="304">
        <f>(((((B233)+(B234))+(B235))+(B236))+(B237))+(B238)</f>
        <v>912.41000000000008</v>
      </c>
      <c r="D239" s="304">
        <f>(((((D233)+(D234))+(D235))+(D236))+(D237))+(D238)</f>
        <v>703.3</v>
      </c>
    </row>
    <row r="240" spans="1:4" x14ac:dyDescent="0.45">
      <c r="A240" s="288" t="s">
        <v>83</v>
      </c>
      <c r="B240" s="303"/>
      <c r="D240" s="303"/>
    </row>
    <row r="241" spans="1:4" x14ac:dyDescent="0.45">
      <c r="A241" s="288" t="s">
        <v>84</v>
      </c>
      <c r="B241" s="302">
        <f>29135.03</f>
        <v>29135.03</v>
      </c>
      <c r="D241" s="302">
        <f>25307.99</f>
        <v>25307.99</v>
      </c>
    </row>
    <row r="242" spans="1:4" x14ac:dyDescent="0.45">
      <c r="A242" s="288" t="s">
        <v>391</v>
      </c>
      <c r="B242" s="303"/>
      <c r="D242" s="303"/>
    </row>
    <row r="243" spans="1:4" x14ac:dyDescent="0.45">
      <c r="A243" s="288" t="s">
        <v>85</v>
      </c>
      <c r="B243" s="304">
        <f>((B240)+(B241))+(B242)</f>
        <v>29135.03</v>
      </c>
      <c r="D243" s="304">
        <f>((D240)+(D241))+(D242)</f>
        <v>25307.99</v>
      </c>
    </row>
    <row r="244" spans="1:4" x14ac:dyDescent="0.45">
      <c r="A244" s="288" t="s">
        <v>155</v>
      </c>
      <c r="B244" s="303"/>
      <c r="D244" s="303"/>
    </row>
    <row r="245" spans="1:4" x14ac:dyDescent="0.45">
      <c r="A245" s="288" t="s">
        <v>204</v>
      </c>
      <c r="B245" s="302">
        <f>521828.34</f>
        <v>521828.34</v>
      </c>
      <c r="D245" s="302">
        <f>750000</f>
        <v>750000</v>
      </c>
    </row>
    <row r="246" spans="1:4" x14ac:dyDescent="0.45">
      <c r="A246" s="288" t="s">
        <v>156</v>
      </c>
      <c r="B246" s="302">
        <f>27355.59</f>
        <v>27355.59</v>
      </c>
      <c r="D246" s="302">
        <f>5146.3</f>
        <v>5146.3</v>
      </c>
    </row>
    <row r="247" spans="1:4" x14ac:dyDescent="0.45">
      <c r="A247" s="288" t="s">
        <v>205</v>
      </c>
      <c r="B247" s="302">
        <f>37913.94</f>
        <v>37913.94</v>
      </c>
      <c r="D247" s="302">
        <f>9389.52</f>
        <v>9389.52</v>
      </c>
    </row>
    <row r="248" spans="1:4" x14ac:dyDescent="0.45">
      <c r="A248" s="288" t="s">
        <v>392</v>
      </c>
      <c r="B248" s="302">
        <f>4595</f>
        <v>4595</v>
      </c>
      <c r="D248" s="302">
        <f>6075</f>
        <v>6075</v>
      </c>
    </row>
    <row r="249" spans="1:4" x14ac:dyDescent="0.45">
      <c r="A249" s="288" t="s">
        <v>393</v>
      </c>
      <c r="B249" s="302">
        <f>64956.93</f>
        <v>64956.93</v>
      </c>
      <c r="D249" s="302">
        <f>79344-6600</f>
        <v>72744</v>
      </c>
    </row>
    <row r="250" spans="1:4" x14ac:dyDescent="0.45">
      <c r="A250" s="288" t="s">
        <v>206</v>
      </c>
      <c r="B250" s="302">
        <f>925938.24</f>
        <v>925938.24</v>
      </c>
      <c r="D250" s="302">
        <f>701938.2</f>
        <v>701938.2</v>
      </c>
    </row>
    <row r="251" spans="1:4" x14ac:dyDescent="0.45">
      <c r="A251" s="288" t="s">
        <v>394</v>
      </c>
      <c r="B251" s="303"/>
      <c r="D251" s="303"/>
    </row>
    <row r="252" spans="1:4" x14ac:dyDescent="0.45">
      <c r="A252" s="288" t="s">
        <v>157</v>
      </c>
      <c r="B252" s="304">
        <f>(((((((B244)+(B245))+(B246))+(B247))+(B248))+(B249))+(B250))+(B251)</f>
        <v>1582588.04</v>
      </c>
      <c r="D252" s="304">
        <f>(((((((D244)+(D245))+(D246))+(D247))+(D248))+(D249))+(D250))+(D251)</f>
        <v>1545293.02</v>
      </c>
    </row>
    <row r="253" spans="1:4" x14ac:dyDescent="0.45">
      <c r="A253" s="288" t="s">
        <v>395</v>
      </c>
      <c r="B253" s="303"/>
      <c r="D253" s="303"/>
    </row>
    <row r="254" spans="1:4" x14ac:dyDescent="0.45">
      <c r="A254" s="288" t="s">
        <v>396</v>
      </c>
      <c r="B254" s="302">
        <f>39111.2</f>
        <v>39111.199999999997</v>
      </c>
      <c r="D254" s="302">
        <f>72981.38</f>
        <v>72981.38</v>
      </c>
    </row>
    <row r="255" spans="1:4" x14ac:dyDescent="0.45">
      <c r="A255" s="288" t="s">
        <v>397</v>
      </c>
      <c r="B255" s="303"/>
      <c r="D255" s="303"/>
    </row>
    <row r="256" spans="1:4" x14ac:dyDescent="0.45">
      <c r="A256" s="288" t="s">
        <v>398</v>
      </c>
      <c r="B256" s="304">
        <f>((B253)+(B254))+(B255)</f>
        <v>39111.199999999997</v>
      </c>
      <c r="D256" s="304">
        <f>((D253)+(D254))+(D255)</f>
        <v>72981.38</v>
      </c>
    </row>
    <row r="257" spans="1:4" x14ac:dyDescent="0.45">
      <c r="A257" s="288" t="s">
        <v>486</v>
      </c>
      <c r="B257" s="302">
        <f>2363</f>
        <v>2363</v>
      </c>
      <c r="D257" s="303"/>
    </row>
    <row r="258" spans="1:4" x14ac:dyDescent="0.45">
      <c r="A258" s="288" t="s">
        <v>399</v>
      </c>
      <c r="B258" s="303"/>
      <c r="D258" s="303"/>
    </row>
    <row r="259" spans="1:4" x14ac:dyDescent="0.45">
      <c r="A259" s="288" t="s">
        <v>400</v>
      </c>
      <c r="B259" s="303"/>
      <c r="D259" s="303"/>
    </row>
    <row r="260" spans="1:4" x14ac:dyDescent="0.45">
      <c r="A260" s="288" t="s">
        <v>401</v>
      </c>
      <c r="B260" s="303"/>
      <c r="D260" s="303"/>
    </row>
    <row r="261" spans="1:4" x14ac:dyDescent="0.45">
      <c r="A261" s="288" t="s">
        <v>402</v>
      </c>
      <c r="B261" s="303"/>
      <c r="D261" s="303"/>
    </row>
    <row r="262" spans="1:4" x14ac:dyDescent="0.45">
      <c r="A262" s="288" t="s">
        <v>403</v>
      </c>
      <c r="B262" s="303"/>
      <c r="D262" s="303"/>
    </row>
    <row r="263" spans="1:4" x14ac:dyDescent="0.45">
      <c r="A263" s="288" t="s">
        <v>404</v>
      </c>
      <c r="B263" s="303"/>
      <c r="D263" s="303"/>
    </row>
    <row r="264" spans="1:4" x14ac:dyDescent="0.45">
      <c r="A264" s="288" t="s">
        <v>405</v>
      </c>
      <c r="B264" s="303"/>
      <c r="D264" s="303"/>
    </row>
    <row r="265" spans="1:4" x14ac:dyDescent="0.45">
      <c r="A265" s="288" t="s">
        <v>406</v>
      </c>
      <c r="B265" s="303"/>
      <c r="D265" s="303"/>
    </row>
    <row r="266" spans="1:4" x14ac:dyDescent="0.45">
      <c r="A266" s="288" t="s">
        <v>407</v>
      </c>
      <c r="B266" s="303"/>
      <c r="D266" s="303"/>
    </row>
    <row r="267" spans="1:4" x14ac:dyDescent="0.45">
      <c r="A267" s="288" t="s">
        <v>408</v>
      </c>
      <c r="B267" s="303"/>
      <c r="D267" s="303"/>
    </row>
    <row r="268" spans="1:4" x14ac:dyDescent="0.45">
      <c r="A268" s="288" t="s">
        <v>409</v>
      </c>
      <c r="B268" s="303"/>
      <c r="D268" s="303"/>
    </row>
    <row r="269" spans="1:4" x14ac:dyDescent="0.45">
      <c r="A269" s="288" t="s">
        <v>410</v>
      </c>
      <c r="B269" s="303"/>
      <c r="D269" s="303"/>
    </row>
    <row r="270" spans="1:4" x14ac:dyDescent="0.45">
      <c r="A270" s="288" t="s">
        <v>411</v>
      </c>
      <c r="B270" s="303"/>
      <c r="D270" s="303"/>
    </row>
    <row r="271" spans="1:4" x14ac:dyDescent="0.45">
      <c r="A271" s="288" t="s">
        <v>412</v>
      </c>
      <c r="B271" s="303"/>
      <c r="D271" s="303"/>
    </row>
    <row r="272" spans="1:4" x14ac:dyDescent="0.45">
      <c r="A272" s="288" t="s">
        <v>413</v>
      </c>
      <c r="B272" s="303"/>
      <c r="D272" s="303"/>
    </row>
    <row r="273" spans="1:4" x14ac:dyDescent="0.45">
      <c r="A273" s="288" t="s">
        <v>414</v>
      </c>
      <c r="B273" s="303"/>
      <c r="D273" s="303"/>
    </row>
    <row r="274" spans="1:4" x14ac:dyDescent="0.45">
      <c r="A274" s="288" t="s">
        <v>415</v>
      </c>
      <c r="B274" s="303"/>
      <c r="D274" s="303"/>
    </row>
    <row r="275" spans="1:4" x14ac:dyDescent="0.45">
      <c r="A275" s="288" t="s">
        <v>416</v>
      </c>
      <c r="B275" s="303"/>
      <c r="D275" s="303"/>
    </row>
    <row r="276" spans="1:4" x14ac:dyDescent="0.45">
      <c r="A276" s="288" t="s">
        <v>417</v>
      </c>
      <c r="B276" s="303"/>
      <c r="D276" s="303"/>
    </row>
    <row r="277" spans="1:4" x14ac:dyDescent="0.45">
      <c r="A277" s="288" t="s">
        <v>418</v>
      </c>
      <c r="B277" s="303"/>
      <c r="D277" s="303"/>
    </row>
    <row r="278" spans="1:4" x14ac:dyDescent="0.45">
      <c r="A278" s="288" t="s">
        <v>419</v>
      </c>
      <c r="B278" s="303"/>
      <c r="D278" s="303"/>
    </row>
    <row r="279" spans="1:4" x14ac:dyDescent="0.45">
      <c r="A279" s="288" t="s">
        <v>420</v>
      </c>
      <c r="B279" s="303"/>
      <c r="D279" s="303"/>
    </row>
    <row r="280" spans="1:4" x14ac:dyDescent="0.45">
      <c r="A280" s="288" t="s">
        <v>6</v>
      </c>
      <c r="B280" s="304">
        <f>((((((((((((((((((((((((((((((((((((((((((((((B126)+(B142))+(B146))+(B157))+(B160))+(B166))+(B171))+(B179))+(B183))+(B193))+(B196))+(B201))+(B205))+(B209))+(B216))+(B219))+(B222))+(B225))+(B229))+(B232))+(B239))+(B243))+(B252))+(B256))+(B257))+(B258))+(B259))+(B260))+(B261))+(B262))+(B263))+(B264))+(B265))+(B266))+(B267))+(B268))+(B269))+(B270))+(B271))+(B272))+(B273))+(B274))+(B275))+(B276))+(B277))+(B278))+(B279)</f>
        <v>3299224.6100000003</v>
      </c>
      <c r="D280" s="304">
        <f>((((((((((((((((((((((((((((((((((((((((((((((D126)+(D142))+(D146))+(D157))+(D160))+(D166))+(D171))+(D179))+(D183))+(D193))+(D196))+(D201))+(D205))+(D209))+(D216))+(D219))+(D222))+(D225))+(D229))+(D232))+(D239))+(D243))+(D252))+(D256))+(D257))+(D258))+(D259))+(D260))+(D261))+(D262))+(D263))+(D264))+(D265))+(D266))+(D267))+(D268))+(D269))+(D270))+(D271))+(D272))+(D273))+(D274))+(D275))+(D276))+(D277))+(D278))+(D279)</f>
        <v>3413410.13</v>
      </c>
    </row>
    <row r="281" spans="1:4" x14ac:dyDescent="0.45">
      <c r="A281" s="288" t="s">
        <v>86</v>
      </c>
      <c r="B281" s="304">
        <f>(B56)-(B280)</f>
        <v>-170879.6400000006</v>
      </c>
      <c r="D281" s="304">
        <f>(D56)-(D280)</f>
        <v>540852.73999999976</v>
      </c>
    </row>
    <row r="282" spans="1:4" x14ac:dyDescent="0.45">
      <c r="A282" s="288" t="s">
        <v>421</v>
      </c>
      <c r="B282" s="303"/>
      <c r="D282" s="303"/>
    </row>
    <row r="283" spans="1:4" x14ac:dyDescent="0.45">
      <c r="A283" s="288" t="s">
        <v>422</v>
      </c>
      <c r="B283" s="302">
        <f>0</f>
        <v>0</v>
      </c>
      <c r="D283" s="303"/>
    </row>
    <row r="284" spans="1:4" x14ac:dyDescent="0.45">
      <c r="A284" s="288" t="s">
        <v>423</v>
      </c>
      <c r="B284" s="303"/>
      <c r="D284" s="303"/>
    </row>
    <row r="285" spans="1:4" x14ac:dyDescent="0.45">
      <c r="A285" s="288" t="s">
        <v>424</v>
      </c>
      <c r="B285" s="304">
        <f>(B283)+(B284)</f>
        <v>0</v>
      </c>
      <c r="D285" s="304">
        <f>(D283)+(D284)</f>
        <v>0</v>
      </c>
    </row>
    <row r="286" spans="1:4" x14ac:dyDescent="0.45">
      <c r="A286" s="288" t="s">
        <v>425</v>
      </c>
      <c r="B286" s="304">
        <f>(0)-(B285)</f>
        <v>0</v>
      </c>
      <c r="D286" s="304">
        <f>(0)-(D285)</f>
        <v>0</v>
      </c>
    </row>
    <row r="287" spans="1:4" x14ac:dyDescent="0.45">
      <c r="A287" s="288" t="s">
        <v>29</v>
      </c>
      <c r="B287" s="304">
        <f>(B281)+(B286)</f>
        <v>-170879.6400000006</v>
      </c>
      <c r="D287" s="304">
        <f>(D281)+(D286)</f>
        <v>540852.73999999976</v>
      </c>
    </row>
    <row r="288" spans="1:4" x14ac:dyDescent="0.45">
      <c r="A288" s="210"/>
      <c r="B288" s="211"/>
    </row>
    <row r="289" spans="2:2" x14ac:dyDescent="0.45">
      <c r="B289" s="299"/>
    </row>
    <row r="290" spans="2:2" x14ac:dyDescent="0.45">
      <c r="B290" s="300"/>
    </row>
    <row r="291" spans="2:2" x14ac:dyDescent="0.45">
      <c r="B291" s="30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I33"/>
  <sheetViews>
    <sheetView tabSelected="1" zoomScale="90" zoomScaleNormal="90" workbookViewId="0">
      <selection activeCell="J18" sqref="J18"/>
    </sheetView>
  </sheetViews>
  <sheetFormatPr defaultColWidth="13.73046875" defaultRowHeight="13.5" x14ac:dyDescent="0.35"/>
  <cols>
    <col min="1" max="2" width="8.59765625" style="213" customWidth="1"/>
    <col min="3" max="3" width="13.73046875" style="213"/>
    <col min="4" max="4" width="16.06640625" style="213" customWidth="1"/>
    <col min="5" max="7" width="13.73046875" style="213"/>
    <col min="8" max="8" width="0.46484375" style="213" customWidth="1"/>
    <col min="9" max="16384" width="13.73046875" style="213"/>
  </cols>
  <sheetData>
    <row r="1" spans="1:9" ht="20.25" x14ac:dyDescent="0.55000000000000004">
      <c r="A1" s="224" t="s">
        <v>91</v>
      </c>
    </row>
    <row r="2" spans="1:9" ht="15" x14ac:dyDescent="0.4">
      <c r="A2" s="214" t="s">
        <v>557</v>
      </c>
    </row>
    <row r="4" spans="1:9" x14ac:dyDescent="0.35">
      <c r="E4" s="215">
        <v>44378</v>
      </c>
      <c r="F4" s="215">
        <v>44429</v>
      </c>
      <c r="G4" s="215">
        <v>44460</v>
      </c>
      <c r="I4" s="344" t="s">
        <v>558</v>
      </c>
    </row>
    <row r="6" spans="1:9" x14ac:dyDescent="0.35">
      <c r="D6" s="216" t="s">
        <v>487</v>
      </c>
      <c r="E6" s="217">
        <f>'Balance Sheet'!B8</f>
        <v>1924072.9</v>
      </c>
      <c r="F6" s="223">
        <f>E31</f>
        <v>2382282.6733333329</v>
      </c>
      <c r="G6" s="223">
        <f>F31</f>
        <v>2923004.8666666662</v>
      </c>
      <c r="H6" s="218"/>
      <c r="I6" s="223">
        <f>E6</f>
        <v>1924072.9</v>
      </c>
    </row>
    <row r="8" spans="1:9" x14ac:dyDescent="0.35">
      <c r="C8" s="218" t="s">
        <v>488</v>
      </c>
    </row>
    <row r="9" spans="1:9" x14ac:dyDescent="0.35">
      <c r="D9" s="213" t="s">
        <v>489</v>
      </c>
      <c r="E9" s="349">
        <v>880362.17</v>
      </c>
      <c r="F9" s="349">
        <v>880362.17</v>
      </c>
      <c r="G9" s="347"/>
      <c r="H9" s="347"/>
      <c r="I9" s="347">
        <f>SUM(E9:G9)</f>
        <v>1760724.34</v>
      </c>
    </row>
    <row r="10" spans="1:9" x14ac:dyDescent="0.35">
      <c r="D10" s="213" t="s">
        <v>490</v>
      </c>
      <c r="E10" s="220"/>
      <c r="F10" s="348">
        <f>'Balance Sheet'!B10</f>
        <v>49020.69</v>
      </c>
      <c r="G10" s="348"/>
      <c r="H10" s="347"/>
      <c r="I10" s="348">
        <f>SUM(E10:G10)</f>
        <v>49020.69</v>
      </c>
    </row>
    <row r="11" spans="1:9" x14ac:dyDescent="0.35">
      <c r="E11" s="347"/>
      <c r="F11" s="347"/>
      <c r="G11" s="347"/>
      <c r="H11" s="347"/>
      <c r="I11" s="347"/>
    </row>
    <row r="12" spans="1:9" x14ac:dyDescent="0.35">
      <c r="D12" s="216" t="s">
        <v>491</v>
      </c>
      <c r="E12" s="221">
        <f>E6+E9+E10</f>
        <v>2804435.07</v>
      </c>
      <c r="F12" s="221">
        <f t="shared" ref="F12:G12" si="0">F6+F9+F10</f>
        <v>3311665.5333333327</v>
      </c>
      <c r="G12" s="221">
        <f t="shared" si="0"/>
        <v>2923004.8666666662</v>
      </c>
      <c r="H12" s="221"/>
      <c r="I12" s="221">
        <f>I6+I9+I10</f>
        <v>3733817.93</v>
      </c>
    </row>
    <row r="13" spans="1:9" x14ac:dyDescent="0.35">
      <c r="E13" s="347"/>
      <c r="F13" s="347"/>
      <c r="G13" s="347"/>
      <c r="H13" s="347"/>
      <c r="I13" s="347"/>
    </row>
    <row r="14" spans="1:9" x14ac:dyDescent="0.35">
      <c r="C14" s="218" t="s">
        <v>492</v>
      </c>
      <c r="E14" s="347"/>
      <c r="F14" s="347"/>
      <c r="G14" s="347"/>
      <c r="H14" s="347"/>
      <c r="I14" s="347"/>
    </row>
    <row r="15" spans="1:9" x14ac:dyDescent="0.35">
      <c r="D15" s="213" t="s">
        <v>493</v>
      </c>
      <c r="E15" s="219">
        <f>2259085/12</f>
        <v>188257.08333333334</v>
      </c>
      <c r="F15" s="347">
        <f>E15</f>
        <v>188257.08333333334</v>
      </c>
      <c r="G15" s="347">
        <f>F15</f>
        <v>188257.08333333334</v>
      </c>
      <c r="H15" s="347"/>
      <c r="I15" s="347">
        <f>SUM(E15:G15)</f>
        <v>564771.25</v>
      </c>
    </row>
    <row r="16" spans="1:9" x14ac:dyDescent="0.35">
      <c r="D16" s="213" t="s">
        <v>494</v>
      </c>
      <c r="E16" s="220">
        <f>487993/12</f>
        <v>40666.083333333336</v>
      </c>
      <c r="F16" s="348">
        <f>E16</f>
        <v>40666.083333333336</v>
      </c>
      <c r="G16" s="348">
        <f>F16</f>
        <v>40666.083333333336</v>
      </c>
      <c r="H16" s="347"/>
      <c r="I16" s="348">
        <f>SUM(E16:G16)</f>
        <v>121998.25</v>
      </c>
    </row>
    <row r="17" spans="4:9" x14ac:dyDescent="0.35">
      <c r="E17" s="219"/>
      <c r="F17" s="219"/>
      <c r="G17" s="219"/>
      <c r="H17" s="347"/>
      <c r="I17" s="347"/>
    </row>
    <row r="18" spans="4:9" x14ac:dyDescent="0.35">
      <c r="D18" s="216" t="s">
        <v>495</v>
      </c>
      <c r="E18" s="221">
        <f>SUM(E15:E16)</f>
        <v>228923.16666666669</v>
      </c>
      <c r="F18" s="221">
        <f t="shared" ref="F18:I18" si="1">SUM(F15:F16)</f>
        <v>228923.16666666669</v>
      </c>
      <c r="G18" s="221">
        <f t="shared" si="1"/>
        <v>228923.16666666669</v>
      </c>
      <c r="H18" s="219"/>
      <c r="I18" s="221">
        <f t="shared" si="1"/>
        <v>686769.5</v>
      </c>
    </row>
    <row r="19" spans="4:9" x14ac:dyDescent="0.35">
      <c r="E19" s="347"/>
      <c r="F19" s="347"/>
      <c r="G19" s="347"/>
      <c r="H19" s="347"/>
      <c r="I19" s="347"/>
    </row>
    <row r="20" spans="4:9" x14ac:dyDescent="0.35">
      <c r="D20" s="216" t="s">
        <v>496</v>
      </c>
      <c r="E20" s="347"/>
      <c r="F20" s="347"/>
      <c r="G20" s="347"/>
      <c r="H20" s="347"/>
      <c r="I20" s="347"/>
    </row>
    <row r="21" spans="4:9" x14ac:dyDescent="0.35">
      <c r="D21" s="222" t="s">
        <v>497</v>
      </c>
      <c r="E21" s="219">
        <f>157340/12</f>
        <v>13111.666666666666</v>
      </c>
      <c r="F21" s="347">
        <f t="shared" ref="F21:G23" si="2">E21</f>
        <v>13111.666666666666</v>
      </c>
      <c r="G21" s="347">
        <f t="shared" si="2"/>
        <v>13111.666666666666</v>
      </c>
      <c r="H21" s="347"/>
      <c r="I21" s="347">
        <f>SUM(E21:G21)</f>
        <v>39335</v>
      </c>
    </row>
    <row r="22" spans="4:9" x14ac:dyDescent="0.35">
      <c r="D22" s="222" t="s">
        <v>498</v>
      </c>
      <c r="E22" s="219">
        <f>597060/12</f>
        <v>49755</v>
      </c>
      <c r="F22" s="347">
        <f t="shared" si="2"/>
        <v>49755</v>
      </c>
      <c r="G22" s="347">
        <f t="shared" si="2"/>
        <v>49755</v>
      </c>
      <c r="H22" s="347"/>
      <c r="I22" s="219">
        <f t="shared" ref="I22:I24" si="3">SUM(E22:G22)</f>
        <v>149265</v>
      </c>
    </row>
    <row r="23" spans="4:9" x14ac:dyDescent="0.35">
      <c r="D23" s="222" t="s">
        <v>499</v>
      </c>
      <c r="E23" s="219">
        <f>1162450/12</f>
        <v>96870.833333333328</v>
      </c>
      <c r="F23" s="347">
        <f t="shared" si="2"/>
        <v>96870.833333333328</v>
      </c>
      <c r="G23" s="347">
        <f t="shared" si="2"/>
        <v>96870.833333333328</v>
      </c>
      <c r="H23" s="347"/>
      <c r="I23" s="219">
        <f t="shared" si="3"/>
        <v>290612.5</v>
      </c>
    </row>
    <row r="24" spans="4:9" x14ac:dyDescent="0.35">
      <c r="D24" s="222" t="s">
        <v>500</v>
      </c>
      <c r="E24" s="220">
        <f>'Balance Sheet'!B23</f>
        <v>33491.730000000003</v>
      </c>
      <c r="F24" s="220"/>
      <c r="G24" s="220"/>
      <c r="H24" s="347"/>
      <c r="I24" s="220">
        <f t="shared" si="3"/>
        <v>33491.730000000003</v>
      </c>
    </row>
    <row r="25" spans="4:9" x14ac:dyDescent="0.35">
      <c r="E25" s="347"/>
      <c r="F25" s="347"/>
      <c r="G25" s="347"/>
      <c r="H25" s="347"/>
      <c r="I25" s="347"/>
    </row>
    <row r="26" spans="4:9" x14ac:dyDescent="0.35">
      <c r="D26" s="218" t="s">
        <v>501</v>
      </c>
      <c r="E26" s="345">
        <f>SUM(E21:E24)</f>
        <v>193229.23</v>
      </c>
      <c r="F26" s="345">
        <f>SUM(F21:F24)</f>
        <v>159737.5</v>
      </c>
      <c r="G26" s="345">
        <f>SUM(G21:G24)</f>
        <v>159737.5</v>
      </c>
      <c r="H26" s="347"/>
      <c r="I26" s="345">
        <f t="shared" ref="I26" si="4">SUM(I21:I24)</f>
        <v>512704.23</v>
      </c>
    </row>
    <row r="27" spans="4:9" x14ac:dyDescent="0.35">
      <c r="E27" s="347"/>
      <c r="F27" s="347"/>
      <c r="G27" s="347"/>
      <c r="H27" s="347"/>
      <c r="I27" s="347"/>
    </row>
    <row r="28" spans="4:9" x14ac:dyDescent="0.35">
      <c r="D28" s="218" t="s">
        <v>502</v>
      </c>
      <c r="E28" s="346">
        <f>E18+E26</f>
        <v>422152.39666666673</v>
      </c>
      <c r="F28" s="346">
        <f t="shared" ref="F28:G28" si="5">F18+F26</f>
        <v>388660.66666666669</v>
      </c>
      <c r="G28" s="346">
        <f t="shared" si="5"/>
        <v>388660.66666666669</v>
      </c>
      <c r="H28" s="347"/>
      <c r="I28" s="346">
        <f t="shared" ref="I28" si="6">I18+I26</f>
        <v>1199473.73</v>
      </c>
    </row>
    <row r="31" spans="4:9" x14ac:dyDescent="0.35">
      <c r="D31" s="216" t="s">
        <v>503</v>
      </c>
      <c r="E31" s="223">
        <f>E12-E28</f>
        <v>2382282.6733333329</v>
      </c>
      <c r="F31" s="223">
        <f t="shared" ref="F31:G31" si="7">F12-F28</f>
        <v>2923004.8666666662</v>
      </c>
      <c r="G31" s="223">
        <f t="shared" si="7"/>
        <v>2534344.1999999997</v>
      </c>
      <c r="I31" s="223">
        <f t="shared" ref="I31" si="8">I12-I28</f>
        <v>2534344.2000000002</v>
      </c>
    </row>
    <row r="32" spans="4:9" ht="13.9" thickBot="1" x14ac:dyDescent="0.4"/>
    <row r="33" spans="4:7" ht="13.9" thickBot="1" x14ac:dyDescent="0.4">
      <c r="D33" s="216" t="s">
        <v>504</v>
      </c>
      <c r="E33" s="334">
        <f>(E31/(4663929/365))</f>
        <v>186.43791013256561</v>
      </c>
      <c r="F33" s="334">
        <f t="shared" ref="F33:G33" si="9">(F31/(4663929/365))</f>
        <v>228.75493523450575</v>
      </c>
      <c r="G33" s="334">
        <f t="shared" si="9"/>
        <v>198.33827508952214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Indicators</vt:lpstr>
      <vt:lpstr>Balance Sheet</vt:lpstr>
      <vt:lpstr>BS-QB</vt:lpstr>
      <vt:lpstr>P&amp;L Summary</vt:lpstr>
      <vt:lpstr>Budget Vs. Actuals Detail</vt:lpstr>
      <vt:lpstr>P&amp;L (QB)</vt:lpstr>
      <vt:lpstr>Cash Flow Projection</vt:lpstr>
      <vt:lpstr>'Balance Sheet'!Print_Area</vt:lpstr>
      <vt:lpstr>'Budget Vs. Actuals Detail'!Print_Area</vt:lpstr>
      <vt:lpstr>'Budget Vs. Actuals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Juned Haque</dc:creator>
  <cp:lastModifiedBy>Hon. Marsha Michael</cp:lastModifiedBy>
  <cp:lastPrinted>2020-08-13T19:32:12Z</cp:lastPrinted>
  <dcterms:created xsi:type="dcterms:W3CDTF">2017-11-22T00:21:30Z</dcterms:created>
  <dcterms:modified xsi:type="dcterms:W3CDTF">2021-07-20T17:04:47Z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dad89-2096-47a1-b1b1-c9d057667e94_Enabled">
    <vt:lpwstr>True</vt:lpwstr>
  </property>
  <property fmtid="{D5CDD505-2E9C-101B-9397-08002B2CF9AE}" pid="3" name="MSIP_Label_645dad89-2096-47a1-b1b1-c9d057667e94_SiteId">
    <vt:lpwstr>e4e1abd9-eac7-4a71-ab52-da5c998aa7ba</vt:lpwstr>
  </property>
  <property fmtid="{D5CDD505-2E9C-101B-9397-08002B2CF9AE}" pid="4" name="MSIP_Label_645dad89-2096-47a1-b1b1-c9d057667e94_Owner">
    <vt:lpwstr>n.ayanna.williams@loreal.com</vt:lpwstr>
  </property>
  <property fmtid="{D5CDD505-2E9C-101B-9397-08002B2CF9AE}" pid="5" name="MSIP_Label_645dad89-2096-47a1-b1b1-c9d057667e94_SetDate">
    <vt:lpwstr>2019-09-23T18:17:45.0294631Z</vt:lpwstr>
  </property>
  <property fmtid="{D5CDD505-2E9C-101B-9397-08002B2CF9AE}" pid="6" name="MSIP_Label_645dad89-2096-47a1-b1b1-c9d057667e94_Name">
    <vt:lpwstr>C1 - Internal use</vt:lpwstr>
  </property>
  <property fmtid="{D5CDD505-2E9C-101B-9397-08002B2CF9AE}" pid="7" name="MSIP_Label_645dad89-2096-47a1-b1b1-c9d057667e94_Application">
    <vt:lpwstr>Microsoft Azure Information Protection</vt:lpwstr>
  </property>
  <property fmtid="{D5CDD505-2E9C-101B-9397-08002B2CF9AE}" pid="8" name="MSIP_Label_645dad89-2096-47a1-b1b1-c9d057667e94_Extended_MSFT_Method">
    <vt:lpwstr>Automatic</vt:lpwstr>
  </property>
  <property fmtid="{D5CDD505-2E9C-101B-9397-08002B2CF9AE}" pid="9" name="Sensitivity">
    <vt:lpwstr>C1 - Internal use</vt:lpwstr>
  </property>
</Properties>
</file>