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ublic\Clients\Camino Nuevo\6. Funding\LCAP\2021-22 3 year\"/>
    </mc:Choice>
  </mc:AlternateContent>
  <bookViews>
    <workbookView xWindow="0" yWindow="0" windowWidth="14325" windowHeight="11220"/>
  </bookViews>
  <sheets>
    <sheet name="CNCA#1 - BUR" sheetId="1" r:id="rId1"/>
    <sheet name="CNCA#2 - KAY" sheetId="2" r:id="rId2"/>
    <sheet name="CNCA#3 - CAS.EIS" sheetId="3" r:id="rId3"/>
    <sheet name="CNCA#4 - CIS" sheetId="4" r:id="rId4"/>
    <sheet name="CNHS#2 - DAL" sheetId="5" r:id="rId5"/>
    <sheet name="LCFF S&amp;C Amounts" sheetId="7" r:id="rId6"/>
    <sheet name="Title Expenses Budgeted" sheetId="6" r:id="rId7"/>
  </sheets>
  <definedNames>
    <definedName name="_xlnm.Print_Area" localSheetId="0">'CNCA#1 - BUR'!$A$2:$Q$47</definedName>
    <definedName name="_xlnm.Print_Area" localSheetId="1">'CNCA#2 - KAY'!$A$2:$Q$46</definedName>
    <definedName name="_xlnm.Print_Area" localSheetId="2">'CNCA#3 - CAS.EIS'!$A$2:$Q$47</definedName>
    <definedName name="_xlnm.Print_Area" localSheetId="3">'CNCA#4 - CIS'!$A$2:$Q$44</definedName>
    <definedName name="_xlnm.Print_Area" localSheetId="4">'CNHS#2 - DAL'!$A$2:$Q$47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8" i="3" l="1"/>
  <c r="Y45" i="3" l="1"/>
  <c r="Y44" i="3"/>
  <c r="Y43" i="3"/>
  <c r="Y41" i="3"/>
  <c r="Y37" i="3"/>
  <c r="Y31" i="3"/>
  <c r="Y24" i="3"/>
  <c r="Y23" i="3"/>
  <c r="Y18" i="3"/>
  <c r="Y16" i="3"/>
  <c r="Y13" i="3"/>
  <c r="Y10" i="3"/>
  <c r="Y8" i="3"/>
  <c r="Y7" i="3"/>
  <c r="Y4" i="3"/>
  <c r="X16" i="3" l="1"/>
  <c r="X45" i="3"/>
  <c r="Z45" i="3" s="1"/>
  <c r="X44" i="3"/>
  <c r="X43" i="3"/>
  <c r="Z43" i="3" s="1"/>
  <c r="X42" i="3"/>
  <c r="X41" i="3"/>
  <c r="Z41" i="3" s="1"/>
  <c r="K41" i="3" s="1"/>
  <c r="X39" i="3"/>
  <c r="Z39" i="3" s="1"/>
  <c r="K39" i="3" s="1"/>
  <c r="X37" i="3"/>
  <c r="Z37" i="3" s="1"/>
  <c r="K37" i="3" s="1"/>
  <c r="X31" i="3"/>
  <c r="Z31" i="3" s="1"/>
  <c r="K31" i="3" s="1"/>
  <c r="X24" i="3"/>
  <c r="Z24" i="3" s="1"/>
  <c r="K24" i="3" s="1"/>
  <c r="X23" i="3"/>
  <c r="X18" i="3"/>
  <c r="Z18" i="3" s="1"/>
  <c r="K18" i="3" s="1"/>
  <c r="X15" i="3"/>
  <c r="Z15" i="3" s="1"/>
  <c r="K15" i="3" s="1"/>
  <c r="Z14" i="3"/>
  <c r="K14" i="3" s="1"/>
  <c r="X13" i="3"/>
  <c r="Z13" i="3" s="1"/>
  <c r="K13" i="3" s="1"/>
  <c r="X10" i="3"/>
  <c r="Z10" i="3" s="1"/>
  <c r="K10" i="3" s="1"/>
  <c r="X8" i="3"/>
  <c r="Z8" i="3" s="1"/>
  <c r="K8" i="3" s="1"/>
  <c r="X7" i="3"/>
  <c r="X4" i="3"/>
  <c r="Z4" i="3" s="1"/>
  <c r="K4" i="3" s="1"/>
  <c r="Z3" i="3"/>
  <c r="K3" i="3" s="1"/>
  <c r="Z5" i="3"/>
  <c r="K5" i="3" s="1"/>
  <c r="Z6" i="3"/>
  <c r="K6" i="3" s="1"/>
  <c r="Z7" i="3"/>
  <c r="K7" i="3" s="1"/>
  <c r="Z9" i="3"/>
  <c r="K9" i="3" s="1"/>
  <c r="Z11" i="3"/>
  <c r="Z12" i="3"/>
  <c r="K12" i="3" s="1"/>
  <c r="Z16" i="3"/>
  <c r="L16" i="3" s="1"/>
  <c r="Z17" i="3"/>
  <c r="K17" i="3" s="1"/>
  <c r="Z19" i="3"/>
  <c r="L19" i="3" s="1"/>
  <c r="Z20" i="3"/>
  <c r="L20" i="3" s="1"/>
  <c r="Z21" i="3"/>
  <c r="L21" i="3" s="1"/>
  <c r="Z22" i="3"/>
  <c r="L22" i="3" s="1"/>
  <c r="Z23" i="3"/>
  <c r="K23" i="3" s="1"/>
  <c r="Z25" i="3"/>
  <c r="L25" i="3" s="1"/>
  <c r="Z26" i="3"/>
  <c r="L26" i="3" s="1"/>
  <c r="Z27" i="3"/>
  <c r="L27" i="3" s="1"/>
  <c r="Z28" i="3"/>
  <c r="L28" i="3" s="1"/>
  <c r="Z29" i="3"/>
  <c r="L29" i="3" s="1"/>
  <c r="Z30" i="3"/>
  <c r="K30" i="3" s="1"/>
  <c r="Z32" i="3"/>
  <c r="L32" i="3" s="1"/>
  <c r="Z33" i="3"/>
  <c r="L33" i="3" s="1"/>
  <c r="Z34" i="3"/>
  <c r="L34" i="3" s="1"/>
  <c r="Z35" i="3"/>
  <c r="L35" i="3" s="1"/>
  <c r="Z36" i="3"/>
  <c r="K36" i="3" s="1"/>
  <c r="Z38" i="3"/>
  <c r="K38" i="3" s="1"/>
  <c r="Z40" i="3"/>
  <c r="K40" i="3" s="1"/>
  <c r="Z42" i="3"/>
  <c r="K42" i="3" s="1"/>
  <c r="Z44" i="3"/>
  <c r="K44" i="3" s="1"/>
  <c r="Z46" i="3"/>
  <c r="L46" i="3" s="1"/>
  <c r="Z47" i="3"/>
  <c r="L47" i="3" s="1"/>
  <c r="K45" i="3" l="1"/>
  <c r="K43" i="3"/>
  <c r="P14" i="3"/>
  <c r="Q14" i="3" s="1"/>
  <c r="J14" i="3" s="1"/>
  <c r="P15" i="3"/>
  <c r="Q15" i="3" s="1"/>
  <c r="J15" i="3" s="1"/>
  <c r="W14" i="3" l="1"/>
  <c r="W15" i="3"/>
  <c r="N9" i="6" l="1"/>
  <c r="M9" i="6"/>
  <c r="L9" i="6"/>
  <c r="K9" i="6"/>
  <c r="C4" i="7" l="1"/>
  <c r="B4" i="7"/>
  <c r="K46" i="5" l="1"/>
  <c r="K45" i="5"/>
  <c r="K44" i="5"/>
  <c r="K43" i="5"/>
  <c r="K42" i="5"/>
  <c r="K40" i="5"/>
  <c r="K37" i="5"/>
  <c r="K31" i="5"/>
  <c r="L28" i="5"/>
  <c r="K24" i="5"/>
  <c r="K23" i="5"/>
  <c r="K18" i="5"/>
  <c r="K15" i="5"/>
  <c r="K12" i="5"/>
  <c r="K11" i="5"/>
  <c r="K10" i="5"/>
  <c r="K9" i="5"/>
  <c r="K7" i="5"/>
  <c r="K8" i="5" s="1"/>
  <c r="K4" i="5"/>
  <c r="K22" i="4" l="1"/>
  <c r="K21" i="4"/>
  <c r="K16" i="4"/>
  <c r="G30" i="6"/>
  <c r="G32" i="6"/>
  <c r="L16" i="1"/>
  <c r="G6" i="6"/>
  <c r="K13" i="4" l="1"/>
  <c r="K43" i="4"/>
  <c r="K42" i="4"/>
  <c r="K41" i="4"/>
  <c r="K37" i="4" l="1"/>
  <c r="K35" i="4"/>
  <c r="K29" i="4"/>
  <c r="K28" i="4"/>
  <c r="K10" i="4" l="1"/>
  <c r="K7" i="4"/>
  <c r="K8" i="4"/>
  <c r="K4" i="4"/>
  <c r="K45" i="2" l="1"/>
  <c r="K44" i="2"/>
  <c r="K43" i="2"/>
  <c r="K41" i="2"/>
  <c r="K39" i="2"/>
  <c r="K37" i="2"/>
  <c r="K31" i="2"/>
  <c r="K24" i="2" l="1"/>
  <c r="K18" i="2"/>
  <c r="P14" i="2"/>
  <c r="P15" i="2"/>
  <c r="P16" i="2"/>
  <c r="L16" i="2"/>
  <c r="K15" i="2"/>
  <c r="K13" i="2"/>
  <c r="Q14" i="2"/>
  <c r="J14" i="2" s="1"/>
  <c r="Q15" i="2"/>
  <c r="J15" i="2" s="1"/>
  <c r="W15" i="2"/>
  <c r="K10" i="2"/>
  <c r="K8" i="2"/>
  <c r="K4" i="2"/>
  <c r="F38" i="6"/>
  <c r="H38" i="6" s="1"/>
  <c r="R8" i="6" s="1"/>
  <c r="V8" i="6" s="1"/>
  <c r="F37" i="6"/>
  <c r="H37" i="6" s="1"/>
  <c r="Q8" i="6" s="1"/>
  <c r="U8" i="6" s="1"/>
  <c r="F36" i="6"/>
  <c r="H36" i="6" s="1"/>
  <c r="F35" i="6"/>
  <c r="H35" i="6" s="1"/>
  <c r="P8" i="6" s="1"/>
  <c r="T8" i="6" s="1"/>
  <c r="F34" i="6"/>
  <c r="H34" i="6" s="1"/>
  <c r="F33" i="6"/>
  <c r="H33" i="6" s="1"/>
  <c r="O8" i="6" s="1"/>
  <c r="S8" i="6" s="1"/>
  <c r="F32" i="6"/>
  <c r="H32" i="6" s="1"/>
  <c r="R7" i="6" s="1"/>
  <c r="V7" i="6" s="1"/>
  <c r="F31" i="6"/>
  <c r="H31" i="6" s="1"/>
  <c r="Q7" i="6" s="1"/>
  <c r="U7" i="6" s="1"/>
  <c r="F30" i="6"/>
  <c r="H30" i="6" s="1"/>
  <c r="F29" i="6"/>
  <c r="H29" i="6" s="1"/>
  <c r="P7" i="6" s="1"/>
  <c r="T7" i="6" s="1"/>
  <c r="F28" i="6"/>
  <c r="H28" i="6" s="1"/>
  <c r="F27" i="6"/>
  <c r="H27" i="6" s="1"/>
  <c r="O7" i="6" s="1"/>
  <c r="S7" i="6" s="1"/>
  <c r="F26" i="6"/>
  <c r="H26" i="6" s="1"/>
  <c r="R6" i="6" s="1"/>
  <c r="V6" i="6" s="1"/>
  <c r="F25" i="6"/>
  <c r="H25" i="6" s="1"/>
  <c r="Q6" i="6" s="1"/>
  <c r="U6" i="6" s="1"/>
  <c r="F24" i="6"/>
  <c r="H24" i="6" s="1"/>
  <c r="F23" i="6"/>
  <c r="H23" i="6" s="1"/>
  <c r="P6" i="6" s="1"/>
  <c r="T6" i="6" s="1"/>
  <c r="F22" i="6"/>
  <c r="H22" i="6" s="1"/>
  <c r="F21" i="6"/>
  <c r="H21" i="6" s="1"/>
  <c r="O6" i="6" s="1"/>
  <c r="S6" i="6" s="1"/>
  <c r="H16" i="6"/>
  <c r="H17" i="6"/>
  <c r="H18" i="6"/>
  <c r="H20" i="6"/>
  <c r="R5" i="6" s="1"/>
  <c r="V5" i="6" s="1"/>
  <c r="F20" i="6"/>
  <c r="F19" i="6"/>
  <c r="H19" i="6" s="1"/>
  <c r="Q5" i="6" s="1"/>
  <c r="U5" i="6" s="1"/>
  <c r="F18" i="6"/>
  <c r="F17" i="6"/>
  <c r="F16" i="6"/>
  <c r="F15" i="6"/>
  <c r="G14" i="6"/>
  <c r="P5" i="6" l="1"/>
  <c r="T5" i="6" s="1"/>
  <c r="W14" i="2"/>
  <c r="G8" i="6" l="1"/>
  <c r="K13" i="1"/>
  <c r="F4" i="6"/>
  <c r="F5" i="6"/>
  <c r="F6" i="6"/>
  <c r="F7" i="6"/>
  <c r="F8" i="6"/>
  <c r="H8" i="6" s="1"/>
  <c r="R3" i="6" s="1"/>
  <c r="V3" i="6" s="1"/>
  <c r="F9" i="6"/>
  <c r="H9" i="6" s="1"/>
  <c r="F10" i="6"/>
  <c r="H10" i="6" s="1"/>
  <c r="F11" i="6"/>
  <c r="H11" i="6" s="1"/>
  <c r="F12" i="6"/>
  <c r="H12" i="6" s="1"/>
  <c r="F13" i="6"/>
  <c r="H13" i="6" s="1"/>
  <c r="Q4" i="6" s="1"/>
  <c r="U4" i="6" s="1"/>
  <c r="F14" i="6"/>
  <c r="H15" i="6"/>
  <c r="F3" i="6"/>
  <c r="H3" i="6" s="1"/>
  <c r="O3" i="6" s="1"/>
  <c r="S3" i="6" s="1"/>
  <c r="H4" i="6"/>
  <c r="H5" i="6"/>
  <c r="P3" i="6" s="1"/>
  <c r="T3" i="6" s="1"/>
  <c r="H6" i="6"/>
  <c r="H7" i="6"/>
  <c r="Q3" i="6" s="1"/>
  <c r="U3" i="6" s="1"/>
  <c r="H14" i="6"/>
  <c r="R4" i="6" s="1"/>
  <c r="V4" i="6" s="1"/>
  <c r="P15" i="1"/>
  <c r="P14" i="1"/>
  <c r="K15" i="1"/>
  <c r="K31" i="1"/>
  <c r="K30" i="1"/>
  <c r="O4" i="6" l="1"/>
  <c r="S4" i="6" s="1"/>
  <c r="O5" i="6"/>
  <c r="S5" i="6" s="1"/>
  <c r="H39" i="6"/>
  <c r="Q9" i="6"/>
  <c r="R9" i="6"/>
  <c r="P4" i="6"/>
  <c r="Q14" i="1"/>
  <c r="J14" i="1" s="1"/>
  <c r="Q15" i="1"/>
  <c r="J15" i="1" s="1"/>
  <c r="W14" i="1"/>
  <c r="W15" i="1"/>
  <c r="Q38" i="5"/>
  <c r="J38" i="5" s="1"/>
  <c r="W38" i="5"/>
  <c r="Q7" i="5"/>
  <c r="J7" i="5" s="1"/>
  <c r="W7" i="5"/>
  <c r="Q8" i="5"/>
  <c r="J8" i="5" s="1"/>
  <c r="W8" i="5"/>
  <c r="N47" i="5"/>
  <c r="Q47" i="5" s="1"/>
  <c r="M46" i="5"/>
  <c r="Q46" i="5" s="1"/>
  <c r="W46" i="5" s="1"/>
  <c r="M45" i="5"/>
  <c r="Q45" i="5" s="1"/>
  <c r="M44" i="5"/>
  <c r="Q44" i="5" s="1"/>
  <c r="M43" i="5"/>
  <c r="Q43" i="5" s="1"/>
  <c r="J43" i="5" s="1"/>
  <c r="M42" i="5"/>
  <c r="Q42" i="5" s="1"/>
  <c r="M41" i="5"/>
  <c r="Q41" i="5" s="1"/>
  <c r="M40" i="5"/>
  <c r="Q40" i="5" s="1"/>
  <c r="W40" i="5" s="1"/>
  <c r="M39" i="5"/>
  <c r="Q39" i="5" s="1"/>
  <c r="M37" i="5"/>
  <c r="Q37" i="5" s="1"/>
  <c r="M36" i="5"/>
  <c r="Q36" i="5" s="1"/>
  <c r="J36" i="5" s="1"/>
  <c r="M35" i="5"/>
  <c r="Q35" i="5" s="1"/>
  <c r="M34" i="5"/>
  <c r="Q34" i="5" s="1"/>
  <c r="M33" i="5"/>
  <c r="Q33" i="5" s="1"/>
  <c r="J33" i="5" s="1"/>
  <c r="M32" i="5"/>
  <c r="Q32" i="5" s="1"/>
  <c r="M31" i="5"/>
  <c r="Q31" i="5" s="1"/>
  <c r="M30" i="5"/>
  <c r="Q30" i="5" s="1"/>
  <c r="W30" i="5" s="1"/>
  <c r="M29" i="5"/>
  <c r="Q29" i="5" s="1"/>
  <c r="M28" i="5"/>
  <c r="Q28" i="5" s="1"/>
  <c r="M27" i="5"/>
  <c r="Q27" i="5" s="1"/>
  <c r="J27" i="5" s="1"/>
  <c r="M26" i="5"/>
  <c r="Q26" i="5" s="1"/>
  <c r="M25" i="5"/>
  <c r="Q25" i="5" s="1"/>
  <c r="M24" i="5"/>
  <c r="Q24" i="5" s="1"/>
  <c r="J24" i="5" s="1"/>
  <c r="M23" i="5"/>
  <c r="Q23" i="5" s="1"/>
  <c r="M22" i="5"/>
  <c r="Q22" i="5" s="1"/>
  <c r="M21" i="5"/>
  <c r="Q21" i="5" s="1"/>
  <c r="W21" i="5" s="1"/>
  <c r="M20" i="5"/>
  <c r="Q20" i="5" s="1"/>
  <c r="P19" i="5"/>
  <c r="Q19" i="5" s="1"/>
  <c r="P18" i="5"/>
  <c r="Q18" i="5" s="1"/>
  <c r="J18" i="5" s="1"/>
  <c r="P17" i="5"/>
  <c r="Q17" i="5" s="1"/>
  <c r="P16" i="5"/>
  <c r="Q16" i="5" s="1"/>
  <c r="P15" i="5"/>
  <c r="Q15" i="5" s="1"/>
  <c r="J15" i="5" s="1"/>
  <c r="P14" i="5"/>
  <c r="Q14" i="5" s="1"/>
  <c r="M13" i="5"/>
  <c r="Q13" i="5" s="1"/>
  <c r="M12" i="5"/>
  <c r="Q12" i="5" s="1"/>
  <c r="W12" i="5" s="1"/>
  <c r="M11" i="5"/>
  <c r="Q11" i="5" s="1"/>
  <c r="M10" i="5"/>
  <c r="Q10" i="5" s="1"/>
  <c r="M9" i="5"/>
  <c r="Q9" i="5" s="1"/>
  <c r="J9" i="5" s="1"/>
  <c r="M6" i="5"/>
  <c r="Q6" i="5" s="1"/>
  <c r="M5" i="5"/>
  <c r="Q5" i="5" s="1"/>
  <c r="M4" i="5"/>
  <c r="M3" i="5"/>
  <c r="Q3" i="5" s="1"/>
  <c r="O9" i="6" l="1"/>
  <c r="P9" i="6"/>
  <c r="T4" i="6"/>
  <c r="M48" i="5"/>
  <c r="Q4" i="5"/>
  <c r="J4" i="5" s="1"/>
  <c r="W11" i="5"/>
  <c r="J11" i="5"/>
  <c r="W31" i="5"/>
  <c r="J31" i="5"/>
  <c r="W13" i="5"/>
  <c r="J13" i="5"/>
  <c r="J44" i="5"/>
  <c r="W44" i="5"/>
  <c r="W29" i="5"/>
  <c r="J29" i="5"/>
  <c r="W22" i="5"/>
  <c r="J22" i="5"/>
  <c r="W3" i="5"/>
  <c r="J3" i="5"/>
  <c r="W32" i="5"/>
  <c r="J32" i="5"/>
  <c r="W5" i="5"/>
  <c r="J5" i="5"/>
  <c r="W16" i="5"/>
  <c r="J16" i="5"/>
  <c r="J34" i="5"/>
  <c r="W34" i="5"/>
  <c r="W17" i="5"/>
  <c r="J17" i="5"/>
  <c r="W35" i="5"/>
  <c r="J35" i="5"/>
  <c r="W20" i="5"/>
  <c r="J20" i="5"/>
  <c r="W14" i="5"/>
  <c r="J14" i="5"/>
  <c r="W42" i="5"/>
  <c r="J42" i="5"/>
  <c r="J25" i="5"/>
  <c r="W25" i="5"/>
  <c r="W6" i="5"/>
  <c r="J6" i="5"/>
  <c r="W26" i="5"/>
  <c r="J26" i="5"/>
  <c r="W45" i="5"/>
  <c r="J45" i="5"/>
  <c r="W39" i="5"/>
  <c r="J39" i="5"/>
  <c r="W41" i="5"/>
  <c r="J41" i="5"/>
  <c r="W23" i="5"/>
  <c r="J23" i="5"/>
  <c r="J10" i="5"/>
  <c r="W10" i="5"/>
  <c r="W19" i="5"/>
  <c r="J19" i="5"/>
  <c r="W28" i="5"/>
  <c r="J28" i="5"/>
  <c r="W37" i="5"/>
  <c r="J37" i="5"/>
  <c r="W47" i="5"/>
  <c r="J47" i="5"/>
  <c r="W9" i="5"/>
  <c r="W18" i="5"/>
  <c r="W27" i="5"/>
  <c r="W33" i="5"/>
  <c r="W43" i="5"/>
  <c r="W4" i="5"/>
  <c r="W15" i="5"/>
  <c r="W24" i="5"/>
  <c r="W36" i="5"/>
  <c r="J12" i="5"/>
  <c r="J21" i="5"/>
  <c r="J30" i="5"/>
  <c r="J40" i="5"/>
  <c r="J46" i="5"/>
  <c r="N44" i="4"/>
  <c r="Q44" i="4" s="1"/>
  <c r="M43" i="4"/>
  <c r="Q43" i="4" s="1"/>
  <c r="M42" i="4"/>
  <c r="Q42" i="4" s="1"/>
  <c r="M41" i="4"/>
  <c r="Q41" i="4" s="1"/>
  <c r="M40" i="4"/>
  <c r="Q40" i="4" s="1"/>
  <c r="M39" i="4"/>
  <c r="Q39" i="4" s="1"/>
  <c r="M38" i="4"/>
  <c r="Q38" i="4" s="1"/>
  <c r="M37" i="4"/>
  <c r="Q37" i="4" s="1"/>
  <c r="M36" i="4"/>
  <c r="Q36" i="4" s="1"/>
  <c r="M35" i="4"/>
  <c r="Q35" i="4" s="1"/>
  <c r="M34" i="4"/>
  <c r="Q34" i="4" s="1"/>
  <c r="M33" i="4"/>
  <c r="Q33" i="4" s="1"/>
  <c r="M32" i="4"/>
  <c r="Q32" i="4" s="1"/>
  <c r="M31" i="4"/>
  <c r="Q31" i="4" s="1"/>
  <c r="M30" i="4"/>
  <c r="Q30" i="4" s="1"/>
  <c r="M29" i="4"/>
  <c r="Q29" i="4" s="1"/>
  <c r="M28" i="4"/>
  <c r="Q28" i="4" s="1"/>
  <c r="M27" i="4"/>
  <c r="Q27" i="4" s="1"/>
  <c r="M26" i="4"/>
  <c r="Q26" i="4" s="1"/>
  <c r="J26" i="4" s="1"/>
  <c r="M25" i="4"/>
  <c r="Q25" i="4" s="1"/>
  <c r="M24" i="4"/>
  <c r="Q24" i="4" s="1"/>
  <c r="M23" i="4"/>
  <c r="Q23" i="4" s="1"/>
  <c r="M22" i="4"/>
  <c r="Q22" i="4" s="1"/>
  <c r="M21" i="4"/>
  <c r="Q21" i="4" s="1"/>
  <c r="M20" i="4"/>
  <c r="Q20" i="4" s="1"/>
  <c r="M19" i="4"/>
  <c r="Q19" i="4" s="1"/>
  <c r="M18" i="4"/>
  <c r="Q18" i="4" s="1"/>
  <c r="P17" i="4"/>
  <c r="Q17" i="4" s="1"/>
  <c r="P16" i="4"/>
  <c r="Q16" i="4" s="1"/>
  <c r="P15" i="4"/>
  <c r="Q15" i="4" s="1"/>
  <c r="P14" i="4"/>
  <c r="Q14" i="4" s="1"/>
  <c r="P13" i="4"/>
  <c r="Q13" i="4" s="1"/>
  <c r="P12" i="4"/>
  <c r="Q12" i="4" s="1"/>
  <c r="M11" i="4"/>
  <c r="Q11" i="4" s="1"/>
  <c r="M10" i="4"/>
  <c r="Q10" i="4" s="1"/>
  <c r="M9" i="4"/>
  <c r="Q9" i="4" s="1"/>
  <c r="M8" i="4"/>
  <c r="Q8" i="4" s="1"/>
  <c r="M7" i="4"/>
  <c r="Q7" i="4" s="1"/>
  <c r="M6" i="4"/>
  <c r="Q6" i="4" s="1"/>
  <c r="M5" i="4"/>
  <c r="Q5" i="4" s="1"/>
  <c r="M4" i="4"/>
  <c r="Q4" i="4" s="1"/>
  <c r="M3" i="4"/>
  <c r="Q3" i="4" s="1"/>
  <c r="M47" i="3"/>
  <c r="Q47" i="3" s="1"/>
  <c r="N46" i="3"/>
  <c r="Q46" i="3" s="1"/>
  <c r="M45" i="3"/>
  <c r="Q45" i="3" s="1"/>
  <c r="M44" i="3"/>
  <c r="Q44" i="3" s="1"/>
  <c r="M43" i="3"/>
  <c r="Q43" i="3" s="1"/>
  <c r="M42" i="3"/>
  <c r="Q42" i="3" s="1"/>
  <c r="M41" i="3"/>
  <c r="Q41" i="3" s="1"/>
  <c r="M40" i="3"/>
  <c r="Q40" i="3" s="1"/>
  <c r="M39" i="3"/>
  <c r="Q39" i="3" s="1"/>
  <c r="M38" i="3"/>
  <c r="Q38" i="3" s="1"/>
  <c r="M37" i="3"/>
  <c r="Q37" i="3" s="1"/>
  <c r="M36" i="3"/>
  <c r="Q36" i="3" s="1"/>
  <c r="M35" i="3"/>
  <c r="Q35" i="3" s="1"/>
  <c r="M34" i="3"/>
  <c r="Q34" i="3" s="1"/>
  <c r="M33" i="3"/>
  <c r="Q33" i="3" s="1"/>
  <c r="M32" i="3"/>
  <c r="Q32" i="3" s="1"/>
  <c r="M31" i="3"/>
  <c r="Q31" i="3" s="1"/>
  <c r="M30" i="3"/>
  <c r="Q30" i="3" s="1"/>
  <c r="M29" i="3"/>
  <c r="Q29" i="3" s="1"/>
  <c r="M28" i="3"/>
  <c r="Q28" i="3" s="1"/>
  <c r="M27" i="3"/>
  <c r="Q27" i="3" s="1"/>
  <c r="M26" i="3"/>
  <c r="Q26" i="3" s="1"/>
  <c r="M25" i="3"/>
  <c r="Q25" i="3" s="1"/>
  <c r="M24" i="3"/>
  <c r="Q24" i="3" s="1"/>
  <c r="M23" i="3"/>
  <c r="Q23" i="3" s="1"/>
  <c r="M22" i="3"/>
  <c r="Q22" i="3" s="1"/>
  <c r="M21" i="3"/>
  <c r="Q21" i="3" s="1"/>
  <c r="M20" i="3"/>
  <c r="Q20" i="3" s="1"/>
  <c r="P19" i="3"/>
  <c r="Q19" i="3" s="1"/>
  <c r="P18" i="3"/>
  <c r="Q18" i="3" s="1"/>
  <c r="P17" i="3"/>
  <c r="Q17" i="3" s="1"/>
  <c r="P16" i="3"/>
  <c r="Q16" i="3" s="1"/>
  <c r="P13" i="3"/>
  <c r="Q13" i="3" s="1"/>
  <c r="P12" i="3"/>
  <c r="Q12" i="3" s="1"/>
  <c r="M11" i="3"/>
  <c r="Q11" i="3" s="1"/>
  <c r="M10" i="3"/>
  <c r="Q10" i="3" s="1"/>
  <c r="M9" i="3"/>
  <c r="Q9" i="3" s="1"/>
  <c r="M8" i="3"/>
  <c r="Q8" i="3" s="1"/>
  <c r="M7" i="3"/>
  <c r="Q7" i="3" s="1"/>
  <c r="M6" i="3"/>
  <c r="Q6" i="3" s="1"/>
  <c r="M5" i="3"/>
  <c r="Q5" i="3" s="1"/>
  <c r="M4" i="3"/>
  <c r="Q4" i="3" s="1"/>
  <c r="M3" i="3"/>
  <c r="M48" i="3" l="1"/>
  <c r="J5" i="4"/>
  <c r="W5" i="4"/>
  <c r="J11" i="4"/>
  <c r="W11" i="4"/>
  <c r="J38" i="4"/>
  <c r="W38" i="4"/>
  <c r="J20" i="4"/>
  <c r="W20" i="4"/>
  <c r="J32" i="4"/>
  <c r="W32" i="4"/>
  <c r="W26" i="4"/>
  <c r="J44" i="4"/>
  <c r="W44" i="4"/>
  <c r="J23" i="4"/>
  <c r="W23" i="4"/>
  <c r="J17" i="4"/>
  <c r="W17" i="4"/>
  <c r="J14" i="4"/>
  <c r="W14" i="4"/>
  <c r="J41" i="4"/>
  <c r="W41" i="4"/>
  <c r="J35" i="4"/>
  <c r="W35" i="4"/>
  <c r="J29" i="4"/>
  <c r="W29" i="4"/>
  <c r="J8" i="4"/>
  <c r="W8" i="4"/>
  <c r="M45" i="4"/>
  <c r="W12" i="4"/>
  <c r="J12" i="4"/>
  <c r="W25" i="4"/>
  <c r="J25" i="4"/>
  <c r="W40" i="4"/>
  <c r="J40" i="4"/>
  <c r="J33" i="4"/>
  <c r="W33" i="4"/>
  <c r="W13" i="4"/>
  <c r="J13" i="4"/>
  <c r="W27" i="4"/>
  <c r="J27" i="4"/>
  <c r="W6" i="4"/>
  <c r="J6" i="4"/>
  <c r="J28" i="4"/>
  <c r="W28" i="4"/>
  <c r="J22" i="4"/>
  <c r="W22" i="4"/>
  <c r="J37" i="4"/>
  <c r="W37" i="4"/>
  <c r="W10" i="4"/>
  <c r="J10" i="4"/>
  <c r="W39" i="4"/>
  <c r="J39" i="4"/>
  <c r="W19" i="4"/>
  <c r="J19" i="4"/>
  <c r="W21" i="4"/>
  <c r="J21" i="4"/>
  <c r="J30" i="4"/>
  <c r="W30" i="4"/>
  <c r="J24" i="4"/>
  <c r="W24" i="4"/>
  <c r="W3" i="4"/>
  <c r="J3" i="4"/>
  <c r="J4" i="4"/>
  <c r="W4" i="4"/>
  <c r="J18" i="4"/>
  <c r="W18" i="4"/>
  <c r="W34" i="4"/>
  <c r="J34" i="4"/>
  <c r="J42" i="4"/>
  <c r="W42" i="4"/>
  <c r="J7" i="4"/>
  <c r="W7" i="4"/>
  <c r="J43" i="4"/>
  <c r="W43" i="4"/>
  <c r="W36" i="4"/>
  <c r="J36" i="4"/>
  <c r="J15" i="4"/>
  <c r="W15" i="4"/>
  <c r="J16" i="4"/>
  <c r="W16" i="4"/>
  <c r="J9" i="4"/>
  <c r="W9" i="4"/>
  <c r="W31" i="4"/>
  <c r="J31" i="4"/>
  <c r="W26" i="3"/>
  <c r="J26" i="3"/>
  <c r="J10" i="3"/>
  <c r="W10" i="3"/>
  <c r="J36" i="3"/>
  <c r="W36" i="3"/>
  <c r="W11" i="3"/>
  <c r="J11" i="3"/>
  <c r="W37" i="3"/>
  <c r="J37" i="3"/>
  <c r="J13" i="3"/>
  <c r="W13" i="3"/>
  <c r="J16" i="3"/>
  <c r="W16" i="3"/>
  <c r="J42" i="3"/>
  <c r="W42" i="3"/>
  <c r="J24" i="3"/>
  <c r="W24" i="3"/>
  <c r="W25" i="3"/>
  <c r="J25" i="3"/>
  <c r="W12" i="3"/>
  <c r="J12" i="3"/>
  <c r="W38" i="3"/>
  <c r="J38" i="3"/>
  <c r="J27" i="3"/>
  <c r="W27" i="3"/>
  <c r="J39" i="3"/>
  <c r="W39" i="3"/>
  <c r="W28" i="3"/>
  <c r="J28" i="3"/>
  <c r="W40" i="3"/>
  <c r="J40" i="3"/>
  <c r="W17" i="3"/>
  <c r="J17" i="3"/>
  <c r="W41" i="3"/>
  <c r="J41" i="3"/>
  <c r="J18" i="3"/>
  <c r="W18" i="3"/>
  <c r="W19" i="3"/>
  <c r="J19" i="3"/>
  <c r="W43" i="3"/>
  <c r="J43" i="3"/>
  <c r="W20" i="3"/>
  <c r="J20" i="3"/>
  <c r="J7" i="3"/>
  <c r="W7" i="3"/>
  <c r="W46" i="3"/>
  <c r="J46" i="3"/>
  <c r="W29" i="3"/>
  <c r="J29" i="3"/>
  <c r="J4" i="3"/>
  <c r="W4" i="3"/>
  <c r="J30" i="3"/>
  <c r="W30" i="3"/>
  <c r="W5" i="3"/>
  <c r="J5" i="3"/>
  <c r="W31" i="3"/>
  <c r="J31" i="3"/>
  <c r="W6" i="3"/>
  <c r="J6" i="3"/>
  <c r="W32" i="3"/>
  <c r="J32" i="3"/>
  <c r="W44" i="3"/>
  <c r="J44" i="3"/>
  <c r="J21" i="3"/>
  <c r="W21" i="3"/>
  <c r="J33" i="3"/>
  <c r="W33" i="3"/>
  <c r="J45" i="3"/>
  <c r="W45" i="3"/>
  <c r="W8" i="3"/>
  <c r="J8" i="3"/>
  <c r="W22" i="3"/>
  <c r="J22" i="3"/>
  <c r="J34" i="3"/>
  <c r="W34" i="3"/>
  <c r="W9" i="3"/>
  <c r="J9" i="3"/>
  <c r="W23" i="3"/>
  <c r="J23" i="3"/>
  <c r="W35" i="3"/>
  <c r="J35" i="3"/>
  <c r="W47" i="3"/>
  <c r="J47" i="3"/>
  <c r="Q3" i="3"/>
  <c r="N46" i="2"/>
  <c r="Q46" i="2" s="1"/>
  <c r="M45" i="2"/>
  <c r="Q45" i="2" s="1"/>
  <c r="M44" i="2"/>
  <c r="Q44" i="2" s="1"/>
  <c r="W44" i="2" s="1"/>
  <c r="M43" i="2"/>
  <c r="Q43" i="2" s="1"/>
  <c r="M42" i="2"/>
  <c r="Q42" i="2" s="1"/>
  <c r="J42" i="2" s="1"/>
  <c r="M41" i="2"/>
  <c r="Q41" i="2" s="1"/>
  <c r="W41" i="2" s="1"/>
  <c r="M40" i="2"/>
  <c r="Q40" i="2" s="1"/>
  <c r="M39" i="2"/>
  <c r="Q39" i="2" s="1"/>
  <c r="M38" i="2"/>
  <c r="Q38" i="2" s="1"/>
  <c r="M37" i="2"/>
  <c r="Q37" i="2" s="1"/>
  <c r="M36" i="2"/>
  <c r="Q36" i="2" s="1"/>
  <c r="M35" i="2"/>
  <c r="Q35" i="2" s="1"/>
  <c r="M34" i="2"/>
  <c r="Q34" i="2" s="1"/>
  <c r="J34" i="2" s="1"/>
  <c r="M33" i="2"/>
  <c r="Q33" i="2" s="1"/>
  <c r="M32" i="2"/>
  <c r="Q32" i="2" s="1"/>
  <c r="M31" i="2"/>
  <c r="Q31" i="2" s="1"/>
  <c r="J31" i="2" s="1"/>
  <c r="M30" i="2"/>
  <c r="Q30" i="2" s="1"/>
  <c r="M29" i="2"/>
  <c r="Q29" i="2" s="1"/>
  <c r="M28" i="2"/>
  <c r="Q28" i="2" s="1"/>
  <c r="M27" i="2"/>
  <c r="Q27" i="2" s="1"/>
  <c r="M26" i="2"/>
  <c r="Q26" i="2" s="1"/>
  <c r="M25" i="2"/>
  <c r="Q25" i="2" s="1"/>
  <c r="W25" i="2" s="1"/>
  <c r="M24" i="2"/>
  <c r="Q24" i="2" s="1"/>
  <c r="M23" i="2"/>
  <c r="Q23" i="2" s="1"/>
  <c r="J23" i="2" s="1"/>
  <c r="M22" i="2"/>
  <c r="Q22" i="2" s="1"/>
  <c r="M21" i="2"/>
  <c r="Q21" i="2" s="1"/>
  <c r="M20" i="2"/>
  <c r="Q20" i="2" s="1"/>
  <c r="J20" i="2" s="1"/>
  <c r="P19" i="2"/>
  <c r="Q19" i="2" s="1"/>
  <c r="P18" i="2"/>
  <c r="Q18" i="2" s="1"/>
  <c r="P17" i="2"/>
  <c r="Q17" i="2" s="1"/>
  <c r="Q16" i="2"/>
  <c r="P13" i="2"/>
  <c r="Q13" i="2" s="1"/>
  <c r="P12" i="2"/>
  <c r="Q12" i="2" s="1"/>
  <c r="M11" i="2"/>
  <c r="Q11" i="2" s="1"/>
  <c r="M10" i="2"/>
  <c r="Q10" i="2" s="1"/>
  <c r="M9" i="2"/>
  <c r="Q9" i="2" s="1"/>
  <c r="M8" i="2"/>
  <c r="Q8" i="2" s="1"/>
  <c r="M7" i="2"/>
  <c r="Q7" i="2" s="1"/>
  <c r="M6" i="2"/>
  <c r="Q6" i="2" s="1"/>
  <c r="M5" i="2"/>
  <c r="Q5" i="2" s="1"/>
  <c r="M4" i="2"/>
  <c r="Q4" i="2" s="1"/>
  <c r="M3" i="2"/>
  <c r="W6" i="2" l="1"/>
  <c r="J6" i="2"/>
  <c r="W3" i="3"/>
  <c r="J3" i="3"/>
  <c r="W30" i="2"/>
  <c r="J30" i="2"/>
  <c r="J25" i="2"/>
  <c r="W17" i="2"/>
  <c r="J17" i="2"/>
  <c r="W16" i="2"/>
  <c r="J16" i="2"/>
  <c r="W12" i="2"/>
  <c r="J12" i="2"/>
  <c r="M47" i="2"/>
  <c r="W27" i="2"/>
  <c r="J27" i="2"/>
  <c r="W18" i="2"/>
  <c r="J18" i="2"/>
  <c r="W32" i="2"/>
  <c r="J32" i="2"/>
  <c r="W33" i="2"/>
  <c r="J33" i="2"/>
  <c r="W36" i="2"/>
  <c r="J36" i="2"/>
  <c r="J26" i="2"/>
  <c r="W26" i="2"/>
  <c r="W19" i="2"/>
  <c r="J19" i="2"/>
  <c r="W21" i="2"/>
  <c r="J21" i="2"/>
  <c r="J37" i="2"/>
  <c r="W37" i="2"/>
  <c r="W8" i="2"/>
  <c r="J8" i="2"/>
  <c r="J10" i="2"/>
  <c r="W10" i="2"/>
  <c r="J13" i="2"/>
  <c r="W13" i="2"/>
  <c r="W28" i="2"/>
  <c r="J28" i="2"/>
  <c r="W7" i="2"/>
  <c r="J7" i="2"/>
  <c r="J29" i="2"/>
  <c r="W29" i="2"/>
  <c r="W35" i="2"/>
  <c r="J35" i="2"/>
  <c r="W22" i="2"/>
  <c r="J22" i="2"/>
  <c r="W43" i="2"/>
  <c r="J43" i="2"/>
  <c r="W9" i="2"/>
  <c r="J9" i="2"/>
  <c r="W24" i="2"/>
  <c r="J24" i="2"/>
  <c r="J38" i="2"/>
  <c r="W38" i="2"/>
  <c r="W39" i="2"/>
  <c r="J39" i="2"/>
  <c r="W46" i="2"/>
  <c r="J46" i="2"/>
  <c r="J45" i="2"/>
  <c r="W45" i="2"/>
  <c r="W4" i="2"/>
  <c r="J4" i="2"/>
  <c r="J11" i="2"/>
  <c r="W11" i="2"/>
  <c r="W5" i="2"/>
  <c r="J5" i="2"/>
  <c r="W40" i="2"/>
  <c r="J40" i="2"/>
  <c r="W20" i="2"/>
  <c r="W23" i="2"/>
  <c r="W31" i="2"/>
  <c r="W34" i="2"/>
  <c r="W42" i="2"/>
  <c r="J41" i="2"/>
  <c r="Q3" i="2"/>
  <c r="J44" i="2"/>
  <c r="K45" i="1"/>
  <c r="K43" i="1"/>
  <c r="K42" i="1"/>
  <c r="K41" i="1"/>
  <c r="K39" i="1"/>
  <c r="K37" i="1"/>
  <c r="L28" i="1"/>
  <c r="K24" i="1"/>
  <c r="K18" i="1"/>
  <c r="K10" i="1"/>
  <c r="K9" i="1"/>
  <c r="K8" i="1"/>
  <c r="W3" i="2" l="1"/>
  <c r="J3" i="2"/>
  <c r="N46" i="1"/>
  <c r="P12" i="1"/>
  <c r="Q12" i="1" s="1"/>
  <c r="J12" i="1" s="1"/>
  <c r="P13" i="1"/>
  <c r="Q13" i="1" s="1"/>
  <c r="J13" i="1" s="1"/>
  <c r="P16" i="1"/>
  <c r="Q16" i="1" s="1"/>
  <c r="J16" i="1" s="1"/>
  <c r="P17" i="1"/>
  <c r="Q17" i="1" s="1"/>
  <c r="J17" i="1" s="1"/>
  <c r="P18" i="1"/>
  <c r="Q18" i="1" s="1"/>
  <c r="J18" i="1" s="1"/>
  <c r="P19" i="1"/>
  <c r="Q19" i="1" s="1"/>
  <c r="J19" i="1" s="1"/>
  <c r="M5" i="1"/>
  <c r="Q5" i="1" s="1"/>
  <c r="J5" i="1" s="1"/>
  <c r="M6" i="1"/>
  <c r="Q6" i="1" s="1"/>
  <c r="J6" i="1" s="1"/>
  <c r="M7" i="1"/>
  <c r="M8" i="1"/>
  <c r="M9" i="1"/>
  <c r="M10" i="1"/>
  <c r="M11" i="1"/>
  <c r="M20" i="1"/>
  <c r="Q20" i="1" s="1"/>
  <c r="J20" i="1" s="1"/>
  <c r="M21" i="1"/>
  <c r="M22" i="1"/>
  <c r="M23" i="1"/>
  <c r="M24" i="1"/>
  <c r="M25" i="1"/>
  <c r="M26" i="1"/>
  <c r="M27" i="1"/>
  <c r="M28" i="1"/>
  <c r="M29" i="1"/>
  <c r="Q29" i="1" s="1"/>
  <c r="J29" i="1" s="1"/>
  <c r="M30" i="1"/>
  <c r="M31" i="1"/>
  <c r="Q31" i="1" s="1"/>
  <c r="J31" i="1" s="1"/>
  <c r="M32" i="1"/>
  <c r="Q32" i="1" s="1"/>
  <c r="J32" i="1" s="1"/>
  <c r="M33" i="1"/>
  <c r="M34" i="1"/>
  <c r="M35" i="1"/>
  <c r="M36" i="1"/>
  <c r="M37" i="1"/>
  <c r="M38" i="1"/>
  <c r="M39" i="1"/>
  <c r="M40" i="1"/>
  <c r="M41" i="1"/>
  <c r="Q41" i="1" s="1"/>
  <c r="J41" i="1" s="1"/>
  <c r="M42" i="1"/>
  <c r="Q42" i="1" s="1"/>
  <c r="J42" i="1" s="1"/>
  <c r="M43" i="1"/>
  <c r="Q43" i="1" s="1"/>
  <c r="J43" i="1" s="1"/>
  <c r="M44" i="1"/>
  <c r="Q44" i="1" s="1"/>
  <c r="J44" i="1" s="1"/>
  <c r="M45" i="1"/>
  <c r="M47" i="1"/>
  <c r="M3" i="1"/>
  <c r="Q30" i="1"/>
  <c r="J30" i="1" s="1"/>
  <c r="Q3" i="1" l="1"/>
  <c r="Q40" i="1"/>
  <c r="J40" i="1" s="1"/>
  <c r="Q11" i="1"/>
  <c r="J11" i="1" s="1"/>
  <c r="Q38" i="1"/>
  <c r="Q27" i="1"/>
  <c r="Q25" i="1"/>
  <c r="Q24" i="1"/>
  <c r="J24" i="1" s="1"/>
  <c r="Q35" i="1"/>
  <c r="Q7" i="1"/>
  <c r="Q34" i="1"/>
  <c r="Q45" i="1"/>
  <c r="Q28" i="1"/>
  <c r="J28" i="1" s="1"/>
  <c r="Q39" i="1"/>
  <c r="Q26" i="1"/>
  <c r="J26" i="1" s="1"/>
  <c r="Q10" i="1"/>
  <c r="J10" i="1" s="1"/>
  <c r="Q37" i="1"/>
  <c r="Q9" i="1"/>
  <c r="Q36" i="1"/>
  <c r="J36" i="1" s="1"/>
  <c r="Q8" i="1"/>
  <c r="J8" i="1" s="1"/>
  <c r="Q47" i="1"/>
  <c r="J47" i="1" s="1"/>
  <c r="Q23" i="1"/>
  <c r="Q46" i="1"/>
  <c r="Q22" i="1"/>
  <c r="J22" i="1" s="1"/>
  <c r="Q33" i="1"/>
  <c r="Q21" i="1"/>
  <c r="W13" i="1"/>
  <c r="W43" i="1"/>
  <c r="W42" i="1"/>
  <c r="W41" i="1"/>
  <c r="W31" i="1"/>
  <c r="W30" i="1"/>
  <c r="W29" i="1"/>
  <c r="W26" i="1"/>
  <c r="W19" i="1"/>
  <c r="W18" i="1"/>
  <c r="W17" i="1"/>
  <c r="W12" i="1"/>
  <c r="W5" i="1"/>
  <c r="K4" i="1"/>
  <c r="M4" i="1" s="1"/>
  <c r="Q4" i="1" s="1"/>
  <c r="J4" i="1" s="1"/>
  <c r="W46" i="1" l="1"/>
  <c r="J46" i="1"/>
  <c r="W34" i="1"/>
  <c r="J34" i="1"/>
  <c r="W35" i="1"/>
  <c r="J35" i="1"/>
  <c r="W23" i="1"/>
  <c r="J23" i="1"/>
  <c r="W7" i="1"/>
  <c r="J7" i="1"/>
  <c r="M48" i="1"/>
  <c r="W45" i="1"/>
  <c r="J45" i="1"/>
  <c r="W25" i="1"/>
  <c r="J25" i="1"/>
  <c r="W9" i="1"/>
  <c r="J9" i="1"/>
  <c r="W27" i="1"/>
  <c r="J27" i="1"/>
  <c r="W37" i="1"/>
  <c r="J37" i="1"/>
  <c r="W38" i="1"/>
  <c r="J38" i="1"/>
  <c r="W11" i="1"/>
  <c r="W21" i="1"/>
  <c r="J21" i="1"/>
  <c r="W39" i="1"/>
  <c r="J39" i="1"/>
  <c r="W33" i="1"/>
  <c r="J33" i="1"/>
  <c r="W8" i="1"/>
  <c r="W47" i="1"/>
  <c r="W22" i="1"/>
  <c r="W40" i="1"/>
  <c r="W16" i="1"/>
  <c r="W20" i="1"/>
  <c r="W24" i="1"/>
  <c r="W36" i="1"/>
  <c r="W10" i="1"/>
  <c r="W32" i="1"/>
  <c r="W44" i="1"/>
  <c r="W28" i="1"/>
  <c r="W6" i="1"/>
  <c r="J3" i="1"/>
  <c r="W3" i="1"/>
  <c r="W4" i="1"/>
</calcChain>
</file>

<file path=xl/comments1.xml><?xml version="1.0" encoding="utf-8"?>
<comments xmlns="http://schemas.openxmlformats.org/spreadsheetml/2006/main">
  <authors>
    <author>Sonia Oliva</author>
  </authors>
  <commentList>
    <comment ref="K11" authorId="0" shapeId="0">
      <text>
        <r>
          <rPr>
            <b/>
            <sz val="9"/>
            <color indexed="81"/>
            <rFont val="Tahoma"/>
            <family val="2"/>
          </rPr>
          <t>Sonia Oliva:</t>
        </r>
        <r>
          <rPr>
            <sz val="9"/>
            <color indexed="81"/>
            <rFont val="Tahoma"/>
            <family val="2"/>
          </rPr>
          <t xml:space="preserve">
Blanca Montes and John Ildefonso</t>
        </r>
      </text>
    </comment>
  </commentList>
</comments>
</file>

<file path=xl/sharedStrings.xml><?xml version="1.0" encoding="utf-8"?>
<sst xmlns="http://schemas.openxmlformats.org/spreadsheetml/2006/main" count="1096" uniqueCount="190">
  <si>
    <t>Goal #</t>
  </si>
  <si>
    <t>Action #</t>
  </si>
  <si>
    <t>Action Title</t>
  </si>
  <si>
    <t>Student Group(s)</t>
  </si>
  <si>
    <t>Contributing to Increased or Improved Services?</t>
  </si>
  <si>
    <t>Scope</t>
  </si>
  <si>
    <t>Unduplicated Student Group(s)</t>
  </si>
  <si>
    <t>Location</t>
  </si>
  <si>
    <t>Time Span</t>
  </si>
  <si>
    <t>Personnel Expense</t>
  </si>
  <si>
    <t>Total Personnel</t>
  </si>
  <si>
    <t>Total Non-personnel</t>
  </si>
  <si>
    <t>LCFF Funds</t>
  </si>
  <si>
    <t>Other State Funds</t>
  </si>
  <si>
    <t>Local Funds</t>
  </si>
  <si>
    <t>Federal Funds</t>
  </si>
  <si>
    <t>Total Funds</t>
  </si>
  <si>
    <t>Object</t>
  </si>
  <si>
    <t>Item</t>
  </si>
  <si>
    <t xml:space="preserve">Check </t>
  </si>
  <si>
    <t>All</t>
  </si>
  <si>
    <t>Ongoing</t>
  </si>
  <si>
    <t>Provide necessary standards-aligned curriculum</t>
  </si>
  <si>
    <t>BBDs</t>
  </si>
  <si>
    <t>BBDs Benefits</t>
  </si>
  <si>
    <t>Funding Source</t>
  </si>
  <si>
    <t>Stipends</t>
  </si>
  <si>
    <t>Stipends Benefits</t>
  </si>
  <si>
    <t>Questions?</t>
  </si>
  <si>
    <t>Which Stipends?</t>
  </si>
  <si>
    <t xml:space="preserve">
Support parents in helping their students increase SBAC proficiency in ELA and Math
</t>
  </si>
  <si>
    <t>AP Salary</t>
  </si>
  <si>
    <t>AP Benefits</t>
  </si>
  <si>
    <t>Art &amp; Music Teacher Salaries</t>
  </si>
  <si>
    <t>Art &amp; Music Teacher Benefits</t>
  </si>
  <si>
    <t>Action 4 is missing</t>
  </si>
  <si>
    <t xml:space="preserve">Use federal funding to supplement our curriculum </t>
  </si>
  <si>
    <t xml:space="preserve">12% teacher time for ELA </t>
  </si>
  <si>
    <t>Teacher Benefits</t>
  </si>
  <si>
    <t xml:space="preserve">PD, Achievement Network tuition reimbursement for staff </t>
  </si>
  <si>
    <t>EL Intervention Salaries - Title III</t>
  </si>
  <si>
    <t>EL Intervention Benefits - Title III</t>
  </si>
  <si>
    <t>Science Materials - Title IV</t>
  </si>
  <si>
    <t xml:space="preserve">Ensure adequate school facility operations </t>
  </si>
  <si>
    <t>Capital Improvements</t>
  </si>
  <si>
    <t>Vendor Repairs</t>
  </si>
  <si>
    <t>HVAC Maintenance</t>
  </si>
  <si>
    <t>Custodian Benefits</t>
  </si>
  <si>
    <t>Custodian Salaries</t>
  </si>
  <si>
    <t>Janitorial Company</t>
  </si>
  <si>
    <t>Campus Security Guards</t>
  </si>
  <si>
    <t>Non-Capitalized Equipment</t>
  </si>
  <si>
    <t>25% of Rent</t>
  </si>
  <si>
    <t>Office Supplies</t>
  </si>
  <si>
    <t>Ensure students have access and are enrolled in a broad course of study (i.e. social science, science, health, PE, VAPA, foreign language)</t>
  </si>
  <si>
    <t>PE &amp; Science Teacher Salaries</t>
  </si>
  <si>
    <t>PE &amp; Science Teacher Benefits</t>
  </si>
  <si>
    <t>PN EDG Cost</t>
  </si>
  <si>
    <t>Books</t>
  </si>
  <si>
    <t>Software</t>
  </si>
  <si>
    <t>Consultants</t>
  </si>
  <si>
    <t>SOM Salary</t>
  </si>
  <si>
    <t>SOM Benefits</t>
  </si>
  <si>
    <t>Mentions Books for PD?</t>
  </si>
  <si>
    <t>Which Software? States to track academic, attendance and behavior data</t>
  </si>
  <si>
    <t>Instructional Consultant/coaching?</t>
  </si>
  <si>
    <t xml:space="preserve">Pupil Engagement 
Leverage school staff across departments to foster positive pupil engagement 
</t>
  </si>
  <si>
    <t>Registrar Salary</t>
  </si>
  <si>
    <t>Registrar Benefits</t>
  </si>
  <si>
    <t>Front Office Clerk/Staff Salary</t>
  </si>
  <si>
    <t>Front Office Clerk/Staff Benefits</t>
  </si>
  <si>
    <t xml:space="preserve">School Climate 
Provide student-facing supports across the school community to improve school climate
</t>
  </si>
  <si>
    <t>Campus Aide Salary</t>
  </si>
  <si>
    <t>Campus Aide Benefits</t>
  </si>
  <si>
    <t>ASES</t>
  </si>
  <si>
    <t>Dean's List Software</t>
  </si>
  <si>
    <t>Had to add to budget</t>
  </si>
  <si>
    <t>Nothing budgeted</t>
  </si>
  <si>
    <t>All?</t>
  </si>
  <si>
    <t>Response to Questions</t>
  </si>
  <si>
    <t>Add wording on TA title 1 position</t>
  </si>
  <si>
    <t>Ellaborate more</t>
  </si>
  <si>
    <t>I don't see this listed in the action detail - Espy to add additional detail on the action</t>
  </si>
  <si>
    <t>I don't see this listed in the action detail, is this just receptionist or also Office Assistant? - Espy to add additional detail on the action</t>
  </si>
  <si>
    <t>Was not listed, but mentioned in action, need to remove if including in Software line item above</t>
  </si>
  <si>
    <t>Music Teacher Salaries</t>
  </si>
  <si>
    <t>Music Teacher Benefits</t>
  </si>
  <si>
    <t>Action 2 Description seems to have gotten pasted into Action 3</t>
  </si>
  <si>
    <t>No rent</t>
  </si>
  <si>
    <t>FSC Salary</t>
  </si>
  <si>
    <t>FSC Benefits</t>
  </si>
  <si>
    <t xml:space="preserve">Provide elective courses
</t>
  </si>
  <si>
    <t>Elective Teacher Benefits</t>
  </si>
  <si>
    <t xml:space="preserve">Description needs to be updated, does not match </t>
  </si>
  <si>
    <t>Responsive Classrom</t>
  </si>
  <si>
    <t>Action 2 Description seems to have gotten pasted into Action 3, this action also lists the Princpal's salary, is this accurate?</t>
  </si>
  <si>
    <t>Description needs to be updated, does not match, also lists Principal as a Cost</t>
  </si>
  <si>
    <t>Rent for EIS only</t>
  </si>
  <si>
    <t>College Counselors Salary</t>
  </si>
  <si>
    <t>College Counselors Benefits</t>
  </si>
  <si>
    <t>This is not listed in description</t>
  </si>
  <si>
    <t>Instructional Consultant/coaching? - Larry put this question on the description as well</t>
  </si>
  <si>
    <t xml:space="preserve">(8. Other pupil outcomes) 
Pupil outcomes (must address if available, outcomes for courses listed in course access above) 
</t>
  </si>
  <si>
    <t>3rd Action added, but no description or list of expenses</t>
  </si>
  <si>
    <t>N/A but listed as an expense</t>
  </si>
  <si>
    <t>Site</t>
  </si>
  <si>
    <t>Expense Item</t>
  </si>
  <si>
    <t>Science/Math teachers? Should they be charged to S&amp;C? Excluded, but can add as LCFF base separately</t>
  </si>
  <si>
    <t>Teacher Aide Salaries</t>
  </si>
  <si>
    <t>Teacher Aide Benefits</t>
  </si>
  <si>
    <t>Salaries</t>
  </si>
  <si>
    <t>Benefits</t>
  </si>
  <si>
    <t>Non-Employee Cost</t>
  </si>
  <si>
    <t>12% of Teacher Salaries (non-sped, non S&amp;C)</t>
  </si>
  <si>
    <t>Teacher Assistants (non-sped)</t>
  </si>
  <si>
    <t>CNCA#1 - Burlington</t>
  </si>
  <si>
    <t>Funding</t>
  </si>
  <si>
    <t>Title I</t>
  </si>
  <si>
    <t>Title II</t>
  </si>
  <si>
    <t>Title III</t>
  </si>
  <si>
    <t>Intervention Teacher - Jessica Cedillo</t>
  </si>
  <si>
    <t>Title IV</t>
  </si>
  <si>
    <t>Object Code</t>
  </si>
  <si>
    <t>Stemscopes &amp; Sience Materials (added to budget)</t>
  </si>
  <si>
    <t>Induction Reimbursement</t>
  </si>
  <si>
    <t>Media Literacy teacher?</t>
  </si>
  <si>
    <t>CNCA#2 - Kayne Siart</t>
  </si>
  <si>
    <t>Teacher Assistant - Language Facilitator - Amy Pineda</t>
  </si>
  <si>
    <t>Intervention Teacher - Claire Schmidt</t>
  </si>
  <si>
    <t>Total Cost</t>
  </si>
  <si>
    <t>CNCA#3 - Castellanos</t>
  </si>
  <si>
    <t xml:space="preserve">Intervention Teacher - </t>
  </si>
  <si>
    <t>CNCA#3 - Eisner</t>
  </si>
  <si>
    <t>CNCA#4 - Cisneros</t>
  </si>
  <si>
    <t>CNHS#2 - Dalzell Lance</t>
  </si>
  <si>
    <t>TA Salaries</t>
  </si>
  <si>
    <t>TA Benefits</t>
  </si>
  <si>
    <t>CNCA#1</t>
  </si>
  <si>
    <t>CNCA#2</t>
  </si>
  <si>
    <t>CNCA#3</t>
  </si>
  <si>
    <t>CNCA#4</t>
  </si>
  <si>
    <t>CNHS#2</t>
  </si>
  <si>
    <t>Added to budget, this had been removed with note to code to ESSER - Need to confirm if it should or not</t>
  </si>
  <si>
    <t>Not budgeted</t>
  </si>
  <si>
    <t>Should Science be charged to S&amp;C? Excluded, but can add as LCFF base separately (57200)</t>
  </si>
  <si>
    <t>What about PE TA? Should we include?</t>
  </si>
  <si>
    <t>Should Science be charged to S&amp;C? Excluded, but can add as LCFF base separately (134479)</t>
  </si>
  <si>
    <t>I don't see this listed in the action detail - Espy to add additional detail on the action - No registrar in budget (only Records Clerk and Office Assitant)</t>
  </si>
  <si>
    <t>I don't see this listed in the action detail, is this the Office Assistant? - Espy to add additional detail on the action</t>
  </si>
  <si>
    <t>No TA, but 11% of teacher salaries covers Title I as well</t>
  </si>
  <si>
    <t>$11,250 - 5211/$17,375 - 5852</t>
  </si>
  <si>
    <t>$27,250 - 5852</t>
  </si>
  <si>
    <t>Other Title II PD (Added to budget)</t>
  </si>
  <si>
    <t>Anet &amp; Induction Reimbursement</t>
  </si>
  <si>
    <t>Teacher PD &amp; Other Title II PD (Added to budget)</t>
  </si>
  <si>
    <t>Anet (Added to budget) &amp; Induction Reimbursement</t>
  </si>
  <si>
    <t>$11,000 - 5211/$18,813 - 5852</t>
  </si>
  <si>
    <t>Conferences for Teachers</t>
  </si>
  <si>
    <t>Anet, Induction Reimbursement &amp; Teacher PD (4 teachers)</t>
  </si>
  <si>
    <t>Intervention Teacher - Added to budget - None listed</t>
  </si>
  <si>
    <r>
      <t xml:space="preserve">Teacher Assistants (non-sped) - </t>
    </r>
    <r>
      <rPr>
        <sz val="11"/>
        <color rgb="FFFF0000"/>
        <rFont val="Arial"/>
        <family val="2"/>
      </rPr>
      <t>None</t>
    </r>
  </si>
  <si>
    <t>LCAP mentions ELA and math --- Title III should be targetted to english language learners</t>
  </si>
  <si>
    <t>LCAP mentions ELA and math --- Title III should be targetted to english language learners. Had to add position to budget</t>
  </si>
  <si>
    <t>None Budgeted</t>
  </si>
  <si>
    <t xml:space="preserve">Total LCFF Supplemental and Concentration Grant Target </t>
  </si>
  <si>
    <t>Minimum Proportionality Percentage</t>
  </si>
  <si>
    <t>Teacher Assistant - Bilingual - Figueroa Lopez, Maria</t>
  </si>
  <si>
    <r>
      <rPr>
        <sz val="11"/>
        <color rgb="FFFF0000"/>
        <rFont val="Arial"/>
        <family val="2"/>
      </rPr>
      <t>Relay PD</t>
    </r>
    <r>
      <rPr>
        <sz val="11"/>
        <color theme="1"/>
        <rFont val="Arial"/>
        <family val="2"/>
      </rPr>
      <t>, Other Title II PD (Added to budget)</t>
    </r>
  </si>
  <si>
    <t>Mentions CPM licenses, Stemscopes, what about college counselor asst?</t>
  </si>
  <si>
    <t>Description needs to be updated, does not match , Confirm John Ildefonso is Art teacher. Should Spanish teacher (Blanca Montes) be included as well?</t>
  </si>
  <si>
    <t>$20,000 - 5211/$563 - 5852</t>
  </si>
  <si>
    <t>Does not have Anet in budget, has Relay PD</t>
  </si>
  <si>
    <r>
      <t xml:space="preserve">LCAP mentions ELA and math --- Title III should be targetted to engligh language learners - </t>
    </r>
    <r>
      <rPr>
        <sz val="12"/>
        <color rgb="FFFF0000"/>
        <rFont val="Arial"/>
        <family val="2"/>
      </rPr>
      <t>Does not have intervention TA, has Bilinguial TA listed as Title III</t>
    </r>
  </si>
  <si>
    <t>EL Intervention Salaries - Title III - Should State Bilingual TA instead</t>
  </si>
  <si>
    <t>All? - Includes Blinders for all windows and walkie talkies</t>
  </si>
  <si>
    <t>Should Science be charged to S&amp;C? Excluded, but can add as LCFF base separately (need confirmation on Science teachers as not listed in budget)</t>
  </si>
  <si>
    <t>I don't see this listed in the action detail, is this to include both office assitant and office clerk? - Espy to add additional detail on the action</t>
  </si>
  <si>
    <t>Relay PD</t>
  </si>
  <si>
    <t>Intervention Teacher - FT Classified (new, but prev Arturo Saldana)</t>
  </si>
  <si>
    <r>
      <t xml:space="preserve">12% of Teacher Salaries (non-sped, non S&amp;C) - </t>
    </r>
    <r>
      <rPr>
        <sz val="11"/>
        <color rgb="FFFF0000"/>
        <rFont val="Arial"/>
        <family val="2"/>
      </rPr>
      <t>Does not cover Title I Amount for EIS</t>
    </r>
  </si>
  <si>
    <r>
      <t xml:space="preserve">Other Title II PD - </t>
    </r>
    <r>
      <rPr>
        <sz val="11"/>
        <color rgb="FFFF0000"/>
        <rFont val="Arial"/>
        <family val="2"/>
      </rPr>
      <t>None</t>
    </r>
  </si>
  <si>
    <t>Budgeted Expenses</t>
  </si>
  <si>
    <t>(Over)/Under</t>
  </si>
  <si>
    <t>CAS</t>
  </si>
  <si>
    <t>EIS</t>
  </si>
  <si>
    <t>Total</t>
  </si>
  <si>
    <t>None budgeted</t>
  </si>
  <si>
    <t>Instructional Consultant/coaching? None budgeted</t>
  </si>
  <si>
    <t>Art Teacher, Critical Media Teacher Salary</t>
  </si>
  <si>
    <t>$8,000 - 5211/$33,938 - 5852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</si>
</sst>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Arial"/>
      <family val="2"/>
    </font>
    <font>
      <b/>
      <sz val="20"/>
      <name val="Arial"/>
      <family val="2"/>
    </font>
    <font>
      <sz val="12"/>
      <color theme="1"/>
      <name val="Arial"/>
      <family val="2"/>
    </font>
    <font>
      <sz val="12"/>
      <color theme="1"/>
      <name val="Arial"/>
    </font>
    <font>
      <sz val="11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Arial"/>
    </font>
    <font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rial"/>
      <family val="2"/>
    </font>
    <font>
      <sz val="12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1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NumberFormat="1" applyFont="1"/>
    <xf numFmtId="0" fontId="3" fillId="0" borderId="0" xfId="0" applyNumberFormat="1" applyFont="1" applyAlignment="1">
      <alignment wrapText="1"/>
    </xf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9" fontId="3" fillId="0" borderId="0" xfId="0" applyNumberFormat="1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2" fillId="3" borderId="3" xfId="0" applyFont="1" applyFill="1" applyBorder="1" applyAlignment="1">
      <alignment horizontal="center"/>
    </xf>
    <xf numFmtId="9" fontId="2" fillId="0" borderId="3" xfId="0" applyNumberFormat="1" applyFont="1" applyBorder="1"/>
    <xf numFmtId="164" fontId="2" fillId="0" borderId="3" xfId="0" applyNumberFormat="1" applyFont="1" applyBorder="1"/>
    <xf numFmtId="0" fontId="3" fillId="0" borderId="3" xfId="0" applyNumberFormat="1" applyFont="1" applyBorder="1" applyAlignment="1">
      <alignment wrapText="1"/>
    </xf>
    <xf numFmtId="0" fontId="3" fillId="0" borderId="3" xfId="0" applyNumberFormat="1" applyFont="1" applyBorder="1"/>
    <xf numFmtId="0" fontId="3" fillId="0" borderId="3" xfId="0" applyNumberFormat="1" applyFont="1" applyFill="1" applyBorder="1" applyAlignment="1">
      <alignment wrapText="1"/>
    </xf>
    <xf numFmtId="0" fontId="3" fillId="0" borderId="4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3" borderId="0" xfId="0" applyFont="1" applyFill="1" applyBorder="1" applyAlignment="1">
      <alignment horizontal="center"/>
    </xf>
    <xf numFmtId="9" fontId="2" fillId="0" borderId="0" xfId="0" applyNumberFormat="1" applyFont="1" applyBorder="1"/>
    <xf numFmtId="164" fontId="2" fillId="0" borderId="0" xfId="0" applyNumberFormat="1" applyFont="1" applyBorder="1"/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Border="1"/>
    <xf numFmtId="0" fontId="3" fillId="0" borderId="0" xfId="0" applyNumberFormat="1" applyFont="1" applyFill="1" applyBorder="1" applyAlignment="1">
      <alignment wrapText="1"/>
    </xf>
    <xf numFmtId="0" fontId="3" fillId="0" borderId="6" xfId="0" applyNumberFormat="1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8" xfId="0" applyFont="1" applyBorder="1"/>
    <xf numFmtId="9" fontId="2" fillId="0" borderId="8" xfId="0" applyNumberFormat="1" applyFont="1" applyBorder="1"/>
    <xf numFmtId="164" fontId="2" fillId="0" borderId="8" xfId="0" applyNumberFormat="1" applyFont="1" applyBorder="1"/>
    <xf numFmtId="0" fontId="3" fillId="0" borderId="8" xfId="0" applyNumberFormat="1" applyFont="1" applyBorder="1" applyAlignment="1">
      <alignment wrapText="1"/>
    </xf>
    <xf numFmtId="0" fontId="3" fillId="0" borderId="8" xfId="0" applyNumberFormat="1" applyFont="1" applyBorder="1"/>
    <xf numFmtId="0" fontId="3" fillId="0" borderId="8" xfId="0" applyNumberFormat="1" applyFont="1" applyFill="1" applyBorder="1" applyAlignment="1">
      <alignment wrapText="1"/>
    </xf>
    <xf numFmtId="0" fontId="3" fillId="0" borderId="9" xfId="0" applyNumberFormat="1" applyFont="1" applyBorder="1"/>
    <xf numFmtId="0" fontId="2" fillId="3" borderId="8" xfId="0" applyFont="1" applyFill="1" applyBorder="1" applyAlignment="1">
      <alignment horizontal="center"/>
    </xf>
    <xf numFmtId="0" fontId="2" fillId="0" borderId="3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9" fontId="2" fillId="0" borderId="11" xfId="0" applyNumberFormat="1" applyFont="1" applyBorder="1"/>
    <xf numFmtId="164" fontId="2" fillId="0" borderId="11" xfId="0" applyNumberFormat="1" applyFont="1" applyBorder="1"/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/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Border="1"/>
    <xf numFmtId="164" fontId="3" fillId="0" borderId="3" xfId="0" applyNumberFormat="1" applyFont="1" applyBorder="1"/>
    <xf numFmtId="0" fontId="3" fillId="3" borderId="3" xfId="0" applyNumberFormat="1" applyFont="1" applyFill="1" applyBorder="1" applyAlignment="1">
      <alignment wrapText="1"/>
    </xf>
    <xf numFmtId="164" fontId="3" fillId="0" borderId="0" xfId="0" applyNumberFormat="1" applyFont="1" applyBorder="1"/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164" fontId="3" fillId="0" borderId="8" xfId="0" applyNumberFormat="1" applyFont="1" applyBorder="1"/>
    <xf numFmtId="0" fontId="2" fillId="0" borderId="8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0" fontId="2" fillId="3" borderId="8" xfId="0" applyNumberFormat="1" applyFont="1" applyFill="1" applyBorder="1" applyAlignment="1">
      <alignment wrapText="1"/>
    </xf>
    <xf numFmtId="164" fontId="2" fillId="3" borderId="0" xfId="0" applyNumberFormat="1" applyFont="1" applyFill="1" applyBorder="1"/>
    <xf numFmtId="164" fontId="2" fillId="3" borderId="8" xfId="0" applyNumberFormat="1" applyFont="1" applyFill="1" applyBorder="1"/>
    <xf numFmtId="0" fontId="2" fillId="0" borderId="0" xfId="0" applyNumberFormat="1" applyFont="1" applyBorder="1"/>
    <xf numFmtId="0" fontId="5" fillId="0" borderId="3" xfId="0" applyNumberFormat="1" applyFont="1" applyBorder="1" applyAlignment="1">
      <alignment wrapText="1"/>
    </xf>
    <xf numFmtId="9" fontId="2" fillId="0" borderId="0" xfId="0" applyNumberFormat="1" applyFont="1"/>
    <xf numFmtId="164" fontId="2" fillId="0" borderId="0" xfId="0" applyNumberFormat="1" applyFont="1"/>
    <xf numFmtId="0" fontId="2" fillId="0" borderId="0" xfId="0" applyNumberFormat="1" applyFont="1" applyAlignment="1">
      <alignment wrapText="1"/>
    </xf>
    <xf numFmtId="0" fontId="2" fillId="0" borderId="0" xfId="0" applyNumberFormat="1" applyFont="1"/>
    <xf numFmtId="0" fontId="3" fillId="4" borderId="8" xfId="0" applyNumberFormat="1" applyFont="1" applyFill="1" applyBorder="1" applyAlignment="1">
      <alignment wrapText="1"/>
    </xf>
    <xf numFmtId="0" fontId="2" fillId="4" borderId="8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horizontal="center"/>
    </xf>
    <xf numFmtId="0" fontId="3" fillId="4" borderId="0" xfId="0" applyNumberFormat="1" applyFont="1" applyFill="1" applyBorder="1" applyAlignment="1">
      <alignment wrapText="1"/>
    </xf>
    <xf numFmtId="0" fontId="2" fillId="4" borderId="0" xfId="0" applyNumberFormat="1" applyFont="1" applyFill="1" applyBorder="1" applyAlignment="1">
      <alignment wrapText="1"/>
    </xf>
    <xf numFmtId="0" fontId="3" fillId="3" borderId="0" xfId="0" applyNumberFormat="1" applyFont="1" applyFill="1" applyBorder="1" applyAlignment="1">
      <alignment wrapText="1"/>
    </xf>
    <xf numFmtId="44" fontId="0" fillId="0" borderId="0" xfId="3" applyFont="1"/>
    <xf numFmtId="43" fontId="0" fillId="0" borderId="0" xfId="2" applyFont="1"/>
    <xf numFmtId="0" fontId="0" fillId="0" borderId="0" xfId="0" applyAlignment="1">
      <alignment wrapText="1"/>
    </xf>
    <xf numFmtId="43" fontId="0" fillId="5" borderId="0" xfId="2" applyFont="1" applyFill="1"/>
    <xf numFmtId="43" fontId="6" fillId="0" borderId="0" xfId="2" applyFont="1"/>
    <xf numFmtId="43" fontId="6" fillId="5" borderId="0" xfId="2" applyFont="1" applyFill="1"/>
    <xf numFmtId="0" fontId="2" fillId="4" borderId="3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44" fontId="0" fillId="0" borderId="0" xfId="3" applyFont="1" applyAlignment="1">
      <alignment wrapText="1"/>
    </xf>
    <xf numFmtId="10" fontId="0" fillId="0" borderId="0" xfId="4" applyNumberFormat="1" applyFont="1" applyAlignment="1">
      <alignment wrapText="1"/>
    </xf>
    <xf numFmtId="10" fontId="0" fillId="0" borderId="0" xfId="4" applyNumberFormat="1" applyFont="1"/>
    <xf numFmtId="0" fontId="5" fillId="4" borderId="0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43" fontId="0" fillId="0" borderId="5" xfId="2" applyFont="1" applyBorder="1"/>
    <xf numFmtId="43" fontId="0" fillId="0" borderId="0" xfId="2" applyFont="1" applyBorder="1"/>
    <xf numFmtId="43" fontId="0" fillId="0" borderId="6" xfId="2" applyFont="1" applyBorder="1"/>
    <xf numFmtId="43" fontId="0" fillId="0" borderId="7" xfId="2" applyFont="1" applyBorder="1"/>
    <xf numFmtId="43" fontId="0" fillId="0" borderId="8" xfId="2" applyFont="1" applyBorder="1"/>
    <xf numFmtId="43" fontId="0" fillId="0" borderId="9" xfId="2" applyFont="1" applyBorder="1"/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12" xfId="0" applyFont="1" applyBorder="1" applyAlignment="1">
      <alignment horizontal="centerContinuous"/>
    </xf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0" fillId="0" borderId="2" xfId="0" applyBorder="1" applyAlignment="1">
      <alignment horizontal="left"/>
    </xf>
    <xf numFmtId="43" fontId="0" fillId="0" borderId="2" xfId="2" applyFont="1" applyBorder="1"/>
    <xf numFmtId="43" fontId="0" fillId="0" borderId="3" xfId="2" applyFont="1" applyBorder="1"/>
    <xf numFmtId="43" fontId="0" fillId="0" borderId="4" xfId="2" applyFont="1" applyBorder="1"/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43" fontId="0" fillId="0" borderId="10" xfId="0" applyNumberFormat="1" applyBorder="1"/>
    <xf numFmtId="43" fontId="0" fillId="0" borderId="11" xfId="0" applyNumberFormat="1" applyBorder="1"/>
    <xf numFmtId="43" fontId="0" fillId="0" borderId="12" xfId="0" applyNumberFormat="1" applyBorder="1"/>
    <xf numFmtId="43" fontId="0" fillId="6" borderId="0" xfId="2" applyFont="1" applyFill="1" applyBorder="1"/>
    <xf numFmtId="44" fontId="2" fillId="0" borderId="0" xfId="3" applyFont="1"/>
    <xf numFmtId="44" fontId="3" fillId="2" borderId="0" xfId="3" applyFont="1" applyFill="1" applyAlignment="1">
      <alignment horizontal="center" vertical="center" wrapText="1"/>
    </xf>
    <xf numFmtId="44" fontId="11" fillId="0" borderId="0" xfId="3" applyFont="1"/>
    <xf numFmtId="43" fontId="6" fillId="0" borderId="0" xfId="0" applyNumberFormat="1" applyFont="1"/>
    <xf numFmtId="44" fontId="2" fillId="0" borderId="0" xfId="0" applyNumberFormat="1" applyFont="1" applyAlignment="1">
      <alignment wrapText="1"/>
    </xf>
    <xf numFmtId="44" fontId="0" fillId="0" borderId="0" xfId="0" applyNumberFormat="1" applyFont="1"/>
    <xf numFmtId="0" fontId="2" fillId="7" borderId="8" xfId="0" applyNumberFormat="1" applyFont="1" applyFill="1" applyBorder="1" applyAlignment="1">
      <alignment wrapText="1"/>
    </xf>
  </cellXfs>
  <cellStyles count="5">
    <cellStyle name="Comma" xfId="2" builtinId="3"/>
    <cellStyle name="Currency" xfId="3" builtinId="4"/>
    <cellStyle name="Heading 2" xfId="1" builtinId="17"/>
    <cellStyle name="Normal" xfId="0" builtinId="0"/>
    <cellStyle name="Percent" xfId="4" builtinId="5"/>
  </cellStyles>
  <dxfs count="2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3" formatCode="0%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3" formatCode="0%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3" formatCode="0%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3" formatCode="0%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3" formatCode="0%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W48" totalsRowCount="1" headerRowDxfId="257" dataDxfId="256">
  <autoFilter ref="A2:W47"/>
  <tableColumns count="23">
    <tableColumn id="1" name="Goal #" dataDxfId="255" totalsRowDxfId="45"/>
    <tableColumn id="2" name="Action #" dataDxfId="254" totalsRowDxfId="44"/>
    <tableColumn id="3" name="Action Title" dataDxfId="253" totalsRowDxfId="43"/>
    <tableColumn id="17" name="Student Group(s)" dataDxfId="252" totalsRowDxfId="42"/>
    <tableColumn id="4" name="Contributing to Increased or Improved Services?" dataDxfId="251" totalsRowDxfId="41"/>
    <tableColumn id="5" name="Scope" dataDxfId="250" totalsRowDxfId="40"/>
    <tableColumn id="6" name="Unduplicated Student Group(s)" dataDxfId="249" totalsRowDxfId="39"/>
    <tableColumn id="7" name="Location" dataDxfId="248" totalsRowDxfId="38"/>
    <tableColumn id="8" name="Time Span" dataDxfId="247" totalsRowDxfId="37"/>
    <tableColumn id="9" name="Personnel Expense" dataDxfId="246" totalsRowDxfId="36">
      <calculatedColumnFormula>IF(Q3&gt;0,K3/Q3,"")</calculatedColumnFormula>
    </tableColumn>
    <tableColumn id="10" name="Total Personnel" dataDxfId="245" totalsRowDxfId="35"/>
    <tableColumn id="11" name="Total Non-personnel" dataDxfId="244" totalsRowDxfId="34"/>
    <tableColumn id="12" name="LCFF Funds" totalsRowFunction="sum" dataDxfId="243" totalsRowDxfId="33"/>
    <tableColumn id="13" name="Other State Funds" dataDxfId="242" totalsRowDxfId="32"/>
    <tableColumn id="14" name="Local Funds" dataDxfId="241" totalsRowDxfId="31"/>
    <tableColumn id="15" name="Federal Funds" dataDxfId="240" totalsRowDxfId="30"/>
    <tableColumn id="16" name="Total Funds" dataDxfId="239" totalsRowDxfId="29">
      <calculatedColumnFormula>IF(SUM(M3:P3)="","",SUM(M3:P3))</calculatedColumnFormula>
    </tableColumn>
    <tableColumn id="19" name="Object" dataDxfId="238" totalsRowDxfId="28"/>
    <tableColumn id="20" name="Item" dataDxfId="237" totalsRowDxfId="27"/>
    <tableColumn id="21" name="Funding Source" dataDxfId="236" totalsRowDxfId="26"/>
    <tableColumn id="22" name="Questions?" dataDxfId="235" totalsRowDxfId="25"/>
    <tableColumn id="23" name="Response to Questions" dataDxfId="234" totalsRowDxfId="24"/>
    <tableColumn id="18" name="Check " dataDxfId="233" totalsRowDxfId="23">
      <calculatedColumnFormula>IF(Table1[[#This Row],[Total Funds]]=SUM(Table1[[#This Row],[Total Personnel]:[Total Non-personnel]]),"","Check")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2:W47" totalsRowCount="1" headerRowDxfId="232" dataDxfId="231">
  <autoFilter ref="A2:W46"/>
  <tableColumns count="23">
    <tableColumn id="1" name="Goal #" dataDxfId="230" totalsRowDxfId="229"/>
    <tableColumn id="2" name="Action #" dataDxfId="228" totalsRowDxfId="227"/>
    <tableColumn id="3" name="Action Title" dataDxfId="226" totalsRowDxfId="225"/>
    <tableColumn id="17" name="Student Group(s)" dataDxfId="224" totalsRowDxfId="223"/>
    <tableColumn id="4" name="Contributing to Increased or Improved Services?" dataDxfId="222" totalsRowDxfId="221"/>
    <tableColumn id="5" name="Scope" dataDxfId="220" totalsRowDxfId="219"/>
    <tableColumn id="6" name="Unduplicated Student Group(s)" dataDxfId="218" totalsRowDxfId="217"/>
    <tableColumn id="7" name="Location" dataDxfId="216" totalsRowDxfId="215"/>
    <tableColumn id="8" name="Time Span" dataDxfId="214" totalsRowDxfId="213"/>
    <tableColumn id="9" name="Personnel Expense" dataDxfId="212" totalsRowDxfId="211">
      <calculatedColumnFormula>IF(Q3&gt;0,K3/Q3,"")</calculatedColumnFormula>
    </tableColumn>
    <tableColumn id="10" name="Total Personnel" dataDxfId="210" totalsRowDxfId="209"/>
    <tableColumn id="11" name="Total Non-personnel" dataDxfId="208" totalsRowDxfId="207"/>
    <tableColumn id="12" name="LCFF Funds" totalsRowFunction="sum" dataDxfId="206" totalsRowDxfId="205"/>
    <tableColumn id="13" name="Other State Funds" dataDxfId="204" totalsRowDxfId="203"/>
    <tableColumn id="14" name="Local Funds" dataDxfId="202" totalsRowDxfId="201"/>
    <tableColumn id="15" name="Federal Funds" dataDxfId="200" totalsRowDxfId="199"/>
    <tableColumn id="16" name="Total Funds" dataDxfId="198" totalsRowDxfId="197">
      <calculatedColumnFormula>IF(SUM(M3:P3)="","",SUM(M3:P3))</calculatedColumnFormula>
    </tableColumn>
    <tableColumn id="19" name="Object" dataDxfId="196" totalsRowDxfId="195"/>
    <tableColumn id="20" name="Item" dataDxfId="194" totalsRowDxfId="193"/>
    <tableColumn id="21" name="Funding Source" dataDxfId="192" totalsRowDxfId="191"/>
    <tableColumn id="22" name="Questions?" dataDxfId="190" totalsRowDxfId="189"/>
    <tableColumn id="23" name="Response to Questions" dataDxfId="188" totalsRowDxfId="187"/>
    <tableColumn id="18" name="Check " dataDxfId="186" totalsRowDxfId="185">
      <calculatedColumnFormula>IF(Table13[[#This Row],[Total Funds]]=SUM(Table13[[#This Row],[Total Personnel]:[Total Non-personnel]]),"","Check")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134" displayName="Table134" ref="A2:Z48" totalsRowCount="1" headerRowDxfId="184" dataDxfId="183">
  <autoFilter ref="A2:Z47"/>
  <tableColumns count="26">
    <tableColumn id="1" name="Goal #" dataDxfId="182" totalsRowDxfId="71"/>
    <tableColumn id="2" name="Action #" dataDxfId="181" totalsRowDxfId="70"/>
    <tableColumn id="3" name="Action Title" dataDxfId="180" totalsRowDxfId="69"/>
    <tableColumn id="17" name="Student Group(s)" dataDxfId="179" totalsRowDxfId="68"/>
    <tableColumn id="4" name="Contributing to Increased or Improved Services?" dataDxfId="178" totalsRowDxfId="67"/>
    <tableColumn id="5" name="Scope" dataDxfId="177" totalsRowDxfId="66"/>
    <tableColumn id="6" name="Unduplicated Student Group(s)" dataDxfId="176" totalsRowDxfId="65"/>
    <tableColumn id="7" name="Location" dataDxfId="175" totalsRowDxfId="64"/>
    <tableColumn id="8" name="Time Span" dataDxfId="174" totalsRowDxfId="63"/>
    <tableColumn id="9" name="Personnel Expense" dataDxfId="173" totalsRowDxfId="62">
      <calculatedColumnFormula>IF(Q3&gt;0,K3/Q3,"")</calculatedColumnFormula>
    </tableColumn>
    <tableColumn id="10" name="Total Personnel" dataDxfId="172" totalsRowDxfId="61"/>
    <tableColumn id="11" name="Total Non-personnel" dataDxfId="171" totalsRowDxfId="60"/>
    <tableColumn id="12" name="LCFF Funds" totalsRowFunction="sum" dataDxfId="170" totalsRowDxfId="59"/>
    <tableColumn id="13" name="Other State Funds" dataDxfId="169" totalsRowDxfId="58"/>
    <tableColumn id="14" name="Local Funds" dataDxfId="168" totalsRowDxfId="57"/>
    <tableColumn id="15" name="Federal Funds" dataDxfId="167" totalsRowDxfId="56"/>
    <tableColumn id="16" name="Total Funds" dataDxfId="166" totalsRowDxfId="55">
      <calculatedColumnFormula>IF(SUM(M3:P3)="","",SUM(M3:P3))</calculatedColumnFormula>
    </tableColumn>
    <tableColumn id="19" name="Object" dataDxfId="165" totalsRowDxfId="54"/>
    <tableColumn id="20" name="Item" dataDxfId="164" totalsRowDxfId="53"/>
    <tableColumn id="21" name="Funding Source" dataDxfId="163" totalsRowDxfId="52"/>
    <tableColumn id="22" name="Questions?" dataDxfId="162" totalsRowDxfId="51"/>
    <tableColumn id="23" name="Response to Questions" dataDxfId="161" totalsRowDxfId="50"/>
    <tableColumn id="18" name="Check " dataDxfId="160" totalsRowDxfId="49">
      <calculatedColumnFormula>IF(Table134[[#This Row],[Total Funds]]=SUM(Table134[[#This Row],[Total Personnel]:[Total Non-personnel]]),"","Check")</calculatedColumnFormula>
    </tableColumn>
    <tableColumn id="24" name="CAS" dataDxfId="159" totalsRowDxfId="48" dataCellStyle="Currency"/>
    <tableColumn id="25" name="EIS" dataDxfId="158" totalsRowDxfId="47" dataCellStyle="Currency"/>
    <tableColumn id="26" name="Total" dataDxfId="157" totalsRowDxfId="46" dataCellStyle="Currency">
      <calculatedColumnFormula>+Table134[[#This Row],[CAS]]+Table134[[#This Row],[EIS]]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135" displayName="Table135" ref="A2:W45" totalsRowCount="1" headerRowDxfId="156" dataDxfId="155">
  <autoFilter ref="A2:W44"/>
  <tableColumns count="23">
    <tableColumn id="1" name="Goal #" dataDxfId="154" totalsRowDxfId="153"/>
    <tableColumn id="2" name="Action #" dataDxfId="152" totalsRowDxfId="151"/>
    <tableColumn id="3" name="Action Title" dataDxfId="150" totalsRowDxfId="149"/>
    <tableColumn id="17" name="Student Group(s)" dataDxfId="148" totalsRowDxfId="147"/>
    <tableColumn id="4" name="Contributing to Increased or Improved Services?" dataDxfId="146" totalsRowDxfId="145"/>
    <tableColumn id="5" name="Scope" dataDxfId="144" totalsRowDxfId="143"/>
    <tableColumn id="6" name="Unduplicated Student Group(s)" dataDxfId="142" totalsRowDxfId="141"/>
    <tableColumn id="7" name="Location" dataDxfId="140" totalsRowDxfId="139"/>
    <tableColumn id="8" name="Time Span" dataDxfId="138" totalsRowDxfId="137"/>
    <tableColumn id="9" name="Personnel Expense" dataDxfId="136" totalsRowDxfId="135">
      <calculatedColumnFormula>IF(Q3&gt;0,K3/Q3,"")</calculatedColumnFormula>
    </tableColumn>
    <tableColumn id="10" name="Total Personnel" dataDxfId="134" totalsRowDxfId="133"/>
    <tableColumn id="11" name="Total Non-personnel" dataDxfId="132" totalsRowDxfId="131"/>
    <tableColumn id="12" name="LCFF Funds" totalsRowFunction="sum" dataDxfId="130" totalsRowDxfId="129"/>
    <tableColumn id="13" name="Other State Funds" dataDxfId="128" totalsRowDxfId="127"/>
    <tableColumn id="14" name="Local Funds" dataDxfId="126" totalsRowDxfId="125"/>
    <tableColumn id="15" name="Federal Funds" dataDxfId="124" totalsRowDxfId="123"/>
    <tableColumn id="16" name="Total Funds" dataDxfId="122" totalsRowDxfId="121">
      <calculatedColumnFormula>IF(SUM(M3:P3)="","",SUM(M3:P3))</calculatedColumnFormula>
    </tableColumn>
    <tableColumn id="19" name="Object" dataDxfId="120" totalsRowDxfId="119"/>
    <tableColumn id="20" name="Item" dataDxfId="118" totalsRowDxfId="117"/>
    <tableColumn id="21" name="Funding Source" dataDxfId="116" totalsRowDxfId="115"/>
    <tableColumn id="22" name="Questions?" dataDxfId="114" totalsRowDxfId="113"/>
    <tableColumn id="23" name="Response to Questions" dataDxfId="112" totalsRowDxfId="111"/>
    <tableColumn id="18" name="Check " dataDxfId="110" totalsRowDxfId="109">
      <calculatedColumnFormula>IF(Table135[[#This Row],[Total Funds]]=SUM(Table135[[#This Row],[Total Personnel]:[Total Non-personnel]]),"","Check")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le136" displayName="Table136" ref="A2:W48" totalsRowCount="1" headerRowDxfId="108" dataDxfId="107">
  <autoFilter ref="A2:W47"/>
  <tableColumns count="23">
    <tableColumn id="1" name="Goal #" dataDxfId="106" totalsRowDxfId="22"/>
    <tableColumn id="2" name="Action #" dataDxfId="105" totalsRowDxfId="21"/>
    <tableColumn id="3" name="Action Title" dataDxfId="104" totalsRowDxfId="20"/>
    <tableColumn id="17" name="Student Group(s)" dataDxfId="103" totalsRowDxfId="19"/>
    <tableColumn id="4" name="Contributing to Increased or Improved Services?" dataDxfId="102" totalsRowDxfId="18"/>
    <tableColumn id="5" name="Scope" dataDxfId="101" totalsRowDxfId="17"/>
    <tableColumn id="6" name="Unduplicated Student Group(s)" dataDxfId="100" totalsRowDxfId="16"/>
    <tableColumn id="7" name="Location" dataDxfId="99" totalsRowDxfId="15"/>
    <tableColumn id="8" name="Time Span" dataDxfId="98" totalsRowDxfId="14"/>
    <tableColumn id="9" name="Personnel Expense" dataDxfId="97" totalsRowDxfId="13">
      <calculatedColumnFormula>IF(Q3&gt;0,K3/Q3,"")</calculatedColumnFormula>
    </tableColumn>
    <tableColumn id="10" name="Total Personnel" dataDxfId="96" totalsRowDxfId="12"/>
    <tableColumn id="11" name="Total Non-personnel" dataDxfId="95" totalsRowDxfId="11"/>
    <tableColumn id="12" name="LCFF Funds" totalsRowFunction="sum" dataDxfId="94" totalsRowDxfId="10"/>
    <tableColumn id="13" name="Other State Funds" dataDxfId="93" totalsRowDxfId="9"/>
    <tableColumn id="14" name="Local Funds" dataDxfId="92" totalsRowDxfId="8"/>
    <tableColumn id="15" name="Federal Funds" dataDxfId="91" totalsRowDxfId="7"/>
    <tableColumn id="16" name="Total Funds" dataDxfId="90" totalsRowDxfId="6">
      <calculatedColumnFormula>IF(SUM(M3:P3)="","",SUM(M3:P3))</calculatedColumnFormula>
    </tableColumn>
    <tableColumn id="19" name="Object" dataDxfId="89" totalsRowDxfId="5"/>
    <tableColumn id="20" name="Item" dataDxfId="88" totalsRowDxfId="4"/>
    <tableColumn id="21" name="Funding Source" dataDxfId="87" totalsRowDxfId="3"/>
    <tableColumn id="22" name="Questions?" dataDxfId="86" totalsRowDxfId="2"/>
    <tableColumn id="23" name="Response to Questions" dataDxfId="85" totalsRowDxfId="1"/>
    <tableColumn id="18" name="Check " dataDxfId="84" totalsRowDxfId="0">
      <calculatedColumnFormula>IF(Table136[[#This Row],[Total Funds]]=SUM(Table136[[#This Row],[Total Personnel]:[Total Non-personnel]]),"","Check")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2:H39" totalsRowCount="1" headerRowDxfId="83" dataDxfId="82" headerRowCellStyle="Comma" dataCellStyle="Comma">
  <autoFilter ref="A2:H38"/>
  <tableColumns count="8">
    <tableColumn id="1" name="Site"/>
    <tableColumn id="2" name="Funding"/>
    <tableColumn id="3" name="Object Code"/>
    <tableColumn id="4" name="Expense Item" dataDxfId="81" totalsRowDxfId="80"/>
    <tableColumn id="5" name="Salaries" dataDxfId="79" totalsRowDxfId="78" dataCellStyle="Comma"/>
    <tableColumn id="6" name="Benefits" dataDxfId="77" totalsRowDxfId="76" dataCellStyle="Comma"/>
    <tableColumn id="7" name="Non-Employee Cost" dataDxfId="75" totalsRowDxfId="74" dataCellStyle="Comma"/>
    <tableColumn id="8" name="Total Cost" totalsRowFunction="sum" dataDxfId="73" totalsRowDxfId="72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tabSelected="1" topLeftCell="B1" zoomScaleNormal="100" workbookViewId="0">
      <selection activeCell="R27" sqref="R27"/>
    </sheetView>
  </sheetViews>
  <sheetFormatPr defaultColWidth="9" defaultRowHeight="15" outlineLevelCol="2" x14ac:dyDescent="0.2"/>
  <cols>
    <col min="1" max="1" width="7.875" style="2" customWidth="1"/>
    <col min="2" max="2" width="11.25" style="2" bestFit="1" customWidth="1"/>
    <col min="3" max="3" width="43.625" style="3" bestFit="1" customWidth="1"/>
    <col min="4" max="4" width="18.25" style="2" hidden="1" customWidth="1" outlineLevel="1"/>
    <col min="5" max="5" width="17.125" style="3" customWidth="1" collapsed="1"/>
    <col min="6" max="6" width="23" style="3" hidden="1" customWidth="1" outlineLevel="1"/>
    <col min="7" max="7" width="14.625" style="3" hidden="1" customWidth="1" outlineLevel="1"/>
    <col min="8" max="8" width="12.875" style="3" hidden="1" customWidth="1" outlineLevel="2" collapsed="1"/>
    <col min="9" max="9" width="14" style="3" hidden="1" customWidth="1" outlineLevel="2"/>
    <col min="10" max="10" width="13.625" style="3" hidden="1" customWidth="1" outlineLevel="1"/>
    <col min="11" max="11" width="16.25" style="3" customWidth="1" collapsed="1"/>
    <col min="12" max="12" width="16.25" style="3" customWidth="1"/>
    <col min="13" max="16" width="16.25" style="3" hidden="1" customWidth="1" outlineLevel="1"/>
    <col min="17" max="17" width="16.25" style="3" customWidth="1" collapsed="1"/>
    <col min="18" max="18" width="16.25" style="3" customWidth="1"/>
    <col min="19" max="19" width="16.25" style="6" customWidth="1"/>
    <col min="20" max="20" width="16.25" style="3" customWidth="1"/>
    <col min="21" max="21" width="24.75" style="3" customWidth="1"/>
    <col min="22" max="22" width="28.75" style="3" customWidth="1"/>
    <col min="23" max="23" width="9" style="3" customWidth="1"/>
    <col min="24" max="24" width="9.375" style="3" bestFit="1" customWidth="1"/>
    <col min="25" max="16384" width="9" style="3"/>
  </cols>
  <sheetData>
    <row r="1" spans="1:23" ht="26.25" x14ac:dyDescent="0.2">
      <c r="A1" s="1"/>
    </row>
    <row r="2" spans="1:23" s="6" customFormat="1" ht="60.75" thickBo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25</v>
      </c>
      <c r="U2" s="4" t="s">
        <v>28</v>
      </c>
      <c r="V2" s="4" t="s">
        <v>79</v>
      </c>
      <c r="W2" s="5" t="s">
        <v>19</v>
      </c>
    </row>
    <row r="3" spans="1:23" x14ac:dyDescent="0.2">
      <c r="A3" s="14">
        <v>1</v>
      </c>
      <c r="B3" s="15">
        <v>1</v>
      </c>
      <c r="C3" s="16" t="s">
        <v>22</v>
      </c>
      <c r="D3" s="17"/>
      <c r="E3" s="18"/>
      <c r="F3" s="17"/>
      <c r="G3" s="17"/>
      <c r="H3" s="17" t="s">
        <v>20</v>
      </c>
      <c r="I3" s="17" t="s">
        <v>21</v>
      </c>
      <c r="J3" s="19">
        <f t="shared" ref="J3:J47" si="0">IF(Q3&gt;0,K3/Q3,"")</f>
        <v>1</v>
      </c>
      <c r="K3" s="20">
        <v>16820</v>
      </c>
      <c r="L3" s="20"/>
      <c r="M3" s="20">
        <f>+Table1[[#This Row],[Total Personnel]]+Table1[[#This Row],[Total Non-personnel]]</f>
        <v>16820</v>
      </c>
      <c r="N3" s="20"/>
      <c r="O3" s="20"/>
      <c r="P3" s="20"/>
      <c r="Q3" s="20">
        <f t="shared" ref="Q3:Q47" si="1">IF(SUM(M3:P3)="","",SUM(M3:P3))</f>
        <v>16820</v>
      </c>
      <c r="R3" s="21">
        <v>1175</v>
      </c>
      <c r="S3" s="21" t="s">
        <v>23</v>
      </c>
      <c r="T3" s="22"/>
      <c r="U3" s="21"/>
      <c r="V3" s="23"/>
      <c r="W3" s="24" t="str">
        <f>IF(Table1[[#This Row],[Total Funds]]=SUM(Table1[[#This Row],[Total Personnel]:[Total Non-personnel]]),"","Check")</f>
        <v/>
      </c>
    </row>
    <row r="4" spans="1:23" x14ac:dyDescent="0.2">
      <c r="A4" s="25">
        <v>1</v>
      </c>
      <c r="B4" s="26">
        <v>1</v>
      </c>
      <c r="C4" s="27" t="s">
        <v>22</v>
      </c>
      <c r="D4" s="28"/>
      <c r="E4" s="29"/>
      <c r="F4" s="28"/>
      <c r="G4" s="28"/>
      <c r="H4" s="28" t="s">
        <v>20</v>
      </c>
      <c r="I4" s="28" t="s">
        <v>21</v>
      </c>
      <c r="J4" s="30">
        <f t="shared" si="0"/>
        <v>1</v>
      </c>
      <c r="K4" s="31">
        <f>16820*0.25</f>
        <v>4205</v>
      </c>
      <c r="L4" s="31"/>
      <c r="M4" s="31">
        <f>+Table1[[#This Row],[Total Personnel]]+Table1[[#This Row],[Total Non-personnel]]</f>
        <v>4205</v>
      </c>
      <c r="N4" s="31"/>
      <c r="O4" s="31"/>
      <c r="P4" s="31"/>
      <c r="Q4" s="31">
        <f t="shared" si="1"/>
        <v>4205</v>
      </c>
      <c r="R4" s="32">
        <v>3000</v>
      </c>
      <c r="S4" s="32" t="s">
        <v>24</v>
      </c>
      <c r="T4" s="33"/>
      <c r="U4" s="32"/>
      <c r="V4" s="34"/>
      <c r="W4" s="35" t="str">
        <f>IF(Table1[[#This Row],[Total Funds]]=SUM(Table1[[#This Row],[Total Personnel]:[Total Non-personnel]]),"","Check")</f>
        <v/>
      </c>
    </row>
    <row r="5" spans="1:23" x14ac:dyDescent="0.2">
      <c r="A5" s="25">
        <v>1</v>
      </c>
      <c r="B5" s="26">
        <v>1</v>
      </c>
      <c r="C5" s="27" t="s">
        <v>22</v>
      </c>
      <c r="D5" s="28"/>
      <c r="E5" s="26"/>
      <c r="F5" s="28"/>
      <c r="G5" s="28"/>
      <c r="H5" s="28" t="s">
        <v>20</v>
      </c>
      <c r="I5" s="28" t="s">
        <v>21</v>
      </c>
      <c r="J5" s="30" t="str">
        <f t="shared" si="0"/>
        <v/>
      </c>
      <c r="K5" s="31"/>
      <c r="L5" s="31"/>
      <c r="M5" s="31">
        <f>+Table1[[#This Row],[Total Personnel]]+Table1[[#This Row],[Total Non-personnel]]</f>
        <v>0</v>
      </c>
      <c r="N5" s="31"/>
      <c r="O5" s="31"/>
      <c r="P5" s="31"/>
      <c r="Q5" s="31">
        <f t="shared" si="1"/>
        <v>0</v>
      </c>
      <c r="R5" s="32">
        <v>1175</v>
      </c>
      <c r="S5" s="32" t="s">
        <v>26</v>
      </c>
      <c r="T5" s="33"/>
      <c r="U5" s="32" t="s">
        <v>29</v>
      </c>
      <c r="V5" s="34"/>
      <c r="W5" s="35" t="str">
        <f>IF(Table1[[#This Row],[Total Funds]]=SUM(Table1[[#This Row],[Total Personnel]:[Total Non-personnel]]),"","Check")</f>
        <v/>
      </c>
    </row>
    <row r="6" spans="1:23" ht="30.75" thickBot="1" x14ac:dyDescent="0.25">
      <c r="A6" s="36">
        <v>1</v>
      </c>
      <c r="B6" s="37">
        <v>1</v>
      </c>
      <c r="C6" s="38" t="s">
        <v>22</v>
      </c>
      <c r="D6" s="39"/>
      <c r="E6" s="37"/>
      <c r="F6" s="39"/>
      <c r="G6" s="39"/>
      <c r="H6" s="39" t="s">
        <v>20</v>
      </c>
      <c r="I6" s="39" t="s">
        <v>21</v>
      </c>
      <c r="J6" s="40" t="str">
        <f t="shared" si="0"/>
        <v/>
      </c>
      <c r="K6" s="41"/>
      <c r="L6" s="41"/>
      <c r="M6" s="41">
        <f>+Table1[[#This Row],[Total Personnel]]+Table1[[#This Row],[Total Non-personnel]]</f>
        <v>0</v>
      </c>
      <c r="N6" s="41"/>
      <c r="O6" s="41"/>
      <c r="P6" s="41"/>
      <c r="Q6" s="41">
        <f t="shared" si="1"/>
        <v>0</v>
      </c>
      <c r="R6" s="42">
        <v>3000</v>
      </c>
      <c r="S6" s="42" t="s">
        <v>27</v>
      </c>
      <c r="T6" s="43"/>
      <c r="U6" s="42" t="s">
        <v>29</v>
      </c>
      <c r="V6" s="44"/>
      <c r="W6" s="45" t="str">
        <f>IF(Table1[[#This Row],[Total Funds]]=SUM(Table1[[#This Row],[Total Personnel]:[Total Non-personnel]]),"","Check")</f>
        <v/>
      </c>
    </row>
    <row r="7" spans="1:23" ht="60" x14ac:dyDescent="0.2">
      <c r="A7" s="14">
        <v>1</v>
      </c>
      <c r="B7" s="15">
        <v>2</v>
      </c>
      <c r="C7" s="16" t="s">
        <v>30</v>
      </c>
      <c r="D7" s="17"/>
      <c r="E7" s="18"/>
      <c r="F7" s="17"/>
      <c r="G7" s="17"/>
      <c r="H7" s="17" t="s">
        <v>20</v>
      </c>
      <c r="I7" s="17" t="s">
        <v>21</v>
      </c>
      <c r="J7" s="19">
        <f t="shared" si="0"/>
        <v>1</v>
      </c>
      <c r="K7" s="20">
        <v>283784</v>
      </c>
      <c r="L7" s="20"/>
      <c r="M7" s="20">
        <f>+Table1[[#This Row],[Total Personnel]]+Table1[[#This Row],[Total Non-personnel]]</f>
        <v>283784</v>
      </c>
      <c r="N7" s="20"/>
      <c r="O7" s="20"/>
      <c r="P7" s="20"/>
      <c r="Q7" s="20">
        <f t="shared" si="1"/>
        <v>283784</v>
      </c>
      <c r="R7" s="21">
        <v>1300</v>
      </c>
      <c r="S7" s="21" t="s">
        <v>31</v>
      </c>
      <c r="T7" s="22"/>
      <c r="U7" s="21"/>
      <c r="V7" s="23"/>
      <c r="W7" s="24" t="str">
        <f>IF(Table1[[#This Row],[Total Funds]]=SUM(Table1[[#This Row],[Total Personnel]:[Total Non-personnel]]),"","Check")</f>
        <v/>
      </c>
    </row>
    <row r="8" spans="1:23" ht="60.75" thickBot="1" x14ac:dyDescent="0.25">
      <c r="A8" s="36">
        <v>1</v>
      </c>
      <c r="B8" s="37">
        <v>2</v>
      </c>
      <c r="C8" s="38" t="s">
        <v>30</v>
      </c>
      <c r="D8" s="39"/>
      <c r="E8" s="46"/>
      <c r="F8" s="39"/>
      <c r="G8" s="39"/>
      <c r="H8" s="39" t="s">
        <v>20</v>
      </c>
      <c r="I8" s="39" t="s">
        <v>21</v>
      </c>
      <c r="J8" s="40">
        <f t="shared" si="0"/>
        <v>1</v>
      </c>
      <c r="K8" s="41">
        <f>283784*0.25</f>
        <v>70946</v>
      </c>
      <c r="L8" s="41"/>
      <c r="M8" s="41">
        <f>+Table1[[#This Row],[Total Personnel]]+Table1[[#This Row],[Total Non-personnel]]</f>
        <v>70946</v>
      </c>
      <c r="N8" s="41"/>
      <c r="O8" s="41"/>
      <c r="P8" s="41"/>
      <c r="Q8" s="41">
        <f t="shared" si="1"/>
        <v>70946</v>
      </c>
      <c r="R8" s="42">
        <v>3000</v>
      </c>
      <c r="S8" s="42" t="s">
        <v>32</v>
      </c>
      <c r="T8" s="43"/>
      <c r="U8" s="42"/>
      <c r="V8" s="44"/>
      <c r="W8" s="45" t="str">
        <f>IF(Table1[[#This Row],[Total Funds]]=SUM(Table1[[#This Row],[Total Personnel]:[Total Non-personnel]]),"","Check")</f>
        <v/>
      </c>
    </row>
    <row r="9" spans="1:23" ht="30" x14ac:dyDescent="0.2">
      <c r="A9" s="14">
        <v>1</v>
      </c>
      <c r="B9" s="15">
        <v>3</v>
      </c>
      <c r="C9" s="16" t="s">
        <v>91</v>
      </c>
      <c r="D9" s="17"/>
      <c r="E9" s="18"/>
      <c r="F9" s="17"/>
      <c r="G9" s="17"/>
      <c r="H9" s="17" t="s">
        <v>20</v>
      </c>
      <c r="I9" s="17" t="s">
        <v>21</v>
      </c>
      <c r="J9" s="19">
        <f t="shared" si="0"/>
        <v>1</v>
      </c>
      <c r="K9" s="20">
        <f>61053+57200</f>
        <v>118253</v>
      </c>
      <c r="L9" s="20"/>
      <c r="M9" s="20">
        <f>+Table1[[#This Row],[Total Personnel]]+Table1[[#This Row],[Total Non-personnel]]</f>
        <v>118253</v>
      </c>
      <c r="N9" s="20"/>
      <c r="O9" s="20"/>
      <c r="P9" s="20"/>
      <c r="Q9" s="20">
        <f t="shared" si="1"/>
        <v>118253</v>
      </c>
      <c r="R9" s="21">
        <v>1110</v>
      </c>
      <c r="S9" s="47" t="s">
        <v>33</v>
      </c>
      <c r="T9" s="22"/>
      <c r="U9" s="21"/>
      <c r="V9" s="23"/>
      <c r="W9" s="24" t="str">
        <f>IF(Table1[[#This Row],[Total Funds]]=SUM(Table1[[#This Row],[Total Personnel]:[Total Non-personnel]]),"","Check")</f>
        <v/>
      </c>
    </row>
    <row r="10" spans="1:23" ht="30.75" thickBot="1" x14ac:dyDescent="0.25">
      <c r="A10" s="36">
        <v>1</v>
      </c>
      <c r="B10" s="37">
        <v>3</v>
      </c>
      <c r="C10" s="38" t="s">
        <v>91</v>
      </c>
      <c r="D10" s="39"/>
      <c r="E10" s="46"/>
      <c r="F10" s="39"/>
      <c r="G10" s="39"/>
      <c r="H10" s="39" t="s">
        <v>20</v>
      </c>
      <c r="I10" s="39" t="s">
        <v>21</v>
      </c>
      <c r="J10" s="40">
        <f t="shared" si="0"/>
        <v>1</v>
      </c>
      <c r="K10" s="41">
        <f>(61053+57200)*0.25</f>
        <v>29563.25</v>
      </c>
      <c r="L10" s="41"/>
      <c r="M10" s="41">
        <f>+Table1[[#This Row],[Total Personnel]]+Table1[[#This Row],[Total Non-personnel]]</f>
        <v>29563.25</v>
      </c>
      <c r="N10" s="41"/>
      <c r="O10" s="41"/>
      <c r="P10" s="41"/>
      <c r="Q10" s="41">
        <f t="shared" si="1"/>
        <v>29563.25</v>
      </c>
      <c r="R10" s="42">
        <v>3000</v>
      </c>
      <c r="S10" s="48" t="s">
        <v>34</v>
      </c>
      <c r="T10" s="43"/>
      <c r="U10" s="42"/>
      <c r="V10" s="44"/>
      <c r="W10" s="45" t="str">
        <f>IF(Table1[[#This Row],[Total Funds]]=SUM(Table1[[#This Row],[Total Personnel]:[Total Non-personnel]]),"","Check")</f>
        <v/>
      </c>
    </row>
    <row r="11" spans="1:23" ht="15.75" thickBot="1" x14ac:dyDescent="0.25">
      <c r="A11" s="49">
        <v>1</v>
      </c>
      <c r="B11" s="50">
        <v>4</v>
      </c>
      <c r="C11" s="51"/>
      <c r="D11" s="52"/>
      <c r="E11" s="53"/>
      <c r="F11" s="52"/>
      <c r="G11" s="52"/>
      <c r="H11" s="52" t="s">
        <v>20</v>
      </c>
      <c r="I11" s="52" t="s">
        <v>21</v>
      </c>
      <c r="J11" s="54" t="str">
        <f t="shared" si="0"/>
        <v/>
      </c>
      <c r="K11" s="55"/>
      <c r="L11" s="55"/>
      <c r="M11" s="55">
        <f>+Table1[[#This Row],[Total Personnel]]+Table1[[#This Row],[Total Non-personnel]]</f>
        <v>0</v>
      </c>
      <c r="N11" s="55"/>
      <c r="O11" s="55"/>
      <c r="P11" s="55"/>
      <c r="Q11" s="55">
        <f t="shared" si="1"/>
        <v>0</v>
      </c>
      <c r="R11" s="56"/>
      <c r="S11" s="56"/>
      <c r="T11" s="57"/>
      <c r="U11" s="58" t="s">
        <v>35</v>
      </c>
      <c r="V11" s="59"/>
      <c r="W11" s="60" t="str">
        <f>IF(Table1[[#This Row],[Total Funds]]=SUM(Table1[[#This Row],[Total Personnel]:[Total Non-personnel]]),"","Check")</f>
        <v/>
      </c>
    </row>
    <row r="12" spans="1:23" ht="30" x14ac:dyDescent="0.2">
      <c r="A12" s="14">
        <v>1</v>
      </c>
      <c r="B12" s="15">
        <v>5</v>
      </c>
      <c r="C12" s="16" t="s">
        <v>36</v>
      </c>
      <c r="D12" s="17"/>
      <c r="E12" s="18"/>
      <c r="F12" s="17"/>
      <c r="G12" s="17"/>
      <c r="H12" s="17" t="s">
        <v>20</v>
      </c>
      <c r="I12" s="17" t="s">
        <v>21</v>
      </c>
      <c r="J12" s="19">
        <f t="shared" si="0"/>
        <v>1</v>
      </c>
      <c r="K12" s="20">
        <v>175336</v>
      </c>
      <c r="L12" s="20"/>
      <c r="M12" s="61"/>
      <c r="N12" s="20"/>
      <c r="O12" s="20"/>
      <c r="P12" s="20">
        <f>+Table1[[#This Row],[Total Personnel]]+Table1[[#This Row],[Total Non-personnel]]</f>
        <v>175336</v>
      </c>
      <c r="Q12" s="20">
        <f t="shared" ref="Q12:Q19" si="2">IF(SUM(N12:P12)="","",SUM(N12:P12))</f>
        <v>175336</v>
      </c>
      <c r="R12" s="21">
        <v>1110</v>
      </c>
      <c r="S12" s="47" t="s">
        <v>37</v>
      </c>
      <c r="T12" s="22"/>
      <c r="U12" s="32"/>
      <c r="V12" s="23"/>
      <c r="W12" s="24" t="str">
        <f>IF(Table1[[#This Row],[Total Funds]]=SUM(Table1[[#This Row],[Total Personnel]:[Total Non-personnel]]),"","Check")</f>
        <v/>
      </c>
    </row>
    <row r="13" spans="1:23" ht="30" x14ac:dyDescent="0.2">
      <c r="A13" s="25">
        <v>1</v>
      </c>
      <c r="B13" s="26">
        <v>5</v>
      </c>
      <c r="C13" s="27" t="s">
        <v>36</v>
      </c>
      <c r="D13" s="28"/>
      <c r="E13" s="29"/>
      <c r="F13" s="28"/>
      <c r="G13" s="28"/>
      <c r="H13" s="28" t="s">
        <v>20</v>
      </c>
      <c r="I13" s="28" t="s">
        <v>21</v>
      </c>
      <c r="J13" s="30">
        <f t="shared" si="0"/>
        <v>1</v>
      </c>
      <c r="K13" s="31">
        <f>175336*0.25</f>
        <v>43834</v>
      </c>
      <c r="L13" s="31"/>
      <c r="M13" s="63"/>
      <c r="N13" s="31"/>
      <c r="O13" s="31"/>
      <c r="P13" s="31">
        <f>+Table1[[#This Row],[Total Personnel]]+Table1[[#This Row],[Total Non-personnel]]</f>
        <v>43834</v>
      </c>
      <c r="Q13" s="31">
        <f t="shared" si="2"/>
        <v>43834</v>
      </c>
      <c r="R13" s="32">
        <v>3000</v>
      </c>
      <c r="S13" s="64" t="s">
        <v>38</v>
      </c>
      <c r="T13" s="33"/>
      <c r="U13" s="32"/>
      <c r="V13" s="34"/>
      <c r="W13" s="35" t="str">
        <f>IF(Table1[[#This Row],[Total Funds]]=SUM(Table1[[#This Row],[Total Personnel]:[Total Non-personnel]]),"","Check")</f>
        <v/>
      </c>
    </row>
    <row r="14" spans="1:23" ht="30" x14ac:dyDescent="0.2">
      <c r="A14" s="25">
        <v>1</v>
      </c>
      <c r="B14" s="26">
        <v>5</v>
      </c>
      <c r="C14" s="27" t="s">
        <v>36</v>
      </c>
      <c r="D14" s="28"/>
      <c r="E14" s="29"/>
      <c r="F14" s="28"/>
      <c r="G14" s="28"/>
      <c r="H14" s="28"/>
      <c r="I14" s="28"/>
      <c r="J14" s="30">
        <f t="shared" ref="J14:J15" si="3">IF(Q14&gt;0,K14/Q14,"")</f>
        <v>1</v>
      </c>
      <c r="K14" s="31">
        <v>140804</v>
      </c>
      <c r="L14" s="31"/>
      <c r="M14" s="63"/>
      <c r="N14" s="31"/>
      <c r="O14" s="31"/>
      <c r="P14" s="31">
        <f>+Table1[[#This Row],[Total Personnel]]+Table1[[#This Row],[Total Non-personnel]]</f>
        <v>140804</v>
      </c>
      <c r="Q14" s="31">
        <f t="shared" ref="Q14:Q15" si="4">IF(SUM(M14:P14)="","",SUM(M14:P14))</f>
        <v>140804</v>
      </c>
      <c r="R14" s="32">
        <v>2111</v>
      </c>
      <c r="S14" s="64" t="s">
        <v>108</v>
      </c>
      <c r="T14" s="33"/>
      <c r="U14" s="84" t="s">
        <v>80</v>
      </c>
      <c r="V14" s="34"/>
      <c r="W14" s="35" t="str">
        <f>IF(Table1[[#This Row],[Total Funds]]=SUM(Table1[[#This Row],[Total Personnel]:[Total Non-personnel]]),"","Check")</f>
        <v/>
      </c>
    </row>
    <row r="15" spans="1:23" ht="30" x14ac:dyDescent="0.2">
      <c r="A15" s="25">
        <v>1</v>
      </c>
      <c r="B15" s="26">
        <v>5</v>
      </c>
      <c r="C15" s="27" t="s">
        <v>36</v>
      </c>
      <c r="D15" s="28"/>
      <c r="E15" s="29"/>
      <c r="F15" s="28"/>
      <c r="G15" s="28"/>
      <c r="H15" s="28"/>
      <c r="I15" s="28"/>
      <c r="J15" s="30">
        <f t="shared" si="3"/>
        <v>1</v>
      </c>
      <c r="K15" s="31">
        <f>140804*0.25</f>
        <v>35201</v>
      </c>
      <c r="L15" s="31"/>
      <c r="M15" s="63"/>
      <c r="N15" s="31"/>
      <c r="O15" s="31"/>
      <c r="P15" s="31">
        <f>+Table1[[#This Row],[Total Personnel]]+Table1[[#This Row],[Total Non-personnel]]</f>
        <v>35201</v>
      </c>
      <c r="Q15" s="31">
        <f t="shared" si="4"/>
        <v>35201</v>
      </c>
      <c r="R15" s="32">
        <v>3000</v>
      </c>
      <c r="S15" s="64" t="s">
        <v>109</v>
      </c>
      <c r="T15" s="33"/>
      <c r="U15" s="84" t="s">
        <v>80</v>
      </c>
      <c r="V15" s="34"/>
      <c r="W15" s="35" t="str">
        <f>IF(Table1[[#This Row],[Total Funds]]=SUM(Table1[[#This Row],[Total Personnel]:[Total Non-personnel]]),"","Check")</f>
        <v/>
      </c>
    </row>
    <row r="16" spans="1:23" ht="75" x14ac:dyDescent="0.2">
      <c r="A16" s="25">
        <v>1</v>
      </c>
      <c r="B16" s="26">
        <v>5</v>
      </c>
      <c r="C16" s="27" t="s">
        <v>36</v>
      </c>
      <c r="D16" s="28"/>
      <c r="E16" s="29"/>
      <c r="F16" s="28"/>
      <c r="G16" s="28"/>
      <c r="H16" s="28" t="s">
        <v>20</v>
      </c>
      <c r="I16" s="28" t="s">
        <v>21</v>
      </c>
      <c r="J16" s="30">
        <f t="shared" si="0"/>
        <v>0</v>
      </c>
      <c r="K16" s="31"/>
      <c r="L16" s="31">
        <f>11000+18813</f>
        <v>29813</v>
      </c>
      <c r="M16" s="63"/>
      <c r="N16" s="31"/>
      <c r="O16" s="31"/>
      <c r="P16" s="31">
        <f>+Table1[[#This Row],[Total Personnel]]+Table1[[#This Row],[Total Non-personnel]]</f>
        <v>29813</v>
      </c>
      <c r="Q16" s="31">
        <f t="shared" si="2"/>
        <v>29813</v>
      </c>
      <c r="R16" s="64" t="s">
        <v>156</v>
      </c>
      <c r="S16" s="64" t="s">
        <v>39</v>
      </c>
      <c r="T16" s="33"/>
      <c r="U16" s="69" t="s">
        <v>76</v>
      </c>
      <c r="V16" s="65"/>
      <c r="W16" s="35" t="str">
        <f>IF(Table1[[#This Row],[Total Funds]]=SUM(Table1[[#This Row],[Total Personnel]:[Total Non-personnel]]),"","Check")</f>
        <v/>
      </c>
    </row>
    <row r="17" spans="1:23" ht="60" x14ac:dyDescent="0.2">
      <c r="A17" s="25">
        <v>1</v>
      </c>
      <c r="B17" s="26">
        <v>5</v>
      </c>
      <c r="C17" s="27" t="s">
        <v>36</v>
      </c>
      <c r="D17" s="28"/>
      <c r="E17" s="29"/>
      <c r="F17" s="28"/>
      <c r="G17" s="28"/>
      <c r="H17" s="28" t="s">
        <v>20</v>
      </c>
      <c r="I17" s="28" t="s">
        <v>21</v>
      </c>
      <c r="J17" s="30">
        <f t="shared" si="0"/>
        <v>1</v>
      </c>
      <c r="K17" s="31">
        <v>33023</v>
      </c>
      <c r="L17" s="31"/>
      <c r="M17" s="63"/>
      <c r="N17" s="31"/>
      <c r="O17" s="31"/>
      <c r="P17" s="31">
        <f>+Table1[[#This Row],[Total Personnel]]+Table1[[#This Row],[Total Non-personnel]]</f>
        <v>33023</v>
      </c>
      <c r="Q17" s="31">
        <f t="shared" si="2"/>
        <v>33023</v>
      </c>
      <c r="R17" s="64">
        <v>2131</v>
      </c>
      <c r="S17" s="64" t="s">
        <v>40</v>
      </c>
      <c r="T17" s="33"/>
      <c r="U17" s="64" t="s">
        <v>161</v>
      </c>
      <c r="V17" s="65"/>
      <c r="W17" s="35" t="str">
        <f>IF(Table1[[#This Row],[Total Funds]]=SUM(Table1[[#This Row],[Total Personnel]:[Total Non-personnel]]),"","Check")</f>
        <v/>
      </c>
    </row>
    <row r="18" spans="1:23" ht="30" x14ac:dyDescent="0.2">
      <c r="A18" s="25">
        <v>1</v>
      </c>
      <c r="B18" s="26">
        <v>5</v>
      </c>
      <c r="C18" s="27" t="s">
        <v>36</v>
      </c>
      <c r="D18" s="28"/>
      <c r="E18" s="29"/>
      <c r="F18" s="28"/>
      <c r="G18" s="28"/>
      <c r="H18" s="28" t="s">
        <v>20</v>
      </c>
      <c r="I18" s="28" t="s">
        <v>21</v>
      </c>
      <c r="J18" s="30">
        <f t="shared" si="0"/>
        <v>1</v>
      </c>
      <c r="K18" s="31">
        <f>33023*0.25</f>
        <v>8255.75</v>
      </c>
      <c r="L18" s="31"/>
      <c r="M18" s="63"/>
      <c r="N18" s="31"/>
      <c r="O18" s="31"/>
      <c r="P18" s="31">
        <f>+Table1[[#This Row],[Total Personnel]]+Table1[[#This Row],[Total Non-personnel]]</f>
        <v>8255.75</v>
      </c>
      <c r="Q18" s="31">
        <f t="shared" si="2"/>
        <v>8255.75</v>
      </c>
      <c r="R18" s="32">
        <v>3000</v>
      </c>
      <c r="S18" s="64" t="s">
        <v>41</v>
      </c>
      <c r="T18" s="33"/>
      <c r="U18" s="32"/>
      <c r="V18" s="34"/>
      <c r="W18" s="35" t="str">
        <f>IF(Table1[[#This Row],[Total Funds]]=SUM(Table1[[#This Row],[Total Personnel]:[Total Non-personnel]]),"","Check")</f>
        <v/>
      </c>
    </row>
    <row r="19" spans="1:23" ht="45.75" thickBot="1" x14ac:dyDescent="0.25">
      <c r="A19" s="36">
        <v>1</v>
      </c>
      <c r="B19" s="37">
        <v>5</v>
      </c>
      <c r="C19" s="38" t="s">
        <v>36</v>
      </c>
      <c r="D19" s="39"/>
      <c r="E19" s="46"/>
      <c r="F19" s="39"/>
      <c r="G19" s="39"/>
      <c r="H19" s="39" t="s">
        <v>20</v>
      </c>
      <c r="I19" s="39" t="s">
        <v>21</v>
      </c>
      <c r="J19" s="40">
        <f t="shared" si="0"/>
        <v>0</v>
      </c>
      <c r="K19" s="41"/>
      <c r="L19" s="41">
        <v>24800</v>
      </c>
      <c r="M19" s="66"/>
      <c r="N19" s="41"/>
      <c r="O19" s="41"/>
      <c r="P19" s="41">
        <f>+Table1[[#This Row],[Total Personnel]]+Table1[[#This Row],[Total Non-personnel]]</f>
        <v>24800</v>
      </c>
      <c r="Q19" s="41">
        <f t="shared" si="2"/>
        <v>24800</v>
      </c>
      <c r="R19" s="42">
        <v>4111</v>
      </c>
      <c r="S19" s="48" t="s">
        <v>42</v>
      </c>
      <c r="T19" s="43"/>
      <c r="U19" s="70" t="s">
        <v>76</v>
      </c>
      <c r="V19" s="67"/>
      <c r="W19" s="45" t="str">
        <f>IF(Table1[[#This Row],[Total Funds]]=SUM(Table1[[#This Row],[Total Personnel]:[Total Non-personnel]]),"","Check")</f>
        <v/>
      </c>
    </row>
    <row r="20" spans="1:23" ht="30" x14ac:dyDescent="0.2">
      <c r="A20" s="14">
        <v>2</v>
      </c>
      <c r="B20" s="15">
        <v>1</v>
      </c>
      <c r="C20" s="16" t="s">
        <v>43</v>
      </c>
      <c r="D20" s="17"/>
      <c r="E20" s="15"/>
      <c r="F20" s="17"/>
      <c r="G20" s="17"/>
      <c r="H20" s="17" t="s">
        <v>20</v>
      </c>
      <c r="I20" s="17" t="s">
        <v>21</v>
      </c>
      <c r="J20" s="19" t="str">
        <f t="shared" si="0"/>
        <v/>
      </c>
      <c r="K20" s="20"/>
      <c r="L20" s="20">
        <v>0</v>
      </c>
      <c r="M20" s="20">
        <f>+Table1[[#This Row],[Total Personnel]]+Table1[[#This Row],[Total Non-personnel]]</f>
        <v>0</v>
      </c>
      <c r="N20" s="20"/>
      <c r="O20" s="20"/>
      <c r="P20" s="20"/>
      <c r="Q20" s="20">
        <f t="shared" si="1"/>
        <v>0</v>
      </c>
      <c r="R20" s="21"/>
      <c r="S20" s="47" t="s">
        <v>44</v>
      </c>
      <c r="T20" s="22"/>
      <c r="U20" s="47" t="s">
        <v>77</v>
      </c>
      <c r="V20" s="68"/>
      <c r="W20" s="24" t="str">
        <f>IF(Table1[[#This Row],[Total Funds]]=SUM(Table1[[#This Row],[Total Personnel]:[Total Non-personnel]]),"","Check")</f>
        <v/>
      </c>
    </row>
    <row r="21" spans="1:23" x14ac:dyDescent="0.2">
      <c r="A21" s="25">
        <v>2</v>
      </c>
      <c r="B21" s="26">
        <v>1</v>
      </c>
      <c r="C21" s="27" t="s">
        <v>43</v>
      </c>
      <c r="D21" s="28"/>
      <c r="E21" s="29"/>
      <c r="F21" s="28"/>
      <c r="G21" s="28"/>
      <c r="H21" s="28" t="s">
        <v>20</v>
      </c>
      <c r="I21" s="28" t="s">
        <v>21</v>
      </c>
      <c r="J21" s="30">
        <f t="shared" si="0"/>
        <v>0</v>
      </c>
      <c r="K21" s="31"/>
      <c r="L21" s="31">
        <v>43000</v>
      </c>
      <c r="M21" s="31">
        <f>+Table1[[#This Row],[Total Personnel]]+Table1[[#This Row],[Total Non-personnel]]</f>
        <v>43000</v>
      </c>
      <c r="N21" s="31"/>
      <c r="O21" s="31"/>
      <c r="P21" s="31"/>
      <c r="Q21" s="31">
        <f t="shared" si="1"/>
        <v>43000</v>
      </c>
      <c r="R21" s="32">
        <v>5631</v>
      </c>
      <c r="S21" s="64" t="s">
        <v>45</v>
      </c>
      <c r="T21" s="33"/>
      <c r="U21" s="69" t="s">
        <v>78</v>
      </c>
      <c r="V21" s="65"/>
      <c r="W21" s="35" t="str">
        <f>IF(Table1[[#This Row],[Total Funds]]=SUM(Table1[[#This Row],[Total Personnel]:[Total Non-personnel]]),"","Check")</f>
        <v/>
      </c>
    </row>
    <row r="22" spans="1:23" ht="30" x14ac:dyDescent="0.2">
      <c r="A22" s="25">
        <v>2</v>
      </c>
      <c r="B22" s="26">
        <v>1</v>
      </c>
      <c r="C22" s="27" t="s">
        <v>43</v>
      </c>
      <c r="D22" s="28"/>
      <c r="E22" s="29"/>
      <c r="F22" s="28"/>
      <c r="G22" s="28"/>
      <c r="H22" s="28" t="s">
        <v>20</v>
      </c>
      <c r="I22" s="28" t="s">
        <v>21</v>
      </c>
      <c r="J22" s="30">
        <f t="shared" si="0"/>
        <v>0</v>
      </c>
      <c r="K22" s="31"/>
      <c r="L22" s="31">
        <v>8976</v>
      </c>
      <c r="M22" s="31">
        <f>+Table1[[#This Row],[Total Personnel]]+Table1[[#This Row],[Total Non-personnel]]</f>
        <v>8976</v>
      </c>
      <c r="N22" s="31"/>
      <c r="O22" s="31"/>
      <c r="P22" s="31"/>
      <c r="Q22" s="31">
        <f t="shared" si="1"/>
        <v>8976</v>
      </c>
      <c r="R22" s="32">
        <v>5599</v>
      </c>
      <c r="S22" s="64" t="s">
        <v>46</v>
      </c>
      <c r="T22" s="33"/>
      <c r="U22" s="32"/>
      <c r="V22" s="34"/>
      <c r="W22" s="35" t="str">
        <f>IF(Table1[[#This Row],[Total Funds]]=SUM(Table1[[#This Row],[Total Personnel]:[Total Non-personnel]]),"","Check")</f>
        <v/>
      </c>
    </row>
    <row r="23" spans="1:23" ht="30" x14ac:dyDescent="0.2">
      <c r="A23" s="25">
        <v>2</v>
      </c>
      <c r="B23" s="26">
        <v>1</v>
      </c>
      <c r="C23" s="27" t="s">
        <v>43</v>
      </c>
      <c r="D23" s="28"/>
      <c r="E23" s="29"/>
      <c r="F23" s="28"/>
      <c r="G23" s="28"/>
      <c r="H23" s="28" t="s">
        <v>20</v>
      </c>
      <c r="I23" s="28" t="s">
        <v>21</v>
      </c>
      <c r="J23" s="30">
        <f t="shared" si="0"/>
        <v>1</v>
      </c>
      <c r="K23" s="31">
        <v>74059</v>
      </c>
      <c r="L23" s="31"/>
      <c r="M23" s="31">
        <f>+Table1[[#This Row],[Total Personnel]]+Table1[[#This Row],[Total Non-personnel]]</f>
        <v>74059</v>
      </c>
      <c r="N23" s="31"/>
      <c r="O23" s="31"/>
      <c r="P23" s="31"/>
      <c r="Q23" s="31">
        <f t="shared" si="1"/>
        <v>74059</v>
      </c>
      <c r="R23" s="32">
        <v>2200</v>
      </c>
      <c r="S23" s="64" t="s">
        <v>48</v>
      </c>
      <c r="T23" s="33"/>
      <c r="U23" s="32"/>
      <c r="V23" s="34"/>
      <c r="W23" s="35" t="str">
        <f>IF(Table1[[#This Row],[Total Funds]]=SUM(Table1[[#This Row],[Total Personnel]:[Total Non-personnel]]),"","Check")</f>
        <v/>
      </c>
    </row>
    <row r="24" spans="1:23" ht="30" x14ac:dyDescent="0.2">
      <c r="A24" s="25">
        <v>2</v>
      </c>
      <c r="B24" s="26">
        <v>1</v>
      </c>
      <c r="C24" s="27" t="s">
        <v>43</v>
      </c>
      <c r="D24" s="28"/>
      <c r="E24" s="29"/>
      <c r="F24" s="28"/>
      <c r="G24" s="28"/>
      <c r="H24" s="28" t="s">
        <v>20</v>
      </c>
      <c r="I24" s="28" t="s">
        <v>21</v>
      </c>
      <c r="J24" s="30">
        <f t="shared" si="0"/>
        <v>1</v>
      </c>
      <c r="K24" s="31">
        <f>74059*0.25</f>
        <v>18514.75</v>
      </c>
      <c r="L24" s="31"/>
      <c r="M24" s="31">
        <f>+Table1[[#This Row],[Total Personnel]]+Table1[[#This Row],[Total Non-personnel]]</f>
        <v>18514.75</v>
      </c>
      <c r="N24" s="31"/>
      <c r="O24" s="31"/>
      <c r="P24" s="31"/>
      <c r="Q24" s="31">
        <f t="shared" si="1"/>
        <v>18514.75</v>
      </c>
      <c r="R24" s="32">
        <v>3000</v>
      </c>
      <c r="S24" s="64" t="s">
        <v>47</v>
      </c>
      <c r="T24" s="33"/>
      <c r="U24" s="32"/>
      <c r="V24" s="34"/>
      <c r="W24" s="35" t="str">
        <f>IF(Table1[[#This Row],[Total Funds]]=SUM(Table1[[#This Row],[Total Personnel]:[Total Non-personnel]]),"","Check")</f>
        <v/>
      </c>
    </row>
    <row r="25" spans="1:23" ht="30" x14ac:dyDescent="0.2">
      <c r="A25" s="25">
        <v>2</v>
      </c>
      <c r="B25" s="26">
        <v>1</v>
      </c>
      <c r="C25" s="27" t="s">
        <v>43</v>
      </c>
      <c r="D25" s="28"/>
      <c r="E25" s="29"/>
      <c r="F25" s="28"/>
      <c r="G25" s="28"/>
      <c r="H25" s="28" t="s">
        <v>20</v>
      </c>
      <c r="I25" s="28" t="s">
        <v>21</v>
      </c>
      <c r="J25" s="30">
        <f t="shared" si="0"/>
        <v>0</v>
      </c>
      <c r="K25" s="31"/>
      <c r="L25" s="31">
        <v>86550</v>
      </c>
      <c r="M25" s="31">
        <f>+Table1[[#This Row],[Total Personnel]]+Table1[[#This Row],[Total Non-personnel]]</f>
        <v>86550</v>
      </c>
      <c r="N25" s="31"/>
      <c r="O25" s="31"/>
      <c r="P25" s="31"/>
      <c r="Q25" s="31">
        <f t="shared" si="1"/>
        <v>86550</v>
      </c>
      <c r="R25" s="32">
        <v>5531</v>
      </c>
      <c r="S25" s="64" t="s">
        <v>49</v>
      </c>
      <c r="T25" s="33"/>
      <c r="U25" s="32"/>
      <c r="V25" s="34"/>
      <c r="W25" s="35" t="str">
        <f>IF(Table1[[#This Row],[Total Funds]]=SUM(Table1[[#This Row],[Total Personnel]:[Total Non-personnel]]),"","Check")</f>
        <v/>
      </c>
    </row>
    <row r="26" spans="1:23" ht="30" x14ac:dyDescent="0.2">
      <c r="A26" s="25">
        <v>2</v>
      </c>
      <c r="B26" s="26">
        <v>1</v>
      </c>
      <c r="C26" s="27" t="s">
        <v>43</v>
      </c>
      <c r="D26" s="28"/>
      <c r="E26" s="29"/>
      <c r="F26" s="28"/>
      <c r="G26" s="28"/>
      <c r="H26" s="28" t="s">
        <v>20</v>
      </c>
      <c r="I26" s="28" t="s">
        <v>21</v>
      </c>
      <c r="J26" s="30">
        <f t="shared" si="0"/>
        <v>0</v>
      </c>
      <c r="K26" s="31"/>
      <c r="L26" s="31">
        <v>36000</v>
      </c>
      <c r="M26" s="31">
        <f>+Table1[[#This Row],[Total Personnel]]+Table1[[#This Row],[Total Non-personnel]]</f>
        <v>36000</v>
      </c>
      <c r="N26" s="31"/>
      <c r="O26" s="31"/>
      <c r="P26" s="31"/>
      <c r="Q26" s="31">
        <f t="shared" si="1"/>
        <v>36000</v>
      </c>
      <c r="R26" s="32">
        <v>5521</v>
      </c>
      <c r="S26" s="64" t="s">
        <v>50</v>
      </c>
      <c r="T26" s="33"/>
      <c r="U26" s="32"/>
      <c r="V26" s="34"/>
      <c r="W26" s="35" t="str">
        <f>IF(Table1[[#This Row],[Total Funds]]=SUM(Table1[[#This Row],[Total Personnel]:[Total Non-personnel]]),"","Check")</f>
        <v/>
      </c>
    </row>
    <row r="27" spans="1:23" ht="30" x14ac:dyDescent="0.2">
      <c r="A27" s="25">
        <v>2</v>
      </c>
      <c r="B27" s="26">
        <v>1</v>
      </c>
      <c r="C27" s="27" t="s">
        <v>43</v>
      </c>
      <c r="D27" s="28"/>
      <c r="E27" s="29"/>
      <c r="F27" s="28"/>
      <c r="G27" s="28"/>
      <c r="H27" s="28" t="s">
        <v>20</v>
      </c>
      <c r="I27" s="28" t="s">
        <v>21</v>
      </c>
      <c r="J27" s="30">
        <f t="shared" si="0"/>
        <v>0</v>
      </c>
      <c r="K27" s="31"/>
      <c r="L27" s="31">
        <v>10409</v>
      </c>
      <c r="M27" s="31">
        <f>+Table1[[#This Row],[Total Personnel]]+Table1[[#This Row],[Total Non-personnel]]</f>
        <v>10409</v>
      </c>
      <c r="N27" s="31"/>
      <c r="O27" s="31"/>
      <c r="P27" s="31"/>
      <c r="Q27" s="31">
        <f t="shared" si="1"/>
        <v>10409</v>
      </c>
      <c r="R27" s="32">
        <v>4411</v>
      </c>
      <c r="S27" s="64" t="s">
        <v>51</v>
      </c>
      <c r="T27" s="33"/>
      <c r="U27" s="69" t="s">
        <v>78</v>
      </c>
      <c r="V27" s="65"/>
      <c r="W27" s="35" t="str">
        <f>IF(Table1[[#This Row],[Total Funds]]=SUM(Table1[[#This Row],[Total Personnel]:[Total Non-personnel]]),"","Check")</f>
        <v/>
      </c>
    </row>
    <row r="28" spans="1:23" x14ac:dyDescent="0.2">
      <c r="A28" s="25">
        <v>2</v>
      </c>
      <c r="B28" s="26">
        <v>1</v>
      </c>
      <c r="C28" s="27" t="s">
        <v>43</v>
      </c>
      <c r="D28" s="28"/>
      <c r="E28" s="29"/>
      <c r="F28" s="28"/>
      <c r="G28" s="28"/>
      <c r="H28" s="28" t="s">
        <v>20</v>
      </c>
      <c r="I28" s="28" t="s">
        <v>21</v>
      </c>
      <c r="J28" s="30">
        <f t="shared" si="0"/>
        <v>0</v>
      </c>
      <c r="K28" s="31"/>
      <c r="L28" s="31">
        <f>0.25*575176</f>
        <v>143794</v>
      </c>
      <c r="M28" s="31">
        <f>+Table1[[#This Row],[Total Personnel]]+Table1[[#This Row],[Total Non-personnel]]</f>
        <v>143794</v>
      </c>
      <c r="N28" s="31"/>
      <c r="O28" s="31"/>
      <c r="P28" s="31"/>
      <c r="Q28" s="31">
        <f t="shared" si="1"/>
        <v>143794</v>
      </c>
      <c r="R28" s="32">
        <v>5611</v>
      </c>
      <c r="S28" s="64" t="s">
        <v>52</v>
      </c>
      <c r="T28" s="33"/>
      <c r="U28" s="32"/>
      <c r="V28" s="34"/>
      <c r="W28" s="35" t="str">
        <f>IF(Table1[[#This Row],[Total Funds]]=SUM(Table1[[#This Row],[Total Personnel]:[Total Non-personnel]]),"","Check")</f>
        <v/>
      </c>
    </row>
    <row r="29" spans="1:23" ht="15.75" thickBot="1" x14ac:dyDescent="0.25">
      <c r="A29" s="36">
        <v>2</v>
      </c>
      <c r="B29" s="37">
        <v>1</v>
      </c>
      <c r="C29" s="38" t="s">
        <v>43</v>
      </c>
      <c r="D29" s="39"/>
      <c r="E29" s="46"/>
      <c r="F29" s="39"/>
      <c r="G29" s="39"/>
      <c r="H29" s="39" t="s">
        <v>20</v>
      </c>
      <c r="I29" s="39" t="s">
        <v>21</v>
      </c>
      <c r="J29" s="40">
        <f t="shared" si="0"/>
        <v>0</v>
      </c>
      <c r="K29" s="41"/>
      <c r="L29" s="41">
        <v>18600</v>
      </c>
      <c r="M29" s="41">
        <f>+Table1[[#This Row],[Total Personnel]]+Table1[[#This Row],[Total Non-personnel]]</f>
        <v>18600</v>
      </c>
      <c r="N29" s="41"/>
      <c r="O29" s="41"/>
      <c r="P29" s="41"/>
      <c r="Q29" s="41">
        <f t="shared" si="1"/>
        <v>18600</v>
      </c>
      <c r="R29" s="42">
        <v>4351</v>
      </c>
      <c r="S29" s="48" t="s">
        <v>53</v>
      </c>
      <c r="T29" s="43"/>
      <c r="U29" s="70" t="s">
        <v>78</v>
      </c>
      <c r="V29" s="67"/>
      <c r="W29" s="45" t="str">
        <f>IF(Table1[[#This Row],[Total Funds]]=SUM(Table1[[#This Row],[Total Personnel]:[Total Non-personnel]]),"","Check")</f>
        <v/>
      </c>
    </row>
    <row r="30" spans="1:23" ht="75" x14ac:dyDescent="0.2">
      <c r="A30" s="14">
        <v>2</v>
      </c>
      <c r="B30" s="15">
        <v>2</v>
      </c>
      <c r="C30" s="16" t="s">
        <v>54</v>
      </c>
      <c r="D30" s="17"/>
      <c r="E30" s="18"/>
      <c r="F30" s="17"/>
      <c r="G30" s="17"/>
      <c r="H30" s="17" t="s">
        <v>20</v>
      </c>
      <c r="I30" s="17" t="s">
        <v>21</v>
      </c>
      <c r="J30" s="19">
        <f t="shared" si="0"/>
        <v>1</v>
      </c>
      <c r="K30" s="20">
        <f>90504+(69364+65425+58118+57200)*0</f>
        <v>90504</v>
      </c>
      <c r="L30" s="20"/>
      <c r="M30" s="20">
        <f>+Table1[[#This Row],[Total Personnel]]+Table1[[#This Row],[Total Non-personnel]]</f>
        <v>90504</v>
      </c>
      <c r="N30" s="20"/>
      <c r="O30" s="20"/>
      <c r="P30" s="20"/>
      <c r="Q30" s="20">
        <f t="shared" si="1"/>
        <v>90504</v>
      </c>
      <c r="R30" s="21">
        <v>1110</v>
      </c>
      <c r="S30" s="47" t="s">
        <v>55</v>
      </c>
      <c r="T30" s="22"/>
      <c r="U30" s="47" t="s">
        <v>107</v>
      </c>
      <c r="V30" s="68"/>
      <c r="W30" s="24" t="str">
        <f>IF(Table1[[#This Row],[Total Funds]]=SUM(Table1[[#This Row],[Total Personnel]:[Total Non-personnel]]),"","Check")</f>
        <v/>
      </c>
    </row>
    <row r="31" spans="1:23" ht="75" x14ac:dyDescent="0.2">
      <c r="A31" s="25">
        <v>2</v>
      </c>
      <c r="B31" s="26">
        <v>2</v>
      </c>
      <c r="C31" s="27" t="s">
        <v>54</v>
      </c>
      <c r="D31" s="28"/>
      <c r="E31" s="29"/>
      <c r="F31" s="28"/>
      <c r="G31" s="28"/>
      <c r="H31" s="28" t="s">
        <v>20</v>
      </c>
      <c r="I31" s="28" t="s">
        <v>21</v>
      </c>
      <c r="J31" s="30">
        <f t="shared" si="0"/>
        <v>1</v>
      </c>
      <c r="K31" s="31">
        <f>+K30*0.25</f>
        <v>22626</v>
      </c>
      <c r="L31" s="31"/>
      <c r="M31" s="31">
        <f>+Table1[[#This Row],[Total Personnel]]+Table1[[#This Row],[Total Non-personnel]]</f>
        <v>22626</v>
      </c>
      <c r="N31" s="31"/>
      <c r="O31" s="31"/>
      <c r="P31" s="31"/>
      <c r="Q31" s="31">
        <f t="shared" si="1"/>
        <v>22626</v>
      </c>
      <c r="R31" s="32">
        <v>3000</v>
      </c>
      <c r="S31" s="64" t="s">
        <v>56</v>
      </c>
      <c r="T31" s="33"/>
      <c r="U31" s="64" t="s">
        <v>107</v>
      </c>
      <c r="V31" s="65"/>
      <c r="W31" s="35" t="str">
        <f>IF(Table1[[#This Row],[Total Funds]]=SUM(Table1[[#This Row],[Total Personnel]:[Total Non-personnel]]),"","Check")</f>
        <v/>
      </c>
    </row>
    <row r="32" spans="1:23" ht="45" x14ac:dyDescent="0.2">
      <c r="A32" s="25">
        <v>2</v>
      </c>
      <c r="B32" s="26">
        <v>2</v>
      </c>
      <c r="C32" s="27" t="s">
        <v>54</v>
      </c>
      <c r="D32" s="28"/>
      <c r="E32" s="29"/>
      <c r="F32" s="28"/>
      <c r="G32" s="28"/>
      <c r="H32" s="28"/>
      <c r="I32" s="28"/>
      <c r="J32" s="30">
        <f t="shared" si="0"/>
        <v>0</v>
      </c>
      <c r="K32" s="31"/>
      <c r="L32" s="71">
        <v>996552.84810566204</v>
      </c>
      <c r="M32" s="31">
        <f>+Table1[[#This Row],[Total Personnel]]+Table1[[#This Row],[Total Non-personnel]]</f>
        <v>996552.84810566204</v>
      </c>
      <c r="N32" s="31"/>
      <c r="O32" s="31"/>
      <c r="P32" s="31"/>
      <c r="Q32" s="31">
        <f t="shared" si="1"/>
        <v>996552.84810566204</v>
      </c>
      <c r="R32" s="32">
        <v>5881</v>
      </c>
      <c r="S32" s="64" t="s">
        <v>57</v>
      </c>
      <c r="T32" s="33"/>
      <c r="U32" s="64" t="s">
        <v>78</v>
      </c>
      <c r="V32" s="65"/>
      <c r="W32" s="35" t="str">
        <f>IF(Table1[[#This Row],[Total Funds]]=SUM(Table1[[#This Row],[Total Personnel]:[Total Non-personnel]]),"","Check")</f>
        <v/>
      </c>
    </row>
    <row r="33" spans="1:23" ht="45" x14ac:dyDescent="0.2">
      <c r="A33" s="25">
        <v>2</v>
      </c>
      <c r="B33" s="26">
        <v>2</v>
      </c>
      <c r="C33" s="27" t="s">
        <v>54</v>
      </c>
      <c r="D33" s="28"/>
      <c r="E33" s="29"/>
      <c r="F33" s="28"/>
      <c r="G33" s="28"/>
      <c r="H33" s="28"/>
      <c r="I33" s="28"/>
      <c r="J33" s="30" t="str">
        <f t="shared" si="0"/>
        <v/>
      </c>
      <c r="K33" s="31"/>
      <c r="L33" s="71"/>
      <c r="M33" s="31">
        <f>+Table1[[#This Row],[Total Personnel]]+Table1[[#This Row],[Total Non-personnel]]</f>
        <v>0</v>
      </c>
      <c r="N33" s="31"/>
      <c r="O33" s="31"/>
      <c r="P33" s="31"/>
      <c r="Q33" s="31">
        <f t="shared" si="1"/>
        <v>0</v>
      </c>
      <c r="R33" s="32">
        <v>4211</v>
      </c>
      <c r="S33" s="64" t="s">
        <v>58</v>
      </c>
      <c r="T33" s="33"/>
      <c r="U33" s="64" t="s">
        <v>63</v>
      </c>
      <c r="V33" s="65"/>
      <c r="W33" s="35" t="str">
        <f>IF(Table1[[#This Row],[Total Funds]]=SUM(Table1[[#This Row],[Total Personnel]:[Total Non-personnel]]),"","Check")</f>
        <v/>
      </c>
    </row>
    <row r="34" spans="1:23" ht="60" x14ac:dyDescent="0.2">
      <c r="A34" s="25">
        <v>2</v>
      </c>
      <c r="B34" s="26">
        <v>2</v>
      </c>
      <c r="C34" s="27" t="s">
        <v>54</v>
      </c>
      <c r="D34" s="28"/>
      <c r="E34" s="29"/>
      <c r="F34" s="28"/>
      <c r="G34" s="28"/>
      <c r="H34" s="28"/>
      <c r="I34" s="28"/>
      <c r="J34" s="30" t="str">
        <f t="shared" si="0"/>
        <v/>
      </c>
      <c r="K34" s="31"/>
      <c r="L34" s="71"/>
      <c r="M34" s="31">
        <f>+Table1[[#This Row],[Total Personnel]]+Table1[[#This Row],[Total Non-personnel]]</f>
        <v>0</v>
      </c>
      <c r="N34" s="31"/>
      <c r="O34" s="31"/>
      <c r="P34" s="31"/>
      <c r="Q34" s="31">
        <f t="shared" si="1"/>
        <v>0</v>
      </c>
      <c r="R34" s="32">
        <v>5861</v>
      </c>
      <c r="S34" s="64" t="s">
        <v>59</v>
      </c>
      <c r="T34" s="33"/>
      <c r="U34" s="64" t="s">
        <v>64</v>
      </c>
      <c r="V34" s="65"/>
      <c r="W34" s="35" t="str">
        <f>IF(Table1[[#This Row],[Total Funds]]=SUM(Table1[[#This Row],[Total Personnel]:[Total Non-personnel]]),"","Check")</f>
        <v/>
      </c>
    </row>
    <row r="35" spans="1:23" ht="45" x14ac:dyDescent="0.2">
      <c r="A35" s="25">
        <v>2</v>
      </c>
      <c r="B35" s="26">
        <v>2</v>
      </c>
      <c r="C35" s="27" t="s">
        <v>54</v>
      </c>
      <c r="D35" s="28"/>
      <c r="E35" s="29"/>
      <c r="F35" s="28"/>
      <c r="G35" s="28"/>
      <c r="H35" s="28"/>
      <c r="I35" s="28"/>
      <c r="J35" s="30" t="str">
        <f t="shared" si="0"/>
        <v/>
      </c>
      <c r="K35" s="31"/>
      <c r="L35" s="71"/>
      <c r="M35" s="31">
        <f>+Table1[[#This Row],[Total Personnel]]+Table1[[#This Row],[Total Non-personnel]]</f>
        <v>0</v>
      </c>
      <c r="N35" s="31"/>
      <c r="O35" s="31"/>
      <c r="P35" s="31"/>
      <c r="Q35" s="31">
        <f t="shared" si="1"/>
        <v>0</v>
      </c>
      <c r="R35" s="32">
        <v>5859</v>
      </c>
      <c r="S35" s="64" t="s">
        <v>60</v>
      </c>
      <c r="T35" s="33"/>
      <c r="U35" s="64" t="s">
        <v>65</v>
      </c>
      <c r="V35" s="65"/>
      <c r="W35" s="35" t="str">
        <f>IF(Table1[[#This Row],[Total Funds]]=SUM(Table1[[#This Row],[Total Personnel]:[Total Non-personnel]]),"","Check")</f>
        <v/>
      </c>
    </row>
    <row r="36" spans="1:23" ht="45" x14ac:dyDescent="0.2">
      <c r="A36" s="25">
        <v>2</v>
      </c>
      <c r="B36" s="26">
        <v>2</v>
      </c>
      <c r="C36" s="27" t="s">
        <v>54</v>
      </c>
      <c r="D36" s="28"/>
      <c r="E36" s="29"/>
      <c r="F36" s="28"/>
      <c r="G36" s="28"/>
      <c r="H36" s="28"/>
      <c r="I36" s="28"/>
      <c r="J36" s="30">
        <f t="shared" si="0"/>
        <v>1</v>
      </c>
      <c r="K36" s="31">
        <v>65920</v>
      </c>
      <c r="L36" s="31"/>
      <c r="M36" s="31">
        <f>+Table1[[#This Row],[Total Personnel]]+Table1[[#This Row],[Total Non-personnel]]</f>
        <v>65920</v>
      </c>
      <c r="N36" s="31"/>
      <c r="O36" s="31"/>
      <c r="P36" s="31"/>
      <c r="Q36" s="31">
        <f t="shared" si="1"/>
        <v>65920</v>
      </c>
      <c r="R36" s="32">
        <v>2400</v>
      </c>
      <c r="S36" s="64" t="s">
        <v>61</v>
      </c>
      <c r="T36" s="33"/>
      <c r="U36" s="64" t="s">
        <v>81</v>
      </c>
      <c r="V36" s="65"/>
      <c r="W36" s="35" t="str">
        <f>IF(Table1[[#This Row],[Total Funds]]=SUM(Table1[[#This Row],[Total Personnel]:[Total Non-personnel]]),"","Check")</f>
        <v/>
      </c>
    </row>
    <row r="37" spans="1:23" ht="45.75" thickBot="1" x14ac:dyDescent="0.25">
      <c r="A37" s="36">
        <v>2</v>
      </c>
      <c r="B37" s="37">
        <v>2</v>
      </c>
      <c r="C37" s="38" t="s">
        <v>54</v>
      </c>
      <c r="D37" s="39"/>
      <c r="E37" s="46"/>
      <c r="F37" s="39"/>
      <c r="G37" s="39"/>
      <c r="H37" s="39"/>
      <c r="I37" s="39"/>
      <c r="J37" s="40">
        <f t="shared" si="0"/>
        <v>1</v>
      </c>
      <c r="K37" s="41">
        <f>65920*0.25</f>
        <v>16480</v>
      </c>
      <c r="L37" s="41"/>
      <c r="M37" s="41">
        <f>+Table1[[#This Row],[Total Personnel]]+Table1[[#This Row],[Total Non-personnel]]</f>
        <v>16480</v>
      </c>
      <c r="N37" s="41"/>
      <c r="O37" s="41"/>
      <c r="P37" s="41"/>
      <c r="Q37" s="41">
        <f t="shared" si="1"/>
        <v>16480</v>
      </c>
      <c r="R37" s="42">
        <v>3000</v>
      </c>
      <c r="S37" s="48" t="s">
        <v>62</v>
      </c>
      <c r="T37" s="43"/>
      <c r="U37" s="48" t="s">
        <v>81</v>
      </c>
      <c r="V37" s="67"/>
      <c r="W37" s="45" t="str">
        <f>IF(Table1[[#This Row],[Total Funds]]=SUM(Table1[[#This Row],[Total Personnel]:[Total Non-personnel]]),"","Check")</f>
        <v/>
      </c>
    </row>
    <row r="38" spans="1:23" ht="60" x14ac:dyDescent="0.2">
      <c r="A38" s="14">
        <v>3</v>
      </c>
      <c r="B38" s="15">
        <v>1</v>
      </c>
      <c r="C38" s="16" t="s">
        <v>66</v>
      </c>
      <c r="D38" s="17"/>
      <c r="E38" s="18"/>
      <c r="F38" s="17"/>
      <c r="G38" s="17"/>
      <c r="H38" s="17"/>
      <c r="I38" s="17"/>
      <c r="J38" s="19">
        <f t="shared" si="0"/>
        <v>1</v>
      </c>
      <c r="K38" s="20">
        <v>60745</v>
      </c>
      <c r="L38" s="20"/>
      <c r="M38" s="20">
        <f>+Table1[[#This Row],[Total Personnel]]+Table1[[#This Row],[Total Non-personnel]]</f>
        <v>60745</v>
      </c>
      <c r="N38" s="20"/>
      <c r="O38" s="20"/>
      <c r="P38" s="20"/>
      <c r="Q38" s="20">
        <f t="shared" si="1"/>
        <v>60745</v>
      </c>
      <c r="R38" s="21">
        <v>2900</v>
      </c>
      <c r="S38" s="47" t="s">
        <v>89</v>
      </c>
      <c r="T38" s="22"/>
      <c r="U38" s="21"/>
      <c r="V38" s="23"/>
      <c r="W38" s="24" t="str">
        <f>IF(Table1[[#This Row],[Total Funds]]=SUM(Table1[[#This Row],[Total Personnel]:[Total Non-personnel]]),"","Check")</f>
        <v/>
      </c>
    </row>
    <row r="39" spans="1:23" ht="60" x14ac:dyDescent="0.2">
      <c r="A39" s="25">
        <v>3</v>
      </c>
      <c r="B39" s="26">
        <v>1</v>
      </c>
      <c r="C39" s="27" t="s">
        <v>66</v>
      </c>
      <c r="D39" s="28"/>
      <c r="E39" s="29"/>
      <c r="F39" s="28"/>
      <c r="G39" s="28"/>
      <c r="H39" s="28"/>
      <c r="I39" s="28"/>
      <c r="J39" s="30">
        <f t="shared" si="0"/>
        <v>1</v>
      </c>
      <c r="K39" s="31">
        <f>60745*0.25</f>
        <v>15186.25</v>
      </c>
      <c r="L39" s="31"/>
      <c r="M39" s="31">
        <f>+Table1[[#This Row],[Total Personnel]]+Table1[[#This Row],[Total Non-personnel]]</f>
        <v>15186.25</v>
      </c>
      <c r="N39" s="31"/>
      <c r="O39" s="31"/>
      <c r="P39" s="31"/>
      <c r="Q39" s="31">
        <f t="shared" si="1"/>
        <v>15186.25</v>
      </c>
      <c r="R39" s="32">
        <v>3000</v>
      </c>
      <c r="S39" s="64" t="s">
        <v>90</v>
      </c>
      <c r="T39" s="33"/>
      <c r="U39" s="32"/>
      <c r="V39" s="34"/>
      <c r="W39" s="35" t="str">
        <f>IF(Table1[[#This Row],[Total Funds]]=SUM(Table1[[#This Row],[Total Personnel]:[Total Non-personnel]]),"","Check")</f>
        <v/>
      </c>
    </row>
    <row r="40" spans="1:23" ht="60" x14ac:dyDescent="0.2">
      <c r="A40" s="25">
        <v>3</v>
      </c>
      <c r="B40" s="26">
        <v>1</v>
      </c>
      <c r="C40" s="27" t="s">
        <v>66</v>
      </c>
      <c r="D40" s="28"/>
      <c r="E40" s="29"/>
      <c r="F40" s="28"/>
      <c r="G40" s="28"/>
      <c r="H40" s="28"/>
      <c r="I40" s="28"/>
      <c r="J40" s="30">
        <f t="shared" si="0"/>
        <v>1</v>
      </c>
      <c r="K40" s="71">
        <v>39672</v>
      </c>
      <c r="L40" s="31"/>
      <c r="M40" s="31">
        <f>+Table1[[#This Row],[Total Personnel]]+Table1[[#This Row],[Total Non-personnel]]</f>
        <v>39672</v>
      </c>
      <c r="N40" s="31"/>
      <c r="O40" s="31"/>
      <c r="P40" s="31"/>
      <c r="Q40" s="31">
        <f t="shared" si="1"/>
        <v>39672</v>
      </c>
      <c r="R40" s="32">
        <v>2400</v>
      </c>
      <c r="S40" s="64" t="s">
        <v>67</v>
      </c>
      <c r="T40" s="33"/>
      <c r="U40" s="64" t="s">
        <v>82</v>
      </c>
      <c r="V40" s="65"/>
      <c r="W40" s="35" t="str">
        <f>IF(Table1[[#This Row],[Total Funds]]=SUM(Table1[[#This Row],[Total Personnel]:[Total Non-personnel]]),"","Check")</f>
        <v/>
      </c>
    </row>
    <row r="41" spans="1:23" ht="60" x14ac:dyDescent="0.2">
      <c r="A41" s="25">
        <v>3</v>
      </c>
      <c r="B41" s="26">
        <v>1</v>
      </c>
      <c r="C41" s="27" t="s">
        <v>66</v>
      </c>
      <c r="D41" s="28"/>
      <c r="E41" s="29"/>
      <c r="F41" s="28"/>
      <c r="G41" s="28"/>
      <c r="H41" s="28"/>
      <c r="I41" s="28"/>
      <c r="J41" s="30">
        <f t="shared" si="0"/>
        <v>1</v>
      </c>
      <c r="K41" s="71">
        <f>39672*0.25</f>
        <v>9918</v>
      </c>
      <c r="L41" s="31"/>
      <c r="M41" s="31">
        <f>+Table1[[#This Row],[Total Personnel]]+Table1[[#This Row],[Total Non-personnel]]</f>
        <v>9918</v>
      </c>
      <c r="N41" s="31"/>
      <c r="O41" s="31"/>
      <c r="P41" s="31"/>
      <c r="Q41" s="31">
        <f t="shared" si="1"/>
        <v>9918</v>
      </c>
      <c r="R41" s="32">
        <v>3000</v>
      </c>
      <c r="S41" s="64" t="s">
        <v>68</v>
      </c>
      <c r="T41" s="33"/>
      <c r="U41" s="64" t="s">
        <v>82</v>
      </c>
      <c r="V41" s="65"/>
      <c r="W41" s="35" t="str">
        <f>IF(Table1[[#This Row],[Total Funds]]=SUM(Table1[[#This Row],[Total Personnel]:[Total Non-personnel]]),"","Check")</f>
        <v/>
      </c>
    </row>
    <row r="42" spans="1:23" ht="90" x14ac:dyDescent="0.2">
      <c r="A42" s="25">
        <v>3</v>
      </c>
      <c r="B42" s="26">
        <v>1</v>
      </c>
      <c r="C42" s="27" t="s">
        <v>66</v>
      </c>
      <c r="D42" s="28"/>
      <c r="E42" s="29"/>
      <c r="F42" s="28"/>
      <c r="G42" s="28"/>
      <c r="H42" s="28"/>
      <c r="I42" s="28"/>
      <c r="J42" s="30">
        <f t="shared" si="0"/>
        <v>1</v>
      </c>
      <c r="K42" s="71">
        <f>33930+24665</f>
        <v>58595</v>
      </c>
      <c r="L42" s="31"/>
      <c r="M42" s="31">
        <f>+Table1[[#This Row],[Total Personnel]]+Table1[[#This Row],[Total Non-personnel]]</f>
        <v>58595</v>
      </c>
      <c r="N42" s="31"/>
      <c r="O42" s="31"/>
      <c r="P42" s="31"/>
      <c r="Q42" s="31">
        <f t="shared" si="1"/>
        <v>58595</v>
      </c>
      <c r="R42" s="32">
        <v>2400</v>
      </c>
      <c r="S42" s="64" t="s">
        <v>69</v>
      </c>
      <c r="T42" s="33"/>
      <c r="U42" s="64" t="s">
        <v>83</v>
      </c>
      <c r="V42" s="65"/>
      <c r="W42" s="35" t="str">
        <f>IF(Table1[[#This Row],[Total Funds]]=SUM(Table1[[#This Row],[Total Personnel]:[Total Non-personnel]]),"","Check")</f>
        <v/>
      </c>
    </row>
    <row r="43" spans="1:23" ht="90.75" thickBot="1" x14ac:dyDescent="0.25">
      <c r="A43" s="36">
        <v>3</v>
      </c>
      <c r="B43" s="37">
        <v>1</v>
      </c>
      <c r="C43" s="38" t="s">
        <v>66</v>
      </c>
      <c r="D43" s="39"/>
      <c r="E43" s="46"/>
      <c r="F43" s="39"/>
      <c r="G43" s="39"/>
      <c r="H43" s="39"/>
      <c r="I43" s="39"/>
      <c r="J43" s="40">
        <f t="shared" si="0"/>
        <v>1</v>
      </c>
      <c r="K43" s="72">
        <f>58595*0.25</f>
        <v>14648.75</v>
      </c>
      <c r="L43" s="41"/>
      <c r="M43" s="41">
        <f>+Table1[[#This Row],[Total Personnel]]+Table1[[#This Row],[Total Non-personnel]]</f>
        <v>14648.75</v>
      </c>
      <c r="N43" s="41"/>
      <c r="O43" s="41"/>
      <c r="P43" s="41"/>
      <c r="Q43" s="41">
        <f t="shared" si="1"/>
        <v>14648.75</v>
      </c>
      <c r="R43" s="42">
        <v>3000</v>
      </c>
      <c r="S43" s="48" t="s">
        <v>70</v>
      </c>
      <c r="T43" s="43"/>
      <c r="U43" s="48" t="s">
        <v>83</v>
      </c>
      <c r="V43" s="67"/>
      <c r="W43" s="45" t="str">
        <f>IF(Table1[[#This Row],[Total Funds]]=SUM(Table1[[#This Row],[Total Personnel]:[Total Non-personnel]]),"","Check")</f>
        <v/>
      </c>
    </row>
    <row r="44" spans="1:23" ht="60" x14ac:dyDescent="0.2">
      <c r="A44" s="14">
        <v>3</v>
      </c>
      <c r="B44" s="15">
        <v>2</v>
      </c>
      <c r="C44" s="16" t="s">
        <v>71</v>
      </c>
      <c r="D44" s="17"/>
      <c r="E44" s="18"/>
      <c r="F44" s="17"/>
      <c r="G44" s="17"/>
      <c r="H44" s="17"/>
      <c r="I44" s="17"/>
      <c r="J44" s="19">
        <f t="shared" si="0"/>
        <v>1</v>
      </c>
      <c r="K44" s="20">
        <v>76683</v>
      </c>
      <c r="L44" s="20"/>
      <c r="M44" s="20">
        <f>+Table1[[#This Row],[Total Personnel]]+Table1[[#This Row],[Total Non-personnel]]</f>
        <v>76683</v>
      </c>
      <c r="N44" s="20"/>
      <c r="O44" s="20"/>
      <c r="P44" s="20"/>
      <c r="Q44" s="20">
        <f t="shared" si="1"/>
        <v>76683</v>
      </c>
      <c r="R44" s="21">
        <v>2900</v>
      </c>
      <c r="S44" s="47" t="s">
        <v>72</v>
      </c>
      <c r="T44" s="22"/>
      <c r="U44" s="21"/>
      <c r="V44" s="23"/>
      <c r="W44" s="24" t="str">
        <f>IF(Table1[[#This Row],[Total Funds]]=SUM(Table1[[#This Row],[Total Personnel]:[Total Non-personnel]]),"","Check")</f>
        <v/>
      </c>
    </row>
    <row r="45" spans="1:23" ht="60" x14ac:dyDescent="0.2">
      <c r="A45" s="25">
        <v>3</v>
      </c>
      <c r="B45" s="26">
        <v>2</v>
      </c>
      <c r="C45" s="27" t="s">
        <v>71</v>
      </c>
      <c r="D45" s="28"/>
      <c r="E45" s="29"/>
      <c r="F45" s="28"/>
      <c r="G45" s="28"/>
      <c r="H45" s="28"/>
      <c r="I45" s="28"/>
      <c r="J45" s="30">
        <f t="shared" si="0"/>
        <v>1</v>
      </c>
      <c r="K45" s="31">
        <f>76683*0.25</f>
        <v>19170.75</v>
      </c>
      <c r="L45" s="31"/>
      <c r="M45" s="31">
        <f>+Table1[[#This Row],[Total Personnel]]+Table1[[#This Row],[Total Non-personnel]]</f>
        <v>19170.75</v>
      </c>
      <c r="N45" s="31"/>
      <c r="O45" s="31"/>
      <c r="P45" s="31"/>
      <c r="Q45" s="31">
        <f t="shared" si="1"/>
        <v>19170.75</v>
      </c>
      <c r="R45" s="32">
        <v>3000</v>
      </c>
      <c r="S45" s="64" t="s">
        <v>73</v>
      </c>
      <c r="T45" s="33"/>
      <c r="U45" s="32"/>
      <c r="V45" s="34"/>
      <c r="W45" s="35" t="str">
        <f>IF(Table1[[#This Row],[Total Funds]]=SUM(Table1[[#This Row],[Total Personnel]:[Total Non-personnel]]),"","Check")</f>
        <v/>
      </c>
    </row>
    <row r="46" spans="1:23" ht="60" x14ac:dyDescent="0.2">
      <c r="A46" s="25">
        <v>3</v>
      </c>
      <c r="B46" s="26">
        <v>2</v>
      </c>
      <c r="C46" s="27" t="s">
        <v>71</v>
      </c>
      <c r="D46" s="28"/>
      <c r="E46" s="29"/>
      <c r="F46" s="28"/>
      <c r="G46" s="28"/>
      <c r="H46" s="28"/>
      <c r="I46" s="28"/>
      <c r="J46" s="30">
        <f t="shared" si="0"/>
        <v>0</v>
      </c>
      <c r="K46" s="31"/>
      <c r="L46" s="31">
        <v>177559.2</v>
      </c>
      <c r="M46" s="63"/>
      <c r="N46" s="31">
        <f>+Table1[[#This Row],[Total Personnel]]+Table1[[#This Row],[Total Non-personnel]]</f>
        <v>177559.2</v>
      </c>
      <c r="O46" s="31"/>
      <c r="P46" s="31"/>
      <c r="Q46" s="31">
        <f>IF(SUM(N46:P46)="","",SUM(N46:P46))</f>
        <v>177559.2</v>
      </c>
      <c r="R46" s="32">
        <v>5844</v>
      </c>
      <c r="S46" s="64" t="s">
        <v>74</v>
      </c>
      <c r="T46" s="73" t="s">
        <v>74</v>
      </c>
      <c r="U46" s="32"/>
      <c r="V46" s="34"/>
      <c r="W46" s="35" t="str">
        <f>IF(Table1[[#This Row],[Total Funds]]=SUM(Table1[[#This Row],[Total Personnel]:[Total Non-personnel]]),"","Check")</f>
        <v/>
      </c>
    </row>
    <row r="47" spans="1:23" ht="60.75" thickBot="1" x14ac:dyDescent="0.25">
      <c r="A47" s="36">
        <v>3</v>
      </c>
      <c r="B47" s="37">
        <v>2</v>
      </c>
      <c r="C47" s="38" t="s">
        <v>71</v>
      </c>
      <c r="D47" s="39"/>
      <c r="E47" s="46"/>
      <c r="F47" s="39"/>
      <c r="G47" s="39"/>
      <c r="H47" s="39"/>
      <c r="I47" s="39"/>
      <c r="J47" s="40">
        <f t="shared" si="0"/>
        <v>0</v>
      </c>
      <c r="K47" s="41"/>
      <c r="L47" s="41">
        <v>4675</v>
      </c>
      <c r="M47" s="41">
        <f>+Table1[[#This Row],[Total Personnel]]+Table1[[#This Row],[Total Non-personnel]]</f>
        <v>4675</v>
      </c>
      <c r="N47" s="41"/>
      <c r="O47" s="41"/>
      <c r="P47" s="41"/>
      <c r="Q47" s="41">
        <f t="shared" si="1"/>
        <v>4675</v>
      </c>
      <c r="R47" s="42">
        <v>5861</v>
      </c>
      <c r="S47" s="42" t="s">
        <v>75</v>
      </c>
      <c r="T47" s="43"/>
      <c r="U47" s="126" t="s">
        <v>84</v>
      </c>
      <c r="V47" s="67"/>
      <c r="W47" s="45" t="str">
        <f>IF(Table1[[#This Row],[Total Funds]]=SUM(Table1[[#This Row],[Total Personnel]:[Total Non-personnel]]),"","Check")</f>
        <v/>
      </c>
    </row>
    <row r="48" spans="1:23" x14ac:dyDescent="0.2">
      <c r="C48" s="6"/>
      <c r="E48" s="2"/>
      <c r="J48" s="75"/>
      <c r="K48" s="76"/>
      <c r="L48" s="76"/>
      <c r="M48" s="76">
        <f>SUBTOTAL(109,Table1[LCFF Funds])</f>
        <v>2454850.598105662</v>
      </c>
      <c r="N48" s="76"/>
      <c r="O48" s="76"/>
      <c r="P48" s="76"/>
      <c r="Q48" s="76"/>
      <c r="R48" s="77"/>
      <c r="S48" s="77"/>
      <c r="T48" s="78"/>
      <c r="U48" s="77"/>
      <c r="V48" s="77"/>
      <c r="W48" s="78"/>
    </row>
  </sheetData>
  <dataValidations count="1">
    <dataValidation type="list" allowBlank="1" showInputMessage="1" showErrorMessage="1" sqref="F3:F47">
      <formula1>#REF!</formula1>
    </dataValidation>
  </dataValidations>
  <pageMargins left="0.7" right="0.7" top="0.75" bottom="0.75" header="0.3" footer="0.3"/>
  <pageSetup paperSize="5" scale="54" fitToHeight="0" orientation="landscape" r:id="rId1"/>
  <headerFooter>
    <oddHeader>&amp;CDRAFT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topLeftCell="B36" zoomScaleNormal="100" workbookViewId="0">
      <selection activeCell="R27" sqref="R27"/>
    </sheetView>
  </sheetViews>
  <sheetFormatPr defaultColWidth="9" defaultRowHeight="15" outlineLevelCol="2" x14ac:dyDescent="0.2"/>
  <cols>
    <col min="1" max="1" width="7.875" style="2" customWidth="1"/>
    <col min="2" max="2" width="11.25" style="2" bestFit="1" customWidth="1"/>
    <col min="3" max="3" width="43.625" style="3" bestFit="1" customWidth="1"/>
    <col min="4" max="4" width="18.25" style="2" hidden="1" customWidth="1" outlineLevel="1"/>
    <col min="5" max="5" width="17.125" style="3" customWidth="1" collapsed="1"/>
    <col min="6" max="6" width="23" style="3" hidden="1" customWidth="1" outlineLevel="1"/>
    <col min="7" max="7" width="14.625" style="3" hidden="1" customWidth="1" outlineLevel="1"/>
    <col min="8" max="8" width="12.875" style="3" hidden="1" customWidth="1" outlineLevel="2" collapsed="1"/>
    <col min="9" max="9" width="14" style="3" hidden="1" customWidth="1" outlineLevel="2"/>
    <col min="10" max="10" width="13.625" style="3" hidden="1" customWidth="1" outlineLevel="1"/>
    <col min="11" max="11" width="16.25" style="3" customWidth="1" collapsed="1"/>
    <col min="12" max="12" width="16.25" style="3" customWidth="1"/>
    <col min="13" max="16" width="16.25" style="3" hidden="1" customWidth="1" outlineLevel="1"/>
    <col min="17" max="17" width="16.25" style="3" customWidth="1" collapsed="1"/>
    <col min="18" max="18" width="16.25" style="3" customWidth="1"/>
    <col min="19" max="19" width="16.25" style="6" customWidth="1"/>
    <col min="20" max="20" width="16.25" style="3" customWidth="1"/>
    <col min="21" max="21" width="24.75" style="3" customWidth="1"/>
    <col min="22" max="22" width="28.75" style="3" customWidth="1"/>
    <col min="23" max="23" width="9" style="3" customWidth="1"/>
    <col min="24" max="24" width="9.375" style="3" bestFit="1" customWidth="1"/>
    <col min="25" max="16384" width="9" style="3"/>
  </cols>
  <sheetData>
    <row r="1" spans="1:23" ht="26.25" x14ac:dyDescent="0.2">
      <c r="A1" s="1"/>
    </row>
    <row r="2" spans="1:23" s="6" customFormat="1" ht="60.75" thickBo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25</v>
      </c>
      <c r="U2" s="4" t="s">
        <v>28</v>
      </c>
      <c r="V2" s="4" t="s">
        <v>79</v>
      </c>
      <c r="W2" s="5" t="s">
        <v>19</v>
      </c>
    </row>
    <row r="3" spans="1:23" x14ac:dyDescent="0.2">
      <c r="A3" s="14">
        <v>1</v>
      </c>
      <c r="B3" s="15">
        <v>1</v>
      </c>
      <c r="C3" s="16" t="s">
        <v>22</v>
      </c>
      <c r="D3" s="17"/>
      <c r="E3" s="18"/>
      <c r="F3" s="17"/>
      <c r="G3" s="17"/>
      <c r="H3" s="17" t="s">
        <v>20</v>
      </c>
      <c r="I3" s="17" t="s">
        <v>21</v>
      </c>
      <c r="J3" s="19">
        <f t="shared" ref="J3:J46" si="0">IF(Q3&gt;0,K3/Q3,"")</f>
        <v>1</v>
      </c>
      <c r="K3" s="20">
        <v>19140</v>
      </c>
      <c r="L3" s="20"/>
      <c r="M3" s="20">
        <f>+Table13[[#This Row],[Total Personnel]]+Table13[[#This Row],[Total Non-personnel]]</f>
        <v>19140</v>
      </c>
      <c r="N3" s="20"/>
      <c r="O3" s="20"/>
      <c r="P3" s="20"/>
      <c r="Q3" s="20">
        <f t="shared" ref="Q3:Q45" si="1">IF(SUM(M3:P3)="","",SUM(M3:P3))</f>
        <v>19140</v>
      </c>
      <c r="R3" s="21">
        <v>1175</v>
      </c>
      <c r="S3" s="21" t="s">
        <v>23</v>
      </c>
      <c r="T3" s="22"/>
      <c r="U3" s="21"/>
      <c r="V3" s="23"/>
      <c r="W3" s="24" t="str">
        <f>IF(Table13[[#This Row],[Total Funds]]=SUM(Table13[[#This Row],[Total Personnel]:[Total Non-personnel]]),"","Check")</f>
        <v/>
      </c>
    </row>
    <row r="4" spans="1:23" x14ac:dyDescent="0.2">
      <c r="A4" s="25">
        <v>1</v>
      </c>
      <c r="B4" s="26">
        <v>1</v>
      </c>
      <c r="C4" s="27" t="s">
        <v>22</v>
      </c>
      <c r="D4" s="28"/>
      <c r="E4" s="29"/>
      <c r="F4" s="28"/>
      <c r="G4" s="28"/>
      <c r="H4" s="28" t="s">
        <v>20</v>
      </c>
      <c r="I4" s="28" t="s">
        <v>21</v>
      </c>
      <c r="J4" s="30">
        <f t="shared" si="0"/>
        <v>1</v>
      </c>
      <c r="K4" s="31">
        <f>19140*0.25</f>
        <v>4785</v>
      </c>
      <c r="L4" s="31"/>
      <c r="M4" s="31">
        <f>+Table13[[#This Row],[Total Personnel]]+Table13[[#This Row],[Total Non-personnel]]</f>
        <v>4785</v>
      </c>
      <c r="N4" s="31"/>
      <c r="O4" s="31"/>
      <c r="P4" s="31"/>
      <c r="Q4" s="31">
        <f t="shared" si="1"/>
        <v>4785</v>
      </c>
      <c r="R4" s="32">
        <v>3000</v>
      </c>
      <c r="S4" s="32" t="s">
        <v>24</v>
      </c>
      <c r="T4" s="33"/>
      <c r="U4" s="32"/>
      <c r="V4" s="34"/>
      <c r="W4" s="35" t="str">
        <f>IF(Table13[[#This Row],[Total Funds]]=SUM(Table13[[#This Row],[Total Personnel]:[Total Non-personnel]]),"","Check")</f>
        <v/>
      </c>
    </row>
    <row r="5" spans="1:23" x14ac:dyDescent="0.2">
      <c r="A5" s="25">
        <v>1</v>
      </c>
      <c r="B5" s="26">
        <v>1</v>
      </c>
      <c r="C5" s="27" t="s">
        <v>22</v>
      </c>
      <c r="D5" s="28"/>
      <c r="E5" s="26"/>
      <c r="F5" s="28"/>
      <c r="G5" s="28"/>
      <c r="H5" s="28" t="s">
        <v>20</v>
      </c>
      <c r="I5" s="28" t="s">
        <v>21</v>
      </c>
      <c r="J5" s="30" t="str">
        <f t="shared" si="0"/>
        <v/>
      </c>
      <c r="K5" s="31"/>
      <c r="L5" s="31"/>
      <c r="M5" s="31">
        <f>+Table13[[#This Row],[Total Personnel]]+Table13[[#This Row],[Total Non-personnel]]</f>
        <v>0</v>
      </c>
      <c r="N5" s="31"/>
      <c r="O5" s="31"/>
      <c r="P5" s="31"/>
      <c r="Q5" s="31">
        <f t="shared" si="1"/>
        <v>0</v>
      </c>
      <c r="R5" s="32">
        <v>1175</v>
      </c>
      <c r="S5" s="32" t="s">
        <v>26</v>
      </c>
      <c r="T5" s="33"/>
      <c r="U5" s="32" t="s">
        <v>29</v>
      </c>
      <c r="V5" s="34"/>
      <c r="W5" s="35" t="str">
        <f>IF(Table13[[#This Row],[Total Funds]]=SUM(Table13[[#This Row],[Total Personnel]:[Total Non-personnel]]),"","Check")</f>
        <v/>
      </c>
    </row>
    <row r="6" spans="1:23" ht="30.75" thickBot="1" x14ac:dyDescent="0.25">
      <c r="A6" s="36">
        <v>1</v>
      </c>
      <c r="B6" s="37">
        <v>1</v>
      </c>
      <c r="C6" s="38" t="s">
        <v>22</v>
      </c>
      <c r="D6" s="39"/>
      <c r="E6" s="37"/>
      <c r="F6" s="39"/>
      <c r="G6" s="39"/>
      <c r="H6" s="39" t="s">
        <v>20</v>
      </c>
      <c r="I6" s="39" t="s">
        <v>21</v>
      </c>
      <c r="J6" s="40" t="str">
        <f t="shared" si="0"/>
        <v/>
      </c>
      <c r="K6" s="41"/>
      <c r="L6" s="41"/>
      <c r="M6" s="41">
        <f>+Table13[[#This Row],[Total Personnel]]+Table13[[#This Row],[Total Non-personnel]]</f>
        <v>0</v>
      </c>
      <c r="N6" s="41"/>
      <c r="O6" s="41"/>
      <c r="P6" s="41"/>
      <c r="Q6" s="41">
        <f t="shared" si="1"/>
        <v>0</v>
      </c>
      <c r="R6" s="42">
        <v>3000</v>
      </c>
      <c r="S6" s="42" t="s">
        <v>27</v>
      </c>
      <c r="T6" s="43"/>
      <c r="U6" s="42" t="s">
        <v>29</v>
      </c>
      <c r="V6" s="44"/>
      <c r="W6" s="45" t="str">
        <f>IF(Table13[[#This Row],[Total Funds]]=SUM(Table13[[#This Row],[Total Personnel]:[Total Non-personnel]]),"","Check")</f>
        <v/>
      </c>
    </row>
    <row r="7" spans="1:23" ht="60" x14ac:dyDescent="0.2">
      <c r="A7" s="14">
        <v>1</v>
      </c>
      <c r="B7" s="15">
        <v>2</v>
      </c>
      <c r="C7" s="16" t="s">
        <v>30</v>
      </c>
      <c r="D7" s="17"/>
      <c r="E7" s="18"/>
      <c r="F7" s="17"/>
      <c r="G7" s="17"/>
      <c r="H7" s="17" t="s">
        <v>20</v>
      </c>
      <c r="I7" s="17" t="s">
        <v>21</v>
      </c>
      <c r="J7" s="19">
        <f t="shared" si="0"/>
        <v>1</v>
      </c>
      <c r="K7" s="31">
        <v>277112</v>
      </c>
      <c r="L7" s="20"/>
      <c r="M7" s="20">
        <f>+Table13[[#This Row],[Total Personnel]]+Table13[[#This Row],[Total Non-personnel]]</f>
        <v>277112</v>
      </c>
      <c r="N7" s="20"/>
      <c r="O7" s="20"/>
      <c r="P7" s="20"/>
      <c r="Q7" s="20">
        <f t="shared" si="1"/>
        <v>277112</v>
      </c>
      <c r="R7" s="21">
        <v>1300</v>
      </c>
      <c r="S7" s="21" t="s">
        <v>31</v>
      </c>
      <c r="T7" s="22"/>
      <c r="U7" s="21" t="s">
        <v>87</v>
      </c>
      <c r="V7" s="23"/>
      <c r="W7" s="24" t="str">
        <f>IF(Table13[[#This Row],[Total Funds]]=SUM(Table13[[#This Row],[Total Personnel]:[Total Non-personnel]]),"","Check")</f>
        <v/>
      </c>
    </row>
    <row r="8" spans="1:23" ht="60.75" thickBot="1" x14ac:dyDescent="0.25">
      <c r="A8" s="36">
        <v>1</v>
      </c>
      <c r="B8" s="37">
        <v>2</v>
      </c>
      <c r="C8" s="38" t="s">
        <v>30</v>
      </c>
      <c r="D8" s="39"/>
      <c r="E8" s="46"/>
      <c r="F8" s="39"/>
      <c r="G8" s="39"/>
      <c r="H8" s="39" t="s">
        <v>20</v>
      </c>
      <c r="I8" s="39" t="s">
        <v>21</v>
      </c>
      <c r="J8" s="40">
        <f t="shared" si="0"/>
        <v>1</v>
      </c>
      <c r="K8" s="41">
        <f>277112*0.25</f>
        <v>69278</v>
      </c>
      <c r="L8" s="41"/>
      <c r="M8" s="41">
        <f>+Table13[[#This Row],[Total Personnel]]+Table13[[#This Row],[Total Non-personnel]]</f>
        <v>69278</v>
      </c>
      <c r="N8" s="41"/>
      <c r="O8" s="41"/>
      <c r="P8" s="41"/>
      <c r="Q8" s="41">
        <f t="shared" si="1"/>
        <v>69278</v>
      </c>
      <c r="R8" s="42">
        <v>3000</v>
      </c>
      <c r="S8" s="42" t="s">
        <v>32</v>
      </c>
      <c r="T8" s="43"/>
      <c r="U8" s="42"/>
      <c r="V8" s="44"/>
      <c r="W8" s="45" t="str">
        <f>IF(Table13[[#This Row],[Total Funds]]=SUM(Table13[[#This Row],[Total Personnel]:[Total Non-personnel]]),"","Check")</f>
        <v/>
      </c>
    </row>
    <row r="9" spans="1:23" ht="30" x14ac:dyDescent="0.2">
      <c r="A9" s="14">
        <v>1</v>
      </c>
      <c r="B9" s="15">
        <v>3</v>
      </c>
      <c r="C9" s="16" t="s">
        <v>91</v>
      </c>
      <c r="D9" s="17"/>
      <c r="E9" s="18"/>
      <c r="F9" s="17"/>
      <c r="G9" s="17"/>
      <c r="H9" s="17" t="s">
        <v>20</v>
      </c>
      <c r="I9" s="17" t="s">
        <v>21</v>
      </c>
      <c r="J9" s="19">
        <f t="shared" si="0"/>
        <v>1</v>
      </c>
      <c r="K9" s="20">
        <v>195281</v>
      </c>
      <c r="L9" s="20"/>
      <c r="M9" s="20">
        <f>+Table13[[#This Row],[Total Personnel]]+Table13[[#This Row],[Total Non-personnel]]</f>
        <v>195281</v>
      </c>
      <c r="N9" s="20"/>
      <c r="O9" s="20"/>
      <c r="P9" s="20"/>
      <c r="Q9" s="20">
        <f t="shared" si="1"/>
        <v>195281</v>
      </c>
      <c r="R9" s="21">
        <v>1110</v>
      </c>
      <c r="S9" s="47" t="s">
        <v>85</v>
      </c>
      <c r="T9" s="22"/>
      <c r="U9" s="21" t="s">
        <v>93</v>
      </c>
      <c r="V9" s="23"/>
      <c r="W9" s="24" t="str">
        <f>IF(Table13[[#This Row],[Total Funds]]=SUM(Table13[[#This Row],[Total Personnel]:[Total Non-personnel]]),"","Check")</f>
        <v/>
      </c>
    </row>
    <row r="10" spans="1:23" ht="30.75" thickBot="1" x14ac:dyDescent="0.25">
      <c r="A10" s="36">
        <v>1</v>
      </c>
      <c r="B10" s="37">
        <v>3</v>
      </c>
      <c r="C10" s="38" t="s">
        <v>91</v>
      </c>
      <c r="D10" s="39"/>
      <c r="E10" s="46"/>
      <c r="F10" s="39"/>
      <c r="G10" s="39"/>
      <c r="H10" s="39" t="s">
        <v>20</v>
      </c>
      <c r="I10" s="39" t="s">
        <v>21</v>
      </c>
      <c r="J10" s="40">
        <f t="shared" si="0"/>
        <v>1</v>
      </c>
      <c r="K10" s="41">
        <f>195281*0.25</f>
        <v>48820.25</v>
      </c>
      <c r="L10" s="41"/>
      <c r="M10" s="41">
        <f>+Table13[[#This Row],[Total Personnel]]+Table13[[#This Row],[Total Non-personnel]]</f>
        <v>48820.25</v>
      </c>
      <c r="N10" s="41"/>
      <c r="O10" s="41"/>
      <c r="P10" s="41"/>
      <c r="Q10" s="41">
        <f t="shared" si="1"/>
        <v>48820.25</v>
      </c>
      <c r="R10" s="42">
        <v>3000</v>
      </c>
      <c r="S10" s="48" t="s">
        <v>86</v>
      </c>
      <c r="T10" s="43"/>
      <c r="U10" s="79" t="s">
        <v>125</v>
      </c>
      <c r="V10" s="44"/>
      <c r="W10" s="45" t="str">
        <f>IF(Table13[[#This Row],[Total Funds]]=SUM(Table13[[#This Row],[Total Personnel]:[Total Non-personnel]]),"","Check")</f>
        <v/>
      </c>
    </row>
    <row r="11" spans="1:23" ht="15.75" thickBot="1" x14ac:dyDescent="0.25">
      <c r="A11" s="49">
        <v>1</v>
      </c>
      <c r="B11" s="50">
        <v>4</v>
      </c>
      <c r="C11" s="51"/>
      <c r="D11" s="52"/>
      <c r="E11" s="53"/>
      <c r="F11" s="52"/>
      <c r="G11" s="52"/>
      <c r="H11" s="52" t="s">
        <v>20</v>
      </c>
      <c r="I11" s="52" t="s">
        <v>21</v>
      </c>
      <c r="J11" s="54" t="str">
        <f t="shared" si="0"/>
        <v/>
      </c>
      <c r="K11" s="55"/>
      <c r="L11" s="55"/>
      <c r="M11" s="55">
        <f>+Table13[[#This Row],[Total Personnel]]+Table13[[#This Row],[Total Non-personnel]]</f>
        <v>0</v>
      </c>
      <c r="N11" s="55"/>
      <c r="O11" s="55"/>
      <c r="P11" s="55"/>
      <c r="Q11" s="55">
        <f t="shared" si="1"/>
        <v>0</v>
      </c>
      <c r="R11" s="56"/>
      <c r="S11" s="56"/>
      <c r="T11" s="57"/>
      <c r="U11" s="58" t="s">
        <v>35</v>
      </c>
      <c r="V11" s="59"/>
      <c r="W11" s="60" t="str">
        <f>IF(Table13[[#This Row],[Total Funds]]=SUM(Table13[[#This Row],[Total Personnel]:[Total Non-personnel]]),"","Check")</f>
        <v/>
      </c>
    </row>
    <row r="12" spans="1:23" ht="30" x14ac:dyDescent="0.2">
      <c r="A12" s="14">
        <v>1</v>
      </c>
      <c r="B12" s="15">
        <v>5</v>
      </c>
      <c r="C12" s="16" t="s">
        <v>36</v>
      </c>
      <c r="D12" s="17"/>
      <c r="E12" s="18"/>
      <c r="F12" s="17"/>
      <c r="G12" s="17"/>
      <c r="H12" s="17" t="s">
        <v>20</v>
      </c>
      <c r="I12" s="17" t="s">
        <v>21</v>
      </c>
      <c r="J12" s="19">
        <f t="shared" si="0"/>
        <v>1</v>
      </c>
      <c r="K12" s="20">
        <v>199004.88</v>
      </c>
      <c r="L12" s="20"/>
      <c r="M12" s="61"/>
      <c r="N12" s="20"/>
      <c r="O12" s="20"/>
      <c r="P12" s="20">
        <f>+Table13[[#This Row],[Total Personnel]]+Table13[[#This Row],[Total Non-personnel]]</f>
        <v>199004.88</v>
      </c>
      <c r="Q12" s="20">
        <f t="shared" ref="Q12:Q19" si="2">IF(SUM(N12:P12)="","",SUM(N12:P12))</f>
        <v>199004.88</v>
      </c>
      <c r="R12" s="21">
        <v>1110</v>
      </c>
      <c r="S12" s="47" t="s">
        <v>37</v>
      </c>
      <c r="T12" s="22"/>
      <c r="U12" s="62" t="s">
        <v>80</v>
      </c>
      <c r="V12" s="23"/>
      <c r="W12" s="24" t="str">
        <f>IF(Table13[[#This Row],[Total Funds]]=SUM(Table13[[#This Row],[Total Personnel]:[Total Non-personnel]]),"","Check")</f>
        <v/>
      </c>
    </row>
    <row r="13" spans="1:23" ht="30" x14ac:dyDescent="0.2">
      <c r="A13" s="25">
        <v>1</v>
      </c>
      <c r="B13" s="26">
        <v>5</v>
      </c>
      <c r="C13" s="27" t="s">
        <v>36</v>
      </c>
      <c r="D13" s="28"/>
      <c r="E13" s="29"/>
      <c r="F13" s="28"/>
      <c r="G13" s="28"/>
      <c r="H13" s="28" t="s">
        <v>20</v>
      </c>
      <c r="I13" s="28" t="s">
        <v>21</v>
      </c>
      <c r="J13" s="30">
        <f t="shared" si="0"/>
        <v>1</v>
      </c>
      <c r="K13" s="31">
        <f>199005*0.25</f>
        <v>49751.25</v>
      </c>
      <c r="L13" s="31"/>
      <c r="M13" s="63"/>
      <c r="N13" s="31"/>
      <c r="O13" s="31"/>
      <c r="P13" s="31">
        <f>+Table13[[#This Row],[Total Personnel]]+Table13[[#This Row],[Total Non-personnel]]</f>
        <v>49751.25</v>
      </c>
      <c r="Q13" s="31">
        <f t="shared" si="2"/>
        <v>49751.25</v>
      </c>
      <c r="R13" s="32">
        <v>3000</v>
      </c>
      <c r="S13" s="64" t="s">
        <v>38</v>
      </c>
      <c r="T13" s="33"/>
      <c r="U13" s="32"/>
      <c r="V13" s="34"/>
      <c r="W13" s="35" t="str">
        <f>IF(Table13[[#This Row],[Total Funds]]=SUM(Table13[[#This Row],[Total Personnel]:[Total Non-personnel]]),"","Check")</f>
        <v/>
      </c>
    </row>
    <row r="14" spans="1:23" ht="30" x14ac:dyDescent="0.2">
      <c r="A14" s="25">
        <v>1</v>
      </c>
      <c r="B14" s="26">
        <v>5</v>
      </c>
      <c r="C14" s="27" t="s">
        <v>36</v>
      </c>
      <c r="D14" s="28"/>
      <c r="E14" s="29"/>
      <c r="F14" s="28"/>
      <c r="G14" s="28"/>
      <c r="H14" s="28"/>
      <c r="I14" s="28"/>
      <c r="J14" s="30">
        <f t="shared" ref="J14:J15" si="3">IF(Q14&gt;0,K14/Q14,"")</f>
        <v>1</v>
      </c>
      <c r="K14" s="31">
        <v>19425</v>
      </c>
      <c r="L14" s="31"/>
      <c r="M14" s="63"/>
      <c r="N14" s="31"/>
      <c r="O14" s="31"/>
      <c r="P14" s="31">
        <f>+Table13[[#This Row],[Total Personnel]]+Table13[[#This Row],[Total Non-personnel]]</f>
        <v>19425</v>
      </c>
      <c r="Q14" s="31">
        <f t="shared" ref="Q14:Q15" si="4">IF(SUM(M14:P14)="","",SUM(M14:P14))</f>
        <v>19425</v>
      </c>
      <c r="R14" s="32">
        <v>2111</v>
      </c>
      <c r="S14" s="64" t="s">
        <v>135</v>
      </c>
      <c r="T14" s="33"/>
      <c r="U14" s="32"/>
      <c r="V14" s="34"/>
      <c r="W14" s="35" t="str">
        <f>IF(Table13[[#This Row],[Total Funds]]=SUM(Table13[[#This Row],[Total Personnel]:[Total Non-personnel]]),"","Check")</f>
        <v/>
      </c>
    </row>
    <row r="15" spans="1:23" ht="30" x14ac:dyDescent="0.2">
      <c r="A15" s="25">
        <v>1</v>
      </c>
      <c r="B15" s="26">
        <v>5</v>
      </c>
      <c r="C15" s="27" t="s">
        <v>36</v>
      </c>
      <c r="D15" s="28"/>
      <c r="E15" s="29"/>
      <c r="F15" s="28"/>
      <c r="G15" s="28"/>
      <c r="H15" s="28"/>
      <c r="I15" s="28"/>
      <c r="J15" s="30">
        <f t="shared" si="3"/>
        <v>1</v>
      </c>
      <c r="K15" s="31">
        <f>19425*0.25</f>
        <v>4856.25</v>
      </c>
      <c r="L15" s="31"/>
      <c r="M15" s="63"/>
      <c r="N15" s="31"/>
      <c r="O15" s="31"/>
      <c r="P15" s="31">
        <f>+Table13[[#This Row],[Total Personnel]]+Table13[[#This Row],[Total Non-personnel]]</f>
        <v>4856.25</v>
      </c>
      <c r="Q15" s="31">
        <f t="shared" si="4"/>
        <v>4856.25</v>
      </c>
      <c r="R15" s="32">
        <v>3000</v>
      </c>
      <c r="S15" s="64" t="s">
        <v>136</v>
      </c>
      <c r="T15" s="33"/>
      <c r="U15" s="32"/>
      <c r="V15" s="34"/>
      <c r="W15" s="35" t="str">
        <f>IF(Table13[[#This Row],[Total Funds]]=SUM(Table13[[#This Row],[Total Personnel]:[Total Non-personnel]]),"","Check")</f>
        <v/>
      </c>
    </row>
    <row r="16" spans="1:23" ht="75" x14ac:dyDescent="0.2">
      <c r="A16" s="25">
        <v>1</v>
      </c>
      <c r="B16" s="26">
        <v>5</v>
      </c>
      <c r="C16" s="27" t="s">
        <v>36</v>
      </c>
      <c r="D16" s="28"/>
      <c r="E16" s="29"/>
      <c r="F16" s="28"/>
      <c r="G16" s="28"/>
      <c r="H16" s="28" t="s">
        <v>20</v>
      </c>
      <c r="I16" s="28" t="s">
        <v>21</v>
      </c>
      <c r="J16" s="30">
        <f t="shared" si="0"/>
        <v>0</v>
      </c>
      <c r="K16" s="31"/>
      <c r="L16" s="31">
        <f>27500+1125</f>
        <v>28625</v>
      </c>
      <c r="M16" s="63"/>
      <c r="N16" s="31"/>
      <c r="O16" s="31"/>
      <c r="P16" s="31">
        <f>+Table13[[#This Row],[Total Personnel]]+Table13[[#This Row],[Total Non-personnel]]</f>
        <v>28625</v>
      </c>
      <c r="Q16" s="31">
        <f t="shared" si="2"/>
        <v>28625</v>
      </c>
      <c r="R16" s="64" t="s">
        <v>150</v>
      </c>
      <c r="S16" s="64" t="s">
        <v>39</v>
      </c>
      <c r="T16" s="33"/>
      <c r="U16" s="32"/>
      <c r="V16" s="65"/>
      <c r="W16" s="35" t="str">
        <f>IF(Table13[[#This Row],[Total Funds]]=SUM(Table13[[#This Row],[Total Personnel]:[Total Non-personnel]]),"","Check")</f>
        <v/>
      </c>
    </row>
    <row r="17" spans="1:23" ht="60" x14ac:dyDescent="0.2">
      <c r="A17" s="25">
        <v>1</v>
      </c>
      <c r="B17" s="26">
        <v>5</v>
      </c>
      <c r="C17" s="27" t="s">
        <v>36</v>
      </c>
      <c r="D17" s="28"/>
      <c r="E17" s="29"/>
      <c r="F17" s="28"/>
      <c r="G17" s="28"/>
      <c r="H17" s="28" t="s">
        <v>20</v>
      </c>
      <c r="I17" s="28" t="s">
        <v>21</v>
      </c>
      <c r="J17" s="30">
        <f t="shared" si="0"/>
        <v>1</v>
      </c>
      <c r="K17" s="31">
        <v>42000</v>
      </c>
      <c r="L17" s="31"/>
      <c r="M17" s="63"/>
      <c r="N17" s="31"/>
      <c r="O17" s="31"/>
      <c r="P17" s="31">
        <f>+Table13[[#This Row],[Total Personnel]]+Table13[[#This Row],[Total Non-personnel]]</f>
        <v>42000</v>
      </c>
      <c r="Q17" s="31">
        <f t="shared" si="2"/>
        <v>42000</v>
      </c>
      <c r="R17" s="64">
        <v>1120</v>
      </c>
      <c r="S17" s="64" t="s">
        <v>40</v>
      </c>
      <c r="T17" s="33"/>
      <c r="U17" s="64" t="s">
        <v>161</v>
      </c>
      <c r="V17" s="65"/>
      <c r="W17" s="35" t="str">
        <f>IF(Table13[[#This Row],[Total Funds]]=SUM(Table13[[#This Row],[Total Personnel]:[Total Non-personnel]]),"","Check")</f>
        <v/>
      </c>
    </row>
    <row r="18" spans="1:23" ht="30" x14ac:dyDescent="0.2">
      <c r="A18" s="25">
        <v>1</v>
      </c>
      <c r="B18" s="26">
        <v>5</v>
      </c>
      <c r="C18" s="27" t="s">
        <v>36</v>
      </c>
      <c r="D18" s="28"/>
      <c r="E18" s="29"/>
      <c r="F18" s="28"/>
      <c r="G18" s="28"/>
      <c r="H18" s="28" t="s">
        <v>20</v>
      </c>
      <c r="I18" s="28" t="s">
        <v>21</v>
      </c>
      <c r="J18" s="30">
        <f t="shared" si="0"/>
        <v>1</v>
      </c>
      <c r="K18" s="31">
        <f>42000*0.25</f>
        <v>10500</v>
      </c>
      <c r="L18" s="31"/>
      <c r="M18" s="63"/>
      <c r="N18" s="31"/>
      <c r="O18" s="31"/>
      <c r="P18" s="31">
        <f>+Table13[[#This Row],[Total Personnel]]+Table13[[#This Row],[Total Non-personnel]]</f>
        <v>10500</v>
      </c>
      <c r="Q18" s="31">
        <f t="shared" si="2"/>
        <v>10500</v>
      </c>
      <c r="R18" s="32">
        <v>3000</v>
      </c>
      <c r="S18" s="64" t="s">
        <v>41</v>
      </c>
      <c r="T18" s="33"/>
      <c r="U18" s="32"/>
      <c r="V18" s="34"/>
      <c r="W18" s="35" t="str">
        <f>IF(Table13[[#This Row],[Total Funds]]=SUM(Table13[[#This Row],[Total Personnel]:[Total Non-personnel]]),"","Check")</f>
        <v/>
      </c>
    </row>
    <row r="19" spans="1:23" ht="45.75" thickBot="1" x14ac:dyDescent="0.25">
      <c r="A19" s="36">
        <v>1</v>
      </c>
      <c r="B19" s="37">
        <v>5</v>
      </c>
      <c r="C19" s="38" t="s">
        <v>36</v>
      </c>
      <c r="D19" s="39"/>
      <c r="E19" s="46"/>
      <c r="F19" s="39"/>
      <c r="G19" s="39"/>
      <c r="H19" s="39" t="s">
        <v>20</v>
      </c>
      <c r="I19" s="39" t="s">
        <v>21</v>
      </c>
      <c r="J19" s="40">
        <f t="shared" si="0"/>
        <v>0</v>
      </c>
      <c r="K19" s="41"/>
      <c r="L19" s="41">
        <v>17700</v>
      </c>
      <c r="M19" s="66"/>
      <c r="N19" s="41"/>
      <c r="O19" s="41"/>
      <c r="P19" s="41">
        <f>+Table13[[#This Row],[Total Personnel]]+Table13[[#This Row],[Total Non-personnel]]</f>
        <v>17700</v>
      </c>
      <c r="Q19" s="41">
        <f t="shared" si="2"/>
        <v>17700</v>
      </c>
      <c r="R19" s="42">
        <v>4111</v>
      </c>
      <c r="S19" s="48" t="s">
        <v>42</v>
      </c>
      <c r="T19" s="43"/>
      <c r="U19" s="70" t="s">
        <v>76</v>
      </c>
      <c r="V19" s="67"/>
      <c r="W19" s="45" t="str">
        <f>IF(Table13[[#This Row],[Total Funds]]=SUM(Table13[[#This Row],[Total Personnel]:[Total Non-personnel]]),"","Check")</f>
        <v/>
      </c>
    </row>
    <row r="20" spans="1:23" ht="30" x14ac:dyDescent="0.2">
      <c r="A20" s="14">
        <v>2</v>
      </c>
      <c r="B20" s="15">
        <v>1</v>
      </c>
      <c r="C20" s="16" t="s">
        <v>43</v>
      </c>
      <c r="D20" s="17"/>
      <c r="E20" s="15"/>
      <c r="F20" s="17"/>
      <c r="G20" s="17"/>
      <c r="H20" s="17" t="s">
        <v>20</v>
      </c>
      <c r="I20" s="17" t="s">
        <v>21</v>
      </c>
      <c r="J20" s="19">
        <f t="shared" si="0"/>
        <v>0</v>
      </c>
      <c r="K20" s="20"/>
      <c r="L20" s="20">
        <v>8000</v>
      </c>
      <c r="M20" s="20">
        <f>+Table13[[#This Row],[Total Personnel]]+Table13[[#This Row],[Total Non-personnel]]</f>
        <v>8000</v>
      </c>
      <c r="N20" s="20"/>
      <c r="O20" s="20"/>
      <c r="P20" s="20"/>
      <c r="Q20" s="20">
        <f t="shared" si="1"/>
        <v>8000</v>
      </c>
      <c r="R20" s="21">
        <v>9430</v>
      </c>
      <c r="S20" s="47" t="s">
        <v>44</v>
      </c>
      <c r="T20" s="22"/>
      <c r="U20" s="47"/>
      <c r="V20" s="68"/>
      <c r="W20" s="24" t="str">
        <f>IF(Table13[[#This Row],[Total Funds]]=SUM(Table13[[#This Row],[Total Personnel]:[Total Non-personnel]]),"","Check")</f>
        <v/>
      </c>
    </row>
    <row r="21" spans="1:23" x14ac:dyDescent="0.2">
      <c r="A21" s="25">
        <v>2</v>
      </c>
      <c r="B21" s="26">
        <v>1</v>
      </c>
      <c r="C21" s="27" t="s">
        <v>43</v>
      </c>
      <c r="D21" s="28"/>
      <c r="E21" s="29"/>
      <c r="F21" s="28"/>
      <c r="G21" s="28"/>
      <c r="H21" s="28" t="s">
        <v>20</v>
      </c>
      <c r="I21" s="28" t="s">
        <v>21</v>
      </c>
      <c r="J21" s="30">
        <f t="shared" si="0"/>
        <v>0</v>
      </c>
      <c r="K21" s="31"/>
      <c r="L21" s="31">
        <v>30000</v>
      </c>
      <c r="M21" s="31">
        <f>+Table13[[#This Row],[Total Personnel]]+Table13[[#This Row],[Total Non-personnel]]</f>
        <v>30000</v>
      </c>
      <c r="N21" s="31"/>
      <c r="O21" s="31"/>
      <c r="P21" s="31"/>
      <c r="Q21" s="31">
        <f t="shared" si="1"/>
        <v>30000</v>
      </c>
      <c r="R21" s="32">
        <v>5631</v>
      </c>
      <c r="S21" s="64" t="s">
        <v>45</v>
      </c>
      <c r="T21" s="33"/>
      <c r="U21" s="69" t="s">
        <v>78</v>
      </c>
      <c r="V21" s="65"/>
      <c r="W21" s="35" t="str">
        <f>IF(Table13[[#This Row],[Total Funds]]=SUM(Table13[[#This Row],[Total Personnel]:[Total Non-personnel]]),"","Check")</f>
        <v/>
      </c>
    </row>
    <row r="22" spans="1:23" ht="30" x14ac:dyDescent="0.2">
      <c r="A22" s="25">
        <v>2</v>
      </c>
      <c r="B22" s="26">
        <v>1</v>
      </c>
      <c r="C22" s="27" t="s">
        <v>43</v>
      </c>
      <c r="D22" s="28"/>
      <c r="E22" s="29"/>
      <c r="F22" s="28"/>
      <c r="G22" s="28"/>
      <c r="H22" s="28" t="s">
        <v>20</v>
      </c>
      <c r="I22" s="28" t="s">
        <v>21</v>
      </c>
      <c r="J22" s="30">
        <f t="shared" si="0"/>
        <v>0</v>
      </c>
      <c r="K22" s="31"/>
      <c r="L22" s="31">
        <v>13620</v>
      </c>
      <c r="M22" s="31">
        <f>+Table13[[#This Row],[Total Personnel]]+Table13[[#This Row],[Total Non-personnel]]</f>
        <v>13620</v>
      </c>
      <c r="N22" s="31"/>
      <c r="O22" s="31"/>
      <c r="P22" s="31"/>
      <c r="Q22" s="31">
        <f t="shared" si="1"/>
        <v>13620</v>
      </c>
      <c r="R22" s="32">
        <v>5599</v>
      </c>
      <c r="S22" s="64" t="s">
        <v>46</v>
      </c>
      <c r="T22" s="33"/>
      <c r="U22" s="32"/>
      <c r="V22" s="34"/>
      <c r="W22" s="35" t="str">
        <f>IF(Table13[[#This Row],[Total Funds]]=SUM(Table13[[#This Row],[Total Personnel]:[Total Non-personnel]]),"","Check")</f>
        <v/>
      </c>
    </row>
    <row r="23" spans="1:23" ht="30" x14ac:dyDescent="0.2">
      <c r="A23" s="25">
        <v>2</v>
      </c>
      <c r="B23" s="26">
        <v>1</v>
      </c>
      <c r="C23" s="27" t="s">
        <v>43</v>
      </c>
      <c r="D23" s="28"/>
      <c r="E23" s="29"/>
      <c r="F23" s="28"/>
      <c r="G23" s="28"/>
      <c r="H23" s="28" t="s">
        <v>20</v>
      </c>
      <c r="I23" s="28" t="s">
        <v>21</v>
      </c>
      <c r="J23" s="30">
        <f t="shared" si="0"/>
        <v>1</v>
      </c>
      <c r="K23" s="31">
        <v>83977</v>
      </c>
      <c r="L23" s="31"/>
      <c r="M23" s="31">
        <f>+Table13[[#This Row],[Total Personnel]]+Table13[[#This Row],[Total Non-personnel]]</f>
        <v>83977</v>
      </c>
      <c r="N23" s="31"/>
      <c r="O23" s="31"/>
      <c r="P23" s="31"/>
      <c r="Q23" s="31">
        <f t="shared" si="1"/>
        <v>83977</v>
      </c>
      <c r="R23" s="32">
        <v>2200</v>
      </c>
      <c r="S23" s="64" t="s">
        <v>48</v>
      </c>
      <c r="T23" s="33"/>
      <c r="U23" s="32"/>
      <c r="V23" s="34"/>
      <c r="W23" s="35" t="str">
        <f>IF(Table13[[#This Row],[Total Funds]]=SUM(Table13[[#This Row],[Total Personnel]:[Total Non-personnel]]),"","Check")</f>
        <v/>
      </c>
    </row>
    <row r="24" spans="1:23" ht="30" x14ac:dyDescent="0.2">
      <c r="A24" s="25">
        <v>2</v>
      </c>
      <c r="B24" s="26">
        <v>1</v>
      </c>
      <c r="C24" s="27" t="s">
        <v>43</v>
      </c>
      <c r="D24" s="28"/>
      <c r="E24" s="29"/>
      <c r="F24" s="28"/>
      <c r="G24" s="28"/>
      <c r="H24" s="28" t="s">
        <v>20</v>
      </c>
      <c r="I24" s="28" t="s">
        <v>21</v>
      </c>
      <c r="J24" s="30">
        <f t="shared" si="0"/>
        <v>1</v>
      </c>
      <c r="K24" s="31">
        <f>+K23*0.25</f>
        <v>20994.25</v>
      </c>
      <c r="L24" s="31"/>
      <c r="M24" s="31">
        <f>+Table13[[#This Row],[Total Personnel]]+Table13[[#This Row],[Total Non-personnel]]</f>
        <v>20994.25</v>
      </c>
      <c r="N24" s="31"/>
      <c r="O24" s="31"/>
      <c r="P24" s="31"/>
      <c r="Q24" s="31">
        <f t="shared" si="1"/>
        <v>20994.25</v>
      </c>
      <c r="R24" s="32">
        <v>3000</v>
      </c>
      <c r="S24" s="64" t="s">
        <v>47</v>
      </c>
      <c r="T24" s="33"/>
      <c r="U24" s="32"/>
      <c r="V24" s="34"/>
      <c r="W24" s="35" t="str">
        <f>IF(Table13[[#This Row],[Total Funds]]=SUM(Table13[[#This Row],[Total Personnel]:[Total Non-personnel]]),"","Check")</f>
        <v/>
      </c>
    </row>
    <row r="25" spans="1:23" ht="60" x14ac:dyDescent="0.2">
      <c r="A25" s="25">
        <v>2</v>
      </c>
      <c r="B25" s="26">
        <v>1</v>
      </c>
      <c r="C25" s="27" t="s">
        <v>43</v>
      </c>
      <c r="D25" s="28"/>
      <c r="E25" s="29"/>
      <c r="F25" s="28"/>
      <c r="G25" s="28"/>
      <c r="H25" s="28" t="s">
        <v>20</v>
      </c>
      <c r="I25" s="28" t="s">
        <v>21</v>
      </c>
      <c r="J25" s="30">
        <f t="shared" si="0"/>
        <v>0</v>
      </c>
      <c r="K25" s="31"/>
      <c r="L25" s="31">
        <v>72000</v>
      </c>
      <c r="M25" s="31">
        <f>+Table13[[#This Row],[Total Personnel]]+Table13[[#This Row],[Total Non-personnel]]</f>
        <v>72000</v>
      </c>
      <c r="N25" s="31"/>
      <c r="O25" s="31"/>
      <c r="P25" s="31"/>
      <c r="Q25" s="31">
        <f t="shared" si="1"/>
        <v>72000</v>
      </c>
      <c r="R25" s="32">
        <v>5531</v>
      </c>
      <c r="S25" s="64" t="s">
        <v>49</v>
      </c>
      <c r="T25" s="33"/>
      <c r="U25" s="82" t="s">
        <v>142</v>
      </c>
      <c r="V25" s="34"/>
      <c r="W25" s="35" t="str">
        <f>IF(Table13[[#This Row],[Total Funds]]=SUM(Table13[[#This Row],[Total Personnel]:[Total Non-personnel]]),"","Check")</f>
        <v/>
      </c>
    </row>
    <row r="26" spans="1:23" ht="30" x14ac:dyDescent="0.2">
      <c r="A26" s="25">
        <v>2</v>
      </c>
      <c r="B26" s="26">
        <v>1</v>
      </c>
      <c r="C26" s="27" t="s">
        <v>43</v>
      </c>
      <c r="D26" s="28"/>
      <c r="E26" s="29"/>
      <c r="F26" s="28"/>
      <c r="G26" s="28"/>
      <c r="H26" s="28" t="s">
        <v>20</v>
      </c>
      <c r="I26" s="28" t="s">
        <v>21</v>
      </c>
      <c r="J26" s="30" t="str">
        <f t="shared" si="0"/>
        <v/>
      </c>
      <c r="K26" s="31"/>
      <c r="L26" s="31"/>
      <c r="M26" s="31">
        <f>+Table13[[#This Row],[Total Personnel]]+Table13[[#This Row],[Total Non-personnel]]</f>
        <v>0</v>
      </c>
      <c r="N26" s="31"/>
      <c r="O26" s="31"/>
      <c r="P26" s="31"/>
      <c r="Q26" s="31">
        <f t="shared" si="1"/>
        <v>0</v>
      </c>
      <c r="R26" s="32">
        <v>5521</v>
      </c>
      <c r="S26" s="64" t="s">
        <v>50</v>
      </c>
      <c r="T26" s="33"/>
      <c r="U26" s="82" t="s">
        <v>143</v>
      </c>
      <c r="V26" s="34"/>
      <c r="W26" s="35" t="str">
        <f>IF(Table13[[#This Row],[Total Funds]]=SUM(Table13[[#This Row],[Total Personnel]:[Total Non-personnel]]),"","Check")</f>
        <v/>
      </c>
    </row>
    <row r="27" spans="1:23" ht="30" x14ac:dyDescent="0.2">
      <c r="A27" s="25">
        <v>2</v>
      </c>
      <c r="B27" s="26">
        <v>1</v>
      </c>
      <c r="C27" s="27" t="s">
        <v>43</v>
      </c>
      <c r="D27" s="28"/>
      <c r="E27" s="29"/>
      <c r="F27" s="28"/>
      <c r="G27" s="28"/>
      <c r="H27" s="28" t="s">
        <v>20</v>
      </c>
      <c r="I27" s="28" t="s">
        <v>21</v>
      </c>
      <c r="J27" s="30">
        <f t="shared" si="0"/>
        <v>0</v>
      </c>
      <c r="K27" s="31"/>
      <c r="L27" s="31">
        <v>12409</v>
      </c>
      <c r="M27" s="31">
        <f>+Table13[[#This Row],[Total Personnel]]+Table13[[#This Row],[Total Non-personnel]]</f>
        <v>12409</v>
      </c>
      <c r="N27" s="31"/>
      <c r="O27" s="31"/>
      <c r="P27" s="31"/>
      <c r="Q27" s="31">
        <f t="shared" si="1"/>
        <v>12409</v>
      </c>
      <c r="R27" s="32">
        <v>4411</v>
      </c>
      <c r="S27" s="64" t="s">
        <v>51</v>
      </c>
      <c r="T27" s="33"/>
      <c r="U27" s="69" t="s">
        <v>78</v>
      </c>
      <c r="V27" s="65"/>
      <c r="W27" s="35" t="str">
        <f>IF(Table13[[#This Row],[Total Funds]]=SUM(Table13[[#This Row],[Total Personnel]:[Total Non-personnel]]),"","Check")</f>
        <v/>
      </c>
    </row>
    <row r="28" spans="1:23" x14ac:dyDescent="0.2">
      <c r="A28" s="25">
        <v>2</v>
      </c>
      <c r="B28" s="26">
        <v>1</v>
      </c>
      <c r="C28" s="27" t="s">
        <v>43</v>
      </c>
      <c r="D28" s="28"/>
      <c r="E28" s="29"/>
      <c r="F28" s="28"/>
      <c r="G28" s="28"/>
      <c r="H28" s="28" t="s">
        <v>20</v>
      </c>
      <c r="I28" s="28" t="s">
        <v>21</v>
      </c>
      <c r="J28" s="30" t="str">
        <f t="shared" si="0"/>
        <v/>
      </c>
      <c r="K28" s="31"/>
      <c r="L28" s="31">
        <v>0</v>
      </c>
      <c r="M28" s="31">
        <f>+Table13[[#This Row],[Total Personnel]]+Table13[[#This Row],[Total Non-personnel]]</f>
        <v>0</v>
      </c>
      <c r="N28" s="31"/>
      <c r="O28" s="31"/>
      <c r="P28" s="31"/>
      <c r="Q28" s="31">
        <f t="shared" si="1"/>
        <v>0</v>
      </c>
      <c r="R28" s="32">
        <v>5611</v>
      </c>
      <c r="S28" s="64" t="s">
        <v>52</v>
      </c>
      <c r="T28" s="33"/>
      <c r="U28" s="69" t="s">
        <v>88</v>
      </c>
      <c r="V28" s="34"/>
      <c r="W28" s="35" t="str">
        <f>IF(Table13[[#This Row],[Total Funds]]=SUM(Table13[[#This Row],[Total Personnel]:[Total Non-personnel]]),"","Check")</f>
        <v/>
      </c>
    </row>
    <row r="29" spans="1:23" ht="15.75" thickBot="1" x14ac:dyDescent="0.25">
      <c r="A29" s="36">
        <v>2</v>
      </c>
      <c r="B29" s="37">
        <v>1</v>
      </c>
      <c r="C29" s="38" t="s">
        <v>43</v>
      </c>
      <c r="D29" s="39"/>
      <c r="E29" s="46"/>
      <c r="F29" s="39"/>
      <c r="G29" s="39"/>
      <c r="H29" s="39" t="s">
        <v>20</v>
      </c>
      <c r="I29" s="39" t="s">
        <v>21</v>
      </c>
      <c r="J29" s="40">
        <f t="shared" si="0"/>
        <v>0</v>
      </c>
      <c r="K29" s="41"/>
      <c r="L29" s="41">
        <v>18000</v>
      </c>
      <c r="M29" s="41">
        <f>+Table13[[#This Row],[Total Personnel]]+Table13[[#This Row],[Total Non-personnel]]</f>
        <v>18000</v>
      </c>
      <c r="N29" s="41"/>
      <c r="O29" s="41"/>
      <c r="P29" s="41"/>
      <c r="Q29" s="41">
        <f t="shared" si="1"/>
        <v>18000</v>
      </c>
      <c r="R29" s="42">
        <v>4351</v>
      </c>
      <c r="S29" s="48" t="s">
        <v>53</v>
      </c>
      <c r="T29" s="43"/>
      <c r="U29" s="70" t="s">
        <v>78</v>
      </c>
      <c r="V29" s="67"/>
      <c r="W29" s="45" t="str">
        <f>IF(Table13[[#This Row],[Total Funds]]=SUM(Table13[[#This Row],[Total Personnel]:[Total Non-personnel]]),"","Check")</f>
        <v/>
      </c>
    </row>
    <row r="30" spans="1:23" ht="75" x14ac:dyDescent="0.2">
      <c r="A30" s="14">
        <v>2</v>
      </c>
      <c r="B30" s="15">
        <v>2</v>
      </c>
      <c r="C30" s="16" t="s">
        <v>54</v>
      </c>
      <c r="D30" s="17"/>
      <c r="E30" s="18"/>
      <c r="F30" s="17"/>
      <c r="G30" s="17"/>
      <c r="H30" s="17" t="s">
        <v>20</v>
      </c>
      <c r="I30" s="17" t="s">
        <v>21</v>
      </c>
      <c r="J30" s="19">
        <f t="shared" si="0"/>
        <v>1</v>
      </c>
      <c r="K30" s="20">
        <v>62280</v>
      </c>
      <c r="L30" s="20"/>
      <c r="M30" s="20">
        <f>+Table13[[#This Row],[Total Personnel]]+Table13[[#This Row],[Total Non-personnel]]</f>
        <v>62280</v>
      </c>
      <c r="N30" s="20"/>
      <c r="O30" s="20"/>
      <c r="P30" s="20"/>
      <c r="Q30" s="20">
        <f t="shared" si="1"/>
        <v>62280</v>
      </c>
      <c r="R30" s="21">
        <v>1110</v>
      </c>
      <c r="S30" s="47" t="s">
        <v>55</v>
      </c>
      <c r="T30" s="22"/>
      <c r="U30" s="47" t="s">
        <v>144</v>
      </c>
      <c r="V30" s="68"/>
      <c r="W30" s="24" t="str">
        <f>IF(Table13[[#This Row],[Total Funds]]=SUM(Table13[[#This Row],[Total Personnel]:[Total Non-personnel]]),"","Check")</f>
        <v/>
      </c>
    </row>
    <row r="31" spans="1:23" ht="45" x14ac:dyDescent="0.2">
      <c r="A31" s="25">
        <v>2</v>
      </c>
      <c r="B31" s="26">
        <v>2</v>
      </c>
      <c r="C31" s="27" t="s">
        <v>54</v>
      </c>
      <c r="D31" s="28"/>
      <c r="E31" s="29"/>
      <c r="F31" s="28"/>
      <c r="G31" s="28"/>
      <c r="H31" s="28" t="s">
        <v>20</v>
      </c>
      <c r="I31" s="28" t="s">
        <v>21</v>
      </c>
      <c r="J31" s="30">
        <f t="shared" si="0"/>
        <v>1</v>
      </c>
      <c r="K31" s="31">
        <f>62280*0.25</f>
        <v>15570</v>
      </c>
      <c r="L31" s="31"/>
      <c r="M31" s="31">
        <f>+Table13[[#This Row],[Total Personnel]]+Table13[[#This Row],[Total Non-personnel]]</f>
        <v>15570</v>
      </c>
      <c r="N31" s="31"/>
      <c r="O31" s="31"/>
      <c r="P31" s="31"/>
      <c r="Q31" s="31">
        <f t="shared" si="1"/>
        <v>15570</v>
      </c>
      <c r="R31" s="32">
        <v>3000</v>
      </c>
      <c r="S31" s="64" t="s">
        <v>56</v>
      </c>
      <c r="T31" s="33"/>
      <c r="U31" s="64"/>
      <c r="V31" s="65"/>
      <c r="W31" s="35" t="str">
        <f>IF(Table13[[#This Row],[Total Funds]]=SUM(Table13[[#This Row],[Total Personnel]:[Total Non-personnel]]),"","Check")</f>
        <v/>
      </c>
    </row>
    <row r="32" spans="1:23" ht="45" x14ac:dyDescent="0.2">
      <c r="A32" s="25">
        <v>2</v>
      </c>
      <c r="B32" s="26">
        <v>2</v>
      </c>
      <c r="C32" s="27" t="s">
        <v>54</v>
      </c>
      <c r="D32" s="28"/>
      <c r="E32" s="29"/>
      <c r="F32" s="28"/>
      <c r="G32" s="28"/>
      <c r="H32" s="28"/>
      <c r="I32" s="28"/>
      <c r="J32" s="30">
        <f t="shared" si="0"/>
        <v>0</v>
      </c>
      <c r="K32" s="31"/>
      <c r="L32" s="71">
        <v>1079964.4537374526</v>
      </c>
      <c r="M32" s="31">
        <f>+Table13[[#This Row],[Total Personnel]]+Table13[[#This Row],[Total Non-personnel]]</f>
        <v>1079964.4537374526</v>
      </c>
      <c r="N32" s="31"/>
      <c r="O32" s="31"/>
      <c r="P32" s="31"/>
      <c r="Q32" s="31">
        <f t="shared" si="1"/>
        <v>1079964.4537374526</v>
      </c>
      <c r="R32" s="32">
        <v>5881</v>
      </c>
      <c r="S32" s="64" t="s">
        <v>57</v>
      </c>
      <c r="T32" s="33"/>
      <c r="U32" s="64" t="s">
        <v>78</v>
      </c>
      <c r="V32" s="65"/>
      <c r="W32" s="35" t="str">
        <f>IF(Table13[[#This Row],[Total Funds]]=SUM(Table13[[#This Row],[Total Personnel]:[Total Non-personnel]]),"","Check")</f>
        <v/>
      </c>
    </row>
    <row r="33" spans="1:23" ht="45" x14ac:dyDescent="0.2">
      <c r="A33" s="25">
        <v>2</v>
      </c>
      <c r="B33" s="26">
        <v>2</v>
      </c>
      <c r="C33" s="27" t="s">
        <v>54</v>
      </c>
      <c r="D33" s="28"/>
      <c r="E33" s="29"/>
      <c r="F33" s="28"/>
      <c r="G33" s="28"/>
      <c r="H33" s="28"/>
      <c r="I33" s="28"/>
      <c r="J33" s="30" t="str">
        <f t="shared" si="0"/>
        <v/>
      </c>
      <c r="K33" s="31"/>
      <c r="L33" s="71"/>
      <c r="M33" s="31">
        <f>+Table13[[#This Row],[Total Personnel]]+Table13[[#This Row],[Total Non-personnel]]</f>
        <v>0</v>
      </c>
      <c r="N33" s="31"/>
      <c r="O33" s="31"/>
      <c r="P33" s="31"/>
      <c r="Q33" s="31">
        <f t="shared" si="1"/>
        <v>0</v>
      </c>
      <c r="R33" s="32">
        <v>4211</v>
      </c>
      <c r="S33" s="64" t="s">
        <v>58</v>
      </c>
      <c r="T33" s="33"/>
      <c r="U33" s="64" t="s">
        <v>63</v>
      </c>
      <c r="V33" s="65"/>
      <c r="W33" s="35" t="str">
        <f>IF(Table13[[#This Row],[Total Funds]]=SUM(Table13[[#This Row],[Total Personnel]:[Total Non-personnel]]),"","Check")</f>
        <v/>
      </c>
    </row>
    <row r="34" spans="1:23" ht="60" x14ac:dyDescent="0.2">
      <c r="A34" s="25">
        <v>2</v>
      </c>
      <c r="B34" s="26">
        <v>2</v>
      </c>
      <c r="C34" s="27" t="s">
        <v>54</v>
      </c>
      <c r="D34" s="28"/>
      <c r="E34" s="29"/>
      <c r="F34" s="28"/>
      <c r="G34" s="28"/>
      <c r="H34" s="28"/>
      <c r="I34" s="28"/>
      <c r="J34" s="30" t="str">
        <f t="shared" si="0"/>
        <v/>
      </c>
      <c r="K34" s="31"/>
      <c r="L34" s="71"/>
      <c r="M34" s="31">
        <f>+Table13[[#This Row],[Total Personnel]]+Table13[[#This Row],[Total Non-personnel]]</f>
        <v>0</v>
      </c>
      <c r="N34" s="31"/>
      <c r="O34" s="31"/>
      <c r="P34" s="31"/>
      <c r="Q34" s="31">
        <f t="shared" si="1"/>
        <v>0</v>
      </c>
      <c r="R34" s="32">
        <v>5861</v>
      </c>
      <c r="S34" s="64" t="s">
        <v>59</v>
      </c>
      <c r="T34" s="33"/>
      <c r="U34" s="64" t="s">
        <v>64</v>
      </c>
      <c r="V34" s="65"/>
      <c r="W34" s="35" t="str">
        <f>IF(Table13[[#This Row],[Total Funds]]=SUM(Table13[[#This Row],[Total Personnel]:[Total Non-personnel]]),"","Check")</f>
        <v/>
      </c>
    </row>
    <row r="35" spans="1:23" ht="45" x14ac:dyDescent="0.2">
      <c r="A35" s="25">
        <v>2</v>
      </c>
      <c r="B35" s="26">
        <v>2</v>
      </c>
      <c r="C35" s="27" t="s">
        <v>54</v>
      </c>
      <c r="D35" s="28"/>
      <c r="E35" s="29"/>
      <c r="F35" s="28"/>
      <c r="G35" s="28"/>
      <c r="H35" s="28"/>
      <c r="I35" s="28"/>
      <c r="J35" s="30" t="str">
        <f t="shared" si="0"/>
        <v/>
      </c>
      <c r="K35" s="31"/>
      <c r="L35" s="71"/>
      <c r="M35" s="31">
        <f>+Table13[[#This Row],[Total Personnel]]+Table13[[#This Row],[Total Non-personnel]]</f>
        <v>0</v>
      </c>
      <c r="N35" s="31"/>
      <c r="O35" s="31"/>
      <c r="P35" s="31"/>
      <c r="Q35" s="31">
        <f t="shared" si="1"/>
        <v>0</v>
      </c>
      <c r="R35" s="32">
        <v>5859</v>
      </c>
      <c r="S35" s="64" t="s">
        <v>60</v>
      </c>
      <c r="T35" s="33"/>
      <c r="U35" s="64" t="s">
        <v>65</v>
      </c>
      <c r="V35" s="65"/>
      <c r="W35" s="35" t="str">
        <f>IF(Table13[[#This Row],[Total Funds]]=SUM(Table13[[#This Row],[Total Personnel]:[Total Non-personnel]]),"","Check")</f>
        <v/>
      </c>
    </row>
    <row r="36" spans="1:23" ht="45" x14ac:dyDescent="0.2">
      <c r="A36" s="25">
        <v>2</v>
      </c>
      <c r="B36" s="26">
        <v>2</v>
      </c>
      <c r="C36" s="27" t="s">
        <v>54</v>
      </c>
      <c r="D36" s="28"/>
      <c r="E36" s="29"/>
      <c r="F36" s="28"/>
      <c r="G36" s="28"/>
      <c r="H36" s="28"/>
      <c r="I36" s="28"/>
      <c r="J36" s="30">
        <f t="shared" si="0"/>
        <v>1</v>
      </c>
      <c r="K36" s="31">
        <v>62400</v>
      </c>
      <c r="L36" s="31"/>
      <c r="M36" s="31">
        <f>+Table13[[#This Row],[Total Personnel]]+Table13[[#This Row],[Total Non-personnel]]</f>
        <v>62400</v>
      </c>
      <c r="N36" s="31"/>
      <c r="O36" s="31"/>
      <c r="P36" s="31"/>
      <c r="Q36" s="31">
        <f t="shared" si="1"/>
        <v>62400</v>
      </c>
      <c r="R36" s="32">
        <v>2400</v>
      </c>
      <c r="S36" s="64" t="s">
        <v>61</v>
      </c>
      <c r="T36" s="33"/>
      <c r="U36" s="64" t="s">
        <v>81</v>
      </c>
      <c r="V36" s="65"/>
      <c r="W36" s="35" t="str">
        <f>IF(Table13[[#This Row],[Total Funds]]=SUM(Table13[[#This Row],[Total Personnel]:[Total Non-personnel]]),"","Check")</f>
        <v/>
      </c>
    </row>
    <row r="37" spans="1:23" ht="45.75" thickBot="1" x14ac:dyDescent="0.25">
      <c r="A37" s="36">
        <v>2</v>
      </c>
      <c r="B37" s="37">
        <v>2</v>
      </c>
      <c r="C37" s="38" t="s">
        <v>54</v>
      </c>
      <c r="D37" s="39"/>
      <c r="E37" s="46"/>
      <c r="F37" s="39"/>
      <c r="G37" s="39"/>
      <c r="H37" s="39"/>
      <c r="I37" s="39"/>
      <c r="J37" s="40">
        <f t="shared" si="0"/>
        <v>1</v>
      </c>
      <c r="K37" s="41">
        <f>62400*0.25</f>
        <v>15600</v>
      </c>
      <c r="L37" s="41"/>
      <c r="M37" s="41">
        <f>+Table13[[#This Row],[Total Personnel]]+Table13[[#This Row],[Total Non-personnel]]</f>
        <v>15600</v>
      </c>
      <c r="N37" s="41"/>
      <c r="O37" s="41"/>
      <c r="P37" s="41"/>
      <c r="Q37" s="41">
        <f t="shared" si="1"/>
        <v>15600</v>
      </c>
      <c r="R37" s="42">
        <v>3000</v>
      </c>
      <c r="S37" s="48" t="s">
        <v>62</v>
      </c>
      <c r="T37" s="43"/>
      <c r="U37" s="48" t="s">
        <v>81</v>
      </c>
      <c r="V37" s="67"/>
      <c r="W37" s="45" t="str">
        <f>IF(Table13[[#This Row],[Total Funds]]=SUM(Table13[[#This Row],[Total Personnel]:[Total Non-personnel]]),"","Check")</f>
        <v/>
      </c>
    </row>
    <row r="38" spans="1:23" ht="60" x14ac:dyDescent="0.2">
      <c r="A38" s="14">
        <v>3</v>
      </c>
      <c r="B38" s="15">
        <v>1</v>
      </c>
      <c r="C38" s="16" t="s">
        <v>66</v>
      </c>
      <c r="D38" s="17"/>
      <c r="E38" s="18"/>
      <c r="F38" s="17"/>
      <c r="G38" s="17"/>
      <c r="H38" s="17"/>
      <c r="I38" s="17"/>
      <c r="J38" s="19">
        <f t="shared" si="0"/>
        <v>1</v>
      </c>
      <c r="K38" s="20">
        <v>57416</v>
      </c>
      <c r="L38" s="20"/>
      <c r="M38" s="20">
        <f>+Table13[[#This Row],[Total Personnel]]+Table13[[#This Row],[Total Non-personnel]]</f>
        <v>57416</v>
      </c>
      <c r="N38" s="20"/>
      <c r="O38" s="20"/>
      <c r="P38" s="20"/>
      <c r="Q38" s="20">
        <f t="shared" si="1"/>
        <v>57416</v>
      </c>
      <c r="R38" s="21">
        <v>2900</v>
      </c>
      <c r="S38" s="47" t="s">
        <v>89</v>
      </c>
      <c r="T38" s="22"/>
      <c r="U38" s="21"/>
      <c r="V38" s="23"/>
      <c r="W38" s="24" t="str">
        <f>IF(Table13[[#This Row],[Total Funds]]=SUM(Table13[[#This Row],[Total Personnel]:[Total Non-personnel]]),"","Check")</f>
        <v/>
      </c>
    </row>
    <row r="39" spans="1:23" ht="60" x14ac:dyDescent="0.2">
      <c r="A39" s="25">
        <v>3</v>
      </c>
      <c r="B39" s="26">
        <v>1</v>
      </c>
      <c r="C39" s="27" t="s">
        <v>66</v>
      </c>
      <c r="D39" s="28"/>
      <c r="E39" s="29"/>
      <c r="F39" s="28"/>
      <c r="G39" s="28"/>
      <c r="H39" s="28"/>
      <c r="I39" s="28"/>
      <c r="J39" s="30">
        <f t="shared" si="0"/>
        <v>1</v>
      </c>
      <c r="K39" s="31">
        <f>57416*0.25</f>
        <v>14354</v>
      </c>
      <c r="L39" s="31"/>
      <c r="M39" s="31">
        <f>+Table13[[#This Row],[Total Personnel]]+Table13[[#This Row],[Total Non-personnel]]</f>
        <v>14354</v>
      </c>
      <c r="N39" s="31"/>
      <c r="O39" s="31"/>
      <c r="P39" s="31"/>
      <c r="Q39" s="31">
        <f t="shared" si="1"/>
        <v>14354</v>
      </c>
      <c r="R39" s="32">
        <v>3000</v>
      </c>
      <c r="S39" s="64" t="s">
        <v>90</v>
      </c>
      <c r="T39" s="33"/>
      <c r="U39" s="32"/>
      <c r="V39" s="34"/>
      <c r="W39" s="35" t="str">
        <f>IF(Table13[[#This Row],[Total Funds]]=SUM(Table13[[#This Row],[Total Personnel]:[Total Non-personnel]]),"","Check")</f>
        <v/>
      </c>
    </row>
    <row r="40" spans="1:23" ht="60" x14ac:dyDescent="0.2">
      <c r="A40" s="25">
        <v>3</v>
      </c>
      <c r="B40" s="26">
        <v>1</v>
      </c>
      <c r="C40" s="27" t="s">
        <v>66</v>
      </c>
      <c r="D40" s="28"/>
      <c r="E40" s="29"/>
      <c r="F40" s="28"/>
      <c r="G40" s="28"/>
      <c r="H40" s="28"/>
      <c r="I40" s="28"/>
      <c r="J40" s="30">
        <f t="shared" si="0"/>
        <v>1</v>
      </c>
      <c r="K40" s="71">
        <v>34452</v>
      </c>
      <c r="L40" s="31"/>
      <c r="M40" s="31">
        <f>+Table13[[#This Row],[Total Personnel]]+Table13[[#This Row],[Total Non-personnel]]</f>
        <v>34452</v>
      </c>
      <c r="N40" s="31"/>
      <c r="O40" s="31"/>
      <c r="P40" s="31"/>
      <c r="Q40" s="31">
        <f t="shared" si="1"/>
        <v>34452</v>
      </c>
      <c r="R40" s="32">
        <v>2400</v>
      </c>
      <c r="S40" s="64" t="s">
        <v>67</v>
      </c>
      <c r="T40" s="33"/>
      <c r="U40" s="64" t="s">
        <v>82</v>
      </c>
      <c r="V40" s="65"/>
      <c r="W40" s="35" t="str">
        <f>IF(Table13[[#This Row],[Total Funds]]=SUM(Table13[[#This Row],[Total Personnel]:[Total Non-personnel]]),"","Check")</f>
        <v/>
      </c>
    </row>
    <row r="41" spans="1:23" ht="60" x14ac:dyDescent="0.2">
      <c r="A41" s="25">
        <v>3</v>
      </c>
      <c r="B41" s="26">
        <v>1</v>
      </c>
      <c r="C41" s="27" t="s">
        <v>66</v>
      </c>
      <c r="D41" s="28"/>
      <c r="E41" s="29"/>
      <c r="F41" s="28"/>
      <c r="G41" s="28"/>
      <c r="H41" s="28"/>
      <c r="I41" s="28"/>
      <c r="J41" s="30">
        <f t="shared" si="0"/>
        <v>1</v>
      </c>
      <c r="K41" s="71">
        <f>34452*0.25</f>
        <v>8613</v>
      </c>
      <c r="L41" s="31"/>
      <c r="M41" s="31">
        <f>+Table13[[#This Row],[Total Personnel]]+Table13[[#This Row],[Total Non-personnel]]</f>
        <v>8613</v>
      </c>
      <c r="N41" s="31"/>
      <c r="O41" s="31"/>
      <c r="P41" s="31"/>
      <c r="Q41" s="31">
        <f t="shared" si="1"/>
        <v>8613</v>
      </c>
      <c r="R41" s="32">
        <v>3000</v>
      </c>
      <c r="S41" s="64" t="s">
        <v>68</v>
      </c>
      <c r="T41" s="33"/>
      <c r="U41" s="64" t="s">
        <v>82</v>
      </c>
      <c r="V41" s="65"/>
      <c r="W41" s="35" t="str">
        <f>IF(Table13[[#This Row],[Total Funds]]=SUM(Table13[[#This Row],[Total Personnel]:[Total Non-personnel]]),"","Check")</f>
        <v/>
      </c>
    </row>
    <row r="42" spans="1:23" ht="90" x14ac:dyDescent="0.2">
      <c r="A42" s="25">
        <v>3</v>
      </c>
      <c r="B42" s="26">
        <v>1</v>
      </c>
      <c r="C42" s="27" t="s">
        <v>66</v>
      </c>
      <c r="D42" s="28"/>
      <c r="E42" s="29"/>
      <c r="F42" s="28"/>
      <c r="G42" s="28"/>
      <c r="H42" s="28"/>
      <c r="I42" s="28"/>
      <c r="J42" s="30">
        <f t="shared" si="0"/>
        <v>1</v>
      </c>
      <c r="K42" s="71">
        <v>34452</v>
      </c>
      <c r="L42" s="31"/>
      <c r="M42" s="31">
        <f>+Table13[[#This Row],[Total Personnel]]+Table13[[#This Row],[Total Non-personnel]]</f>
        <v>34452</v>
      </c>
      <c r="N42" s="31"/>
      <c r="O42" s="31"/>
      <c r="P42" s="31"/>
      <c r="Q42" s="31">
        <f t="shared" si="1"/>
        <v>34452</v>
      </c>
      <c r="R42" s="32">
        <v>2400</v>
      </c>
      <c r="S42" s="64" t="s">
        <v>69</v>
      </c>
      <c r="T42" s="33"/>
      <c r="U42" s="64" t="s">
        <v>83</v>
      </c>
      <c r="V42" s="65"/>
      <c r="W42" s="35" t="str">
        <f>IF(Table13[[#This Row],[Total Funds]]=SUM(Table13[[#This Row],[Total Personnel]:[Total Non-personnel]]),"","Check")</f>
        <v/>
      </c>
    </row>
    <row r="43" spans="1:23" ht="90.75" thickBot="1" x14ac:dyDescent="0.25">
      <c r="A43" s="36">
        <v>3</v>
      </c>
      <c r="B43" s="37">
        <v>1</v>
      </c>
      <c r="C43" s="38" t="s">
        <v>66</v>
      </c>
      <c r="D43" s="39"/>
      <c r="E43" s="46"/>
      <c r="F43" s="39"/>
      <c r="G43" s="39"/>
      <c r="H43" s="39"/>
      <c r="I43" s="39"/>
      <c r="J43" s="40">
        <f t="shared" si="0"/>
        <v>1</v>
      </c>
      <c r="K43" s="72">
        <f>34452*0.25</f>
        <v>8613</v>
      </c>
      <c r="L43" s="41"/>
      <c r="M43" s="41">
        <f>+Table13[[#This Row],[Total Personnel]]+Table13[[#This Row],[Total Non-personnel]]</f>
        <v>8613</v>
      </c>
      <c r="N43" s="41"/>
      <c r="O43" s="41"/>
      <c r="P43" s="41"/>
      <c r="Q43" s="41">
        <f t="shared" si="1"/>
        <v>8613</v>
      </c>
      <c r="R43" s="42">
        <v>3000</v>
      </c>
      <c r="S43" s="48" t="s">
        <v>70</v>
      </c>
      <c r="T43" s="43"/>
      <c r="U43" s="48" t="s">
        <v>83</v>
      </c>
      <c r="V43" s="67"/>
      <c r="W43" s="45" t="str">
        <f>IF(Table13[[#This Row],[Total Funds]]=SUM(Table13[[#This Row],[Total Personnel]:[Total Non-personnel]]),"","Check")</f>
        <v/>
      </c>
    </row>
    <row r="44" spans="1:23" ht="60" x14ac:dyDescent="0.2">
      <c r="A44" s="14">
        <v>3</v>
      </c>
      <c r="B44" s="15">
        <v>2</v>
      </c>
      <c r="C44" s="16" t="s">
        <v>71</v>
      </c>
      <c r="D44" s="17"/>
      <c r="E44" s="18"/>
      <c r="F44" s="17"/>
      <c r="G44" s="17"/>
      <c r="H44" s="17"/>
      <c r="I44" s="17"/>
      <c r="J44" s="19">
        <f t="shared" si="0"/>
        <v>1</v>
      </c>
      <c r="K44" s="20">
        <f>34000+17483+18870+17483</f>
        <v>87836</v>
      </c>
      <c r="L44" s="20"/>
      <c r="M44" s="20">
        <f>+Table13[[#This Row],[Total Personnel]]+Table13[[#This Row],[Total Non-personnel]]</f>
        <v>87836</v>
      </c>
      <c r="N44" s="20"/>
      <c r="O44" s="20"/>
      <c r="P44" s="20"/>
      <c r="Q44" s="20">
        <f t="shared" si="1"/>
        <v>87836</v>
      </c>
      <c r="R44" s="21">
        <v>2900</v>
      </c>
      <c r="S44" s="47" t="s">
        <v>72</v>
      </c>
      <c r="T44" s="22"/>
      <c r="U44" s="21"/>
      <c r="V44" s="23"/>
      <c r="W44" s="24" t="str">
        <f>IF(Table13[[#This Row],[Total Funds]]=SUM(Table13[[#This Row],[Total Personnel]:[Total Non-personnel]]),"","Check")</f>
        <v/>
      </c>
    </row>
    <row r="45" spans="1:23" ht="60" x14ac:dyDescent="0.2">
      <c r="A45" s="25">
        <v>3</v>
      </c>
      <c r="B45" s="26">
        <v>2</v>
      </c>
      <c r="C45" s="27" t="s">
        <v>71</v>
      </c>
      <c r="D45" s="28"/>
      <c r="E45" s="29"/>
      <c r="F45" s="28"/>
      <c r="G45" s="28"/>
      <c r="H45" s="28"/>
      <c r="I45" s="28"/>
      <c r="J45" s="30">
        <f t="shared" si="0"/>
        <v>1</v>
      </c>
      <c r="K45" s="31">
        <f>87836*0.25</f>
        <v>21959</v>
      </c>
      <c r="L45" s="31"/>
      <c r="M45" s="31">
        <f>+Table13[[#This Row],[Total Personnel]]+Table13[[#This Row],[Total Non-personnel]]</f>
        <v>21959</v>
      </c>
      <c r="N45" s="31"/>
      <c r="O45" s="31"/>
      <c r="P45" s="31"/>
      <c r="Q45" s="31">
        <f t="shared" si="1"/>
        <v>21959</v>
      </c>
      <c r="R45" s="32">
        <v>3000</v>
      </c>
      <c r="S45" s="64" t="s">
        <v>73</v>
      </c>
      <c r="T45" s="33"/>
      <c r="U45" s="32"/>
      <c r="V45" s="34"/>
      <c r="W45" s="35" t="str">
        <f>IF(Table13[[#This Row],[Total Funds]]=SUM(Table13[[#This Row],[Total Personnel]:[Total Non-personnel]]),"","Check")</f>
        <v/>
      </c>
    </row>
    <row r="46" spans="1:23" ht="60" x14ac:dyDescent="0.2">
      <c r="A46" s="25">
        <v>3</v>
      </c>
      <c r="B46" s="26">
        <v>2</v>
      </c>
      <c r="C46" s="27" t="s">
        <v>71</v>
      </c>
      <c r="D46" s="28"/>
      <c r="E46" s="29"/>
      <c r="F46" s="28"/>
      <c r="G46" s="28"/>
      <c r="H46" s="28"/>
      <c r="I46" s="28"/>
      <c r="J46" s="30">
        <f t="shared" si="0"/>
        <v>0</v>
      </c>
      <c r="K46" s="31"/>
      <c r="L46" s="31">
        <v>177559</v>
      </c>
      <c r="M46" s="63"/>
      <c r="N46" s="31">
        <f>+Table13[[#This Row],[Total Personnel]]+Table13[[#This Row],[Total Non-personnel]]</f>
        <v>177559</v>
      </c>
      <c r="O46" s="31"/>
      <c r="P46" s="31"/>
      <c r="Q46" s="31">
        <f>IF(SUM(N46:P46)="","",SUM(N46:P46))</f>
        <v>177559</v>
      </c>
      <c r="R46" s="32">
        <v>5844</v>
      </c>
      <c r="S46" s="64" t="s">
        <v>74</v>
      </c>
      <c r="T46" s="73" t="s">
        <v>74</v>
      </c>
      <c r="U46" s="32"/>
      <c r="V46" s="34"/>
      <c r="W46" s="35" t="str">
        <f>IF(Table13[[#This Row],[Total Funds]]=SUM(Table13[[#This Row],[Total Personnel]:[Total Non-personnel]]),"","Check")</f>
        <v/>
      </c>
    </row>
    <row r="47" spans="1:23" x14ac:dyDescent="0.2">
      <c r="A47" s="10"/>
      <c r="B47" s="10"/>
      <c r="C47" s="11"/>
      <c r="D47" s="10"/>
      <c r="E47" s="10"/>
      <c r="F47" s="12"/>
      <c r="G47" s="12"/>
      <c r="H47" s="12"/>
      <c r="I47" s="12"/>
      <c r="J47" s="13"/>
      <c r="K47" s="9"/>
      <c r="L47" s="9"/>
      <c r="M47" s="9">
        <f>SUBTOTAL(109,Table13[LCFF Funds])</f>
        <v>2376925.9537374526</v>
      </c>
      <c r="N47" s="9"/>
      <c r="O47" s="9"/>
      <c r="P47" s="9"/>
      <c r="Q47" s="9"/>
      <c r="R47" s="8"/>
      <c r="S47" s="8"/>
      <c r="T47" s="7"/>
      <c r="U47" s="8"/>
      <c r="V47" s="8"/>
      <c r="W47" s="7"/>
    </row>
  </sheetData>
  <dataValidations count="1">
    <dataValidation type="list" allowBlank="1" showInputMessage="1" showErrorMessage="1" sqref="F3:F46">
      <formula1>#REF!</formula1>
    </dataValidation>
  </dataValidations>
  <pageMargins left="0.7" right="0.7" top="0.75" bottom="0.75" header="0.3" footer="0.3"/>
  <pageSetup paperSize="5" scale="54" fitToHeight="0" orientation="landscape" r:id="rId1"/>
  <headerFooter>
    <oddHeader>&amp;CDRAFT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topLeftCell="E43" zoomScaleNormal="100" workbookViewId="0">
      <selection activeCell="S29" sqref="S29"/>
    </sheetView>
  </sheetViews>
  <sheetFormatPr defaultColWidth="9" defaultRowHeight="15" outlineLevelCol="2" x14ac:dyDescent="0.2"/>
  <cols>
    <col min="1" max="1" width="7.875" style="2" customWidth="1"/>
    <col min="2" max="2" width="11.25" style="2" bestFit="1" customWidth="1"/>
    <col min="3" max="3" width="43.625" style="3" bestFit="1" customWidth="1"/>
    <col min="4" max="4" width="18.25" style="2" hidden="1" customWidth="1" outlineLevel="1"/>
    <col min="5" max="5" width="17.125" style="3" customWidth="1" collapsed="1"/>
    <col min="6" max="6" width="23" style="3" hidden="1" customWidth="1" outlineLevel="1"/>
    <col min="7" max="7" width="14.625" style="3" hidden="1" customWidth="1" outlineLevel="1"/>
    <col min="8" max="8" width="12.875" style="3" hidden="1" customWidth="1" outlineLevel="2" collapsed="1"/>
    <col min="9" max="9" width="14" style="3" hidden="1" customWidth="1" outlineLevel="2"/>
    <col min="10" max="10" width="13.625" style="3" hidden="1" customWidth="1" outlineLevel="1"/>
    <col min="11" max="11" width="16.25" style="3" customWidth="1" collapsed="1"/>
    <col min="12" max="12" width="16.25" style="3" customWidth="1"/>
    <col min="13" max="16" width="16.25" style="3" hidden="1" customWidth="1" outlineLevel="1"/>
    <col min="17" max="17" width="16.25" style="3" customWidth="1" collapsed="1"/>
    <col min="18" max="18" width="16.25" style="3" customWidth="1"/>
    <col min="19" max="19" width="16.25" style="6" customWidth="1"/>
    <col min="20" max="20" width="16.25" style="3" customWidth="1"/>
    <col min="21" max="21" width="24.75" style="3" customWidth="1"/>
    <col min="22" max="22" width="5.125" style="3" customWidth="1"/>
    <col min="23" max="23" width="9" style="3" customWidth="1"/>
    <col min="24" max="25" width="13.625" style="120" bestFit="1" customWidth="1"/>
    <col min="26" max="26" width="18.25" style="120" customWidth="1"/>
    <col min="27" max="16384" width="9" style="3"/>
  </cols>
  <sheetData>
    <row r="1" spans="1:26" ht="26.25" x14ac:dyDescent="0.2">
      <c r="A1" s="1"/>
    </row>
    <row r="2" spans="1:26" s="6" customFormat="1" ht="105.75" thickBo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25</v>
      </c>
      <c r="U2" s="4" t="s">
        <v>28</v>
      </c>
      <c r="V2" s="4" t="s">
        <v>79</v>
      </c>
      <c r="W2" s="5" t="s">
        <v>19</v>
      </c>
      <c r="X2" s="121" t="s">
        <v>183</v>
      </c>
      <c r="Y2" s="121" t="s">
        <v>184</v>
      </c>
      <c r="Z2" s="121" t="s">
        <v>185</v>
      </c>
    </row>
    <row r="3" spans="1:26" x14ac:dyDescent="0.2">
      <c r="A3" s="14">
        <v>1</v>
      </c>
      <c r="B3" s="15">
        <v>1</v>
      </c>
      <c r="C3" s="16" t="s">
        <v>22</v>
      </c>
      <c r="D3" s="17"/>
      <c r="E3" s="18"/>
      <c r="F3" s="17"/>
      <c r="G3" s="17"/>
      <c r="H3" s="17" t="s">
        <v>20</v>
      </c>
      <c r="I3" s="17" t="s">
        <v>21</v>
      </c>
      <c r="J3" s="19">
        <f t="shared" ref="J3:J47" si="0">IF(Q3&gt;0,K3/Q3,"")</f>
        <v>1</v>
      </c>
      <c r="K3" s="20">
        <f>+Table134[[#This Row],[Total]]</f>
        <v>21460</v>
      </c>
      <c r="L3" s="20"/>
      <c r="M3" s="20">
        <f>+Table134[[#This Row],[Total Personnel]]+Table134[[#This Row],[Total Non-personnel]]</f>
        <v>21460</v>
      </c>
      <c r="N3" s="20"/>
      <c r="O3" s="20"/>
      <c r="P3" s="20"/>
      <c r="Q3" s="20">
        <f t="shared" ref="Q3:Q47" si="1">IF(SUM(M3:P3)="","",SUM(M3:P3))</f>
        <v>21460</v>
      </c>
      <c r="R3" s="21">
        <v>1175</v>
      </c>
      <c r="S3" s="21" t="s">
        <v>23</v>
      </c>
      <c r="T3" s="22"/>
      <c r="U3" s="21"/>
      <c r="V3" s="23"/>
      <c r="W3" s="24" t="str">
        <f>IF(Table134[[#This Row],[Total Funds]]=SUM(Table134[[#This Row],[Total Personnel]:[Total Non-personnel]]),"","Check")</f>
        <v/>
      </c>
      <c r="X3" s="122">
        <v>13920</v>
      </c>
      <c r="Y3" s="122">
        <v>7540</v>
      </c>
      <c r="Z3" s="122">
        <f>+Table134[[#This Row],[CAS]]+Table134[[#This Row],[EIS]]</f>
        <v>21460</v>
      </c>
    </row>
    <row r="4" spans="1:26" x14ac:dyDescent="0.2">
      <c r="A4" s="25">
        <v>1</v>
      </c>
      <c r="B4" s="26">
        <v>1</v>
      </c>
      <c r="C4" s="27" t="s">
        <v>22</v>
      </c>
      <c r="D4" s="28"/>
      <c r="E4" s="29"/>
      <c r="F4" s="28"/>
      <c r="G4" s="28"/>
      <c r="H4" s="28" t="s">
        <v>20</v>
      </c>
      <c r="I4" s="28" t="s">
        <v>21</v>
      </c>
      <c r="J4" s="30">
        <f t="shared" si="0"/>
        <v>1</v>
      </c>
      <c r="K4" s="31">
        <f>+Table134[[#This Row],[Total]]</f>
        <v>5365</v>
      </c>
      <c r="L4" s="31"/>
      <c r="M4" s="31">
        <f>+Table134[[#This Row],[Total Personnel]]+Table134[[#This Row],[Total Non-personnel]]</f>
        <v>5365</v>
      </c>
      <c r="N4" s="31"/>
      <c r="O4" s="31"/>
      <c r="P4" s="31"/>
      <c r="Q4" s="31">
        <f t="shared" si="1"/>
        <v>5365</v>
      </c>
      <c r="R4" s="32">
        <v>3000</v>
      </c>
      <c r="S4" s="32" t="s">
        <v>24</v>
      </c>
      <c r="T4" s="33"/>
      <c r="U4" s="32"/>
      <c r="V4" s="34"/>
      <c r="W4" s="35" t="str">
        <f>IF(Table134[[#This Row],[Total Funds]]=SUM(Table134[[#This Row],[Total Personnel]:[Total Non-personnel]]),"","Check")</f>
        <v/>
      </c>
      <c r="X4" s="122">
        <f>+X3*0.25</f>
        <v>3480</v>
      </c>
      <c r="Y4" s="122">
        <f>+Y3*0.25</f>
        <v>1885</v>
      </c>
      <c r="Z4" s="122">
        <f>+Table134[[#This Row],[CAS]]+Table134[[#This Row],[EIS]]</f>
        <v>5365</v>
      </c>
    </row>
    <row r="5" spans="1:26" x14ac:dyDescent="0.2">
      <c r="A5" s="25">
        <v>1</v>
      </c>
      <c r="B5" s="26">
        <v>1</v>
      </c>
      <c r="C5" s="27" t="s">
        <v>22</v>
      </c>
      <c r="D5" s="28"/>
      <c r="E5" s="26"/>
      <c r="F5" s="28"/>
      <c r="G5" s="28"/>
      <c r="H5" s="28" t="s">
        <v>20</v>
      </c>
      <c r="I5" s="28" t="s">
        <v>21</v>
      </c>
      <c r="J5" s="30" t="str">
        <f t="shared" si="0"/>
        <v/>
      </c>
      <c r="K5" s="31">
        <f>+Table134[[#This Row],[Total]]</f>
        <v>0</v>
      </c>
      <c r="L5" s="31"/>
      <c r="M5" s="31">
        <f>+Table134[[#This Row],[Total Personnel]]+Table134[[#This Row],[Total Non-personnel]]</f>
        <v>0</v>
      </c>
      <c r="N5" s="31"/>
      <c r="O5" s="31"/>
      <c r="P5" s="31"/>
      <c r="Q5" s="31">
        <f t="shared" si="1"/>
        <v>0</v>
      </c>
      <c r="R5" s="32">
        <v>1175</v>
      </c>
      <c r="S5" s="32" t="s">
        <v>26</v>
      </c>
      <c r="T5" s="33"/>
      <c r="U5" s="32" t="s">
        <v>29</v>
      </c>
      <c r="V5" s="34"/>
      <c r="W5" s="35" t="str">
        <f>IF(Table134[[#This Row],[Total Funds]]=SUM(Table134[[#This Row],[Total Personnel]:[Total Non-personnel]]),"","Check")</f>
        <v/>
      </c>
      <c r="X5" s="122"/>
      <c r="Y5" s="122"/>
      <c r="Z5" s="122">
        <f>+Table134[[#This Row],[CAS]]+Table134[[#This Row],[EIS]]</f>
        <v>0</v>
      </c>
    </row>
    <row r="6" spans="1:26" ht="30.75" thickBot="1" x14ac:dyDescent="0.25">
      <c r="A6" s="36">
        <v>1</v>
      </c>
      <c r="B6" s="37">
        <v>1</v>
      </c>
      <c r="C6" s="38" t="s">
        <v>22</v>
      </c>
      <c r="D6" s="39"/>
      <c r="E6" s="37"/>
      <c r="F6" s="39"/>
      <c r="G6" s="39"/>
      <c r="H6" s="39" t="s">
        <v>20</v>
      </c>
      <c r="I6" s="39" t="s">
        <v>21</v>
      </c>
      <c r="J6" s="40" t="str">
        <f t="shared" si="0"/>
        <v/>
      </c>
      <c r="K6" s="41">
        <f>+Table134[[#This Row],[Total]]</f>
        <v>0</v>
      </c>
      <c r="L6" s="41"/>
      <c r="M6" s="41">
        <f>+Table134[[#This Row],[Total Personnel]]+Table134[[#This Row],[Total Non-personnel]]</f>
        <v>0</v>
      </c>
      <c r="N6" s="41"/>
      <c r="O6" s="41"/>
      <c r="P6" s="41"/>
      <c r="Q6" s="41">
        <f t="shared" si="1"/>
        <v>0</v>
      </c>
      <c r="R6" s="42">
        <v>3000</v>
      </c>
      <c r="S6" s="42" t="s">
        <v>27</v>
      </c>
      <c r="T6" s="43"/>
      <c r="U6" s="42" t="s">
        <v>29</v>
      </c>
      <c r="V6" s="44"/>
      <c r="W6" s="45" t="str">
        <f>IF(Table134[[#This Row],[Total Funds]]=SUM(Table134[[#This Row],[Total Personnel]:[Total Non-personnel]]),"","Check")</f>
        <v/>
      </c>
      <c r="X6" s="122"/>
      <c r="Y6" s="122"/>
      <c r="Z6" s="122">
        <f>+Table134[[#This Row],[CAS]]+Table134[[#This Row],[EIS]]</f>
        <v>0</v>
      </c>
    </row>
    <row r="7" spans="1:26" ht="60" x14ac:dyDescent="0.2">
      <c r="A7" s="14">
        <v>1</v>
      </c>
      <c r="B7" s="15">
        <v>2</v>
      </c>
      <c r="C7" s="16" t="s">
        <v>30</v>
      </c>
      <c r="D7" s="17"/>
      <c r="E7" s="18"/>
      <c r="F7" s="17"/>
      <c r="G7" s="17"/>
      <c r="H7" s="17" t="s">
        <v>20</v>
      </c>
      <c r="I7" s="17" t="s">
        <v>21</v>
      </c>
      <c r="J7" s="19">
        <f t="shared" si="0"/>
        <v>1</v>
      </c>
      <c r="K7" s="20">
        <f>+Table134[[#This Row],[Total]]</f>
        <v>480770</v>
      </c>
      <c r="L7" s="20"/>
      <c r="M7" s="20">
        <f>+Table134[[#This Row],[Total Personnel]]+Table134[[#This Row],[Total Non-personnel]]</f>
        <v>480770</v>
      </c>
      <c r="N7" s="20"/>
      <c r="O7" s="20"/>
      <c r="P7" s="20"/>
      <c r="Q7" s="20">
        <f t="shared" si="1"/>
        <v>480770</v>
      </c>
      <c r="R7" s="21">
        <v>1300</v>
      </c>
      <c r="S7" s="21" t="s">
        <v>31</v>
      </c>
      <c r="T7" s="22"/>
      <c r="U7" s="21" t="s">
        <v>87</v>
      </c>
      <c r="V7" s="23"/>
      <c r="W7" s="24" t="str">
        <f>IF(Table134[[#This Row],[Total Funds]]=SUM(Table134[[#This Row],[Total Personnel]:[Total Non-personnel]]),"","Check")</f>
        <v/>
      </c>
      <c r="X7" s="122">
        <f>94554+95710+88580</f>
        <v>278844</v>
      </c>
      <c r="Y7" s="122">
        <f>94672+107254</f>
        <v>201926</v>
      </c>
      <c r="Z7" s="122">
        <f>+Table134[[#This Row],[CAS]]+Table134[[#This Row],[EIS]]</f>
        <v>480770</v>
      </c>
    </row>
    <row r="8" spans="1:26" ht="60.75" thickBot="1" x14ac:dyDescent="0.25">
      <c r="A8" s="36">
        <v>1</v>
      </c>
      <c r="B8" s="37">
        <v>2</v>
      </c>
      <c r="C8" s="38" t="s">
        <v>30</v>
      </c>
      <c r="D8" s="39"/>
      <c r="E8" s="46"/>
      <c r="F8" s="39"/>
      <c r="G8" s="39"/>
      <c r="H8" s="39" t="s">
        <v>20</v>
      </c>
      <c r="I8" s="39" t="s">
        <v>21</v>
      </c>
      <c r="J8" s="40">
        <f t="shared" si="0"/>
        <v>1</v>
      </c>
      <c r="K8" s="41">
        <f>+Table134[[#This Row],[Total]]</f>
        <v>120192.5</v>
      </c>
      <c r="L8" s="41"/>
      <c r="M8" s="41">
        <f>+Table134[[#This Row],[Total Personnel]]+Table134[[#This Row],[Total Non-personnel]]</f>
        <v>120192.5</v>
      </c>
      <c r="N8" s="41"/>
      <c r="O8" s="41"/>
      <c r="P8" s="41"/>
      <c r="Q8" s="41">
        <f t="shared" si="1"/>
        <v>120192.5</v>
      </c>
      <c r="R8" s="42">
        <v>3000</v>
      </c>
      <c r="S8" s="42" t="s">
        <v>32</v>
      </c>
      <c r="T8" s="43"/>
      <c r="U8" s="42"/>
      <c r="V8" s="44"/>
      <c r="W8" s="45" t="str">
        <f>IF(Table134[[#This Row],[Total Funds]]=SUM(Table134[[#This Row],[Total Personnel]:[Total Non-personnel]]),"","Check")</f>
        <v/>
      </c>
      <c r="X8" s="122">
        <f>+X7*0.25</f>
        <v>69711</v>
      </c>
      <c r="Y8" s="122">
        <f>+Y7*0.25</f>
        <v>50481.5</v>
      </c>
      <c r="Z8" s="122">
        <f>+Table134[[#This Row],[CAS]]+Table134[[#This Row],[EIS]]</f>
        <v>120192.5</v>
      </c>
    </row>
    <row r="9" spans="1:26" ht="45" x14ac:dyDescent="0.2">
      <c r="A9" s="14">
        <v>1</v>
      </c>
      <c r="B9" s="15">
        <v>3</v>
      </c>
      <c r="C9" s="16" t="s">
        <v>91</v>
      </c>
      <c r="D9" s="17"/>
      <c r="E9" s="18"/>
      <c r="F9" s="17"/>
      <c r="G9" s="17"/>
      <c r="H9" s="17" t="s">
        <v>20</v>
      </c>
      <c r="I9" s="17" t="s">
        <v>21</v>
      </c>
      <c r="J9" s="19">
        <f t="shared" si="0"/>
        <v>1</v>
      </c>
      <c r="K9" s="20">
        <f>+Table134[[#This Row],[Total]]</f>
        <v>128944</v>
      </c>
      <c r="L9" s="20"/>
      <c r="M9" s="20">
        <f>+Table134[[#This Row],[Total Personnel]]+Table134[[#This Row],[Total Non-personnel]]</f>
        <v>128944</v>
      </c>
      <c r="N9" s="20"/>
      <c r="O9" s="20"/>
      <c r="P9" s="20"/>
      <c r="Q9" s="20">
        <f t="shared" si="1"/>
        <v>128944</v>
      </c>
      <c r="R9" s="21">
        <v>1110</v>
      </c>
      <c r="S9" s="47" t="s">
        <v>188</v>
      </c>
      <c r="T9" s="22"/>
      <c r="U9" s="21" t="s">
        <v>93</v>
      </c>
      <c r="V9" s="23"/>
      <c r="W9" s="24" t="str">
        <f>IF(Table134[[#This Row],[Total Funds]]=SUM(Table134[[#This Row],[Total Personnel]:[Total Non-personnel]]),"","Check")</f>
        <v/>
      </c>
      <c r="X9" s="122">
        <v>62274</v>
      </c>
      <c r="Y9" s="122">
        <v>66670</v>
      </c>
      <c r="Z9" s="122">
        <f>+Table134[[#This Row],[CAS]]+Table134[[#This Row],[EIS]]</f>
        <v>128944</v>
      </c>
    </row>
    <row r="10" spans="1:26" ht="30.75" thickBot="1" x14ac:dyDescent="0.25">
      <c r="A10" s="36">
        <v>1</v>
      </c>
      <c r="B10" s="37">
        <v>3</v>
      </c>
      <c r="C10" s="38" t="s">
        <v>91</v>
      </c>
      <c r="D10" s="39"/>
      <c r="E10" s="46"/>
      <c r="F10" s="39"/>
      <c r="G10" s="39"/>
      <c r="H10" s="39" t="s">
        <v>20</v>
      </c>
      <c r="I10" s="39" t="s">
        <v>21</v>
      </c>
      <c r="J10" s="40">
        <f t="shared" si="0"/>
        <v>1</v>
      </c>
      <c r="K10" s="41">
        <f>+Table134[[#This Row],[Total]]</f>
        <v>32236</v>
      </c>
      <c r="L10" s="41"/>
      <c r="M10" s="41">
        <f>+Table134[[#This Row],[Total Personnel]]+Table134[[#This Row],[Total Non-personnel]]</f>
        <v>32236</v>
      </c>
      <c r="N10" s="41"/>
      <c r="O10" s="41"/>
      <c r="P10" s="41"/>
      <c r="Q10" s="41">
        <f t="shared" si="1"/>
        <v>32236</v>
      </c>
      <c r="R10" s="42">
        <v>3000</v>
      </c>
      <c r="S10" s="48" t="s">
        <v>92</v>
      </c>
      <c r="T10" s="43"/>
      <c r="U10" s="42"/>
      <c r="V10" s="44"/>
      <c r="W10" s="45" t="str">
        <f>IF(Table134[[#This Row],[Total Funds]]=SUM(Table134[[#This Row],[Total Personnel]:[Total Non-personnel]]),"","Check")</f>
        <v/>
      </c>
      <c r="X10" s="122">
        <f>+X9*0.25</f>
        <v>15568.5</v>
      </c>
      <c r="Y10" s="122">
        <f>+Y9*0.25</f>
        <v>16667.5</v>
      </c>
      <c r="Z10" s="122">
        <f>+Table134[[#This Row],[CAS]]+Table134[[#This Row],[EIS]]</f>
        <v>32236</v>
      </c>
    </row>
    <row r="11" spans="1:26" ht="15.75" thickBot="1" x14ac:dyDescent="0.25">
      <c r="A11" s="49">
        <v>1</v>
      </c>
      <c r="B11" s="50">
        <v>4</v>
      </c>
      <c r="C11" s="51"/>
      <c r="D11" s="52"/>
      <c r="E11" s="53"/>
      <c r="F11" s="52"/>
      <c r="G11" s="52"/>
      <c r="H11" s="52" t="s">
        <v>20</v>
      </c>
      <c r="I11" s="52" t="s">
        <v>21</v>
      </c>
      <c r="J11" s="54" t="str">
        <f t="shared" si="0"/>
        <v/>
      </c>
      <c r="K11" s="55"/>
      <c r="L11" s="55"/>
      <c r="M11" s="55">
        <f>+Table134[[#This Row],[Total Personnel]]+Table134[[#This Row],[Total Non-personnel]]</f>
        <v>0</v>
      </c>
      <c r="N11" s="55"/>
      <c r="O11" s="55"/>
      <c r="P11" s="55"/>
      <c r="Q11" s="55">
        <f t="shared" si="1"/>
        <v>0</v>
      </c>
      <c r="R11" s="56"/>
      <c r="S11" s="56"/>
      <c r="T11" s="57"/>
      <c r="U11" s="58" t="s">
        <v>35</v>
      </c>
      <c r="V11" s="59"/>
      <c r="W11" s="60" t="str">
        <f>IF(Table134[[#This Row],[Total Funds]]=SUM(Table134[[#This Row],[Total Personnel]:[Total Non-personnel]]),"","Check")</f>
        <v/>
      </c>
      <c r="X11" s="122"/>
      <c r="Y11" s="122"/>
      <c r="Z11" s="122">
        <f>+Table134[[#This Row],[CAS]]+Table134[[#This Row],[EIS]]</f>
        <v>0</v>
      </c>
    </row>
    <row r="12" spans="1:26" ht="30" x14ac:dyDescent="0.2">
      <c r="A12" s="14">
        <v>1</v>
      </c>
      <c r="B12" s="15">
        <v>5</v>
      </c>
      <c r="C12" s="16" t="s">
        <v>36</v>
      </c>
      <c r="D12" s="17"/>
      <c r="E12" s="18"/>
      <c r="F12" s="17"/>
      <c r="G12" s="17"/>
      <c r="H12" s="17" t="s">
        <v>20</v>
      </c>
      <c r="I12" s="17" t="s">
        <v>21</v>
      </c>
      <c r="J12" s="19">
        <f t="shared" si="0"/>
        <v>1</v>
      </c>
      <c r="K12" s="20">
        <f>+Table134[[#This Row],[Total]]</f>
        <v>206909.03999999995</v>
      </c>
      <c r="L12" s="20"/>
      <c r="M12" s="61"/>
      <c r="N12" s="20"/>
      <c r="O12" s="20"/>
      <c r="P12" s="20">
        <f>+Table134[[#This Row],[Total Personnel]]+Table134[[#This Row],[Total Non-personnel]]</f>
        <v>206909.03999999995</v>
      </c>
      <c r="Q12" s="20">
        <f t="shared" ref="Q12:Q19" si="2">IF(SUM(N12:P12)="","",SUM(N12:P12))</f>
        <v>206909.03999999995</v>
      </c>
      <c r="R12" s="21">
        <v>1110</v>
      </c>
      <c r="S12" s="47" t="s">
        <v>37</v>
      </c>
      <c r="T12" s="22"/>
      <c r="U12" s="62" t="s">
        <v>80</v>
      </c>
      <c r="V12" s="23"/>
      <c r="W12" s="24" t="str">
        <f>IF(Table134[[#This Row],[Total Funds]]=SUM(Table134[[#This Row],[Total Personnel]:[Total Non-personnel]]),"","Check")</f>
        <v/>
      </c>
      <c r="X12" s="122">
        <v>137830.79999999996</v>
      </c>
      <c r="Y12" s="122">
        <v>69078.239999999991</v>
      </c>
      <c r="Z12" s="122">
        <f>+Table134[[#This Row],[CAS]]+Table134[[#This Row],[EIS]]</f>
        <v>206909.03999999995</v>
      </c>
    </row>
    <row r="13" spans="1:26" ht="30" x14ac:dyDescent="0.2">
      <c r="A13" s="25">
        <v>1</v>
      </c>
      <c r="B13" s="26">
        <v>5</v>
      </c>
      <c r="C13" s="27" t="s">
        <v>36</v>
      </c>
      <c r="D13" s="28"/>
      <c r="E13" s="29"/>
      <c r="F13" s="28"/>
      <c r="G13" s="28"/>
      <c r="H13" s="28" t="s">
        <v>20</v>
      </c>
      <c r="I13" s="28" t="s">
        <v>21</v>
      </c>
      <c r="J13" s="30">
        <f t="shared" si="0"/>
        <v>1</v>
      </c>
      <c r="K13" s="31">
        <f>+Table134[[#This Row],[Total]]</f>
        <v>51727.259999999987</v>
      </c>
      <c r="L13" s="31"/>
      <c r="M13" s="63"/>
      <c r="N13" s="31"/>
      <c r="O13" s="31"/>
      <c r="P13" s="31">
        <f>+Table134[[#This Row],[Total Personnel]]+Table134[[#This Row],[Total Non-personnel]]</f>
        <v>51727.259999999987</v>
      </c>
      <c r="Q13" s="31">
        <f t="shared" si="2"/>
        <v>51727.259999999987</v>
      </c>
      <c r="R13" s="32">
        <v>3000</v>
      </c>
      <c r="S13" s="64" t="s">
        <v>38</v>
      </c>
      <c r="T13" s="33"/>
      <c r="U13" s="32"/>
      <c r="V13" s="34"/>
      <c r="W13" s="35" t="str">
        <f>IF(Table134[[#This Row],[Total Funds]]=SUM(Table134[[#This Row],[Total Personnel]:[Total Non-personnel]]),"","Check")</f>
        <v/>
      </c>
      <c r="X13" s="122">
        <f>+X12*0.25</f>
        <v>34457.69999999999</v>
      </c>
      <c r="Y13" s="122">
        <f>+Y12*0.25</f>
        <v>17269.559999999998</v>
      </c>
      <c r="Z13" s="122">
        <f>+Table134[[#This Row],[CAS]]+Table134[[#This Row],[EIS]]</f>
        <v>51727.259999999987</v>
      </c>
    </row>
    <row r="14" spans="1:26" ht="30" x14ac:dyDescent="0.2">
      <c r="A14" s="25">
        <v>1</v>
      </c>
      <c r="B14" s="26">
        <v>5</v>
      </c>
      <c r="C14" s="27" t="s">
        <v>36</v>
      </c>
      <c r="D14" s="28"/>
      <c r="E14" s="29"/>
      <c r="F14" s="28"/>
      <c r="G14" s="28"/>
      <c r="H14" s="28"/>
      <c r="I14" s="28"/>
      <c r="J14" s="30">
        <f t="shared" ref="J14:J15" si="3">IF(Q14&gt;0,K14/Q14,"")</f>
        <v>1</v>
      </c>
      <c r="K14" s="31">
        <f>+Table134[[#This Row],[Total]]</f>
        <v>62407.5</v>
      </c>
      <c r="L14" s="31"/>
      <c r="M14" s="63"/>
      <c r="N14" s="31"/>
      <c r="O14" s="31"/>
      <c r="P14" s="31">
        <f>+Table134[[#This Row],[Total Personnel]]+Table134[[#This Row],[Total Non-personnel]]</f>
        <v>62407.5</v>
      </c>
      <c r="Q14" s="31">
        <f t="shared" ref="Q14:Q15" si="4">IF(SUM(M14:P14)="","",SUM(M14:P14))</f>
        <v>62407.5</v>
      </c>
      <c r="R14" s="32">
        <v>2111</v>
      </c>
      <c r="S14" s="64" t="s">
        <v>135</v>
      </c>
      <c r="T14" s="33"/>
      <c r="U14" s="32"/>
      <c r="V14" s="34"/>
      <c r="W14" s="35" t="str">
        <f>IF(Table134[[#This Row],[Total Funds]]=SUM(Table134[[#This Row],[Total Personnel]:[Total Non-personnel]]),"","Check")</f>
        <v/>
      </c>
      <c r="X14" s="122">
        <v>62407.5</v>
      </c>
      <c r="Y14" s="122">
        <v>0</v>
      </c>
      <c r="Z14" s="122">
        <f>+Table134[[#This Row],[CAS]]+Table134[[#This Row],[EIS]]</f>
        <v>62407.5</v>
      </c>
    </row>
    <row r="15" spans="1:26" ht="30" x14ac:dyDescent="0.2">
      <c r="A15" s="25">
        <v>1</v>
      </c>
      <c r="B15" s="26">
        <v>5</v>
      </c>
      <c r="C15" s="27" t="s">
        <v>36</v>
      </c>
      <c r="D15" s="28"/>
      <c r="E15" s="29"/>
      <c r="F15" s="28"/>
      <c r="G15" s="28"/>
      <c r="H15" s="28"/>
      <c r="I15" s="28"/>
      <c r="J15" s="30">
        <f t="shared" si="3"/>
        <v>1</v>
      </c>
      <c r="K15" s="31">
        <f>+Table134[[#This Row],[Total]]</f>
        <v>15601.875</v>
      </c>
      <c r="L15" s="31"/>
      <c r="M15" s="63"/>
      <c r="N15" s="31"/>
      <c r="O15" s="31"/>
      <c r="P15" s="31">
        <f>+Table134[[#This Row],[Total Personnel]]+Table134[[#This Row],[Total Non-personnel]]</f>
        <v>15601.875</v>
      </c>
      <c r="Q15" s="31">
        <f t="shared" si="4"/>
        <v>15601.875</v>
      </c>
      <c r="R15" s="32">
        <v>3000</v>
      </c>
      <c r="S15" s="64" t="s">
        <v>136</v>
      </c>
      <c r="T15" s="33"/>
      <c r="U15" s="32"/>
      <c r="V15" s="34"/>
      <c r="W15" s="35" t="str">
        <f>IF(Table134[[#This Row],[Total Funds]]=SUM(Table134[[#This Row],[Total Personnel]:[Total Non-personnel]]),"","Check")</f>
        <v/>
      </c>
      <c r="X15" s="122">
        <f>+X14*0.25</f>
        <v>15601.875</v>
      </c>
      <c r="Y15" s="122">
        <v>0</v>
      </c>
      <c r="Z15" s="122">
        <f>+Table134[[#This Row],[CAS]]+Table134[[#This Row],[EIS]]</f>
        <v>15601.875</v>
      </c>
    </row>
    <row r="16" spans="1:26" ht="75" x14ac:dyDescent="0.2">
      <c r="A16" s="25">
        <v>1</v>
      </c>
      <c r="B16" s="26">
        <v>5</v>
      </c>
      <c r="C16" s="27" t="s">
        <v>36</v>
      </c>
      <c r="D16" s="28"/>
      <c r="E16" s="29"/>
      <c r="F16" s="28"/>
      <c r="G16" s="28"/>
      <c r="H16" s="28" t="s">
        <v>20</v>
      </c>
      <c r="I16" s="28" t="s">
        <v>21</v>
      </c>
      <c r="J16" s="30">
        <f t="shared" si="0"/>
        <v>0</v>
      </c>
      <c r="K16" s="31"/>
      <c r="L16" s="31">
        <f>+Table134[[#This Row],[Total]]</f>
        <v>41938</v>
      </c>
      <c r="M16" s="63"/>
      <c r="N16" s="31"/>
      <c r="O16" s="31"/>
      <c r="P16" s="31">
        <f>+Table134[[#This Row],[Total Personnel]]+Table134[[#This Row],[Total Non-personnel]]</f>
        <v>41938</v>
      </c>
      <c r="Q16" s="31">
        <f t="shared" si="2"/>
        <v>41938</v>
      </c>
      <c r="R16" s="64" t="s">
        <v>189</v>
      </c>
      <c r="S16" s="64" t="s">
        <v>39</v>
      </c>
      <c r="T16" s="33"/>
      <c r="U16" s="32"/>
      <c r="V16" s="65"/>
      <c r="W16" s="35" t="str">
        <f>IF(Table134[[#This Row],[Total Funds]]=SUM(Table134[[#This Row],[Total Personnel]:[Total Non-personnel]]),"","Check")</f>
        <v/>
      </c>
      <c r="X16" s="122">
        <f>8000+17250</f>
        <v>25250</v>
      </c>
      <c r="Y16" s="122">
        <f>0+16688</f>
        <v>16688</v>
      </c>
      <c r="Z16" s="122">
        <f>+Table134[[#This Row],[CAS]]+Table134[[#This Row],[EIS]]</f>
        <v>41938</v>
      </c>
    </row>
    <row r="17" spans="1:26" ht="60" x14ac:dyDescent="0.2">
      <c r="A17" s="25">
        <v>1</v>
      </c>
      <c r="B17" s="26">
        <v>5</v>
      </c>
      <c r="C17" s="27" t="s">
        <v>36</v>
      </c>
      <c r="D17" s="28"/>
      <c r="E17" s="29"/>
      <c r="F17" s="28"/>
      <c r="G17" s="28"/>
      <c r="H17" s="28" t="s">
        <v>20</v>
      </c>
      <c r="I17" s="28" t="s">
        <v>21</v>
      </c>
      <c r="J17" s="30">
        <f t="shared" si="0"/>
        <v>1</v>
      </c>
      <c r="K17" s="31">
        <f>+Table134[[#This Row],[Total]]</f>
        <v>64750</v>
      </c>
      <c r="L17" s="31"/>
      <c r="M17" s="63"/>
      <c r="N17" s="31"/>
      <c r="O17" s="31"/>
      <c r="P17" s="31">
        <f>+Table134[[#This Row],[Total Personnel]]+Table134[[#This Row],[Total Non-personnel]]</f>
        <v>64750</v>
      </c>
      <c r="Q17" s="31">
        <f t="shared" si="2"/>
        <v>64750</v>
      </c>
      <c r="R17" s="64">
        <v>2131</v>
      </c>
      <c r="S17" s="64" t="s">
        <v>40</v>
      </c>
      <c r="T17" s="33"/>
      <c r="U17" s="64" t="s">
        <v>161</v>
      </c>
      <c r="V17" s="65"/>
      <c r="W17" s="35" t="str">
        <f>IF(Table134[[#This Row],[Total Funds]]=SUM(Table134[[#This Row],[Total Personnel]:[Total Non-personnel]]),"","Check")</f>
        <v/>
      </c>
      <c r="X17" s="122">
        <v>37000</v>
      </c>
      <c r="Y17" s="122">
        <v>27750</v>
      </c>
      <c r="Z17" s="122">
        <f>+Table134[[#This Row],[CAS]]+Table134[[#This Row],[EIS]]</f>
        <v>64750</v>
      </c>
    </row>
    <row r="18" spans="1:26" ht="30" x14ac:dyDescent="0.2">
      <c r="A18" s="25">
        <v>1</v>
      </c>
      <c r="B18" s="26">
        <v>5</v>
      </c>
      <c r="C18" s="27" t="s">
        <v>36</v>
      </c>
      <c r="D18" s="28"/>
      <c r="E18" s="29"/>
      <c r="F18" s="28"/>
      <c r="G18" s="28"/>
      <c r="H18" s="28" t="s">
        <v>20</v>
      </c>
      <c r="I18" s="28" t="s">
        <v>21</v>
      </c>
      <c r="J18" s="30">
        <f t="shared" si="0"/>
        <v>1</v>
      </c>
      <c r="K18" s="31">
        <f>+Table134[[#This Row],[Total]]</f>
        <v>16187.5</v>
      </c>
      <c r="L18" s="31"/>
      <c r="M18" s="63"/>
      <c r="N18" s="31"/>
      <c r="O18" s="31"/>
      <c r="P18" s="31">
        <f>+Table134[[#This Row],[Total Personnel]]+Table134[[#This Row],[Total Non-personnel]]</f>
        <v>16187.5</v>
      </c>
      <c r="Q18" s="31">
        <f t="shared" si="2"/>
        <v>16187.5</v>
      </c>
      <c r="R18" s="32">
        <v>3000</v>
      </c>
      <c r="S18" s="64" t="s">
        <v>41</v>
      </c>
      <c r="T18" s="33"/>
      <c r="U18" s="32"/>
      <c r="V18" s="34"/>
      <c r="W18" s="35" t="str">
        <f>IF(Table134[[#This Row],[Total Funds]]=SUM(Table134[[#This Row],[Total Personnel]:[Total Non-personnel]]),"","Check")</f>
        <v/>
      </c>
      <c r="X18" s="122">
        <f>+X17*0.25</f>
        <v>9250</v>
      </c>
      <c r="Y18" s="122">
        <f>+Y17*0.25</f>
        <v>6937.5</v>
      </c>
      <c r="Z18" s="122">
        <f>+Table134[[#This Row],[CAS]]+Table134[[#This Row],[EIS]]</f>
        <v>16187.5</v>
      </c>
    </row>
    <row r="19" spans="1:26" ht="45.75" thickBot="1" x14ac:dyDescent="0.25">
      <c r="A19" s="36">
        <v>1</v>
      </c>
      <c r="B19" s="37">
        <v>5</v>
      </c>
      <c r="C19" s="38" t="s">
        <v>36</v>
      </c>
      <c r="D19" s="39"/>
      <c r="E19" s="46"/>
      <c r="F19" s="39"/>
      <c r="G19" s="39"/>
      <c r="H19" s="39" t="s">
        <v>20</v>
      </c>
      <c r="I19" s="39" t="s">
        <v>21</v>
      </c>
      <c r="J19" s="40">
        <f t="shared" si="0"/>
        <v>0</v>
      </c>
      <c r="K19" s="41"/>
      <c r="L19" s="41">
        <f>+Table134[[#This Row],[Total]]</f>
        <v>26678</v>
      </c>
      <c r="M19" s="66"/>
      <c r="N19" s="41"/>
      <c r="O19" s="41"/>
      <c r="P19" s="41">
        <f>+Table134[[#This Row],[Total Personnel]]+Table134[[#This Row],[Total Non-personnel]]</f>
        <v>26678</v>
      </c>
      <c r="Q19" s="41">
        <f t="shared" si="2"/>
        <v>26678</v>
      </c>
      <c r="R19" s="42">
        <v>4111</v>
      </c>
      <c r="S19" s="48" t="s">
        <v>42</v>
      </c>
      <c r="T19" s="43"/>
      <c r="U19" s="42"/>
      <c r="V19" s="67"/>
      <c r="W19" s="45" t="str">
        <f>IF(Table134[[#This Row],[Total Funds]]=SUM(Table134[[#This Row],[Total Personnel]:[Total Non-personnel]]),"","Check")</f>
        <v/>
      </c>
      <c r="X19" s="122">
        <v>16571</v>
      </c>
      <c r="Y19" s="122">
        <v>10107</v>
      </c>
      <c r="Z19" s="122">
        <f>+Table134[[#This Row],[CAS]]+Table134[[#This Row],[EIS]]</f>
        <v>26678</v>
      </c>
    </row>
    <row r="20" spans="1:26" ht="30" x14ac:dyDescent="0.2">
      <c r="A20" s="14">
        <v>2</v>
      </c>
      <c r="B20" s="15">
        <v>1</v>
      </c>
      <c r="C20" s="16" t="s">
        <v>43</v>
      </c>
      <c r="D20" s="17"/>
      <c r="E20" s="15"/>
      <c r="F20" s="17"/>
      <c r="G20" s="17"/>
      <c r="H20" s="17" t="s">
        <v>20</v>
      </c>
      <c r="I20" s="17" t="s">
        <v>21</v>
      </c>
      <c r="J20" s="19" t="str">
        <f t="shared" si="0"/>
        <v/>
      </c>
      <c r="K20" s="20"/>
      <c r="L20" s="20">
        <f>+Table134[[#This Row],[Total]]</f>
        <v>0</v>
      </c>
      <c r="M20" s="20">
        <f>+Table134[[#This Row],[Total Personnel]]+Table134[[#This Row],[Total Non-personnel]]</f>
        <v>0</v>
      </c>
      <c r="N20" s="20"/>
      <c r="O20" s="20"/>
      <c r="P20" s="20"/>
      <c r="Q20" s="20">
        <f t="shared" si="1"/>
        <v>0</v>
      </c>
      <c r="R20" s="21"/>
      <c r="S20" s="47" t="s">
        <v>44</v>
      </c>
      <c r="T20" s="22"/>
      <c r="U20" s="47"/>
      <c r="V20" s="68"/>
      <c r="W20" s="24" t="str">
        <f>IF(Table134[[#This Row],[Total Funds]]=SUM(Table134[[#This Row],[Total Personnel]:[Total Non-personnel]]),"","Check")</f>
        <v/>
      </c>
      <c r="X20" s="122">
        <v>0</v>
      </c>
      <c r="Y20" s="122">
        <v>0</v>
      </c>
      <c r="Z20" s="122">
        <f>+Table134[[#This Row],[CAS]]+Table134[[#This Row],[EIS]]</f>
        <v>0</v>
      </c>
    </row>
    <row r="21" spans="1:26" x14ac:dyDescent="0.2">
      <c r="A21" s="25">
        <v>2</v>
      </c>
      <c r="B21" s="26">
        <v>1</v>
      </c>
      <c r="C21" s="27" t="s">
        <v>43</v>
      </c>
      <c r="D21" s="28"/>
      <c r="E21" s="29"/>
      <c r="F21" s="28"/>
      <c r="G21" s="28"/>
      <c r="H21" s="28" t="s">
        <v>20</v>
      </c>
      <c r="I21" s="28" t="s">
        <v>21</v>
      </c>
      <c r="J21" s="30">
        <f t="shared" si="0"/>
        <v>0</v>
      </c>
      <c r="K21" s="31"/>
      <c r="L21" s="31">
        <f>+Table134[[#This Row],[Total]]</f>
        <v>69000</v>
      </c>
      <c r="M21" s="31">
        <f>+Table134[[#This Row],[Total Personnel]]+Table134[[#This Row],[Total Non-personnel]]</f>
        <v>69000</v>
      </c>
      <c r="N21" s="31"/>
      <c r="O21" s="31"/>
      <c r="P21" s="31"/>
      <c r="Q21" s="31">
        <f t="shared" si="1"/>
        <v>69000</v>
      </c>
      <c r="R21" s="32">
        <v>5631</v>
      </c>
      <c r="S21" s="64" t="s">
        <v>45</v>
      </c>
      <c r="T21" s="33"/>
      <c r="U21" s="69" t="s">
        <v>78</v>
      </c>
      <c r="V21" s="65"/>
      <c r="W21" s="35" t="str">
        <f>IF(Table134[[#This Row],[Total Funds]]=SUM(Table134[[#This Row],[Total Personnel]:[Total Non-personnel]]),"","Check")</f>
        <v/>
      </c>
      <c r="X21" s="122">
        <v>44000</v>
      </c>
      <c r="Y21" s="122">
        <v>25000</v>
      </c>
      <c r="Z21" s="122">
        <f>+Table134[[#This Row],[CAS]]+Table134[[#This Row],[EIS]]</f>
        <v>69000</v>
      </c>
    </row>
    <row r="22" spans="1:26" ht="30" x14ac:dyDescent="0.2">
      <c r="A22" s="25">
        <v>2</v>
      </c>
      <c r="B22" s="26">
        <v>1</v>
      </c>
      <c r="C22" s="27" t="s">
        <v>43</v>
      </c>
      <c r="D22" s="28"/>
      <c r="E22" s="29"/>
      <c r="F22" s="28"/>
      <c r="G22" s="28"/>
      <c r="H22" s="28" t="s">
        <v>20</v>
      </c>
      <c r="I22" s="28" t="s">
        <v>21</v>
      </c>
      <c r="J22" s="30">
        <f t="shared" si="0"/>
        <v>0</v>
      </c>
      <c r="K22" s="31"/>
      <c r="L22" s="31">
        <f>+Table134[[#This Row],[Total]]</f>
        <v>17532</v>
      </c>
      <c r="M22" s="31">
        <f>+Table134[[#This Row],[Total Personnel]]+Table134[[#This Row],[Total Non-personnel]]</f>
        <v>17532</v>
      </c>
      <c r="N22" s="31"/>
      <c r="O22" s="31"/>
      <c r="P22" s="31"/>
      <c r="Q22" s="31">
        <f t="shared" si="1"/>
        <v>17532</v>
      </c>
      <c r="R22" s="32">
        <v>5599</v>
      </c>
      <c r="S22" s="64" t="s">
        <v>46</v>
      </c>
      <c r="T22" s="33"/>
      <c r="U22" s="32"/>
      <c r="V22" s="34"/>
      <c r="W22" s="35" t="str">
        <f>IF(Table134[[#This Row],[Total Funds]]=SUM(Table134[[#This Row],[Total Personnel]:[Total Non-personnel]]),"","Check")</f>
        <v/>
      </c>
      <c r="X22" s="122">
        <v>11808</v>
      </c>
      <c r="Y22" s="122">
        <v>5724</v>
      </c>
      <c r="Z22" s="122">
        <f>+Table134[[#This Row],[CAS]]+Table134[[#This Row],[EIS]]</f>
        <v>17532</v>
      </c>
    </row>
    <row r="23" spans="1:26" ht="30" x14ac:dyDescent="0.2">
      <c r="A23" s="25">
        <v>2</v>
      </c>
      <c r="B23" s="26">
        <v>1</v>
      </c>
      <c r="C23" s="27" t="s">
        <v>43</v>
      </c>
      <c r="D23" s="28"/>
      <c r="E23" s="29"/>
      <c r="F23" s="28"/>
      <c r="G23" s="28"/>
      <c r="H23" s="28" t="s">
        <v>20</v>
      </c>
      <c r="I23" s="28" t="s">
        <v>21</v>
      </c>
      <c r="J23" s="30">
        <f t="shared" si="0"/>
        <v>1</v>
      </c>
      <c r="K23" s="31">
        <f>+Table134[[#This Row],[Total]]</f>
        <v>136206</v>
      </c>
      <c r="L23" s="31"/>
      <c r="M23" s="31">
        <f>+Table134[[#This Row],[Total Personnel]]+Table134[[#This Row],[Total Non-personnel]]</f>
        <v>136206</v>
      </c>
      <c r="N23" s="31"/>
      <c r="O23" s="31"/>
      <c r="P23" s="31"/>
      <c r="Q23" s="31">
        <f t="shared" si="1"/>
        <v>136206</v>
      </c>
      <c r="R23" s="32">
        <v>2200</v>
      </c>
      <c r="S23" s="64" t="s">
        <v>48</v>
      </c>
      <c r="T23" s="33"/>
      <c r="U23" s="32"/>
      <c r="V23" s="34"/>
      <c r="W23" s="35" t="str">
        <f>IF(Table134[[#This Row],[Total Funds]]=SUM(Table134[[#This Row],[Total Personnel]:[Total Non-personnel]]),"","Check")</f>
        <v/>
      </c>
      <c r="X23" s="122">
        <f>35496+44925</f>
        <v>80421</v>
      </c>
      <c r="Y23" s="122">
        <f>38025+17760</f>
        <v>55785</v>
      </c>
      <c r="Z23" s="122">
        <f>+Table134[[#This Row],[CAS]]+Table134[[#This Row],[EIS]]</f>
        <v>136206</v>
      </c>
    </row>
    <row r="24" spans="1:26" ht="30" x14ac:dyDescent="0.2">
      <c r="A24" s="25">
        <v>2</v>
      </c>
      <c r="B24" s="26">
        <v>1</v>
      </c>
      <c r="C24" s="27" t="s">
        <v>43</v>
      </c>
      <c r="D24" s="28"/>
      <c r="E24" s="29"/>
      <c r="F24" s="28"/>
      <c r="G24" s="28"/>
      <c r="H24" s="28" t="s">
        <v>20</v>
      </c>
      <c r="I24" s="28" t="s">
        <v>21</v>
      </c>
      <c r="J24" s="30">
        <f t="shared" si="0"/>
        <v>1</v>
      </c>
      <c r="K24" s="31">
        <f>+Table134[[#This Row],[Total]]</f>
        <v>34051.5</v>
      </c>
      <c r="L24" s="31"/>
      <c r="M24" s="31">
        <f>+Table134[[#This Row],[Total Personnel]]+Table134[[#This Row],[Total Non-personnel]]</f>
        <v>34051.5</v>
      </c>
      <c r="N24" s="31"/>
      <c r="O24" s="31"/>
      <c r="P24" s="31"/>
      <c r="Q24" s="31">
        <f t="shared" si="1"/>
        <v>34051.5</v>
      </c>
      <c r="R24" s="32">
        <v>3000</v>
      </c>
      <c r="S24" s="64" t="s">
        <v>47</v>
      </c>
      <c r="T24" s="33"/>
      <c r="U24" s="32"/>
      <c r="V24" s="34"/>
      <c r="W24" s="35" t="str">
        <f>IF(Table134[[#This Row],[Total Funds]]=SUM(Table134[[#This Row],[Total Personnel]:[Total Non-personnel]]),"","Check")</f>
        <v/>
      </c>
      <c r="X24" s="122">
        <f>+X23*0.25</f>
        <v>20105.25</v>
      </c>
      <c r="Y24" s="122">
        <f>+Y23*0.25</f>
        <v>13946.25</v>
      </c>
      <c r="Z24" s="122">
        <f>+Table134[[#This Row],[CAS]]+Table134[[#This Row],[EIS]]</f>
        <v>34051.5</v>
      </c>
    </row>
    <row r="25" spans="1:26" ht="30" x14ac:dyDescent="0.2">
      <c r="A25" s="25">
        <v>2</v>
      </c>
      <c r="B25" s="26">
        <v>1</v>
      </c>
      <c r="C25" s="27" t="s">
        <v>43</v>
      </c>
      <c r="D25" s="28"/>
      <c r="E25" s="29"/>
      <c r="F25" s="28"/>
      <c r="G25" s="28"/>
      <c r="H25" s="28" t="s">
        <v>20</v>
      </c>
      <c r="I25" s="28" t="s">
        <v>21</v>
      </c>
      <c r="J25" s="30">
        <f t="shared" si="0"/>
        <v>0</v>
      </c>
      <c r="K25" s="31"/>
      <c r="L25" s="31">
        <f>+Table134[[#This Row],[Total]]</f>
        <v>96000</v>
      </c>
      <c r="M25" s="31">
        <f>+Table134[[#This Row],[Total Personnel]]+Table134[[#This Row],[Total Non-personnel]]</f>
        <v>96000</v>
      </c>
      <c r="N25" s="31"/>
      <c r="O25" s="31"/>
      <c r="P25" s="31"/>
      <c r="Q25" s="31">
        <f t="shared" si="1"/>
        <v>96000</v>
      </c>
      <c r="R25" s="32">
        <v>5531</v>
      </c>
      <c r="S25" s="64" t="s">
        <v>49</v>
      </c>
      <c r="T25" s="33"/>
      <c r="U25" s="32"/>
      <c r="V25" s="34"/>
      <c r="W25" s="35" t="str">
        <f>IF(Table134[[#This Row],[Total Funds]]=SUM(Table134[[#This Row],[Total Personnel]:[Total Non-personnel]]),"","Check")</f>
        <v/>
      </c>
      <c r="X25" s="122">
        <v>96000</v>
      </c>
      <c r="Y25" s="122">
        <v>0</v>
      </c>
      <c r="Z25" s="122">
        <f>+Table134[[#This Row],[CAS]]+Table134[[#This Row],[EIS]]</f>
        <v>96000</v>
      </c>
    </row>
    <row r="26" spans="1:26" ht="30" x14ac:dyDescent="0.2">
      <c r="A26" s="25">
        <v>2</v>
      </c>
      <c r="B26" s="26">
        <v>1</v>
      </c>
      <c r="C26" s="27" t="s">
        <v>43</v>
      </c>
      <c r="D26" s="28"/>
      <c r="E26" s="29"/>
      <c r="F26" s="28"/>
      <c r="G26" s="28"/>
      <c r="H26" s="28" t="s">
        <v>20</v>
      </c>
      <c r="I26" s="28" t="s">
        <v>21</v>
      </c>
      <c r="J26" s="30" t="str">
        <f t="shared" si="0"/>
        <v/>
      </c>
      <c r="K26" s="31"/>
      <c r="L26" s="31">
        <f>+Table134[[#This Row],[Total]]</f>
        <v>0</v>
      </c>
      <c r="M26" s="31">
        <f>+Table134[[#This Row],[Total Personnel]]+Table134[[#This Row],[Total Non-personnel]]</f>
        <v>0</v>
      </c>
      <c r="N26" s="31"/>
      <c r="O26" s="31"/>
      <c r="P26" s="31"/>
      <c r="Q26" s="31">
        <f t="shared" si="1"/>
        <v>0</v>
      </c>
      <c r="R26" s="32">
        <v>5521</v>
      </c>
      <c r="S26" s="64" t="s">
        <v>50</v>
      </c>
      <c r="T26" s="33"/>
      <c r="U26" s="32" t="s">
        <v>186</v>
      </c>
      <c r="V26" s="34"/>
      <c r="W26" s="35" t="str">
        <f>IF(Table134[[#This Row],[Total Funds]]=SUM(Table134[[#This Row],[Total Personnel]:[Total Non-personnel]]),"","Check")</f>
        <v/>
      </c>
      <c r="X26" s="122">
        <v>0</v>
      </c>
      <c r="Y26" s="122">
        <v>0</v>
      </c>
      <c r="Z26" s="122">
        <f>+Table134[[#This Row],[CAS]]+Table134[[#This Row],[EIS]]</f>
        <v>0</v>
      </c>
    </row>
    <row r="27" spans="1:26" ht="30" x14ac:dyDescent="0.2">
      <c r="A27" s="25">
        <v>2</v>
      </c>
      <c r="B27" s="26">
        <v>1</v>
      </c>
      <c r="C27" s="27" t="s">
        <v>43</v>
      </c>
      <c r="D27" s="28"/>
      <c r="E27" s="29"/>
      <c r="F27" s="28"/>
      <c r="G27" s="28"/>
      <c r="H27" s="28" t="s">
        <v>20</v>
      </c>
      <c r="I27" s="28" t="s">
        <v>21</v>
      </c>
      <c r="J27" s="30">
        <f t="shared" si="0"/>
        <v>0</v>
      </c>
      <c r="K27" s="31"/>
      <c r="L27" s="31">
        <f>+Table134[[#This Row],[Total]]</f>
        <v>27444</v>
      </c>
      <c r="M27" s="31">
        <f>+Table134[[#This Row],[Total Personnel]]+Table134[[#This Row],[Total Non-personnel]]</f>
        <v>27444</v>
      </c>
      <c r="N27" s="31"/>
      <c r="O27" s="31"/>
      <c r="P27" s="31"/>
      <c r="Q27" s="31">
        <f t="shared" si="1"/>
        <v>27444</v>
      </c>
      <c r="R27" s="32">
        <v>4411</v>
      </c>
      <c r="S27" s="64" t="s">
        <v>51</v>
      </c>
      <c r="T27" s="33"/>
      <c r="U27" s="69" t="s">
        <v>78</v>
      </c>
      <c r="V27" s="65"/>
      <c r="W27" s="35" t="str">
        <f>IF(Table134[[#This Row],[Total Funds]]=SUM(Table134[[#This Row],[Total Personnel]:[Total Non-personnel]]),"","Check")</f>
        <v/>
      </c>
      <c r="X27" s="122">
        <v>18288</v>
      </c>
      <c r="Y27" s="122">
        <v>9156</v>
      </c>
      <c r="Z27" s="122">
        <f>+Table134[[#This Row],[CAS]]+Table134[[#This Row],[EIS]]</f>
        <v>27444</v>
      </c>
    </row>
    <row r="28" spans="1:26" x14ac:dyDescent="0.2">
      <c r="A28" s="25">
        <v>2</v>
      </c>
      <c r="B28" s="26">
        <v>1</v>
      </c>
      <c r="C28" s="27" t="s">
        <v>43</v>
      </c>
      <c r="D28" s="28"/>
      <c r="E28" s="29"/>
      <c r="F28" s="28"/>
      <c r="G28" s="28"/>
      <c r="H28" s="28" t="s">
        <v>20</v>
      </c>
      <c r="I28" s="28" t="s">
        <v>21</v>
      </c>
      <c r="J28" s="30">
        <f t="shared" si="0"/>
        <v>0</v>
      </c>
      <c r="K28" s="31"/>
      <c r="L28" s="31">
        <f>+Table134[[#This Row],[Total]]</f>
        <v>54732</v>
      </c>
      <c r="M28" s="31">
        <f>+Table134[[#This Row],[Total Personnel]]+Table134[[#This Row],[Total Non-personnel]]</f>
        <v>54732</v>
      </c>
      <c r="N28" s="31"/>
      <c r="O28" s="31"/>
      <c r="P28" s="31"/>
      <c r="Q28" s="31">
        <f t="shared" si="1"/>
        <v>54732</v>
      </c>
      <c r="R28" s="32">
        <v>5611</v>
      </c>
      <c r="S28" s="64" t="s">
        <v>52</v>
      </c>
      <c r="T28" s="33"/>
      <c r="U28" s="73" t="s">
        <v>97</v>
      </c>
      <c r="V28" s="34"/>
      <c r="W28" s="35" t="str">
        <f>IF(Table134[[#This Row],[Total Funds]]=SUM(Table134[[#This Row],[Total Personnel]:[Total Non-personnel]]),"","Check")</f>
        <v/>
      </c>
      <c r="X28" s="122">
        <v>0</v>
      </c>
      <c r="Y28" s="122">
        <f>218928*0.25</f>
        <v>54732</v>
      </c>
      <c r="Z28" s="122">
        <f>+Table134[[#This Row],[CAS]]+Table134[[#This Row],[EIS]]</f>
        <v>54732</v>
      </c>
    </row>
    <row r="29" spans="1:26" ht="15.75" thickBot="1" x14ac:dyDescent="0.25">
      <c r="A29" s="36">
        <v>2</v>
      </c>
      <c r="B29" s="37">
        <v>1</v>
      </c>
      <c r="C29" s="38" t="s">
        <v>43</v>
      </c>
      <c r="D29" s="39"/>
      <c r="E29" s="46"/>
      <c r="F29" s="39"/>
      <c r="G29" s="39"/>
      <c r="H29" s="39" t="s">
        <v>20</v>
      </c>
      <c r="I29" s="39" t="s">
        <v>21</v>
      </c>
      <c r="J29" s="40">
        <f t="shared" si="0"/>
        <v>0</v>
      </c>
      <c r="K29" s="41"/>
      <c r="L29" s="41">
        <f>+Table134[[#This Row],[Total]]</f>
        <v>31200</v>
      </c>
      <c r="M29" s="41">
        <f>+Table134[[#This Row],[Total Personnel]]+Table134[[#This Row],[Total Non-personnel]]</f>
        <v>31200</v>
      </c>
      <c r="N29" s="41"/>
      <c r="O29" s="41"/>
      <c r="P29" s="41"/>
      <c r="Q29" s="41">
        <f t="shared" si="1"/>
        <v>31200</v>
      </c>
      <c r="R29" s="42">
        <v>4351</v>
      </c>
      <c r="S29" s="48" t="s">
        <v>53</v>
      </c>
      <c r="T29" s="43"/>
      <c r="U29" s="70" t="s">
        <v>78</v>
      </c>
      <c r="V29" s="67"/>
      <c r="W29" s="45" t="str">
        <f>IF(Table134[[#This Row],[Total Funds]]=SUM(Table134[[#This Row],[Total Personnel]:[Total Non-personnel]]),"","Check")</f>
        <v/>
      </c>
      <c r="X29" s="122">
        <v>19200</v>
      </c>
      <c r="Y29" s="122">
        <v>12000</v>
      </c>
      <c r="Z29" s="122">
        <f>+Table134[[#This Row],[CAS]]+Table134[[#This Row],[EIS]]</f>
        <v>31200</v>
      </c>
    </row>
    <row r="30" spans="1:26" ht="45" x14ac:dyDescent="0.2">
      <c r="A30" s="14">
        <v>2</v>
      </c>
      <c r="B30" s="15">
        <v>2</v>
      </c>
      <c r="C30" s="16" t="s">
        <v>54</v>
      </c>
      <c r="D30" s="17"/>
      <c r="E30" s="18"/>
      <c r="F30" s="17"/>
      <c r="G30" s="17"/>
      <c r="H30" s="17" t="s">
        <v>20</v>
      </c>
      <c r="I30" s="17" t="s">
        <v>21</v>
      </c>
      <c r="J30" s="19">
        <f t="shared" si="0"/>
        <v>1</v>
      </c>
      <c r="K30" s="20">
        <f>+Table134[[#This Row],[Total]]</f>
        <v>122130</v>
      </c>
      <c r="L30" s="20"/>
      <c r="M30" s="20">
        <f>+Table134[[#This Row],[Total Personnel]]+Table134[[#This Row],[Total Non-personnel]]</f>
        <v>122130</v>
      </c>
      <c r="N30" s="20"/>
      <c r="O30" s="20"/>
      <c r="P30" s="20"/>
      <c r="Q30" s="20">
        <f t="shared" si="1"/>
        <v>122130</v>
      </c>
      <c r="R30" s="21">
        <v>1110</v>
      </c>
      <c r="S30" s="47" t="s">
        <v>55</v>
      </c>
      <c r="T30" s="22"/>
      <c r="U30" s="91" t="s">
        <v>145</v>
      </c>
      <c r="V30" s="68"/>
      <c r="W30" s="24" t="str">
        <f>IF(Table134[[#This Row],[Total Funds]]=SUM(Table134[[#This Row],[Total Personnel]:[Total Non-personnel]]),"","Check")</f>
        <v/>
      </c>
      <c r="X30" s="122">
        <v>59856</v>
      </c>
      <c r="Y30" s="122">
        <v>62274</v>
      </c>
      <c r="Z30" s="122">
        <f>+Table134[[#This Row],[CAS]]+Table134[[#This Row],[EIS]]</f>
        <v>122130</v>
      </c>
    </row>
    <row r="31" spans="1:26" ht="45" x14ac:dyDescent="0.2">
      <c r="A31" s="25">
        <v>2</v>
      </c>
      <c r="B31" s="26">
        <v>2</v>
      </c>
      <c r="C31" s="27" t="s">
        <v>54</v>
      </c>
      <c r="D31" s="28"/>
      <c r="E31" s="29"/>
      <c r="F31" s="28"/>
      <c r="G31" s="28"/>
      <c r="H31" s="28" t="s">
        <v>20</v>
      </c>
      <c r="I31" s="28" t="s">
        <v>21</v>
      </c>
      <c r="J31" s="30">
        <f t="shared" si="0"/>
        <v>1</v>
      </c>
      <c r="K31" s="31">
        <f>+Table134[[#This Row],[Total]]</f>
        <v>30532.5</v>
      </c>
      <c r="L31" s="31"/>
      <c r="M31" s="31">
        <f>+Table134[[#This Row],[Total Personnel]]+Table134[[#This Row],[Total Non-personnel]]</f>
        <v>30532.5</v>
      </c>
      <c r="N31" s="31"/>
      <c r="O31" s="31"/>
      <c r="P31" s="31"/>
      <c r="Q31" s="31">
        <f t="shared" si="1"/>
        <v>30532.5</v>
      </c>
      <c r="R31" s="32">
        <v>3000</v>
      </c>
      <c r="S31" s="64" t="s">
        <v>56</v>
      </c>
      <c r="T31" s="33"/>
      <c r="U31" s="64"/>
      <c r="V31" s="65"/>
      <c r="W31" s="35" t="str">
        <f>IF(Table134[[#This Row],[Total Funds]]=SUM(Table134[[#This Row],[Total Personnel]:[Total Non-personnel]]),"","Check")</f>
        <v/>
      </c>
      <c r="X31" s="122">
        <f>+X30*0.25</f>
        <v>14964</v>
      </c>
      <c r="Y31" s="122">
        <f>+Y30*0.25</f>
        <v>15568.5</v>
      </c>
      <c r="Z31" s="122">
        <f>+Table134[[#This Row],[CAS]]+Table134[[#This Row],[EIS]]</f>
        <v>30532.5</v>
      </c>
    </row>
    <row r="32" spans="1:26" ht="45" x14ac:dyDescent="0.2">
      <c r="A32" s="25">
        <v>2</v>
      </c>
      <c r="B32" s="26">
        <v>2</v>
      </c>
      <c r="C32" s="27" t="s">
        <v>54</v>
      </c>
      <c r="D32" s="28"/>
      <c r="E32" s="29"/>
      <c r="F32" s="28"/>
      <c r="G32" s="28"/>
      <c r="H32" s="28"/>
      <c r="I32" s="28"/>
      <c r="J32" s="30">
        <f t="shared" si="0"/>
        <v>0</v>
      </c>
      <c r="K32" s="31"/>
      <c r="L32" s="71">
        <f>+Table134[[#This Row],[Total]]</f>
        <v>1167217.27</v>
      </c>
      <c r="M32" s="31">
        <f>+Table134[[#This Row],[Total Personnel]]+Table134[[#This Row],[Total Non-personnel]]</f>
        <v>1167217.27</v>
      </c>
      <c r="N32" s="31"/>
      <c r="O32" s="31"/>
      <c r="P32" s="31"/>
      <c r="Q32" s="31">
        <f t="shared" si="1"/>
        <v>1167217.27</v>
      </c>
      <c r="R32" s="32">
        <v>5881</v>
      </c>
      <c r="S32" s="64" t="s">
        <v>57</v>
      </c>
      <c r="T32" s="33"/>
      <c r="U32" s="64" t="s">
        <v>78</v>
      </c>
      <c r="V32" s="65"/>
      <c r="W32" s="35" t="str">
        <f>IF(Table134[[#This Row],[Total Funds]]=SUM(Table134[[#This Row],[Total Personnel]:[Total Non-personnel]]),"","Check")</f>
        <v/>
      </c>
      <c r="X32" s="122">
        <v>750432.89</v>
      </c>
      <c r="Y32" s="122">
        <v>416784.38</v>
      </c>
      <c r="Z32" s="122">
        <f>+Table134[[#This Row],[CAS]]+Table134[[#This Row],[EIS]]</f>
        <v>1167217.27</v>
      </c>
    </row>
    <row r="33" spans="1:26" ht="45" x14ac:dyDescent="0.2">
      <c r="A33" s="25">
        <v>2</v>
      </c>
      <c r="B33" s="26">
        <v>2</v>
      </c>
      <c r="C33" s="27" t="s">
        <v>54</v>
      </c>
      <c r="D33" s="28"/>
      <c r="E33" s="29"/>
      <c r="F33" s="28"/>
      <c r="G33" s="28"/>
      <c r="H33" s="28"/>
      <c r="I33" s="28"/>
      <c r="J33" s="30" t="str">
        <f t="shared" si="0"/>
        <v/>
      </c>
      <c r="K33" s="31"/>
      <c r="L33" s="71">
        <f>+Table134[[#This Row],[Total]]</f>
        <v>0</v>
      </c>
      <c r="M33" s="31">
        <f>+Table134[[#This Row],[Total Personnel]]+Table134[[#This Row],[Total Non-personnel]]</f>
        <v>0</v>
      </c>
      <c r="N33" s="31"/>
      <c r="O33" s="31"/>
      <c r="P33" s="31"/>
      <c r="Q33" s="31">
        <f t="shared" si="1"/>
        <v>0</v>
      </c>
      <c r="R33" s="32">
        <v>4211</v>
      </c>
      <c r="S33" s="64" t="s">
        <v>58</v>
      </c>
      <c r="T33" s="33"/>
      <c r="U33" s="64" t="s">
        <v>63</v>
      </c>
      <c r="V33" s="65"/>
      <c r="W33" s="35" t="str">
        <f>IF(Table134[[#This Row],[Total Funds]]=SUM(Table134[[#This Row],[Total Personnel]:[Total Non-personnel]]),"","Check")</f>
        <v/>
      </c>
      <c r="X33" s="122"/>
      <c r="Y33" s="122"/>
      <c r="Z33" s="122">
        <f>+Table134[[#This Row],[CAS]]+Table134[[#This Row],[EIS]]</f>
        <v>0</v>
      </c>
    </row>
    <row r="34" spans="1:26" ht="60" x14ac:dyDescent="0.2">
      <c r="A34" s="25">
        <v>2</v>
      </c>
      <c r="B34" s="26">
        <v>2</v>
      </c>
      <c r="C34" s="27" t="s">
        <v>54</v>
      </c>
      <c r="D34" s="28"/>
      <c r="E34" s="29"/>
      <c r="F34" s="28"/>
      <c r="G34" s="28"/>
      <c r="H34" s="28"/>
      <c r="I34" s="28"/>
      <c r="J34" s="30" t="str">
        <f t="shared" si="0"/>
        <v/>
      </c>
      <c r="K34" s="31"/>
      <c r="L34" s="71">
        <f>+Table134[[#This Row],[Total]]</f>
        <v>0</v>
      </c>
      <c r="M34" s="31">
        <f>+Table134[[#This Row],[Total Personnel]]+Table134[[#This Row],[Total Non-personnel]]</f>
        <v>0</v>
      </c>
      <c r="N34" s="31"/>
      <c r="O34" s="31"/>
      <c r="P34" s="31"/>
      <c r="Q34" s="31">
        <f t="shared" si="1"/>
        <v>0</v>
      </c>
      <c r="R34" s="32">
        <v>5861</v>
      </c>
      <c r="S34" s="64" t="s">
        <v>59</v>
      </c>
      <c r="T34" s="33"/>
      <c r="U34" s="64" t="s">
        <v>64</v>
      </c>
      <c r="V34" s="65"/>
      <c r="W34" s="35" t="str">
        <f>IF(Table134[[#This Row],[Total Funds]]=SUM(Table134[[#This Row],[Total Personnel]:[Total Non-personnel]]),"","Check")</f>
        <v/>
      </c>
      <c r="X34" s="122"/>
      <c r="Y34" s="122"/>
      <c r="Z34" s="122">
        <f>+Table134[[#This Row],[CAS]]+Table134[[#This Row],[EIS]]</f>
        <v>0</v>
      </c>
    </row>
    <row r="35" spans="1:26" ht="45" x14ac:dyDescent="0.2">
      <c r="A35" s="25">
        <v>2</v>
      </c>
      <c r="B35" s="26">
        <v>2</v>
      </c>
      <c r="C35" s="27" t="s">
        <v>54</v>
      </c>
      <c r="D35" s="28"/>
      <c r="E35" s="29"/>
      <c r="F35" s="28"/>
      <c r="G35" s="28"/>
      <c r="H35" s="28"/>
      <c r="I35" s="28"/>
      <c r="J35" s="30" t="str">
        <f t="shared" si="0"/>
        <v/>
      </c>
      <c r="K35" s="31"/>
      <c r="L35" s="71">
        <f>+Table134[[#This Row],[Total]]</f>
        <v>0</v>
      </c>
      <c r="M35" s="31">
        <f>+Table134[[#This Row],[Total Personnel]]+Table134[[#This Row],[Total Non-personnel]]</f>
        <v>0</v>
      </c>
      <c r="N35" s="31"/>
      <c r="O35" s="31"/>
      <c r="P35" s="31"/>
      <c r="Q35" s="31">
        <f t="shared" si="1"/>
        <v>0</v>
      </c>
      <c r="R35" s="32">
        <v>5859</v>
      </c>
      <c r="S35" s="64" t="s">
        <v>60</v>
      </c>
      <c r="T35" s="33"/>
      <c r="U35" s="64" t="s">
        <v>187</v>
      </c>
      <c r="V35" s="65"/>
      <c r="W35" s="35" t="str">
        <f>IF(Table134[[#This Row],[Total Funds]]=SUM(Table134[[#This Row],[Total Personnel]:[Total Non-personnel]]),"","Check")</f>
        <v/>
      </c>
      <c r="X35" s="122"/>
      <c r="Y35" s="122"/>
      <c r="Z35" s="122">
        <f>+Table134[[#This Row],[CAS]]+Table134[[#This Row],[EIS]]</f>
        <v>0</v>
      </c>
    </row>
    <row r="36" spans="1:26" ht="45" x14ac:dyDescent="0.2">
      <c r="A36" s="25">
        <v>2</v>
      </c>
      <c r="B36" s="26">
        <v>2</v>
      </c>
      <c r="C36" s="27" t="s">
        <v>54</v>
      </c>
      <c r="D36" s="28"/>
      <c r="E36" s="29"/>
      <c r="F36" s="28"/>
      <c r="G36" s="28"/>
      <c r="H36" s="28"/>
      <c r="I36" s="28"/>
      <c r="J36" s="30">
        <f t="shared" si="0"/>
        <v>1</v>
      </c>
      <c r="K36" s="31">
        <f>+Table134[[#This Row],[Total]]</f>
        <v>128835</v>
      </c>
      <c r="L36" s="31"/>
      <c r="M36" s="31">
        <f>+Table134[[#This Row],[Total Personnel]]+Table134[[#This Row],[Total Non-personnel]]</f>
        <v>128835</v>
      </c>
      <c r="N36" s="31"/>
      <c r="O36" s="31"/>
      <c r="P36" s="31"/>
      <c r="Q36" s="31">
        <f t="shared" si="1"/>
        <v>128835</v>
      </c>
      <c r="R36" s="32">
        <v>2400</v>
      </c>
      <c r="S36" s="64" t="s">
        <v>61</v>
      </c>
      <c r="T36" s="33"/>
      <c r="U36" s="64" t="s">
        <v>81</v>
      </c>
      <c r="V36" s="65"/>
      <c r="W36" s="35" t="str">
        <f>IF(Table134[[#This Row],[Total Funds]]=SUM(Table134[[#This Row],[Total Personnel]:[Total Non-personnel]]),"","Check")</f>
        <v/>
      </c>
      <c r="X36" s="122">
        <v>66435</v>
      </c>
      <c r="Y36" s="122">
        <v>62400</v>
      </c>
      <c r="Z36" s="122">
        <f>+Table134[[#This Row],[CAS]]+Table134[[#This Row],[EIS]]</f>
        <v>128835</v>
      </c>
    </row>
    <row r="37" spans="1:26" ht="45.75" thickBot="1" x14ac:dyDescent="0.25">
      <c r="A37" s="36">
        <v>2</v>
      </c>
      <c r="B37" s="37">
        <v>2</v>
      </c>
      <c r="C37" s="38" t="s">
        <v>54</v>
      </c>
      <c r="D37" s="39"/>
      <c r="E37" s="46"/>
      <c r="F37" s="39"/>
      <c r="G37" s="39"/>
      <c r="H37" s="39"/>
      <c r="I37" s="39"/>
      <c r="J37" s="40">
        <f t="shared" si="0"/>
        <v>1</v>
      </c>
      <c r="K37" s="41">
        <f>+Table134[[#This Row],[Total]]</f>
        <v>32208.75</v>
      </c>
      <c r="L37" s="41"/>
      <c r="M37" s="41">
        <f>+Table134[[#This Row],[Total Personnel]]+Table134[[#This Row],[Total Non-personnel]]</f>
        <v>32208.75</v>
      </c>
      <c r="N37" s="41"/>
      <c r="O37" s="41"/>
      <c r="P37" s="41"/>
      <c r="Q37" s="41">
        <f t="shared" si="1"/>
        <v>32208.75</v>
      </c>
      <c r="R37" s="42">
        <v>3000</v>
      </c>
      <c r="S37" s="48" t="s">
        <v>62</v>
      </c>
      <c r="T37" s="43"/>
      <c r="U37" s="48" t="s">
        <v>81</v>
      </c>
      <c r="V37" s="67"/>
      <c r="W37" s="45" t="str">
        <f>IF(Table134[[#This Row],[Total Funds]]=SUM(Table134[[#This Row],[Total Personnel]:[Total Non-personnel]]),"","Check")</f>
        <v/>
      </c>
      <c r="X37" s="122">
        <f>+X36*0.25</f>
        <v>16608.75</v>
      </c>
      <c r="Y37" s="122">
        <f>+Y36*0.25</f>
        <v>15600</v>
      </c>
      <c r="Z37" s="122">
        <f>+Table134[[#This Row],[CAS]]+Table134[[#This Row],[EIS]]</f>
        <v>32208.75</v>
      </c>
    </row>
    <row r="38" spans="1:26" ht="60" x14ac:dyDescent="0.2">
      <c r="A38" s="14">
        <v>3</v>
      </c>
      <c r="B38" s="15">
        <v>1</v>
      </c>
      <c r="C38" s="16" t="s">
        <v>66</v>
      </c>
      <c r="D38" s="17"/>
      <c r="E38" s="18"/>
      <c r="F38" s="17"/>
      <c r="G38" s="17"/>
      <c r="H38" s="17"/>
      <c r="I38" s="17"/>
      <c r="J38" s="19">
        <f t="shared" si="0"/>
        <v>1</v>
      </c>
      <c r="K38" s="20">
        <f>+Table134[[#This Row],[Total]]</f>
        <v>57857</v>
      </c>
      <c r="L38" s="20"/>
      <c r="M38" s="20">
        <f>+Table134[[#This Row],[Total Personnel]]+Table134[[#This Row],[Total Non-personnel]]</f>
        <v>57857</v>
      </c>
      <c r="N38" s="20"/>
      <c r="O38" s="20"/>
      <c r="P38" s="20"/>
      <c r="Q38" s="20">
        <f t="shared" si="1"/>
        <v>57857</v>
      </c>
      <c r="R38" s="21">
        <v>2900</v>
      </c>
      <c r="S38" s="47" t="s">
        <v>89</v>
      </c>
      <c r="T38" s="22"/>
      <c r="U38" s="21"/>
      <c r="V38" s="23"/>
      <c r="W38" s="24" t="str">
        <f>IF(Table134[[#This Row],[Total Funds]]=SUM(Table134[[#This Row],[Total Personnel]:[Total Non-personnel]]),"","Check")</f>
        <v/>
      </c>
      <c r="X38" s="122">
        <v>57857</v>
      </c>
      <c r="Y38" s="122">
        <v>0</v>
      </c>
      <c r="Z38" s="122">
        <f>+Table134[[#This Row],[CAS]]+Table134[[#This Row],[EIS]]</f>
        <v>57857</v>
      </c>
    </row>
    <row r="39" spans="1:26" ht="60" x14ac:dyDescent="0.2">
      <c r="A39" s="25">
        <v>3</v>
      </c>
      <c r="B39" s="26">
        <v>1</v>
      </c>
      <c r="C39" s="27" t="s">
        <v>66</v>
      </c>
      <c r="D39" s="28"/>
      <c r="E39" s="29"/>
      <c r="F39" s="28"/>
      <c r="G39" s="28"/>
      <c r="H39" s="28"/>
      <c r="I39" s="28"/>
      <c r="J39" s="30">
        <f t="shared" si="0"/>
        <v>1</v>
      </c>
      <c r="K39" s="31">
        <f>+Table134[[#This Row],[Total]]</f>
        <v>14464.25</v>
      </c>
      <c r="L39" s="31"/>
      <c r="M39" s="31">
        <f>+Table134[[#This Row],[Total Personnel]]+Table134[[#This Row],[Total Non-personnel]]</f>
        <v>14464.25</v>
      </c>
      <c r="N39" s="31"/>
      <c r="O39" s="31"/>
      <c r="P39" s="31"/>
      <c r="Q39" s="31">
        <f t="shared" si="1"/>
        <v>14464.25</v>
      </c>
      <c r="R39" s="32">
        <v>3000</v>
      </c>
      <c r="S39" s="64" t="s">
        <v>90</v>
      </c>
      <c r="T39" s="33"/>
      <c r="U39" s="32"/>
      <c r="V39" s="34"/>
      <c r="W39" s="35" t="str">
        <f>IF(Table134[[#This Row],[Total Funds]]=SUM(Table134[[#This Row],[Total Personnel]:[Total Non-personnel]]),"","Check")</f>
        <v/>
      </c>
      <c r="X39" s="122">
        <f>+X38*0.25</f>
        <v>14464.25</v>
      </c>
      <c r="Y39" s="122">
        <v>0</v>
      </c>
      <c r="Z39" s="122">
        <f>+Table134[[#This Row],[CAS]]+Table134[[#This Row],[EIS]]</f>
        <v>14464.25</v>
      </c>
    </row>
    <row r="40" spans="1:26" ht="60" x14ac:dyDescent="0.2">
      <c r="A40" s="25">
        <v>3</v>
      </c>
      <c r="B40" s="26">
        <v>1</v>
      </c>
      <c r="C40" s="27" t="s">
        <v>66</v>
      </c>
      <c r="D40" s="28"/>
      <c r="E40" s="29"/>
      <c r="F40" s="28"/>
      <c r="G40" s="28"/>
      <c r="H40" s="28"/>
      <c r="I40" s="28"/>
      <c r="J40" s="30">
        <f t="shared" si="0"/>
        <v>1</v>
      </c>
      <c r="K40" s="71">
        <f>+Table134[[#This Row],[Total]]</f>
        <v>75690</v>
      </c>
      <c r="L40" s="31"/>
      <c r="M40" s="31">
        <f>+Table134[[#This Row],[Total Personnel]]+Table134[[#This Row],[Total Non-personnel]]</f>
        <v>75690</v>
      </c>
      <c r="N40" s="31"/>
      <c r="O40" s="31"/>
      <c r="P40" s="31"/>
      <c r="Q40" s="31">
        <f t="shared" si="1"/>
        <v>75690</v>
      </c>
      <c r="R40" s="32">
        <v>2400</v>
      </c>
      <c r="S40" s="64" t="s">
        <v>67</v>
      </c>
      <c r="T40" s="33"/>
      <c r="U40" s="64" t="s">
        <v>82</v>
      </c>
      <c r="V40" s="65"/>
      <c r="W40" s="35" t="str">
        <f>IF(Table134[[#This Row],[Total Funds]]=SUM(Table134[[#This Row],[Total Personnel]:[Total Non-personnel]]),"","Check")</f>
        <v/>
      </c>
      <c r="X40" s="122">
        <v>38628</v>
      </c>
      <c r="Y40" s="122">
        <v>37062</v>
      </c>
      <c r="Z40" s="122">
        <f>+Table134[[#This Row],[CAS]]+Table134[[#This Row],[EIS]]</f>
        <v>75690</v>
      </c>
    </row>
    <row r="41" spans="1:26" ht="60" x14ac:dyDescent="0.2">
      <c r="A41" s="25">
        <v>3</v>
      </c>
      <c r="B41" s="26">
        <v>1</v>
      </c>
      <c r="C41" s="27" t="s">
        <v>66</v>
      </c>
      <c r="D41" s="28"/>
      <c r="E41" s="29"/>
      <c r="F41" s="28"/>
      <c r="G41" s="28"/>
      <c r="H41" s="28"/>
      <c r="I41" s="28"/>
      <c r="J41" s="30">
        <f t="shared" si="0"/>
        <v>1</v>
      </c>
      <c r="K41" s="71">
        <f>+Table134[[#This Row],[Total]]</f>
        <v>18922.5</v>
      </c>
      <c r="L41" s="31"/>
      <c r="M41" s="31">
        <f>+Table134[[#This Row],[Total Personnel]]+Table134[[#This Row],[Total Non-personnel]]</f>
        <v>18922.5</v>
      </c>
      <c r="N41" s="31"/>
      <c r="O41" s="31"/>
      <c r="P41" s="31"/>
      <c r="Q41" s="31">
        <f t="shared" si="1"/>
        <v>18922.5</v>
      </c>
      <c r="R41" s="32">
        <v>3000</v>
      </c>
      <c r="S41" s="64" t="s">
        <v>68</v>
      </c>
      <c r="T41" s="33"/>
      <c r="U41" s="64" t="s">
        <v>82</v>
      </c>
      <c r="V41" s="65"/>
      <c r="W41" s="35" t="str">
        <f>IF(Table134[[#This Row],[Total Funds]]=SUM(Table134[[#This Row],[Total Personnel]:[Total Non-personnel]]),"","Check")</f>
        <v/>
      </c>
      <c r="X41" s="122">
        <f>+X40*0.25</f>
        <v>9657</v>
      </c>
      <c r="Y41" s="122">
        <f>+Y40*0.25</f>
        <v>9265.5</v>
      </c>
      <c r="Z41" s="122">
        <f>+Table134[[#This Row],[CAS]]+Table134[[#This Row],[EIS]]</f>
        <v>18922.5</v>
      </c>
    </row>
    <row r="42" spans="1:26" ht="90" x14ac:dyDescent="0.2">
      <c r="A42" s="25">
        <v>3</v>
      </c>
      <c r="B42" s="26">
        <v>1</v>
      </c>
      <c r="C42" s="27" t="s">
        <v>66</v>
      </c>
      <c r="D42" s="28"/>
      <c r="E42" s="29"/>
      <c r="F42" s="28"/>
      <c r="G42" s="28"/>
      <c r="H42" s="28"/>
      <c r="I42" s="28"/>
      <c r="J42" s="30">
        <f t="shared" si="0"/>
        <v>1</v>
      </c>
      <c r="K42" s="71">
        <f>+Table134[[#This Row],[Total]]</f>
        <v>96048</v>
      </c>
      <c r="L42" s="31"/>
      <c r="M42" s="31">
        <f>+Table134[[#This Row],[Total Personnel]]+Table134[[#This Row],[Total Non-personnel]]</f>
        <v>96048</v>
      </c>
      <c r="N42" s="31"/>
      <c r="O42" s="31"/>
      <c r="P42" s="31"/>
      <c r="Q42" s="31">
        <f t="shared" si="1"/>
        <v>96048</v>
      </c>
      <c r="R42" s="32">
        <v>2400</v>
      </c>
      <c r="S42" s="64" t="s">
        <v>69</v>
      </c>
      <c r="T42" s="33"/>
      <c r="U42" s="64" t="s">
        <v>83</v>
      </c>
      <c r="V42" s="65"/>
      <c r="W42" s="35" t="str">
        <f>IF(Table134[[#This Row],[Total Funds]]=SUM(Table134[[#This Row],[Total Personnel]:[Total Non-personnel]]),"","Check")</f>
        <v/>
      </c>
      <c r="X42" s="122">
        <f>34452+36540</f>
        <v>70992</v>
      </c>
      <c r="Y42" s="122">
        <v>25056</v>
      </c>
      <c r="Z42" s="122">
        <f>+Table134[[#This Row],[CAS]]+Table134[[#This Row],[EIS]]</f>
        <v>96048</v>
      </c>
    </row>
    <row r="43" spans="1:26" ht="90.75" thickBot="1" x14ac:dyDescent="0.25">
      <c r="A43" s="36">
        <v>3</v>
      </c>
      <c r="B43" s="37">
        <v>1</v>
      </c>
      <c r="C43" s="38" t="s">
        <v>66</v>
      </c>
      <c r="D43" s="39"/>
      <c r="E43" s="46"/>
      <c r="F43" s="39"/>
      <c r="G43" s="39"/>
      <c r="H43" s="39"/>
      <c r="I43" s="39"/>
      <c r="J43" s="40">
        <f t="shared" si="0"/>
        <v>1</v>
      </c>
      <c r="K43" s="72">
        <f>+Table134[[#This Row],[Total]]</f>
        <v>24012</v>
      </c>
      <c r="L43" s="41"/>
      <c r="M43" s="41">
        <f>+Table134[[#This Row],[Total Personnel]]+Table134[[#This Row],[Total Non-personnel]]</f>
        <v>24012</v>
      </c>
      <c r="N43" s="41"/>
      <c r="O43" s="41"/>
      <c r="P43" s="41"/>
      <c r="Q43" s="41">
        <f t="shared" si="1"/>
        <v>24012</v>
      </c>
      <c r="R43" s="42">
        <v>3000</v>
      </c>
      <c r="S43" s="48" t="s">
        <v>70</v>
      </c>
      <c r="T43" s="43"/>
      <c r="U43" s="48" t="s">
        <v>83</v>
      </c>
      <c r="V43" s="67"/>
      <c r="W43" s="45" t="str">
        <f>IF(Table134[[#This Row],[Total Funds]]=SUM(Table134[[#This Row],[Total Personnel]:[Total Non-personnel]]),"","Check")</f>
        <v/>
      </c>
      <c r="X43" s="122">
        <f>+X42*0.25</f>
        <v>17748</v>
      </c>
      <c r="Y43" s="122">
        <f>+Y42*0.25</f>
        <v>6264</v>
      </c>
      <c r="Z43" s="122">
        <f>+Table134[[#This Row],[CAS]]+Table134[[#This Row],[EIS]]</f>
        <v>24012</v>
      </c>
    </row>
    <row r="44" spans="1:26" ht="60" x14ac:dyDescent="0.2">
      <c r="A44" s="14">
        <v>3</v>
      </c>
      <c r="B44" s="15">
        <v>2</v>
      </c>
      <c r="C44" s="16" t="s">
        <v>71</v>
      </c>
      <c r="D44" s="17"/>
      <c r="E44" s="18"/>
      <c r="F44" s="17"/>
      <c r="G44" s="17"/>
      <c r="H44" s="17"/>
      <c r="I44" s="17"/>
      <c r="J44" s="19">
        <f t="shared" si="0"/>
        <v>1</v>
      </c>
      <c r="K44" s="20">
        <f>+Table134[[#This Row],[Total]]</f>
        <v>183868</v>
      </c>
      <c r="L44" s="20"/>
      <c r="M44" s="20">
        <f>+Table134[[#This Row],[Total Personnel]]+Table134[[#This Row],[Total Non-personnel]]</f>
        <v>183868</v>
      </c>
      <c r="N44" s="20"/>
      <c r="O44" s="20"/>
      <c r="P44" s="20"/>
      <c r="Q44" s="20">
        <f t="shared" si="1"/>
        <v>183868</v>
      </c>
      <c r="R44" s="21">
        <v>2900</v>
      </c>
      <c r="S44" s="47" t="s">
        <v>72</v>
      </c>
      <c r="T44" s="22"/>
      <c r="U44" s="21"/>
      <c r="V44" s="23"/>
      <c r="W44" s="24" t="str">
        <f>IF(Table134[[#This Row],[Total Funds]]=SUM(Table134[[#This Row],[Total Personnel]:[Total Non-personnel]]),"","Check")</f>
        <v/>
      </c>
      <c r="X44" s="122">
        <f>18038+17760+17205+25160+17760</f>
        <v>95923</v>
      </c>
      <c r="Y44" s="122">
        <f>17483+35496+17483+17483</f>
        <v>87945</v>
      </c>
      <c r="Z44" s="122">
        <f>+Table134[[#This Row],[CAS]]+Table134[[#This Row],[EIS]]</f>
        <v>183868</v>
      </c>
    </row>
    <row r="45" spans="1:26" ht="60" x14ac:dyDescent="0.2">
      <c r="A45" s="25">
        <v>3</v>
      </c>
      <c r="B45" s="26">
        <v>2</v>
      </c>
      <c r="C45" s="27" t="s">
        <v>71</v>
      </c>
      <c r="D45" s="28"/>
      <c r="E45" s="29"/>
      <c r="F45" s="28"/>
      <c r="G45" s="28"/>
      <c r="H45" s="28"/>
      <c r="I45" s="28"/>
      <c r="J45" s="30">
        <f t="shared" si="0"/>
        <v>1</v>
      </c>
      <c r="K45" s="31">
        <f>+Table134[[#This Row],[Total]]</f>
        <v>45967</v>
      </c>
      <c r="L45" s="31"/>
      <c r="M45" s="31">
        <f>+Table134[[#This Row],[Total Personnel]]+Table134[[#This Row],[Total Non-personnel]]</f>
        <v>45967</v>
      </c>
      <c r="N45" s="31"/>
      <c r="O45" s="31"/>
      <c r="P45" s="31"/>
      <c r="Q45" s="31">
        <f t="shared" si="1"/>
        <v>45967</v>
      </c>
      <c r="R45" s="32">
        <v>3000</v>
      </c>
      <c r="S45" s="64" t="s">
        <v>73</v>
      </c>
      <c r="T45" s="33"/>
      <c r="U45" s="32"/>
      <c r="V45" s="34"/>
      <c r="W45" s="35" t="str">
        <f>IF(Table134[[#This Row],[Total Funds]]=SUM(Table134[[#This Row],[Total Personnel]:[Total Non-personnel]]),"","Check")</f>
        <v/>
      </c>
      <c r="X45" s="122">
        <f>+X44*0.25</f>
        <v>23980.75</v>
      </c>
      <c r="Y45" s="122">
        <f>+Y44*0.25</f>
        <v>21986.25</v>
      </c>
      <c r="Z45" s="122">
        <f>+Table134[[#This Row],[CAS]]+Table134[[#This Row],[EIS]]</f>
        <v>45967</v>
      </c>
    </row>
    <row r="46" spans="1:26" ht="60" x14ac:dyDescent="0.2">
      <c r="A46" s="25">
        <v>3</v>
      </c>
      <c r="B46" s="26">
        <v>2</v>
      </c>
      <c r="C46" s="27" t="s">
        <v>71</v>
      </c>
      <c r="D46" s="28"/>
      <c r="E46" s="29"/>
      <c r="F46" s="28"/>
      <c r="G46" s="28"/>
      <c r="H46" s="28"/>
      <c r="I46" s="28"/>
      <c r="J46" s="30">
        <f t="shared" si="0"/>
        <v>0</v>
      </c>
      <c r="K46" s="31"/>
      <c r="L46" s="31">
        <f>+Table134[[#This Row],[Total]]</f>
        <v>177559</v>
      </c>
      <c r="M46" s="63"/>
      <c r="N46" s="31">
        <f>+Table134[[#This Row],[Total Personnel]]+Table134[[#This Row],[Total Non-personnel]]</f>
        <v>177559</v>
      </c>
      <c r="O46" s="31"/>
      <c r="P46" s="31"/>
      <c r="Q46" s="31">
        <f>IF(SUM(N46:P46)="","",SUM(N46:P46))</f>
        <v>177559</v>
      </c>
      <c r="R46" s="32">
        <v>5844</v>
      </c>
      <c r="S46" s="64" t="s">
        <v>74</v>
      </c>
      <c r="T46" s="73" t="s">
        <v>74</v>
      </c>
      <c r="U46" s="32"/>
      <c r="V46" s="34"/>
      <c r="W46" s="35" t="str">
        <f>IF(Table134[[#This Row],[Total Funds]]=SUM(Table134[[#This Row],[Total Personnel]:[Total Non-personnel]]),"","Check")</f>
        <v/>
      </c>
      <c r="X46" s="122">
        <v>177559</v>
      </c>
      <c r="Y46" s="122">
        <v>0</v>
      </c>
      <c r="Z46" s="122">
        <f>+Table134[[#This Row],[CAS]]+Table134[[#This Row],[EIS]]</f>
        <v>177559</v>
      </c>
    </row>
    <row r="47" spans="1:26" ht="60.75" thickBot="1" x14ac:dyDescent="0.25">
      <c r="A47" s="36">
        <v>3</v>
      </c>
      <c r="B47" s="37">
        <v>2</v>
      </c>
      <c r="C47" s="38" t="s">
        <v>71</v>
      </c>
      <c r="D47" s="39"/>
      <c r="E47" s="46"/>
      <c r="F47" s="39"/>
      <c r="G47" s="39"/>
      <c r="H47" s="39"/>
      <c r="I47" s="39"/>
      <c r="J47" s="40">
        <f t="shared" si="0"/>
        <v>0</v>
      </c>
      <c r="K47" s="41"/>
      <c r="L47" s="41">
        <f>+Table134[[#This Row],[Total]]</f>
        <v>597</v>
      </c>
      <c r="M47" s="41">
        <f>+Table134[[#This Row],[Total Personnel]]+Table134[[#This Row],[Total Non-personnel]]</f>
        <v>597</v>
      </c>
      <c r="N47" s="41"/>
      <c r="O47" s="41"/>
      <c r="P47" s="41"/>
      <c r="Q47" s="41">
        <f t="shared" si="1"/>
        <v>597</v>
      </c>
      <c r="R47" s="42">
        <v>5211</v>
      </c>
      <c r="S47" s="42" t="s">
        <v>94</v>
      </c>
      <c r="T47" s="43"/>
      <c r="U47" s="32"/>
      <c r="V47" s="67"/>
      <c r="W47" s="45" t="str">
        <f>IF(Table134[[#This Row],[Total Funds]]=SUM(Table134[[#This Row],[Total Personnel]:[Total Non-personnel]]),"","Check")</f>
        <v/>
      </c>
      <c r="X47" s="122"/>
      <c r="Y47" s="122">
        <v>597</v>
      </c>
      <c r="Z47" s="122">
        <f>+Table134[[#This Row],[CAS]]+Table134[[#This Row],[EIS]]</f>
        <v>597</v>
      </c>
    </row>
    <row r="48" spans="1:26" x14ac:dyDescent="0.2">
      <c r="C48" s="6"/>
      <c r="E48" s="2"/>
      <c r="J48" s="75"/>
      <c r="K48" s="76"/>
      <c r="L48" s="76"/>
      <c r="M48" s="76">
        <f>SUBTOTAL(109,Table134[LCFF Funds])</f>
        <v>3253482.27</v>
      </c>
      <c r="N48" s="76"/>
      <c r="O48" s="76"/>
      <c r="P48" s="76"/>
      <c r="Q48" s="76"/>
      <c r="R48" s="77"/>
      <c r="S48" s="77"/>
      <c r="T48" s="78"/>
      <c r="U48" s="77"/>
      <c r="V48" s="77"/>
      <c r="W48" s="78"/>
      <c r="X48" s="124"/>
      <c r="Y48" s="125"/>
      <c r="Z48" s="125"/>
    </row>
  </sheetData>
  <dataValidations count="1">
    <dataValidation type="list" allowBlank="1" showInputMessage="1" showErrorMessage="1" sqref="F3:F47">
      <formula1>#REF!</formula1>
    </dataValidation>
  </dataValidations>
  <pageMargins left="0.7" right="0.7" top="0.75" bottom="0.75" header="0.3" footer="0.3"/>
  <pageSetup paperSize="5" scale="54" fitToHeight="0" orientation="landscape" r:id="rId1"/>
  <headerFooter>
    <oddHeader>&amp;CDRAFT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topLeftCell="B34" zoomScaleNormal="100" workbookViewId="0">
      <selection activeCell="U28" sqref="U28"/>
    </sheetView>
  </sheetViews>
  <sheetFormatPr defaultColWidth="9" defaultRowHeight="15" outlineLevelCol="2" x14ac:dyDescent="0.2"/>
  <cols>
    <col min="1" max="1" width="7.875" style="2" customWidth="1"/>
    <col min="2" max="2" width="11.25" style="2" bestFit="1" customWidth="1"/>
    <col min="3" max="3" width="43.625" style="3" bestFit="1" customWidth="1"/>
    <col min="4" max="4" width="18.25" style="2" hidden="1" customWidth="1" outlineLevel="1"/>
    <col min="5" max="5" width="17.125" style="3" customWidth="1" collapsed="1"/>
    <col min="6" max="6" width="23" style="3" hidden="1" customWidth="1" outlineLevel="1"/>
    <col min="7" max="7" width="14.625" style="3" hidden="1" customWidth="1" outlineLevel="1"/>
    <col min="8" max="8" width="12.875" style="3" hidden="1" customWidth="1" outlineLevel="2" collapsed="1"/>
    <col min="9" max="9" width="14" style="3" hidden="1" customWidth="1" outlineLevel="2"/>
    <col min="10" max="10" width="13.625" style="3" hidden="1" customWidth="1" outlineLevel="1"/>
    <col min="11" max="11" width="16.25" style="3" customWidth="1" collapsed="1"/>
    <col min="12" max="12" width="16.25" style="3" customWidth="1"/>
    <col min="13" max="16" width="16.25" style="3" hidden="1" customWidth="1" outlineLevel="1"/>
    <col min="17" max="17" width="16.25" style="3" customWidth="1" collapsed="1"/>
    <col min="18" max="18" width="16.25" style="3" customWidth="1"/>
    <col min="19" max="19" width="16.25" style="6" customWidth="1"/>
    <col min="20" max="20" width="16.25" style="3" customWidth="1"/>
    <col min="21" max="21" width="24.75" style="3" customWidth="1"/>
    <col min="22" max="22" width="28.75" style="3" customWidth="1"/>
    <col min="23" max="23" width="9" style="3" customWidth="1"/>
    <col min="24" max="24" width="9.375" style="3" bestFit="1" customWidth="1"/>
    <col min="25" max="16384" width="9" style="3"/>
  </cols>
  <sheetData>
    <row r="1" spans="1:23" ht="26.25" x14ac:dyDescent="0.2">
      <c r="A1" s="1"/>
    </row>
    <row r="2" spans="1:23" s="6" customFormat="1" ht="60.75" thickBo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25</v>
      </c>
      <c r="U2" s="4" t="s">
        <v>28</v>
      </c>
      <c r="V2" s="4" t="s">
        <v>79</v>
      </c>
      <c r="W2" s="5" t="s">
        <v>19</v>
      </c>
    </row>
    <row r="3" spans="1:23" x14ac:dyDescent="0.2">
      <c r="A3" s="14">
        <v>1</v>
      </c>
      <c r="B3" s="15">
        <v>1</v>
      </c>
      <c r="C3" s="16" t="s">
        <v>22</v>
      </c>
      <c r="D3" s="17"/>
      <c r="E3" s="18"/>
      <c r="F3" s="17"/>
      <c r="G3" s="17"/>
      <c r="H3" s="17" t="s">
        <v>20</v>
      </c>
      <c r="I3" s="17" t="s">
        <v>21</v>
      </c>
      <c r="J3" s="19">
        <f t="shared" ref="J3:J44" si="0">IF(Q3&gt;0,K3/Q3,"")</f>
        <v>1</v>
      </c>
      <c r="K3" s="20">
        <v>19720</v>
      </c>
      <c r="L3" s="20"/>
      <c r="M3" s="20">
        <f>+Table135[[#This Row],[Total Personnel]]+Table135[[#This Row],[Total Non-personnel]]</f>
        <v>19720</v>
      </c>
      <c r="N3" s="20"/>
      <c r="O3" s="20"/>
      <c r="P3" s="20"/>
      <c r="Q3" s="20">
        <f t="shared" ref="Q3:Q43" si="1">IF(SUM(M3:P3)="","",SUM(M3:P3))</f>
        <v>19720</v>
      </c>
      <c r="R3" s="21">
        <v>1175</v>
      </c>
      <c r="S3" s="21" t="s">
        <v>23</v>
      </c>
      <c r="T3" s="22"/>
      <c r="U3" s="21"/>
      <c r="V3" s="23"/>
      <c r="W3" s="24" t="str">
        <f>IF(Table135[[#This Row],[Total Funds]]=SUM(Table135[[#This Row],[Total Personnel]:[Total Non-personnel]]),"","Check")</f>
        <v/>
      </c>
    </row>
    <row r="4" spans="1:23" x14ac:dyDescent="0.2">
      <c r="A4" s="25">
        <v>1</v>
      </c>
      <c r="B4" s="26">
        <v>1</v>
      </c>
      <c r="C4" s="27" t="s">
        <v>22</v>
      </c>
      <c r="D4" s="28"/>
      <c r="E4" s="29"/>
      <c r="F4" s="28"/>
      <c r="G4" s="28"/>
      <c r="H4" s="28" t="s">
        <v>20</v>
      </c>
      <c r="I4" s="28" t="s">
        <v>21</v>
      </c>
      <c r="J4" s="30">
        <f t="shared" si="0"/>
        <v>1</v>
      </c>
      <c r="K4" s="31">
        <f>+K3*0.25</f>
        <v>4930</v>
      </c>
      <c r="L4" s="31"/>
      <c r="M4" s="31">
        <f>+Table135[[#This Row],[Total Personnel]]+Table135[[#This Row],[Total Non-personnel]]</f>
        <v>4930</v>
      </c>
      <c r="N4" s="31"/>
      <c r="O4" s="31"/>
      <c r="P4" s="31"/>
      <c r="Q4" s="31">
        <f t="shared" si="1"/>
        <v>4930</v>
      </c>
      <c r="R4" s="32">
        <v>3000</v>
      </c>
      <c r="S4" s="32" t="s">
        <v>24</v>
      </c>
      <c r="T4" s="33"/>
      <c r="U4" s="32"/>
      <c r="V4" s="34"/>
      <c r="W4" s="35" t="str">
        <f>IF(Table135[[#This Row],[Total Funds]]=SUM(Table135[[#This Row],[Total Personnel]:[Total Non-personnel]]),"","Check")</f>
        <v/>
      </c>
    </row>
    <row r="5" spans="1:23" x14ac:dyDescent="0.2">
      <c r="A5" s="25">
        <v>1</v>
      </c>
      <c r="B5" s="26">
        <v>1</v>
      </c>
      <c r="C5" s="27" t="s">
        <v>22</v>
      </c>
      <c r="D5" s="28"/>
      <c r="E5" s="26"/>
      <c r="F5" s="28"/>
      <c r="G5" s="28"/>
      <c r="H5" s="28" t="s">
        <v>20</v>
      </c>
      <c r="I5" s="28" t="s">
        <v>21</v>
      </c>
      <c r="J5" s="30" t="str">
        <f t="shared" si="0"/>
        <v/>
      </c>
      <c r="K5" s="31"/>
      <c r="L5" s="31"/>
      <c r="M5" s="31">
        <f>+Table135[[#This Row],[Total Personnel]]+Table135[[#This Row],[Total Non-personnel]]</f>
        <v>0</v>
      </c>
      <c r="N5" s="31"/>
      <c r="O5" s="31"/>
      <c r="P5" s="31"/>
      <c r="Q5" s="31">
        <f t="shared" si="1"/>
        <v>0</v>
      </c>
      <c r="R5" s="32">
        <v>1175</v>
      </c>
      <c r="S5" s="32" t="s">
        <v>26</v>
      </c>
      <c r="T5" s="33"/>
      <c r="U5" s="32" t="s">
        <v>29</v>
      </c>
      <c r="V5" s="34"/>
      <c r="W5" s="35" t="str">
        <f>IF(Table135[[#This Row],[Total Funds]]=SUM(Table135[[#This Row],[Total Personnel]:[Total Non-personnel]]),"","Check")</f>
        <v/>
      </c>
    </row>
    <row r="6" spans="1:23" ht="30.75" thickBot="1" x14ac:dyDescent="0.25">
      <c r="A6" s="36">
        <v>1</v>
      </c>
      <c r="B6" s="37">
        <v>1</v>
      </c>
      <c r="C6" s="38" t="s">
        <v>22</v>
      </c>
      <c r="D6" s="39"/>
      <c r="E6" s="37"/>
      <c r="F6" s="39"/>
      <c r="G6" s="39"/>
      <c r="H6" s="39" t="s">
        <v>20</v>
      </c>
      <c r="I6" s="39" t="s">
        <v>21</v>
      </c>
      <c r="J6" s="40" t="str">
        <f t="shared" si="0"/>
        <v/>
      </c>
      <c r="K6" s="41"/>
      <c r="L6" s="41"/>
      <c r="M6" s="41">
        <f>+Table135[[#This Row],[Total Personnel]]+Table135[[#This Row],[Total Non-personnel]]</f>
        <v>0</v>
      </c>
      <c r="N6" s="41"/>
      <c r="O6" s="41"/>
      <c r="P6" s="41"/>
      <c r="Q6" s="41">
        <f t="shared" si="1"/>
        <v>0</v>
      </c>
      <c r="R6" s="42">
        <v>3000</v>
      </c>
      <c r="S6" s="42" t="s">
        <v>27</v>
      </c>
      <c r="T6" s="43"/>
      <c r="U6" s="42" t="s">
        <v>29</v>
      </c>
      <c r="V6" s="44"/>
      <c r="W6" s="45" t="str">
        <f>IF(Table135[[#This Row],[Total Funds]]=SUM(Table135[[#This Row],[Total Personnel]:[Total Non-personnel]]),"","Check")</f>
        <v/>
      </c>
    </row>
    <row r="7" spans="1:23" ht="90" x14ac:dyDescent="0.2">
      <c r="A7" s="14">
        <v>1</v>
      </c>
      <c r="B7" s="15">
        <v>2</v>
      </c>
      <c r="C7" s="16" t="s">
        <v>30</v>
      </c>
      <c r="D7" s="17"/>
      <c r="E7" s="18"/>
      <c r="F7" s="17"/>
      <c r="G7" s="17"/>
      <c r="H7" s="17" t="s">
        <v>20</v>
      </c>
      <c r="I7" s="17" t="s">
        <v>21</v>
      </c>
      <c r="J7" s="19">
        <f t="shared" si="0"/>
        <v>1</v>
      </c>
      <c r="K7" s="20">
        <f>94891+92159+90352</f>
        <v>277402</v>
      </c>
      <c r="L7" s="20"/>
      <c r="M7" s="20">
        <f>+Table135[[#This Row],[Total Personnel]]+Table135[[#This Row],[Total Non-personnel]]</f>
        <v>277402</v>
      </c>
      <c r="N7" s="20"/>
      <c r="O7" s="20"/>
      <c r="P7" s="20"/>
      <c r="Q7" s="20">
        <f t="shared" si="1"/>
        <v>277402</v>
      </c>
      <c r="R7" s="21">
        <v>1300</v>
      </c>
      <c r="S7" s="21" t="s">
        <v>31</v>
      </c>
      <c r="T7" s="22"/>
      <c r="U7" s="74" t="s">
        <v>95</v>
      </c>
      <c r="V7" s="23"/>
      <c r="W7" s="24" t="str">
        <f>IF(Table135[[#This Row],[Total Funds]]=SUM(Table135[[#This Row],[Total Personnel]:[Total Non-personnel]]),"","Check")</f>
        <v/>
      </c>
    </row>
    <row r="8" spans="1:23" ht="60.75" thickBot="1" x14ac:dyDescent="0.25">
      <c r="A8" s="36">
        <v>1</v>
      </c>
      <c r="B8" s="37">
        <v>2</v>
      </c>
      <c r="C8" s="38" t="s">
        <v>30</v>
      </c>
      <c r="D8" s="39"/>
      <c r="E8" s="46"/>
      <c r="F8" s="39"/>
      <c r="G8" s="39"/>
      <c r="H8" s="39" t="s">
        <v>20</v>
      </c>
      <c r="I8" s="39" t="s">
        <v>21</v>
      </c>
      <c r="J8" s="40">
        <f t="shared" si="0"/>
        <v>1</v>
      </c>
      <c r="K8" s="41">
        <f>+K7*0.25</f>
        <v>69350.5</v>
      </c>
      <c r="L8" s="41"/>
      <c r="M8" s="41">
        <f>+Table135[[#This Row],[Total Personnel]]+Table135[[#This Row],[Total Non-personnel]]</f>
        <v>69350.5</v>
      </c>
      <c r="N8" s="41"/>
      <c r="O8" s="41"/>
      <c r="P8" s="41"/>
      <c r="Q8" s="41">
        <f t="shared" si="1"/>
        <v>69350.5</v>
      </c>
      <c r="R8" s="42">
        <v>3000</v>
      </c>
      <c r="S8" s="42" t="s">
        <v>32</v>
      </c>
      <c r="T8" s="43"/>
      <c r="U8" s="42"/>
      <c r="V8" s="44"/>
      <c r="W8" s="45" t="str">
        <f>IF(Table135[[#This Row],[Total Funds]]=SUM(Table135[[#This Row],[Total Personnel]:[Total Non-personnel]]),"","Check")</f>
        <v/>
      </c>
    </row>
    <row r="9" spans="1:23" ht="60" x14ac:dyDescent="0.2">
      <c r="A9" s="14">
        <v>1</v>
      </c>
      <c r="B9" s="15">
        <v>3</v>
      </c>
      <c r="C9" s="16" t="s">
        <v>91</v>
      </c>
      <c r="D9" s="17"/>
      <c r="E9" s="18"/>
      <c r="F9" s="17"/>
      <c r="G9" s="17"/>
      <c r="H9" s="17" t="s">
        <v>20</v>
      </c>
      <c r="I9" s="17" t="s">
        <v>21</v>
      </c>
      <c r="J9" s="19">
        <f t="shared" si="0"/>
        <v>1</v>
      </c>
      <c r="K9" s="20">
        <v>134965</v>
      </c>
      <c r="L9" s="20"/>
      <c r="M9" s="20">
        <f>+Table135[[#This Row],[Total Personnel]]+Table135[[#This Row],[Total Non-personnel]]</f>
        <v>134965</v>
      </c>
      <c r="N9" s="20"/>
      <c r="O9" s="20"/>
      <c r="P9" s="20"/>
      <c r="Q9" s="20">
        <f t="shared" si="1"/>
        <v>134965</v>
      </c>
      <c r="R9" s="21">
        <v>1110</v>
      </c>
      <c r="S9" s="47" t="s">
        <v>33</v>
      </c>
      <c r="T9" s="22"/>
      <c r="U9" s="74" t="s">
        <v>96</v>
      </c>
      <c r="V9" s="23"/>
      <c r="W9" s="24" t="str">
        <f>IF(Table135[[#This Row],[Total Funds]]=SUM(Table135[[#This Row],[Total Personnel]:[Total Non-personnel]]),"","Check")</f>
        <v/>
      </c>
    </row>
    <row r="10" spans="1:23" ht="30.75" thickBot="1" x14ac:dyDescent="0.25">
      <c r="A10" s="36">
        <v>1</v>
      </c>
      <c r="B10" s="37">
        <v>3</v>
      </c>
      <c r="C10" s="38" t="s">
        <v>91</v>
      </c>
      <c r="D10" s="39"/>
      <c r="E10" s="46"/>
      <c r="F10" s="39"/>
      <c r="G10" s="39"/>
      <c r="H10" s="39" t="s">
        <v>20</v>
      </c>
      <c r="I10" s="39" t="s">
        <v>21</v>
      </c>
      <c r="J10" s="40">
        <f t="shared" si="0"/>
        <v>1</v>
      </c>
      <c r="K10" s="41">
        <f>+K9*0.25</f>
        <v>33741.25</v>
      </c>
      <c r="L10" s="41"/>
      <c r="M10" s="41">
        <f>+Table135[[#This Row],[Total Personnel]]+Table135[[#This Row],[Total Non-personnel]]</f>
        <v>33741.25</v>
      </c>
      <c r="N10" s="41"/>
      <c r="O10" s="41"/>
      <c r="P10" s="41"/>
      <c r="Q10" s="41">
        <f t="shared" si="1"/>
        <v>33741.25</v>
      </c>
      <c r="R10" s="42">
        <v>3000</v>
      </c>
      <c r="S10" s="48" t="s">
        <v>34</v>
      </c>
      <c r="T10" s="43"/>
      <c r="U10" s="42"/>
      <c r="V10" s="44"/>
      <c r="W10" s="45" t="str">
        <f>IF(Table135[[#This Row],[Total Funds]]=SUM(Table135[[#This Row],[Total Personnel]:[Total Non-personnel]]),"","Check")</f>
        <v/>
      </c>
    </row>
    <row r="11" spans="1:23" ht="15.75" thickBot="1" x14ac:dyDescent="0.25">
      <c r="A11" s="49">
        <v>1</v>
      </c>
      <c r="B11" s="50">
        <v>4</v>
      </c>
      <c r="C11" s="51"/>
      <c r="D11" s="52"/>
      <c r="E11" s="53"/>
      <c r="F11" s="52"/>
      <c r="G11" s="52"/>
      <c r="H11" s="52" t="s">
        <v>20</v>
      </c>
      <c r="I11" s="52" t="s">
        <v>21</v>
      </c>
      <c r="J11" s="54" t="str">
        <f t="shared" si="0"/>
        <v/>
      </c>
      <c r="K11" s="55"/>
      <c r="L11" s="55"/>
      <c r="M11" s="55">
        <f>+Table135[[#This Row],[Total Personnel]]+Table135[[#This Row],[Total Non-personnel]]</f>
        <v>0</v>
      </c>
      <c r="N11" s="55"/>
      <c r="O11" s="55"/>
      <c r="P11" s="55"/>
      <c r="Q11" s="55">
        <f t="shared" si="1"/>
        <v>0</v>
      </c>
      <c r="R11" s="56"/>
      <c r="S11" s="56"/>
      <c r="T11" s="57"/>
      <c r="U11" s="58" t="s">
        <v>35</v>
      </c>
      <c r="V11" s="59"/>
      <c r="W11" s="60" t="str">
        <f>IF(Table135[[#This Row],[Total Funds]]=SUM(Table135[[#This Row],[Total Personnel]:[Total Non-personnel]]),"","Check")</f>
        <v/>
      </c>
    </row>
    <row r="12" spans="1:23" ht="45" x14ac:dyDescent="0.2">
      <c r="A12" s="14">
        <v>1</v>
      </c>
      <c r="B12" s="15">
        <v>5</v>
      </c>
      <c r="C12" s="16" t="s">
        <v>36</v>
      </c>
      <c r="D12" s="17"/>
      <c r="E12" s="18"/>
      <c r="F12" s="17"/>
      <c r="G12" s="17"/>
      <c r="H12" s="17" t="s">
        <v>20</v>
      </c>
      <c r="I12" s="17" t="s">
        <v>21</v>
      </c>
      <c r="J12" s="19">
        <f t="shared" si="0"/>
        <v>1</v>
      </c>
      <c r="K12" s="20">
        <v>201936</v>
      </c>
      <c r="L12" s="20"/>
      <c r="M12" s="61"/>
      <c r="N12" s="20"/>
      <c r="O12" s="20"/>
      <c r="P12" s="20">
        <f>+Table135[[#This Row],[Total Personnel]]+Table135[[#This Row],[Total Non-personnel]]</f>
        <v>201936</v>
      </c>
      <c r="Q12" s="20">
        <f t="shared" ref="Q12:Q17" si="2">IF(SUM(N12:P12)="","",SUM(N12:P12))</f>
        <v>201936</v>
      </c>
      <c r="R12" s="21">
        <v>1110</v>
      </c>
      <c r="S12" s="47" t="s">
        <v>37</v>
      </c>
      <c r="T12" s="22"/>
      <c r="U12" s="64" t="s">
        <v>149</v>
      </c>
      <c r="V12" s="23"/>
      <c r="W12" s="24" t="str">
        <f>IF(Table135[[#This Row],[Total Funds]]=SUM(Table135[[#This Row],[Total Personnel]:[Total Non-personnel]]),"","Check")</f>
        <v/>
      </c>
    </row>
    <row r="13" spans="1:23" ht="30" x14ac:dyDescent="0.2">
      <c r="A13" s="25">
        <v>1</v>
      </c>
      <c r="B13" s="26">
        <v>5</v>
      </c>
      <c r="C13" s="27" t="s">
        <v>36</v>
      </c>
      <c r="D13" s="28"/>
      <c r="E13" s="29"/>
      <c r="F13" s="28"/>
      <c r="G13" s="28"/>
      <c r="H13" s="28" t="s">
        <v>20</v>
      </c>
      <c r="I13" s="28" t="s">
        <v>21</v>
      </c>
      <c r="J13" s="30">
        <f t="shared" si="0"/>
        <v>1</v>
      </c>
      <c r="K13" s="31">
        <f>+K12*0.25</f>
        <v>50484</v>
      </c>
      <c r="L13" s="31"/>
      <c r="M13" s="63"/>
      <c r="N13" s="31"/>
      <c r="O13" s="31"/>
      <c r="P13" s="31">
        <f>+Table135[[#This Row],[Total Personnel]]+Table135[[#This Row],[Total Non-personnel]]</f>
        <v>50484</v>
      </c>
      <c r="Q13" s="31">
        <f t="shared" si="2"/>
        <v>50484</v>
      </c>
      <c r="R13" s="32">
        <v>3000</v>
      </c>
      <c r="S13" s="64" t="s">
        <v>38</v>
      </c>
      <c r="T13" s="33"/>
      <c r="U13" s="32"/>
      <c r="V13" s="34"/>
      <c r="W13" s="35" t="str">
        <f>IF(Table135[[#This Row],[Total Funds]]=SUM(Table135[[#This Row],[Total Personnel]:[Total Non-personnel]]),"","Check")</f>
        <v/>
      </c>
    </row>
    <row r="14" spans="1:23" ht="75" x14ac:dyDescent="0.2">
      <c r="A14" s="25">
        <v>1</v>
      </c>
      <c r="B14" s="26">
        <v>5</v>
      </c>
      <c r="C14" s="27" t="s">
        <v>36</v>
      </c>
      <c r="D14" s="28"/>
      <c r="E14" s="29"/>
      <c r="F14" s="28"/>
      <c r="G14" s="28"/>
      <c r="H14" s="28" t="s">
        <v>20</v>
      </c>
      <c r="I14" s="28" t="s">
        <v>21</v>
      </c>
      <c r="J14" s="30">
        <f t="shared" si="0"/>
        <v>0</v>
      </c>
      <c r="K14" s="31"/>
      <c r="L14" s="31">
        <v>27250</v>
      </c>
      <c r="M14" s="63"/>
      <c r="N14" s="31"/>
      <c r="O14" s="31"/>
      <c r="P14" s="31">
        <f>+Table135[[#This Row],[Total Personnel]]+Table135[[#This Row],[Total Non-personnel]]</f>
        <v>27250</v>
      </c>
      <c r="Q14" s="31">
        <f t="shared" si="2"/>
        <v>27250</v>
      </c>
      <c r="R14" s="64" t="s">
        <v>151</v>
      </c>
      <c r="S14" s="64" t="s">
        <v>39</v>
      </c>
      <c r="T14" s="33"/>
      <c r="U14" s="32"/>
      <c r="V14" s="65"/>
      <c r="W14" s="35" t="str">
        <f>IF(Table135[[#This Row],[Total Funds]]=SUM(Table135[[#This Row],[Total Personnel]:[Total Non-personnel]]),"","Check")</f>
        <v/>
      </c>
    </row>
    <row r="15" spans="1:23" ht="75" x14ac:dyDescent="0.2">
      <c r="A15" s="25">
        <v>1</v>
      </c>
      <c r="B15" s="26">
        <v>5</v>
      </c>
      <c r="C15" s="27" t="s">
        <v>36</v>
      </c>
      <c r="D15" s="28"/>
      <c r="E15" s="29"/>
      <c r="F15" s="28"/>
      <c r="G15" s="28"/>
      <c r="H15" s="28" t="s">
        <v>20</v>
      </c>
      <c r="I15" s="28" t="s">
        <v>21</v>
      </c>
      <c r="J15" s="30">
        <f t="shared" si="0"/>
        <v>1</v>
      </c>
      <c r="K15" s="31">
        <v>18500</v>
      </c>
      <c r="L15" s="31"/>
      <c r="M15" s="63"/>
      <c r="N15" s="31"/>
      <c r="O15" s="31"/>
      <c r="P15" s="31">
        <f>+Table135[[#This Row],[Total Personnel]]+Table135[[#This Row],[Total Non-personnel]]</f>
        <v>18500</v>
      </c>
      <c r="Q15" s="31">
        <f t="shared" si="2"/>
        <v>18500</v>
      </c>
      <c r="R15" s="64">
        <v>2131</v>
      </c>
      <c r="S15" s="64" t="s">
        <v>40</v>
      </c>
      <c r="T15" s="33"/>
      <c r="U15" s="83" t="s">
        <v>162</v>
      </c>
      <c r="V15" s="65"/>
      <c r="W15" s="35" t="str">
        <f>IF(Table135[[#This Row],[Total Funds]]=SUM(Table135[[#This Row],[Total Personnel]:[Total Non-personnel]]),"","Check")</f>
        <v/>
      </c>
    </row>
    <row r="16" spans="1:23" ht="30" x14ac:dyDescent="0.2">
      <c r="A16" s="25">
        <v>1</v>
      </c>
      <c r="B16" s="26">
        <v>5</v>
      </c>
      <c r="C16" s="27" t="s">
        <v>36</v>
      </c>
      <c r="D16" s="28"/>
      <c r="E16" s="29"/>
      <c r="F16" s="28"/>
      <c r="G16" s="28"/>
      <c r="H16" s="28" t="s">
        <v>20</v>
      </c>
      <c r="I16" s="28" t="s">
        <v>21</v>
      </c>
      <c r="J16" s="30">
        <f t="shared" si="0"/>
        <v>1</v>
      </c>
      <c r="K16" s="31">
        <f>18500*0.25</f>
        <v>4625</v>
      </c>
      <c r="L16" s="31"/>
      <c r="M16" s="63"/>
      <c r="N16" s="31"/>
      <c r="O16" s="31"/>
      <c r="P16" s="31">
        <f>+Table135[[#This Row],[Total Personnel]]+Table135[[#This Row],[Total Non-personnel]]</f>
        <v>4625</v>
      </c>
      <c r="Q16" s="31">
        <f t="shared" si="2"/>
        <v>4625</v>
      </c>
      <c r="R16" s="32">
        <v>3000</v>
      </c>
      <c r="S16" s="64" t="s">
        <v>41</v>
      </c>
      <c r="T16" s="33"/>
      <c r="U16" s="32"/>
      <c r="V16" s="34"/>
      <c r="W16" s="35" t="str">
        <f>IF(Table135[[#This Row],[Total Funds]]=SUM(Table135[[#This Row],[Total Personnel]:[Total Non-personnel]]),"","Check")</f>
        <v/>
      </c>
    </row>
    <row r="17" spans="1:23" ht="45.75" thickBot="1" x14ac:dyDescent="0.25">
      <c r="A17" s="36">
        <v>1</v>
      </c>
      <c r="B17" s="37">
        <v>5</v>
      </c>
      <c r="C17" s="38" t="s">
        <v>36</v>
      </c>
      <c r="D17" s="39"/>
      <c r="E17" s="46"/>
      <c r="F17" s="39"/>
      <c r="G17" s="39"/>
      <c r="H17" s="39" t="s">
        <v>20</v>
      </c>
      <c r="I17" s="39" t="s">
        <v>21</v>
      </c>
      <c r="J17" s="40">
        <f t="shared" si="0"/>
        <v>0</v>
      </c>
      <c r="K17" s="41"/>
      <c r="L17" s="41">
        <v>16000</v>
      </c>
      <c r="M17" s="66"/>
      <c r="N17" s="41"/>
      <c r="O17" s="41"/>
      <c r="P17" s="41">
        <f>+Table135[[#This Row],[Total Personnel]]+Table135[[#This Row],[Total Non-personnel]]</f>
        <v>16000</v>
      </c>
      <c r="Q17" s="41">
        <f t="shared" si="2"/>
        <v>16000</v>
      </c>
      <c r="R17" s="42">
        <v>4111</v>
      </c>
      <c r="S17" s="48" t="s">
        <v>42</v>
      </c>
      <c r="T17" s="43"/>
      <c r="U17" s="80" t="s">
        <v>76</v>
      </c>
      <c r="V17" s="67"/>
      <c r="W17" s="45" t="str">
        <f>IF(Table135[[#This Row],[Total Funds]]=SUM(Table135[[#This Row],[Total Personnel]:[Total Non-personnel]]),"","Check")</f>
        <v/>
      </c>
    </row>
    <row r="18" spans="1:23" ht="30" x14ac:dyDescent="0.2">
      <c r="A18" s="14">
        <v>2</v>
      </c>
      <c r="B18" s="15">
        <v>1</v>
      </c>
      <c r="C18" s="16" t="s">
        <v>43</v>
      </c>
      <c r="D18" s="17"/>
      <c r="E18" s="15"/>
      <c r="F18" s="17"/>
      <c r="G18" s="17"/>
      <c r="H18" s="17" t="s">
        <v>20</v>
      </c>
      <c r="I18" s="17" t="s">
        <v>21</v>
      </c>
      <c r="J18" s="19" t="str">
        <f t="shared" si="0"/>
        <v/>
      </c>
      <c r="K18" s="20"/>
      <c r="L18" s="20"/>
      <c r="M18" s="20">
        <f>+Table135[[#This Row],[Total Personnel]]+Table135[[#This Row],[Total Non-personnel]]</f>
        <v>0</v>
      </c>
      <c r="N18" s="20"/>
      <c r="O18" s="20"/>
      <c r="P18" s="20"/>
      <c r="Q18" s="20">
        <f t="shared" si="1"/>
        <v>0</v>
      </c>
      <c r="R18" s="21"/>
      <c r="S18" s="47" t="s">
        <v>44</v>
      </c>
      <c r="T18" s="22"/>
      <c r="U18" s="91" t="s">
        <v>163</v>
      </c>
      <c r="V18" s="68"/>
      <c r="W18" s="24" t="str">
        <f>IF(Table135[[#This Row],[Total Funds]]=SUM(Table135[[#This Row],[Total Personnel]:[Total Non-personnel]]),"","Check")</f>
        <v/>
      </c>
    </row>
    <row r="19" spans="1:23" x14ac:dyDescent="0.2">
      <c r="A19" s="25">
        <v>2</v>
      </c>
      <c r="B19" s="26">
        <v>1</v>
      </c>
      <c r="C19" s="27" t="s">
        <v>43</v>
      </c>
      <c r="D19" s="28"/>
      <c r="E19" s="29"/>
      <c r="F19" s="28"/>
      <c r="G19" s="28"/>
      <c r="H19" s="28" t="s">
        <v>20</v>
      </c>
      <c r="I19" s="28" t="s">
        <v>21</v>
      </c>
      <c r="J19" s="30">
        <f t="shared" si="0"/>
        <v>0</v>
      </c>
      <c r="K19" s="31"/>
      <c r="L19" s="31">
        <v>40000</v>
      </c>
      <c r="M19" s="31">
        <f>+Table135[[#This Row],[Total Personnel]]+Table135[[#This Row],[Total Non-personnel]]</f>
        <v>40000</v>
      </c>
      <c r="N19" s="31"/>
      <c r="O19" s="31"/>
      <c r="P19" s="31"/>
      <c r="Q19" s="31">
        <f t="shared" si="1"/>
        <v>40000</v>
      </c>
      <c r="R19" s="32">
        <v>5631</v>
      </c>
      <c r="S19" s="64" t="s">
        <v>45</v>
      </c>
      <c r="T19" s="33"/>
      <c r="U19" s="69" t="s">
        <v>78</v>
      </c>
      <c r="V19" s="65"/>
      <c r="W19" s="35" t="str">
        <f>IF(Table135[[#This Row],[Total Funds]]=SUM(Table135[[#This Row],[Total Personnel]:[Total Non-personnel]]),"","Check")</f>
        <v/>
      </c>
    </row>
    <row r="20" spans="1:23" ht="30" x14ac:dyDescent="0.2">
      <c r="A20" s="25">
        <v>2</v>
      </c>
      <c r="B20" s="26">
        <v>1</v>
      </c>
      <c r="C20" s="27" t="s">
        <v>43</v>
      </c>
      <c r="D20" s="28"/>
      <c r="E20" s="29"/>
      <c r="F20" s="28"/>
      <c r="G20" s="28"/>
      <c r="H20" s="28" t="s">
        <v>20</v>
      </c>
      <c r="I20" s="28" t="s">
        <v>21</v>
      </c>
      <c r="J20" s="30">
        <f t="shared" si="0"/>
        <v>0</v>
      </c>
      <c r="K20" s="31"/>
      <c r="L20" s="31">
        <v>15792</v>
      </c>
      <c r="M20" s="31">
        <f>+Table135[[#This Row],[Total Personnel]]+Table135[[#This Row],[Total Non-personnel]]</f>
        <v>15792</v>
      </c>
      <c r="N20" s="31"/>
      <c r="O20" s="31"/>
      <c r="P20" s="31"/>
      <c r="Q20" s="31">
        <f t="shared" si="1"/>
        <v>15792</v>
      </c>
      <c r="R20" s="32">
        <v>5599</v>
      </c>
      <c r="S20" s="64" t="s">
        <v>46</v>
      </c>
      <c r="T20" s="33"/>
      <c r="U20" s="32"/>
      <c r="V20" s="34"/>
      <c r="W20" s="35" t="str">
        <f>IF(Table135[[#This Row],[Total Funds]]=SUM(Table135[[#This Row],[Total Personnel]:[Total Non-personnel]]),"","Check")</f>
        <v/>
      </c>
    </row>
    <row r="21" spans="1:23" ht="30" x14ac:dyDescent="0.2">
      <c r="A21" s="25">
        <v>2</v>
      </c>
      <c r="B21" s="26">
        <v>1</v>
      </c>
      <c r="C21" s="27" t="s">
        <v>43</v>
      </c>
      <c r="D21" s="28"/>
      <c r="E21" s="29"/>
      <c r="F21" s="28"/>
      <c r="G21" s="28"/>
      <c r="H21" s="28" t="s">
        <v>20</v>
      </c>
      <c r="I21" s="28" t="s">
        <v>21</v>
      </c>
      <c r="J21" s="30">
        <f t="shared" si="0"/>
        <v>1</v>
      </c>
      <c r="K21" s="31">
        <f>41108+44044</f>
        <v>85152</v>
      </c>
      <c r="L21" s="31"/>
      <c r="M21" s="31">
        <f>+Table135[[#This Row],[Total Personnel]]+Table135[[#This Row],[Total Non-personnel]]</f>
        <v>85152</v>
      </c>
      <c r="N21" s="31"/>
      <c r="O21" s="31"/>
      <c r="P21" s="31"/>
      <c r="Q21" s="31">
        <f t="shared" si="1"/>
        <v>85152</v>
      </c>
      <c r="R21" s="32">
        <v>2200</v>
      </c>
      <c r="S21" s="64" t="s">
        <v>48</v>
      </c>
      <c r="T21" s="33"/>
      <c r="U21" s="32"/>
      <c r="V21" s="34"/>
      <c r="W21" s="35" t="str">
        <f>IF(Table135[[#This Row],[Total Funds]]=SUM(Table135[[#This Row],[Total Personnel]:[Total Non-personnel]]),"","Check")</f>
        <v/>
      </c>
    </row>
    <row r="22" spans="1:23" ht="30" x14ac:dyDescent="0.2">
      <c r="A22" s="25">
        <v>2</v>
      </c>
      <c r="B22" s="26">
        <v>1</v>
      </c>
      <c r="C22" s="27" t="s">
        <v>43</v>
      </c>
      <c r="D22" s="28"/>
      <c r="E22" s="29"/>
      <c r="F22" s="28"/>
      <c r="G22" s="28"/>
      <c r="H22" s="28" t="s">
        <v>20</v>
      </c>
      <c r="I22" s="28" t="s">
        <v>21</v>
      </c>
      <c r="J22" s="30">
        <f t="shared" si="0"/>
        <v>1</v>
      </c>
      <c r="K22" s="31">
        <f>+K21*0.25</f>
        <v>21288</v>
      </c>
      <c r="L22" s="31"/>
      <c r="M22" s="31">
        <f>+Table135[[#This Row],[Total Personnel]]+Table135[[#This Row],[Total Non-personnel]]</f>
        <v>21288</v>
      </c>
      <c r="N22" s="31"/>
      <c r="O22" s="31"/>
      <c r="P22" s="31"/>
      <c r="Q22" s="31">
        <f t="shared" si="1"/>
        <v>21288</v>
      </c>
      <c r="R22" s="32">
        <v>3000</v>
      </c>
      <c r="S22" s="64" t="s">
        <v>47</v>
      </c>
      <c r="T22" s="33"/>
      <c r="U22" s="32"/>
      <c r="V22" s="34"/>
      <c r="W22" s="35" t="str">
        <f>IF(Table135[[#This Row],[Total Funds]]=SUM(Table135[[#This Row],[Total Personnel]:[Total Non-personnel]]),"","Check")</f>
        <v/>
      </c>
    </row>
    <row r="23" spans="1:23" ht="60" x14ac:dyDescent="0.2">
      <c r="A23" s="25">
        <v>2</v>
      </c>
      <c r="B23" s="26">
        <v>1</v>
      </c>
      <c r="C23" s="27" t="s">
        <v>43</v>
      </c>
      <c r="D23" s="28"/>
      <c r="E23" s="29"/>
      <c r="F23" s="28"/>
      <c r="G23" s="28"/>
      <c r="H23" s="28" t="s">
        <v>20</v>
      </c>
      <c r="I23" s="28" t="s">
        <v>21</v>
      </c>
      <c r="J23" s="30">
        <f t="shared" si="0"/>
        <v>0</v>
      </c>
      <c r="K23" s="31"/>
      <c r="L23" s="31">
        <v>114300</v>
      </c>
      <c r="M23" s="31">
        <f>+Table135[[#This Row],[Total Personnel]]+Table135[[#This Row],[Total Non-personnel]]</f>
        <v>114300</v>
      </c>
      <c r="N23" s="31"/>
      <c r="O23" s="31"/>
      <c r="P23" s="31"/>
      <c r="Q23" s="31">
        <f t="shared" si="1"/>
        <v>114300</v>
      </c>
      <c r="R23" s="32">
        <v>5531</v>
      </c>
      <c r="S23" s="64" t="s">
        <v>49</v>
      </c>
      <c r="T23" s="33"/>
      <c r="U23" s="82" t="s">
        <v>142</v>
      </c>
      <c r="V23" s="34"/>
      <c r="W23" s="35" t="str">
        <f>IF(Table135[[#This Row],[Total Funds]]=SUM(Table135[[#This Row],[Total Personnel]:[Total Non-personnel]]),"","Check")</f>
        <v/>
      </c>
    </row>
    <row r="24" spans="1:23" ht="30" x14ac:dyDescent="0.2">
      <c r="A24" s="25">
        <v>2</v>
      </c>
      <c r="B24" s="26">
        <v>1</v>
      </c>
      <c r="C24" s="27" t="s">
        <v>43</v>
      </c>
      <c r="D24" s="28"/>
      <c r="E24" s="29"/>
      <c r="F24" s="28"/>
      <c r="G24" s="28"/>
      <c r="H24" s="28" t="s">
        <v>20</v>
      </c>
      <c r="I24" s="28" t="s">
        <v>21</v>
      </c>
      <c r="J24" s="30" t="str">
        <f t="shared" si="0"/>
        <v/>
      </c>
      <c r="K24" s="31"/>
      <c r="L24" s="31">
        <v>0</v>
      </c>
      <c r="M24" s="31">
        <f>+Table135[[#This Row],[Total Personnel]]+Table135[[#This Row],[Total Non-personnel]]</f>
        <v>0</v>
      </c>
      <c r="N24" s="31"/>
      <c r="O24" s="31"/>
      <c r="P24" s="31"/>
      <c r="Q24" s="31">
        <f t="shared" si="1"/>
        <v>0</v>
      </c>
      <c r="R24" s="32">
        <v>5521</v>
      </c>
      <c r="S24" s="64" t="s">
        <v>50</v>
      </c>
      <c r="T24" s="33"/>
      <c r="U24" s="83" t="s">
        <v>163</v>
      </c>
      <c r="V24" s="34"/>
      <c r="W24" s="35" t="str">
        <f>IF(Table135[[#This Row],[Total Funds]]=SUM(Table135[[#This Row],[Total Personnel]:[Total Non-personnel]]),"","Check")</f>
        <v/>
      </c>
    </row>
    <row r="25" spans="1:23" ht="30" x14ac:dyDescent="0.2">
      <c r="A25" s="25">
        <v>2</v>
      </c>
      <c r="B25" s="26">
        <v>1</v>
      </c>
      <c r="C25" s="27" t="s">
        <v>43</v>
      </c>
      <c r="D25" s="28"/>
      <c r="E25" s="29"/>
      <c r="F25" s="28"/>
      <c r="G25" s="28"/>
      <c r="H25" s="28" t="s">
        <v>20</v>
      </c>
      <c r="I25" s="28" t="s">
        <v>21</v>
      </c>
      <c r="J25" s="30">
        <f t="shared" si="0"/>
        <v>0</v>
      </c>
      <c r="K25" s="31"/>
      <c r="L25" s="31">
        <v>15648</v>
      </c>
      <c r="M25" s="31">
        <f>+Table135[[#This Row],[Total Personnel]]+Table135[[#This Row],[Total Non-personnel]]</f>
        <v>15648</v>
      </c>
      <c r="N25" s="31"/>
      <c r="O25" s="31"/>
      <c r="P25" s="31"/>
      <c r="Q25" s="31">
        <f t="shared" si="1"/>
        <v>15648</v>
      </c>
      <c r="R25" s="32">
        <v>4411</v>
      </c>
      <c r="S25" s="64" t="s">
        <v>51</v>
      </c>
      <c r="T25" s="33"/>
      <c r="U25" s="69" t="s">
        <v>78</v>
      </c>
      <c r="V25" s="65"/>
      <c r="W25" s="35" t="str">
        <f>IF(Table135[[#This Row],[Total Funds]]=SUM(Table135[[#This Row],[Total Personnel]:[Total Non-personnel]]),"","Check")</f>
        <v/>
      </c>
    </row>
    <row r="26" spans="1:23" x14ac:dyDescent="0.2">
      <c r="A26" s="25">
        <v>2</v>
      </c>
      <c r="B26" s="26">
        <v>1</v>
      </c>
      <c r="C26" s="27" t="s">
        <v>43</v>
      </c>
      <c r="D26" s="28"/>
      <c r="E26" s="29"/>
      <c r="F26" s="28"/>
      <c r="G26" s="28"/>
      <c r="H26" s="28" t="s">
        <v>20</v>
      </c>
      <c r="I26" s="28" t="s">
        <v>21</v>
      </c>
      <c r="J26" s="30" t="str">
        <f t="shared" si="0"/>
        <v/>
      </c>
      <c r="K26" s="31"/>
      <c r="L26" s="31"/>
      <c r="M26" s="31">
        <f>+Table135[[#This Row],[Total Personnel]]+Table135[[#This Row],[Total Non-personnel]]</f>
        <v>0</v>
      </c>
      <c r="N26" s="31"/>
      <c r="O26" s="31"/>
      <c r="P26" s="31"/>
      <c r="Q26" s="31">
        <f t="shared" si="1"/>
        <v>0</v>
      </c>
      <c r="R26" s="32">
        <v>5611</v>
      </c>
      <c r="S26" s="64" t="s">
        <v>52</v>
      </c>
      <c r="T26" s="33"/>
      <c r="U26" s="69" t="s">
        <v>88</v>
      </c>
      <c r="V26" s="34"/>
      <c r="W26" s="35" t="str">
        <f>IF(Table135[[#This Row],[Total Funds]]=SUM(Table135[[#This Row],[Total Personnel]:[Total Non-personnel]]),"","Check")</f>
        <v/>
      </c>
    </row>
    <row r="27" spans="1:23" ht="15.75" thickBot="1" x14ac:dyDescent="0.25">
      <c r="A27" s="36">
        <v>2</v>
      </c>
      <c r="B27" s="37">
        <v>1</v>
      </c>
      <c r="C27" s="38" t="s">
        <v>43</v>
      </c>
      <c r="D27" s="39"/>
      <c r="E27" s="46"/>
      <c r="F27" s="39"/>
      <c r="G27" s="39"/>
      <c r="H27" s="39" t="s">
        <v>20</v>
      </c>
      <c r="I27" s="39" t="s">
        <v>21</v>
      </c>
      <c r="J27" s="40">
        <f t="shared" si="0"/>
        <v>0</v>
      </c>
      <c r="K27" s="41"/>
      <c r="L27" s="41">
        <v>15600</v>
      </c>
      <c r="M27" s="41">
        <f>+Table135[[#This Row],[Total Personnel]]+Table135[[#This Row],[Total Non-personnel]]</f>
        <v>15600</v>
      </c>
      <c r="N27" s="41"/>
      <c r="O27" s="41"/>
      <c r="P27" s="41"/>
      <c r="Q27" s="41">
        <f t="shared" si="1"/>
        <v>15600</v>
      </c>
      <c r="R27" s="42">
        <v>4351</v>
      </c>
      <c r="S27" s="48" t="s">
        <v>53</v>
      </c>
      <c r="T27" s="43"/>
      <c r="U27" s="70" t="s">
        <v>78</v>
      </c>
      <c r="V27" s="67"/>
      <c r="W27" s="45" t="str">
        <f>IF(Table135[[#This Row],[Total Funds]]=SUM(Table135[[#This Row],[Total Personnel]:[Total Non-personnel]]),"","Check")</f>
        <v/>
      </c>
    </row>
    <row r="28" spans="1:23" ht="75" x14ac:dyDescent="0.2">
      <c r="A28" s="14">
        <v>2</v>
      </c>
      <c r="B28" s="15">
        <v>2</v>
      </c>
      <c r="C28" s="16" t="s">
        <v>54</v>
      </c>
      <c r="D28" s="17"/>
      <c r="E28" s="18"/>
      <c r="F28" s="17"/>
      <c r="G28" s="17"/>
      <c r="H28" s="17" t="s">
        <v>20</v>
      </c>
      <c r="I28" s="17" t="s">
        <v>21</v>
      </c>
      <c r="J28" s="19">
        <f t="shared" si="0"/>
        <v>1</v>
      </c>
      <c r="K28" s="20">
        <f>72187+59856</f>
        <v>132043</v>
      </c>
      <c r="L28" s="20"/>
      <c r="M28" s="20">
        <f>+Table135[[#This Row],[Total Personnel]]+Table135[[#This Row],[Total Non-personnel]]</f>
        <v>132043</v>
      </c>
      <c r="N28" s="20"/>
      <c r="O28" s="20"/>
      <c r="P28" s="20"/>
      <c r="Q28" s="20">
        <f t="shared" si="1"/>
        <v>132043</v>
      </c>
      <c r="R28" s="21">
        <v>1110</v>
      </c>
      <c r="S28" s="47" t="s">
        <v>55</v>
      </c>
      <c r="T28" s="22"/>
      <c r="U28" s="47" t="s">
        <v>146</v>
      </c>
      <c r="V28" s="68"/>
      <c r="W28" s="24" t="str">
        <f>IF(Table135[[#This Row],[Total Funds]]=SUM(Table135[[#This Row],[Total Personnel]:[Total Non-personnel]]),"","Check")</f>
        <v/>
      </c>
    </row>
    <row r="29" spans="1:23" ht="45" x14ac:dyDescent="0.2">
      <c r="A29" s="25">
        <v>2</v>
      </c>
      <c r="B29" s="26">
        <v>2</v>
      </c>
      <c r="C29" s="27" t="s">
        <v>54</v>
      </c>
      <c r="D29" s="28"/>
      <c r="E29" s="29"/>
      <c r="F29" s="28"/>
      <c r="G29" s="28"/>
      <c r="H29" s="28" t="s">
        <v>20</v>
      </c>
      <c r="I29" s="28" t="s">
        <v>21</v>
      </c>
      <c r="J29" s="30">
        <f t="shared" si="0"/>
        <v>1</v>
      </c>
      <c r="K29" s="31">
        <f>+K28*0.25</f>
        <v>33010.75</v>
      </c>
      <c r="L29" s="31"/>
      <c r="M29" s="31">
        <f>+Table135[[#This Row],[Total Personnel]]+Table135[[#This Row],[Total Non-personnel]]</f>
        <v>33010.75</v>
      </c>
      <c r="N29" s="31"/>
      <c r="O29" s="31"/>
      <c r="P29" s="31"/>
      <c r="Q29" s="31">
        <f t="shared" si="1"/>
        <v>33010.75</v>
      </c>
      <c r="R29" s="32">
        <v>3000</v>
      </c>
      <c r="S29" s="64" t="s">
        <v>56</v>
      </c>
      <c r="T29" s="33"/>
      <c r="U29" s="64"/>
      <c r="V29" s="65"/>
      <c r="W29" s="35" t="str">
        <f>IF(Table135[[#This Row],[Total Funds]]=SUM(Table135[[#This Row],[Total Personnel]:[Total Non-personnel]]),"","Check")</f>
        <v/>
      </c>
    </row>
    <row r="30" spans="1:23" ht="45" x14ac:dyDescent="0.2">
      <c r="A30" s="25">
        <v>2</v>
      </c>
      <c r="B30" s="26">
        <v>2</v>
      </c>
      <c r="C30" s="27" t="s">
        <v>54</v>
      </c>
      <c r="D30" s="28"/>
      <c r="E30" s="29"/>
      <c r="F30" s="28"/>
      <c r="G30" s="28"/>
      <c r="H30" s="28"/>
      <c r="I30" s="28"/>
      <c r="J30" s="30">
        <f t="shared" si="0"/>
        <v>0</v>
      </c>
      <c r="K30" s="31"/>
      <c r="L30" s="71">
        <v>899352</v>
      </c>
      <c r="M30" s="31">
        <f>+Table135[[#This Row],[Total Personnel]]+Table135[[#This Row],[Total Non-personnel]]</f>
        <v>899352</v>
      </c>
      <c r="N30" s="31"/>
      <c r="O30" s="31"/>
      <c r="P30" s="31"/>
      <c r="Q30" s="31">
        <f t="shared" si="1"/>
        <v>899352</v>
      </c>
      <c r="R30" s="32">
        <v>5881</v>
      </c>
      <c r="S30" s="64" t="s">
        <v>57</v>
      </c>
      <c r="T30" s="33"/>
      <c r="U30" s="64" t="s">
        <v>78</v>
      </c>
      <c r="V30" s="65"/>
      <c r="W30" s="35" t="str">
        <f>IF(Table135[[#This Row],[Total Funds]]=SUM(Table135[[#This Row],[Total Personnel]:[Total Non-personnel]]),"","Check")</f>
        <v/>
      </c>
    </row>
    <row r="31" spans="1:23" ht="45" x14ac:dyDescent="0.2">
      <c r="A31" s="25">
        <v>2</v>
      </c>
      <c r="B31" s="26">
        <v>2</v>
      </c>
      <c r="C31" s="27" t="s">
        <v>54</v>
      </c>
      <c r="D31" s="28"/>
      <c r="E31" s="29"/>
      <c r="F31" s="28"/>
      <c r="G31" s="28"/>
      <c r="H31" s="28"/>
      <c r="I31" s="28"/>
      <c r="J31" s="30" t="str">
        <f t="shared" si="0"/>
        <v/>
      </c>
      <c r="K31" s="31"/>
      <c r="L31" s="71"/>
      <c r="M31" s="31">
        <f>+Table135[[#This Row],[Total Personnel]]+Table135[[#This Row],[Total Non-personnel]]</f>
        <v>0</v>
      </c>
      <c r="N31" s="31"/>
      <c r="O31" s="31"/>
      <c r="P31" s="31"/>
      <c r="Q31" s="31">
        <f t="shared" si="1"/>
        <v>0</v>
      </c>
      <c r="R31" s="32">
        <v>4211</v>
      </c>
      <c r="S31" s="64" t="s">
        <v>58</v>
      </c>
      <c r="T31" s="33"/>
      <c r="U31" s="64" t="s">
        <v>63</v>
      </c>
      <c r="V31" s="65"/>
      <c r="W31" s="35" t="str">
        <f>IF(Table135[[#This Row],[Total Funds]]=SUM(Table135[[#This Row],[Total Personnel]:[Total Non-personnel]]),"","Check")</f>
        <v/>
      </c>
    </row>
    <row r="32" spans="1:23" ht="60" x14ac:dyDescent="0.2">
      <c r="A32" s="25">
        <v>2</v>
      </c>
      <c r="B32" s="26">
        <v>2</v>
      </c>
      <c r="C32" s="27" t="s">
        <v>54</v>
      </c>
      <c r="D32" s="28"/>
      <c r="E32" s="29"/>
      <c r="F32" s="28"/>
      <c r="G32" s="28"/>
      <c r="H32" s="28"/>
      <c r="I32" s="28"/>
      <c r="J32" s="30" t="str">
        <f t="shared" si="0"/>
        <v/>
      </c>
      <c r="K32" s="31"/>
      <c r="L32" s="71"/>
      <c r="M32" s="31">
        <f>+Table135[[#This Row],[Total Personnel]]+Table135[[#This Row],[Total Non-personnel]]</f>
        <v>0</v>
      </c>
      <c r="N32" s="31"/>
      <c r="O32" s="31"/>
      <c r="P32" s="31"/>
      <c r="Q32" s="31">
        <f t="shared" si="1"/>
        <v>0</v>
      </c>
      <c r="R32" s="32">
        <v>5861</v>
      </c>
      <c r="S32" s="64" t="s">
        <v>59</v>
      </c>
      <c r="T32" s="33"/>
      <c r="U32" s="64" t="s">
        <v>64</v>
      </c>
      <c r="V32" s="65"/>
      <c r="W32" s="35" t="str">
        <f>IF(Table135[[#This Row],[Total Funds]]=SUM(Table135[[#This Row],[Total Personnel]:[Total Non-personnel]]),"","Check")</f>
        <v/>
      </c>
    </row>
    <row r="33" spans="1:23" ht="45" x14ac:dyDescent="0.2">
      <c r="A33" s="25">
        <v>2</v>
      </c>
      <c r="B33" s="26">
        <v>2</v>
      </c>
      <c r="C33" s="27" t="s">
        <v>54</v>
      </c>
      <c r="D33" s="28"/>
      <c r="E33" s="29"/>
      <c r="F33" s="28"/>
      <c r="G33" s="28"/>
      <c r="H33" s="28"/>
      <c r="I33" s="28"/>
      <c r="J33" s="30" t="str">
        <f t="shared" si="0"/>
        <v/>
      </c>
      <c r="K33" s="31"/>
      <c r="L33" s="71"/>
      <c r="M33" s="31">
        <f>+Table135[[#This Row],[Total Personnel]]+Table135[[#This Row],[Total Non-personnel]]</f>
        <v>0</v>
      </c>
      <c r="N33" s="31"/>
      <c r="O33" s="31"/>
      <c r="P33" s="31"/>
      <c r="Q33" s="31">
        <f t="shared" si="1"/>
        <v>0</v>
      </c>
      <c r="R33" s="32">
        <v>5859</v>
      </c>
      <c r="S33" s="64" t="s">
        <v>60</v>
      </c>
      <c r="T33" s="33"/>
      <c r="U33" s="64" t="s">
        <v>65</v>
      </c>
      <c r="V33" s="65"/>
      <c r="W33" s="35" t="str">
        <f>IF(Table135[[#This Row],[Total Funds]]=SUM(Table135[[#This Row],[Total Personnel]:[Total Non-personnel]]),"","Check")</f>
        <v/>
      </c>
    </row>
    <row r="34" spans="1:23" ht="45" x14ac:dyDescent="0.2">
      <c r="A34" s="25">
        <v>2</v>
      </c>
      <c r="B34" s="26">
        <v>2</v>
      </c>
      <c r="C34" s="27" t="s">
        <v>54</v>
      </c>
      <c r="D34" s="28"/>
      <c r="E34" s="29"/>
      <c r="F34" s="28"/>
      <c r="G34" s="28"/>
      <c r="H34" s="28"/>
      <c r="I34" s="28"/>
      <c r="J34" s="30">
        <f t="shared" si="0"/>
        <v>1</v>
      </c>
      <c r="K34" s="31">
        <v>67763.7</v>
      </c>
      <c r="L34" s="31"/>
      <c r="M34" s="31">
        <f>+Table135[[#This Row],[Total Personnel]]+Table135[[#This Row],[Total Non-personnel]]</f>
        <v>67763.7</v>
      </c>
      <c r="N34" s="31"/>
      <c r="O34" s="31"/>
      <c r="P34" s="31"/>
      <c r="Q34" s="31">
        <f t="shared" si="1"/>
        <v>67763.7</v>
      </c>
      <c r="R34" s="32">
        <v>2400</v>
      </c>
      <c r="S34" s="64" t="s">
        <v>61</v>
      </c>
      <c r="T34" s="33"/>
      <c r="U34" s="64" t="s">
        <v>81</v>
      </c>
      <c r="V34" s="65"/>
      <c r="W34" s="35" t="str">
        <f>IF(Table135[[#This Row],[Total Funds]]=SUM(Table135[[#This Row],[Total Personnel]:[Total Non-personnel]]),"","Check")</f>
        <v/>
      </c>
    </row>
    <row r="35" spans="1:23" ht="45.75" thickBot="1" x14ac:dyDescent="0.25">
      <c r="A35" s="36">
        <v>2</v>
      </c>
      <c r="B35" s="37">
        <v>2</v>
      </c>
      <c r="C35" s="38" t="s">
        <v>54</v>
      </c>
      <c r="D35" s="39"/>
      <c r="E35" s="46"/>
      <c r="F35" s="39"/>
      <c r="G35" s="39"/>
      <c r="H35" s="39"/>
      <c r="I35" s="39"/>
      <c r="J35" s="40">
        <f t="shared" si="0"/>
        <v>1</v>
      </c>
      <c r="K35" s="41">
        <f>+K34*0.25</f>
        <v>16940.924999999999</v>
      </c>
      <c r="L35" s="41"/>
      <c r="M35" s="41">
        <f>+Table135[[#This Row],[Total Personnel]]+Table135[[#This Row],[Total Non-personnel]]</f>
        <v>16940.924999999999</v>
      </c>
      <c r="N35" s="41"/>
      <c r="O35" s="41"/>
      <c r="P35" s="41"/>
      <c r="Q35" s="41">
        <f t="shared" si="1"/>
        <v>16940.924999999999</v>
      </c>
      <c r="R35" s="42">
        <v>3000</v>
      </c>
      <c r="S35" s="48" t="s">
        <v>62</v>
      </c>
      <c r="T35" s="43"/>
      <c r="U35" s="48" t="s">
        <v>81</v>
      </c>
      <c r="V35" s="67"/>
      <c r="W35" s="45" t="str">
        <f>IF(Table135[[#This Row],[Total Funds]]=SUM(Table135[[#This Row],[Total Personnel]:[Total Non-personnel]]),"","Check")</f>
        <v/>
      </c>
    </row>
    <row r="36" spans="1:23" ht="60" x14ac:dyDescent="0.2">
      <c r="A36" s="14">
        <v>3</v>
      </c>
      <c r="B36" s="15">
        <v>1</v>
      </c>
      <c r="C36" s="16" t="s">
        <v>66</v>
      </c>
      <c r="D36" s="17"/>
      <c r="E36" s="18"/>
      <c r="F36" s="17"/>
      <c r="G36" s="17"/>
      <c r="H36" s="17"/>
      <c r="I36" s="17"/>
      <c r="J36" s="19">
        <f t="shared" si="0"/>
        <v>1</v>
      </c>
      <c r="K36" s="20">
        <v>65696.5</v>
      </c>
      <c r="L36" s="20"/>
      <c r="M36" s="20">
        <f>+Table135[[#This Row],[Total Personnel]]+Table135[[#This Row],[Total Non-personnel]]</f>
        <v>65696.5</v>
      </c>
      <c r="N36" s="20"/>
      <c r="O36" s="20"/>
      <c r="P36" s="20"/>
      <c r="Q36" s="20">
        <f t="shared" si="1"/>
        <v>65696.5</v>
      </c>
      <c r="R36" s="21">
        <v>2900</v>
      </c>
      <c r="S36" s="47" t="s">
        <v>89</v>
      </c>
      <c r="T36" s="22"/>
      <c r="U36" s="21"/>
      <c r="V36" s="23"/>
      <c r="W36" s="24" t="str">
        <f>IF(Table135[[#This Row],[Total Funds]]=SUM(Table135[[#This Row],[Total Personnel]:[Total Non-personnel]]),"","Check")</f>
        <v/>
      </c>
    </row>
    <row r="37" spans="1:23" ht="60" x14ac:dyDescent="0.2">
      <c r="A37" s="25">
        <v>3</v>
      </c>
      <c r="B37" s="26">
        <v>1</v>
      </c>
      <c r="C37" s="27" t="s">
        <v>66</v>
      </c>
      <c r="D37" s="28"/>
      <c r="E37" s="29"/>
      <c r="F37" s="28"/>
      <c r="G37" s="28"/>
      <c r="H37" s="28"/>
      <c r="I37" s="28"/>
      <c r="J37" s="30">
        <f t="shared" si="0"/>
        <v>1</v>
      </c>
      <c r="K37" s="31">
        <f>+K36*0.25</f>
        <v>16424.125</v>
      </c>
      <c r="L37" s="31"/>
      <c r="M37" s="31">
        <f>+Table135[[#This Row],[Total Personnel]]+Table135[[#This Row],[Total Non-personnel]]</f>
        <v>16424.125</v>
      </c>
      <c r="N37" s="31"/>
      <c r="O37" s="31"/>
      <c r="P37" s="31"/>
      <c r="Q37" s="31">
        <f t="shared" si="1"/>
        <v>16424.125</v>
      </c>
      <c r="R37" s="32">
        <v>3000</v>
      </c>
      <c r="S37" s="64" t="s">
        <v>90</v>
      </c>
      <c r="T37" s="33"/>
      <c r="U37" s="32"/>
      <c r="V37" s="34"/>
      <c r="W37" s="35" t="str">
        <f>IF(Table135[[#This Row],[Total Funds]]=SUM(Table135[[#This Row],[Total Personnel]:[Total Non-personnel]]),"","Check")</f>
        <v/>
      </c>
    </row>
    <row r="38" spans="1:23" ht="90" x14ac:dyDescent="0.2">
      <c r="A38" s="25">
        <v>3</v>
      </c>
      <c r="B38" s="26">
        <v>1</v>
      </c>
      <c r="C38" s="27" t="s">
        <v>66</v>
      </c>
      <c r="D38" s="28"/>
      <c r="E38" s="29"/>
      <c r="F38" s="28"/>
      <c r="G38" s="28"/>
      <c r="H38" s="28"/>
      <c r="I38" s="28"/>
      <c r="J38" s="30" t="str">
        <f t="shared" si="0"/>
        <v/>
      </c>
      <c r="K38" s="71"/>
      <c r="L38" s="31"/>
      <c r="M38" s="31">
        <f>+Table135[[#This Row],[Total Personnel]]+Table135[[#This Row],[Total Non-personnel]]</f>
        <v>0</v>
      </c>
      <c r="N38" s="31"/>
      <c r="O38" s="31"/>
      <c r="P38" s="31"/>
      <c r="Q38" s="31">
        <f t="shared" si="1"/>
        <v>0</v>
      </c>
      <c r="R38" s="32">
        <v>2400</v>
      </c>
      <c r="S38" s="64" t="s">
        <v>67</v>
      </c>
      <c r="T38" s="33"/>
      <c r="U38" s="83" t="s">
        <v>147</v>
      </c>
      <c r="V38" s="65"/>
      <c r="W38" s="35" t="str">
        <f>IF(Table135[[#This Row],[Total Funds]]=SUM(Table135[[#This Row],[Total Personnel]:[Total Non-personnel]]),"","Check")</f>
        <v/>
      </c>
    </row>
    <row r="39" spans="1:23" ht="60" x14ac:dyDescent="0.2">
      <c r="A39" s="25">
        <v>3</v>
      </c>
      <c r="B39" s="26">
        <v>1</v>
      </c>
      <c r="C39" s="27" t="s">
        <v>66</v>
      </c>
      <c r="D39" s="28"/>
      <c r="E39" s="29"/>
      <c r="F39" s="28"/>
      <c r="G39" s="28"/>
      <c r="H39" s="28"/>
      <c r="I39" s="28"/>
      <c r="J39" s="30" t="str">
        <f t="shared" si="0"/>
        <v/>
      </c>
      <c r="K39" s="71"/>
      <c r="L39" s="31"/>
      <c r="M39" s="31">
        <f>+Table135[[#This Row],[Total Personnel]]+Table135[[#This Row],[Total Non-personnel]]</f>
        <v>0</v>
      </c>
      <c r="N39" s="31"/>
      <c r="O39" s="31"/>
      <c r="P39" s="31"/>
      <c r="Q39" s="31">
        <f t="shared" si="1"/>
        <v>0</v>
      </c>
      <c r="R39" s="32">
        <v>3000</v>
      </c>
      <c r="S39" s="64" t="s">
        <v>68</v>
      </c>
      <c r="T39" s="33"/>
      <c r="U39" s="64"/>
      <c r="V39" s="65"/>
      <c r="W39" s="35" t="str">
        <f>IF(Table135[[#This Row],[Total Funds]]=SUM(Table135[[#This Row],[Total Personnel]:[Total Non-personnel]]),"","Check")</f>
        <v/>
      </c>
    </row>
    <row r="40" spans="1:23" ht="75" x14ac:dyDescent="0.2">
      <c r="A40" s="25">
        <v>3</v>
      </c>
      <c r="B40" s="26">
        <v>1</v>
      </c>
      <c r="C40" s="27" t="s">
        <v>66</v>
      </c>
      <c r="D40" s="28"/>
      <c r="E40" s="29"/>
      <c r="F40" s="28"/>
      <c r="G40" s="28"/>
      <c r="H40" s="28"/>
      <c r="I40" s="28"/>
      <c r="J40" s="30">
        <f t="shared" si="0"/>
        <v>1</v>
      </c>
      <c r="K40" s="71">
        <v>33930</v>
      </c>
      <c r="L40" s="31"/>
      <c r="M40" s="31">
        <f>+Table135[[#This Row],[Total Personnel]]+Table135[[#This Row],[Total Non-personnel]]</f>
        <v>33930</v>
      </c>
      <c r="N40" s="31"/>
      <c r="O40" s="31"/>
      <c r="P40" s="31"/>
      <c r="Q40" s="31">
        <f t="shared" si="1"/>
        <v>33930</v>
      </c>
      <c r="R40" s="32">
        <v>2400</v>
      </c>
      <c r="S40" s="64" t="s">
        <v>69</v>
      </c>
      <c r="T40" s="33"/>
      <c r="U40" s="64" t="s">
        <v>148</v>
      </c>
      <c r="V40" s="65"/>
      <c r="W40" s="35" t="str">
        <f>IF(Table135[[#This Row],[Total Funds]]=SUM(Table135[[#This Row],[Total Personnel]:[Total Non-personnel]]),"","Check")</f>
        <v/>
      </c>
    </row>
    <row r="41" spans="1:23" ht="60.75" thickBot="1" x14ac:dyDescent="0.25">
      <c r="A41" s="36">
        <v>3</v>
      </c>
      <c r="B41" s="37">
        <v>1</v>
      </c>
      <c r="C41" s="38" t="s">
        <v>66</v>
      </c>
      <c r="D41" s="39"/>
      <c r="E41" s="46"/>
      <c r="F41" s="39"/>
      <c r="G41" s="39"/>
      <c r="H41" s="39"/>
      <c r="I41" s="39"/>
      <c r="J41" s="40">
        <f t="shared" si="0"/>
        <v>1</v>
      </c>
      <c r="K41" s="72">
        <f>+K40*0.25</f>
        <v>8482.5</v>
      </c>
      <c r="L41" s="41"/>
      <c r="M41" s="41">
        <f>+Table135[[#This Row],[Total Personnel]]+Table135[[#This Row],[Total Non-personnel]]</f>
        <v>8482.5</v>
      </c>
      <c r="N41" s="41"/>
      <c r="O41" s="41"/>
      <c r="P41" s="41"/>
      <c r="Q41" s="41">
        <f t="shared" si="1"/>
        <v>8482.5</v>
      </c>
      <c r="R41" s="42">
        <v>3000</v>
      </c>
      <c r="S41" s="48" t="s">
        <v>70</v>
      </c>
      <c r="T41" s="43"/>
      <c r="U41" s="48"/>
      <c r="V41" s="67"/>
      <c r="W41" s="45" t="str">
        <f>IF(Table135[[#This Row],[Total Funds]]=SUM(Table135[[#This Row],[Total Personnel]:[Total Non-personnel]]),"","Check")</f>
        <v/>
      </c>
    </row>
    <row r="42" spans="1:23" ht="60" x14ac:dyDescent="0.2">
      <c r="A42" s="14">
        <v>3</v>
      </c>
      <c r="B42" s="15">
        <v>2</v>
      </c>
      <c r="C42" s="16" t="s">
        <v>71</v>
      </c>
      <c r="D42" s="17"/>
      <c r="E42" s="18"/>
      <c r="F42" s="17"/>
      <c r="G42" s="17"/>
      <c r="H42" s="17"/>
      <c r="I42" s="17"/>
      <c r="J42" s="19">
        <f t="shared" si="0"/>
        <v>1</v>
      </c>
      <c r="K42" s="20">
        <f>18870+17483*3</f>
        <v>71319</v>
      </c>
      <c r="L42" s="20"/>
      <c r="M42" s="20">
        <f>+Table135[[#This Row],[Total Personnel]]+Table135[[#This Row],[Total Non-personnel]]</f>
        <v>71319</v>
      </c>
      <c r="N42" s="20"/>
      <c r="O42" s="20"/>
      <c r="P42" s="20"/>
      <c r="Q42" s="20">
        <f t="shared" si="1"/>
        <v>71319</v>
      </c>
      <c r="R42" s="21">
        <v>2900</v>
      </c>
      <c r="S42" s="47" t="s">
        <v>72</v>
      </c>
      <c r="T42" s="22"/>
      <c r="U42" s="21"/>
      <c r="V42" s="23"/>
      <c r="W42" s="24" t="str">
        <f>IF(Table135[[#This Row],[Total Funds]]=SUM(Table135[[#This Row],[Total Personnel]:[Total Non-personnel]]),"","Check")</f>
        <v/>
      </c>
    </row>
    <row r="43" spans="1:23" ht="60" x14ac:dyDescent="0.2">
      <c r="A43" s="25">
        <v>3</v>
      </c>
      <c r="B43" s="26">
        <v>2</v>
      </c>
      <c r="C43" s="27" t="s">
        <v>71</v>
      </c>
      <c r="D43" s="28"/>
      <c r="E43" s="29"/>
      <c r="F43" s="28"/>
      <c r="G43" s="28"/>
      <c r="H43" s="28"/>
      <c r="I43" s="28"/>
      <c r="J43" s="30">
        <f t="shared" si="0"/>
        <v>1</v>
      </c>
      <c r="K43" s="31">
        <f>+K42*0.25</f>
        <v>17829.75</v>
      </c>
      <c r="L43" s="31"/>
      <c r="M43" s="31">
        <f>+Table135[[#This Row],[Total Personnel]]+Table135[[#This Row],[Total Non-personnel]]</f>
        <v>17829.75</v>
      </c>
      <c r="N43" s="31"/>
      <c r="O43" s="31"/>
      <c r="P43" s="31"/>
      <c r="Q43" s="31">
        <f t="shared" si="1"/>
        <v>17829.75</v>
      </c>
      <c r="R43" s="32">
        <v>3000</v>
      </c>
      <c r="S43" s="64" t="s">
        <v>73</v>
      </c>
      <c r="T43" s="33"/>
      <c r="U43" s="32"/>
      <c r="V43" s="34"/>
      <c r="W43" s="35" t="str">
        <f>IF(Table135[[#This Row],[Total Funds]]=SUM(Table135[[#This Row],[Total Personnel]:[Total Non-personnel]]),"","Check")</f>
        <v/>
      </c>
    </row>
    <row r="44" spans="1:23" ht="60" x14ac:dyDescent="0.2">
      <c r="A44" s="25">
        <v>3</v>
      </c>
      <c r="B44" s="26">
        <v>2</v>
      </c>
      <c r="C44" s="27" t="s">
        <v>71</v>
      </c>
      <c r="D44" s="28"/>
      <c r="E44" s="29"/>
      <c r="F44" s="28"/>
      <c r="G44" s="28"/>
      <c r="H44" s="28"/>
      <c r="I44" s="28"/>
      <c r="J44" s="30">
        <f t="shared" si="0"/>
        <v>0</v>
      </c>
      <c r="K44" s="31"/>
      <c r="L44" s="31">
        <v>53172</v>
      </c>
      <c r="M44" s="63"/>
      <c r="N44" s="31">
        <f>+Table135[[#This Row],[Total Personnel]]+Table135[[#This Row],[Total Non-personnel]]</f>
        <v>53172</v>
      </c>
      <c r="O44" s="31"/>
      <c r="P44" s="31"/>
      <c r="Q44" s="31">
        <f>IF(SUM(N44:P44)="","",SUM(N44:P44))</f>
        <v>53172</v>
      </c>
      <c r="R44" s="32">
        <v>5844</v>
      </c>
      <c r="S44" s="64" t="s">
        <v>74</v>
      </c>
      <c r="T44" s="73" t="s">
        <v>74</v>
      </c>
      <c r="U44" s="32"/>
      <c r="V44" s="34"/>
      <c r="W44" s="35" t="str">
        <f>IF(Table135[[#This Row],[Total Funds]]=SUM(Table135[[#This Row],[Total Personnel]:[Total Non-personnel]]),"","Check")</f>
        <v/>
      </c>
    </row>
    <row r="45" spans="1:23" x14ac:dyDescent="0.2">
      <c r="C45" s="6"/>
      <c r="E45" s="2"/>
      <c r="J45" s="75"/>
      <c r="K45" s="76"/>
      <c r="L45" s="76"/>
      <c r="M45" s="76">
        <f>SUBTOTAL(109,Table135[LCFF Funds])</f>
        <v>2210681</v>
      </c>
      <c r="N45" s="76"/>
      <c r="O45" s="76"/>
      <c r="P45" s="76"/>
      <c r="Q45" s="76"/>
      <c r="R45" s="77"/>
      <c r="S45" s="77"/>
      <c r="T45" s="78"/>
      <c r="U45" s="77"/>
      <c r="V45" s="77"/>
      <c r="W45" s="78"/>
    </row>
  </sheetData>
  <dataValidations count="1">
    <dataValidation type="list" allowBlank="1" showInputMessage="1" showErrorMessage="1" sqref="F3:F44">
      <formula1>#REF!</formula1>
    </dataValidation>
  </dataValidations>
  <pageMargins left="0.7" right="0.7" top="0.75" bottom="0.75" header="0.3" footer="0.3"/>
  <pageSetup paperSize="5" scale="54" fitToHeight="0" orientation="landscape" r:id="rId1"/>
  <headerFooter>
    <oddHeader>&amp;CDRAFT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topLeftCell="A37" zoomScaleNormal="100" workbookViewId="0">
      <selection activeCell="S27" sqref="S27"/>
    </sheetView>
  </sheetViews>
  <sheetFormatPr defaultColWidth="9" defaultRowHeight="15" outlineLevelCol="2" x14ac:dyDescent="0.2"/>
  <cols>
    <col min="1" max="1" width="7.875" style="2" customWidth="1"/>
    <col min="2" max="2" width="11.25" style="2" bestFit="1" customWidth="1"/>
    <col min="3" max="3" width="43.625" style="3" bestFit="1" customWidth="1"/>
    <col min="4" max="4" width="18.25" style="2" hidden="1" customWidth="1" outlineLevel="1"/>
    <col min="5" max="5" width="17.125" style="3" customWidth="1" collapsed="1"/>
    <col min="6" max="6" width="23" style="3" hidden="1" customWidth="1" outlineLevel="1"/>
    <col min="7" max="7" width="14.625" style="3" hidden="1" customWidth="1" outlineLevel="1"/>
    <col min="8" max="8" width="12.875" style="3" hidden="1" customWidth="1" outlineLevel="2" collapsed="1"/>
    <col min="9" max="9" width="14" style="3" hidden="1" customWidth="1" outlineLevel="2"/>
    <col min="10" max="10" width="13.625" style="3" hidden="1" customWidth="1" outlineLevel="1"/>
    <col min="11" max="11" width="16.25" style="3" customWidth="1" collapsed="1"/>
    <col min="12" max="12" width="16.25" style="3" customWidth="1"/>
    <col min="13" max="16" width="16.25" style="3" hidden="1" customWidth="1" outlineLevel="1"/>
    <col min="17" max="17" width="16.25" style="3" customWidth="1" collapsed="1"/>
    <col min="18" max="18" width="16.25" style="3" customWidth="1"/>
    <col min="19" max="19" width="16.25" style="6" customWidth="1"/>
    <col min="20" max="20" width="16.25" style="3" customWidth="1"/>
    <col min="21" max="21" width="24.75" style="3" customWidth="1"/>
    <col min="22" max="22" width="28.75" style="3" customWidth="1"/>
    <col min="23" max="23" width="9" style="3" customWidth="1"/>
    <col min="24" max="24" width="9.375" style="3" bestFit="1" customWidth="1"/>
    <col min="25" max="16384" width="9" style="3"/>
  </cols>
  <sheetData>
    <row r="1" spans="1:23" ht="26.25" x14ac:dyDescent="0.2">
      <c r="A1" s="1"/>
    </row>
    <row r="2" spans="1:23" s="6" customFormat="1" ht="60.75" thickBo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25</v>
      </c>
      <c r="U2" s="4" t="s">
        <v>28</v>
      </c>
      <c r="V2" s="4" t="s">
        <v>79</v>
      </c>
      <c r="W2" s="5" t="s">
        <v>19</v>
      </c>
    </row>
    <row r="3" spans="1:23" x14ac:dyDescent="0.2">
      <c r="A3" s="14">
        <v>1</v>
      </c>
      <c r="B3" s="15">
        <v>1</v>
      </c>
      <c r="C3" s="16" t="s">
        <v>22</v>
      </c>
      <c r="D3" s="17"/>
      <c r="E3" s="18"/>
      <c r="F3" s="17"/>
      <c r="G3" s="17"/>
      <c r="H3" s="17" t="s">
        <v>20</v>
      </c>
      <c r="I3" s="17" t="s">
        <v>21</v>
      </c>
      <c r="J3" s="19">
        <f t="shared" ref="J3:J47" si="0">IF(Q3&gt;0,K3/Q3,"")</f>
        <v>1</v>
      </c>
      <c r="K3" s="20">
        <v>16240</v>
      </c>
      <c r="L3" s="20"/>
      <c r="M3" s="20">
        <f>+Table136[[#This Row],[Total Personnel]]+Table136[[#This Row],[Total Non-personnel]]</f>
        <v>16240</v>
      </c>
      <c r="N3" s="20"/>
      <c r="O3" s="20"/>
      <c r="P3" s="20"/>
      <c r="Q3" s="20">
        <f t="shared" ref="Q3:Q46" si="1">IF(SUM(M3:P3)="","",SUM(M3:P3))</f>
        <v>16240</v>
      </c>
      <c r="R3" s="21">
        <v>1175</v>
      </c>
      <c r="S3" s="21" t="s">
        <v>23</v>
      </c>
      <c r="T3" s="22"/>
      <c r="U3" s="21"/>
      <c r="V3" s="23"/>
      <c r="W3" s="24" t="str">
        <f>IF(Table136[[#This Row],[Total Funds]]=SUM(Table136[[#This Row],[Total Personnel]:[Total Non-personnel]]),"","Check")</f>
        <v/>
      </c>
    </row>
    <row r="4" spans="1:23" x14ac:dyDescent="0.2">
      <c r="A4" s="25">
        <v>1</v>
      </c>
      <c r="B4" s="26">
        <v>1</v>
      </c>
      <c r="C4" s="27" t="s">
        <v>22</v>
      </c>
      <c r="D4" s="28"/>
      <c r="E4" s="29"/>
      <c r="F4" s="28"/>
      <c r="G4" s="28"/>
      <c r="H4" s="28" t="s">
        <v>20</v>
      </c>
      <c r="I4" s="28" t="s">
        <v>21</v>
      </c>
      <c r="J4" s="30">
        <f t="shared" si="0"/>
        <v>1</v>
      </c>
      <c r="K4" s="31">
        <f>16240*0.25</f>
        <v>4060</v>
      </c>
      <c r="L4" s="31"/>
      <c r="M4" s="31">
        <f>+Table136[[#This Row],[Total Personnel]]+Table136[[#This Row],[Total Non-personnel]]</f>
        <v>4060</v>
      </c>
      <c r="N4" s="31"/>
      <c r="O4" s="31"/>
      <c r="P4" s="31"/>
      <c r="Q4" s="31">
        <f t="shared" si="1"/>
        <v>4060</v>
      </c>
      <c r="R4" s="32">
        <v>3000</v>
      </c>
      <c r="S4" s="32" t="s">
        <v>24</v>
      </c>
      <c r="T4" s="33"/>
      <c r="U4" s="32"/>
      <c r="V4" s="34"/>
      <c r="W4" s="35" t="str">
        <f>IF(Table136[[#This Row],[Total Funds]]=SUM(Table136[[#This Row],[Total Personnel]:[Total Non-personnel]]),"","Check")</f>
        <v/>
      </c>
    </row>
    <row r="5" spans="1:23" x14ac:dyDescent="0.2">
      <c r="A5" s="25">
        <v>1</v>
      </c>
      <c r="B5" s="26">
        <v>1</v>
      </c>
      <c r="C5" s="27" t="s">
        <v>22</v>
      </c>
      <c r="D5" s="28"/>
      <c r="E5" s="26"/>
      <c r="F5" s="28"/>
      <c r="G5" s="28"/>
      <c r="H5" s="28" t="s">
        <v>20</v>
      </c>
      <c r="I5" s="28" t="s">
        <v>21</v>
      </c>
      <c r="J5" s="30" t="str">
        <f t="shared" si="0"/>
        <v/>
      </c>
      <c r="K5" s="31"/>
      <c r="L5" s="31"/>
      <c r="M5" s="31">
        <f>+Table136[[#This Row],[Total Personnel]]+Table136[[#This Row],[Total Non-personnel]]</f>
        <v>0</v>
      </c>
      <c r="N5" s="31"/>
      <c r="O5" s="31"/>
      <c r="P5" s="31"/>
      <c r="Q5" s="31">
        <f t="shared" si="1"/>
        <v>0</v>
      </c>
      <c r="R5" s="32">
        <v>1175</v>
      </c>
      <c r="S5" s="32" t="s">
        <v>26</v>
      </c>
      <c r="T5" s="33"/>
      <c r="U5" s="32" t="s">
        <v>29</v>
      </c>
      <c r="V5" s="34"/>
      <c r="W5" s="35" t="str">
        <f>IF(Table136[[#This Row],[Total Funds]]=SUM(Table136[[#This Row],[Total Personnel]:[Total Non-personnel]]),"","Check")</f>
        <v/>
      </c>
    </row>
    <row r="6" spans="1:23" ht="30" x14ac:dyDescent="0.2">
      <c r="A6" s="25">
        <v>1</v>
      </c>
      <c r="B6" s="26">
        <v>1</v>
      </c>
      <c r="C6" s="27" t="s">
        <v>22</v>
      </c>
      <c r="D6" s="28"/>
      <c r="E6" s="26"/>
      <c r="F6" s="28"/>
      <c r="G6" s="28"/>
      <c r="H6" s="28" t="s">
        <v>20</v>
      </c>
      <c r="I6" s="28" t="s">
        <v>21</v>
      </c>
      <c r="J6" s="30" t="str">
        <f t="shared" si="0"/>
        <v/>
      </c>
      <c r="K6" s="31"/>
      <c r="L6" s="31"/>
      <c r="M6" s="31">
        <f>+Table136[[#This Row],[Total Personnel]]+Table136[[#This Row],[Total Non-personnel]]</f>
        <v>0</v>
      </c>
      <c r="N6" s="31"/>
      <c r="O6" s="31"/>
      <c r="P6" s="31"/>
      <c r="Q6" s="31">
        <f t="shared" si="1"/>
        <v>0</v>
      </c>
      <c r="R6" s="32">
        <v>3000</v>
      </c>
      <c r="S6" s="32" t="s">
        <v>27</v>
      </c>
      <c r="T6" s="33"/>
      <c r="U6" s="32" t="s">
        <v>29</v>
      </c>
      <c r="V6" s="34"/>
      <c r="W6" s="35" t="str">
        <f>IF(Table136[[#This Row],[Total Funds]]=SUM(Table136[[#This Row],[Total Personnel]:[Total Non-personnel]]),"","Check")</f>
        <v/>
      </c>
    </row>
    <row r="7" spans="1:23" ht="45" x14ac:dyDescent="0.2">
      <c r="A7" s="25">
        <v>1</v>
      </c>
      <c r="B7" s="26">
        <v>1</v>
      </c>
      <c r="C7" s="27" t="s">
        <v>22</v>
      </c>
      <c r="D7" s="28"/>
      <c r="E7" s="26"/>
      <c r="F7" s="28"/>
      <c r="G7" s="28"/>
      <c r="H7" s="28"/>
      <c r="I7" s="28"/>
      <c r="J7" s="30" t="str">
        <f>IF(Q7&gt;0,K7/Q7,"")</f>
        <v/>
      </c>
      <c r="K7" s="31">
        <f>69955+63036</f>
        <v>132991</v>
      </c>
      <c r="L7" s="31"/>
      <c r="M7" s="31"/>
      <c r="N7" s="31"/>
      <c r="O7" s="31"/>
      <c r="P7" s="31"/>
      <c r="Q7" s="31">
        <f>IF(SUM(M7:P7)="","",SUM(M7:P7))</f>
        <v>0</v>
      </c>
      <c r="R7" s="32">
        <v>1300</v>
      </c>
      <c r="S7" s="64" t="s">
        <v>98</v>
      </c>
      <c r="T7" s="33"/>
      <c r="U7" s="96" t="s">
        <v>168</v>
      </c>
      <c r="V7" s="34"/>
      <c r="W7" s="35" t="str">
        <f>IF(Table136[[#This Row],[Total Funds]]=SUM(Table136[[#This Row],[Total Personnel]:[Total Non-personnel]]),"","Check")</f>
        <v>Check</v>
      </c>
    </row>
    <row r="8" spans="1:23" ht="45.75" thickBot="1" x14ac:dyDescent="0.25">
      <c r="A8" s="25">
        <v>1</v>
      </c>
      <c r="B8" s="26">
        <v>1</v>
      </c>
      <c r="C8" s="27" t="s">
        <v>22</v>
      </c>
      <c r="D8" s="28"/>
      <c r="E8" s="26"/>
      <c r="F8" s="28"/>
      <c r="G8" s="28"/>
      <c r="H8" s="28"/>
      <c r="I8" s="28"/>
      <c r="J8" s="30" t="str">
        <f>IF(Q8&gt;0,K8/Q8,"")</f>
        <v/>
      </c>
      <c r="K8" s="31">
        <f>+K7*0.25</f>
        <v>33247.75</v>
      </c>
      <c r="L8" s="31"/>
      <c r="M8" s="31"/>
      <c r="N8" s="31"/>
      <c r="O8" s="31"/>
      <c r="P8" s="31"/>
      <c r="Q8" s="31">
        <f>IF(SUM(M8:P8)="","",SUM(M8:P8))</f>
        <v>0</v>
      </c>
      <c r="R8" s="32">
        <v>3000</v>
      </c>
      <c r="S8" s="64" t="s">
        <v>99</v>
      </c>
      <c r="T8" s="33"/>
      <c r="U8" s="32"/>
      <c r="V8" s="34"/>
      <c r="W8" s="35" t="str">
        <f>IF(Table136[[#This Row],[Total Funds]]=SUM(Table136[[#This Row],[Total Personnel]:[Total Non-personnel]]),"","Check")</f>
        <v>Check</v>
      </c>
    </row>
    <row r="9" spans="1:23" ht="60" x14ac:dyDescent="0.2">
      <c r="A9" s="14">
        <v>1</v>
      </c>
      <c r="B9" s="15">
        <v>2</v>
      </c>
      <c r="C9" s="16" t="s">
        <v>30</v>
      </c>
      <c r="D9" s="17"/>
      <c r="E9" s="18"/>
      <c r="F9" s="17"/>
      <c r="G9" s="17"/>
      <c r="H9" s="17" t="s">
        <v>20</v>
      </c>
      <c r="I9" s="17" t="s">
        <v>21</v>
      </c>
      <c r="J9" s="19">
        <f t="shared" si="0"/>
        <v>1</v>
      </c>
      <c r="K9" s="20">
        <f>94554+92453+93833</f>
        <v>280840</v>
      </c>
      <c r="L9" s="20"/>
      <c r="M9" s="20">
        <f>+Table136[[#This Row],[Total Personnel]]+Table136[[#This Row],[Total Non-personnel]]</f>
        <v>280840</v>
      </c>
      <c r="N9" s="20"/>
      <c r="O9" s="20"/>
      <c r="P9" s="20"/>
      <c r="Q9" s="20">
        <f t="shared" si="1"/>
        <v>280840</v>
      </c>
      <c r="R9" s="21">
        <v>1300</v>
      </c>
      <c r="S9" s="21" t="s">
        <v>31</v>
      </c>
      <c r="T9" s="22"/>
      <c r="U9" s="21" t="s">
        <v>87</v>
      </c>
      <c r="V9" s="23"/>
      <c r="W9" s="24" t="str">
        <f>IF(Table136[[#This Row],[Total Funds]]=SUM(Table136[[#This Row],[Total Personnel]:[Total Non-personnel]]),"","Check")</f>
        <v/>
      </c>
    </row>
    <row r="10" spans="1:23" ht="60.75" thickBot="1" x14ac:dyDescent="0.25">
      <c r="A10" s="36">
        <v>1</v>
      </c>
      <c r="B10" s="37">
        <v>2</v>
      </c>
      <c r="C10" s="38" t="s">
        <v>30</v>
      </c>
      <c r="D10" s="39"/>
      <c r="E10" s="46"/>
      <c r="F10" s="39"/>
      <c r="G10" s="39"/>
      <c r="H10" s="39" t="s">
        <v>20</v>
      </c>
      <c r="I10" s="39" t="s">
        <v>21</v>
      </c>
      <c r="J10" s="40">
        <f t="shared" si="0"/>
        <v>1</v>
      </c>
      <c r="K10" s="41">
        <f>+K9*0.25</f>
        <v>70210</v>
      </c>
      <c r="L10" s="41"/>
      <c r="M10" s="41">
        <f>+Table136[[#This Row],[Total Personnel]]+Table136[[#This Row],[Total Non-personnel]]</f>
        <v>70210</v>
      </c>
      <c r="N10" s="41"/>
      <c r="O10" s="41"/>
      <c r="P10" s="41"/>
      <c r="Q10" s="41">
        <f t="shared" si="1"/>
        <v>70210</v>
      </c>
      <c r="R10" s="42">
        <v>3000</v>
      </c>
      <c r="S10" s="42" t="s">
        <v>32</v>
      </c>
      <c r="T10" s="43"/>
      <c r="U10" s="42"/>
      <c r="V10" s="44"/>
      <c r="W10" s="45" t="str">
        <f>IF(Table136[[#This Row],[Total Funds]]=SUM(Table136[[#This Row],[Total Personnel]:[Total Non-personnel]]),"","Check")</f>
        <v/>
      </c>
    </row>
    <row r="11" spans="1:23" ht="105" x14ac:dyDescent="0.2">
      <c r="A11" s="14">
        <v>1</v>
      </c>
      <c r="B11" s="15">
        <v>3</v>
      </c>
      <c r="C11" s="16" t="s">
        <v>91</v>
      </c>
      <c r="D11" s="17"/>
      <c r="E11" s="18"/>
      <c r="F11" s="17"/>
      <c r="G11" s="17"/>
      <c r="H11" s="17" t="s">
        <v>20</v>
      </c>
      <c r="I11" s="17" t="s">
        <v>21</v>
      </c>
      <c r="J11" s="19">
        <f t="shared" si="0"/>
        <v>1</v>
      </c>
      <c r="K11" s="20">
        <f>65363+90504</f>
        <v>155867</v>
      </c>
      <c r="L11" s="20"/>
      <c r="M11" s="20">
        <f>+Table136[[#This Row],[Total Personnel]]+Table136[[#This Row],[Total Non-personnel]]</f>
        <v>155867</v>
      </c>
      <c r="N11" s="20"/>
      <c r="O11" s="20"/>
      <c r="P11" s="20"/>
      <c r="Q11" s="20">
        <f t="shared" si="1"/>
        <v>155867</v>
      </c>
      <c r="R11" s="21">
        <v>1110</v>
      </c>
      <c r="S11" s="47" t="s">
        <v>33</v>
      </c>
      <c r="T11" s="22"/>
      <c r="U11" s="91" t="s">
        <v>169</v>
      </c>
      <c r="V11" s="23"/>
      <c r="W11" s="24" t="str">
        <f>IF(Table136[[#This Row],[Total Funds]]=SUM(Table136[[#This Row],[Total Personnel]:[Total Non-personnel]]),"","Check")</f>
        <v/>
      </c>
    </row>
    <row r="12" spans="1:23" ht="30.75" thickBot="1" x14ac:dyDescent="0.25">
      <c r="A12" s="36">
        <v>1</v>
      </c>
      <c r="B12" s="37">
        <v>3</v>
      </c>
      <c r="C12" s="38" t="s">
        <v>91</v>
      </c>
      <c r="D12" s="39"/>
      <c r="E12" s="46"/>
      <c r="F12" s="39"/>
      <c r="G12" s="39"/>
      <c r="H12" s="39" t="s">
        <v>20</v>
      </c>
      <c r="I12" s="39" t="s">
        <v>21</v>
      </c>
      <c r="J12" s="40">
        <f t="shared" si="0"/>
        <v>1</v>
      </c>
      <c r="K12" s="41">
        <f>+K11*0.25</f>
        <v>38966.75</v>
      </c>
      <c r="L12" s="41"/>
      <c r="M12" s="41">
        <f>+Table136[[#This Row],[Total Personnel]]+Table136[[#This Row],[Total Non-personnel]]</f>
        <v>38966.75</v>
      </c>
      <c r="N12" s="41"/>
      <c r="O12" s="41"/>
      <c r="P12" s="41"/>
      <c r="Q12" s="41">
        <f t="shared" si="1"/>
        <v>38966.75</v>
      </c>
      <c r="R12" s="42">
        <v>3000</v>
      </c>
      <c r="S12" s="48" t="s">
        <v>34</v>
      </c>
      <c r="T12" s="43"/>
      <c r="U12" s="42"/>
      <c r="V12" s="44"/>
      <c r="W12" s="45" t="str">
        <f>IF(Table136[[#This Row],[Total Funds]]=SUM(Table136[[#This Row],[Total Personnel]:[Total Non-personnel]]),"","Check")</f>
        <v/>
      </c>
    </row>
    <row r="13" spans="1:23" ht="15.75" thickBot="1" x14ac:dyDescent="0.25">
      <c r="A13" s="49">
        <v>1</v>
      </c>
      <c r="B13" s="50">
        <v>4</v>
      </c>
      <c r="C13" s="51"/>
      <c r="D13" s="52"/>
      <c r="E13" s="53"/>
      <c r="F13" s="52"/>
      <c r="G13" s="52"/>
      <c r="H13" s="52" t="s">
        <v>20</v>
      </c>
      <c r="I13" s="52" t="s">
        <v>21</v>
      </c>
      <c r="J13" s="54" t="str">
        <f t="shared" si="0"/>
        <v/>
      </c>
      <c r="K13" s="55"/>
      <c r="L13" s="55"/>
      <c r="M13" s="55">
        <f>+Table136[[#This Row],[Total Personnel]]+Table136[[#This Row],[Total Non-personnel]]</f>
        <v>0</v>
      </c>
      <c r="N13" s="55"/>
      <c r="O13" s="55"/>
      <c r="P13" s="55"/>
      <c r="Q13" s="55">
        <f t="shared" si="1"/>
        <v>0</v>
      </c>
      <c r="R13" s="56"/>
      <c r="S13" s="56"/>
      <c r="T13" s="57"/>
      <c r="U13" s="58" t="s">
        <v>35</v>
      </c>
      <c r="V13" s="59"/>
      <c r="W13" s="60" t="str">
        <f>IF(Table136[[#This Row],[Total Funds]]=SUM(Table136[[#This Row],[Total Personnel]:[Total Non-personnel]]),"","Check")</f>
        <v/>
      </c>
    </row>
    <row r="14" spans="1:23" ht="30" x14ac:dyDescent="0.2">
      <c r="A14" s="14">
        <v>1</v>
      </c>
      <c r="B14" s="15">
        <v>5</v>
      </c>
      <c r="C14" s="16" t="s">
        <v>36</v>
      </c>
      <c r="D14" s="17"/>
      <c r="E14" s="18"/>
      <c r="F14" s="17"/>
      <c r="G14" s="17"/>
      <c r="H14" s="17" t="s">
        <v>20</v>
      </c>
      <c r="I14" s="17" t="s">
        <v>21</v>
      </c>
      <c r="J14" s="19">
        <f t="shared" si="0"/>
        <v>1</v>
      </c>
      <c r="K14" s="20">
        <v>170193</v>
      </c>
      <c r="L14" s="20"/>
      <c r="M14" s="61"/>
      <c r="N14" s="20"/>
      <c r="O14" s="20"/>
      <c r="P14" s="20">
        <f>+Table136[[#This Row],[Total Personnel]]+Table136[[#This Row],[Total Non-personnel]]</f>
        <v>170193</v>
      </c>
      <c r="Q14" s="20">
        <f t="shared" ref="Q14:Q19" si="2">IF(SUM(N14:P14)="","",SUM(N14:P14))</f>
        <v>170193</v>
      </c>
      <c r="R14" s="21">
        <v>1110</v>
      </c>
      <c r="S14" s="47" t="s">
        <v>37</v>
      </c>
      <c r="T14" s="22"/>
      <c r="U14" s="23"/>
      <c r="V14" s="23"/>
      <c r="W14" s="24" t="str">
        <f>IF(Table136[[#This Row],[Total Funds]]=SUM(Table136[[#This Row],[Total Personnel]:[Total Non-personnel]]),"","Check")</f>
        <v/>
      </c>
    </row>
    <row r="15" spans="1:23" ht="30" x14ac:dyDescent="0.2">
      <c r="A15" s="25">
        <v>1</v>
      </c>
      <c r="B15" s="26">
        <v>5</v>
      </c>
      <c r="C15" s="27" t="s">
        <v>36</v>
      </c>
      <c r="D15" s="28"/>
      <c r="E15" s="29"/>
      <c r="F15" s="28"/>
      <c r="G15" s="28"/>
      <c r="H15" s="28" t="s">
        <v>20</v>
      </c>
      <c r="I15" s="28" t="s">
        <v>21</v>
      </c>
      <c r="J15" s="30">
        <f t="shared" si="0"/>
        <v>1</v>
      </c>
      <c r="K15" s="31">
        <f>+K14*0.25</f>
        <v>42548.25</v>
      </c>
      <c r="L15" s="31"/>
      <c r="M15" s="63"/>
      <c r="N15" s="31"/>
      <c r="O15" s="31"/>
      <c r="P15" s="31">
        <f>+Table136[[#This Row],[Total Personnel]]+Table136[[#This Row],[Total Non-personnel]]</f>
        <v>42548.25</v>
      </c>
      <c r="Q15" s="31">
        <f t="shared" si="2"/>
        <v>42548.25</v>
      </c>
      <c r="R15" s="32">
        <v>3000</v>
      </c>
      <c r="S15" s="64" t="s">
        <v>38</v>
      </c>
      <c r="T15" s="33"/>
      <c r="U15" s="32"/>
      <c r="V15" s="34"/>
      <c r="W15" s="35" t="str">
        <f>IF(Table136[[#This Row],[Total Funds]]=SUM(Table136[[#This Row],[Total Personnel]:[Total Non-personnel]]),"","Check")</f>
        <v/>
      </c>
    </row>
    <row r="16" spans="1:23" ht="75" x14ac:dyDescent="0.2">
      <c r="A16" s="25">
        <v>1</v>
      </c>
      <c r="B16" s="26">
        <v>5</v>
      </c>
      <c r="C16" s="27" t="s">
        <v>36</v>
      </c>
      <c r="D16" s="28"/>
      <c r="E16" s="29"/>
      <c r="F16" s="28"/>
      <c r="G16" s="28"/>
      <c r="H16" s="28" t="s">
        <v>20</v>
      </c>
      <c r="I16" s="28" t="s">
        <v>21</v>
      </c>
      <c r="J16" s="30">
        <f t="shared" si="0"/>
        <v>0</v>
      </c>
      <c r="K16" s="31"/>
      <c r="L16" s="31">
        <v>20563</v>
      </c>
      <c r="M16" s="63"/>
      <c r="N16" s="31"/>
      <c r="O16" s="31"/>
      <c r="P16" s="31">
        <f>+Table136[[#This Row],[Total Personnel]]+Table136[[#This Row],[Total Non-personnel]]</f>
        <v>20563</v>
      </c>
      <c r="Q16" s="31">
        <f t="shared" si="2"/>
        <v>20563</v>
      </c>
      <c r="R16" s="64" t="s">
        <v>170</v>
      </c>
      <c r="S16" s="64" t="s">
        <v>39</v>
      </c>
      <c r="T16" s="33"/>
      <c r="U16" s="83" t="s">
        <v>171</v>
      </c>
      <c r="V16" s="65"/>
      <c r="W16" s="35" t="str">
        <f>IF(Table136[[#This Row],[Total Funds]]=SUM(Table136[[#This Row],[Total Personnel]:[Total Non-personnel]]),"","Check")</f>
        <v/>
      </c>
    </row>
    <row r="17" spans="1:23" ht="105" x14ac:dyDescent="0.2">
      <c r="A17" s="25">
        <v>1</v>
      </c>
      <c r="B17" s="26">
        <v>5</v>
      </c>
      <c r="C17" s="27" t="s">
        <v>36</v>
      </c>
      <c r="D17" s="28"/>
      <c r="E17" s="29"/>
      <c r="F17" s="28"/>
      <c r="G17" s="28"/>
      <c r="H17" s="28" t="s">
        <v>20</v>
      </c>
      <c r="I17" s="28" t="s">
        <v>21</v>
      </c>
      <c r="J17" s="30">
        <f t="shared" si="0"/>
        <v>1</v>
      </c>
      <c r="K17" s="31">
        <v>24281</v>
      </c>
      <c r="L17" s="31"/>
      <c r="M17" s="63"/>
      <c r="N17" s="31"/>
      <c r="O17" s="31"/>
      <c r="P17" s="31">
        <f>+Table136[[#This Row],[Total Personnel]]+Table136[[#This Row],[Total Non-personnel]]</f>
        <v>24281</v>
      </c>
      <c r="Q17" s="31">
        <f t="shared" si="2"/>
        <v>24281</v>
      </c>
      <c r="R17" s="64">
        <v>2111</v>
      </c>
      <c r="S17" s="96" t="s">
        <v>173</v>
      </c>
      <c r="T17" s="33"/>
      <c r="U17" s="83" t="s">
        <v>172</v>
      </c>
      <c r="V17" s="65"/>
      <c r="W17" s="35" t="str">
        <f>IF(Table136[[#This Row],[Total Funds]]=SUM(Table136[[#This Row],[Total Personnel]:[Total Non-personnel]]),"","Check")</f>
        <v/>
      </c>
    </row>
    <row r="18" spans="1:23" ht="30" x14ac:dyDescent="0.2">
      <c r="A18" s="25">
        <v>1</v>
      </c>
      <c r="B18" s="26">
        <v>5</v>
      </c>
      <c r="C18" s="27" t="s">
        <v>36</v>
      </c>
      <c r="D18" s="28"/>
      <c r="E18" s="29"/>
      <c r="F18" s="28"/>
      <c r="G18" s="28"/>
      <c r="H18" s="28" t="s">
        <v>20</v>
      </c>
      <c r="I18" s="28" t="s">
        <v>21</v>
      </c>
      <c r="J18" s="30">
        <f t="shared" si="0"/>
        <v>1</v>
      </c>
      <c r="K18" s="31">
        <f>+K17*0.25</f>
        <v>6070.25</v>
      </c>
      <c r="L18" s="31"/>
      <c r="M18" s="63"/>
      <c r="N18" s="31"/>
      <c r="O18" s="31"/>
      <c r="P18" s="31">
        <f>+Table136[[#This Row],[Total Personnel]]+Table136[[#This Row],[Total Non-personnel]]</f>
        <v>6070.25</v>
      </c>
      <c r="Q18" s="31">
        <f t="shared" si="2"/>
        <v>6070.25</v>
      </c>
      <c r="R18" s="32">
        <v>3000</v>
      </c>
      <c r="S18" s="64" t="s">
        <v>41</v>
      </c>
      <c r="T18" s="33"/>
      <c r="U18" s="32"/>
      <c r="V18" s="34"/>
      <c r="W18" s="35" t="str">
        <f>IF(Table136[[#This Row],[Total Funds]]=SUM(Table136[[#This Row],[Total Personnel]:[Total Non-personnel]]),"","Check")</f>
        <v/>
      </c>
    </row>
    <row r="19" spans="1:23" ht="45.75" thickBot="1" x14ac:dyDescent="0.25">
      <c r="A19" s="36">
        <v>1</v>
      </c>
      <c r="B19" s="37">
        <v>5</v>
      </c>
      <c r="C19" s="38" t="s">
        <v>36</v>
      </c>
      <c r="D19" s="39"/>
      <c r="E19" s="46"/>
      <c r="F19" s="39"/>
      <c r="G19" s="39"/>
      <c r="H19" s="39" t="s">
        <v>20</v>
      </c>
      <c r="I19" s="39" t="s">
        <v>21</v>
      </c>
      <c r="J19" s="40">
        <f t="shared" si="0"/>
        <v>0</v>
      </c>
      <c r="K19" s="41"/>
      <c r="L19" s="41">
        <v>14700</v>
      </c>
      <c r="M19" s="66"/>
      <c r="N19" s="41"/>
      <c r="O19" s="41"/>
      <c r="P19" s="41">
        <f>+Table136[[#This Row],[Total Personnel]]+Table136[[#This Row],[Total Non-personnel]]</f>
        <v>14700</v>
      </c>
      <c r="Q19" s="41">
        <f t="shared" si="2"/>
        <v>14700</v>
      </c>
      <c r="R19" s="42">
        <v>4111</v>
      </c>
      <c r="S19" s="48" t="s">
        <v>42</v>
      </c>
      <c r="T19" s="43"/>
      <c r="U19" s="80" t="s">
        <v>100</v>
      </c>
      <c r="V19" s="67"/>
      <c r="W19" s="45" t="str">
        <f>IF(Table136[[#This Row],[Total Funds]]=SUM(Table136[[#This Row],[Total Personnel]:[Total Non-personnel]]),"","Check")</f>
        <v/>
      </c>
    </row>
    <row r="20" spans="1:23" ht="30" x14ac:dyDescent="0.2">
      <c r="A20" s="14">
        <v>2</v>
      </c>
      <c r="B20" s="15">
        <v>1</v>
      </c>
      <c r="C20" s="16" t="s">
        <v>43</v>
      </c>
      <c r="D20" s="17"/>
      <c r="E20" s="15"/>
      <c r="F20" s="17"/>
      <c r="G20" s="17"/>
      <c r="H20" s="17" t="s">
        <v>20</v>
      </c>
      <c r="I20" s="17" t="s">
        <v>21</v>
      </c>
      <c r="J20" s="19" t="str">
        <f t="shared" si="0"/>
        <v/>
      </c>
      <c r="K20" s="20"/>
      <c r="L20" s="20">
        <v>0</v>
      </c>
      <c r="M20" s="20">
        <f>+Table136[[#This Row],[Total Personnel]]+Table136[[#This Row],[Total Non-personnel]]</f>
        <v>0</v>
      </c>
      <c r="N20" s="20"/>
      <c r="O20" s="20"/>
      <c r="P20" s="20"/>
      <c r="Q20" s="20">
        <f t="shared" si="1"/>
        <v>0</v>
      </c>
      <c r="R20" s="21"/>
      <c r="S20" s="47" t="s">
        <v>44</v>
      </c>
      <c r="T20" s="22"/>
      <c r="U20" s="91" t="s">
        <v>163</v>
      </c>
      <c r="V20" s="68"/>
      <c r="W20" s="24" t="str">
        <f>IF(Table136[[#This Row],[Total Funds]]=SUM(Table136[[#This Row],[Total Personnel]:[Total Non-personnel]]),"","Check")</f>
        <v/>
      </c>
    </row>
    <row r="21" spans="1:23" x14ac:dyDescent="0.2">
      <c r="A21" s="25">
        <v>2</v>
      </c>
      <c r="B21" s="26">
        <v>1</v>
      </c>
      <c r="C21" s="27" t="s">
        <v>43</v>
      </c>
      <c r="D21" s="28"/>
      <c r="E21" s="29"/>
      <c r="F21" s="28"/>
      <c r="G21" s="28"/>
      <c r="H21" s="28" t="s">
        <v>20</v>
      </c>
      <c r="I21" s="28" t="s">
        <v>21</v>
      </c>
      <c r="J21" s="30">
        <f t="shared" si="0"/>
        <v>0</v>
      </c>
      <c r="K21" s="31"/>
      <c r="L21" s="31">
        <v>35000</v>
      </c>
      <c r="M21" s="31">
        <f>+Table136[[#This Row],[Total Personnel]]+Table136[[#This Row],[Total Non-personnel]]</f>
        <v>35000</v>
      </c>
      <c r="N21" s="31"/>
      <c r="O21" s="31"/>
      <c r="P21" s="31"/>
      <c r="Q21" s="31">
        <f t="shared" si="1"/>
        <v>35000</v>
      </c>
      <c r="R21" s="32">
        <v>5631</v>
      </c>
      <c r="S21" s="64" t="s">
        <v>45</v>
      </c>
      <c r="T21" s="33"/>
      <c r="U21" s="69" t="s">
        <v>78</v>
      </c>
      <c r="V21" s="65"/>
      <c r="W21" s="35" t="str">
        <f>IF(Table136[[#This Row],[Total Funds]]=SUM(Table136[[#This Row],[Total Personnel]:[Total Non-personnel]]),"","Check")</f>
        <v/>
      </c>
    </row>
    <row r="22" spans="1:23" ht="30" x14ac:dyDescent="0.2">
      <c r="A22" s="25">
        <v>2</v>
      </c>
      <c r="B22" s="26">
        <v>1</v>
      </c>
      <c r="C22" s="27" t="s">
        <v>43</v>
      </c>
      <c r="D22" s="28"/>
      <c r="E22" s="29"/>
      <c r="F22" s="28"/>
      <c r="G22" s="28"/>
      <c r="H22" s="28" t="s">
        <v>20</v>
      </c>
      <c r="I22" s="28" t="s">
        <v>21</v>
      </c>
      <c r="J22" s="30">
        <f t="shared" si="0"/>
        <v>0</v>
      </c>
      <c r="K22" s="31"/>
      <c r="L22" s="31">
        <v>6984</v>
      </c>
      <c r="M22" s="31">
        <f>+Table136[[#This Row],[Total Personnel]]+Table136[[#This Row],[Total Non-personnel]]</f>
        <v>6984</v>
      </c>
      <c r="N22" s="31"/>
      <c r="O22" s="31"/>
      <c r="P22" s="31"/>
      <c r="Q22" s="31">
        <f t="shared" si="1"/>
        <v>6984</v>
      </c>
      <c r="R22" s="32">
        <v>5599</v>
      </c>
      <c r="S22" s="64" t="s">
        <v>46</v>
      </c>
      <c r="T22" s="33"/>
      <c r="U22" s="32"/>
      <c r="V22" s="34"/>
      <c r="W22" s="35" t="str">
        <f>IF(Table136[[#This Row],[Total Funds]]=SUM(Table136[[#This Row],[Total Personnel]:[Total Non-personnel]]),"","Check")</f>
        <v/>
      </c>
    </row>
    <row r="23" spans="1:23" ht="30" x14ac:dyDescent="0.2">
      <c r="A23" s="25">
        <v>2</v>
      </c>
      <c r="B23" s="26">
        <v>1</v>
      </c>
      <c r="C23" s="27" t="s">
        <v>43</v>
      </c>
      <c r="D23" s="28"/>
      <c r="E23" s="29"/>
      <c r="F23" s="28"/>
      <c r="G23" s="28"/>
      <c r="H23" s="28" t="s">
        <v>20</v>
      </c>
      <c r="I23" s="28" t="s">
        <v>21</v>
      </c>
      <c r="J23" s="30">
        <f t="shared" si="0"/>
        <v>1</v>
      </c>
      <c r="K23" s="31">
        <f>36018+18270</f>
        <v>54288</v>
      </c>
      <c r="L23" s="31"/>
      <c r="M23" s="31">
        <f>+Table136[[#This Row],[Total Personnel]]+Table136[[#This Row],[Total Non-personnel]]</f>
        <v>54288</v>
      </c>
      <c r="N23" s="31"/>
      <c r="O23" s="31"/>
      <c r="P23" s="31"/>
      <c r="Q23" s="31">
        <f t="shared" si="1"/>
        <v>54288</v>
      </c>
      <c r="R23" s="32">
        <v>2200</v>
      </c>
      <c r="S23" s="64" t="s">
        <v>48</v>
      </c>
      <c r="T23" s="33"/>
      <c r="U23" s="32"/>
      <c r="V23" s="34"/>
      <c r="W23" s="35" t="str">
        <f>IF(Table136[[#This Row],[Total Funds]]=SUM(Table136[[#This Row],[Total Personnel]:[Total Non-personnel]]),"","Check")</f>
        <v/>
      </c>
    </row>
    <row r="24" spans="1:23" ht="30" x14ac:dyDescent="0.2">
      <c r="A24" s="25">
        <v>2</v>
      </c>
      <c r="B24" s="26">
        <v>1</v>
      </c>
      <c r="C24" s="27" t="s">
        <v>43</v>
      </c>
      <c r="D24" s="28"/>
      <c r="E24" s="29"/>
      <c r="F24" s="28"/>
      <c r="G24" s="28"/>
      <c r="H24" s="28" t="s">
        <v>20</v>
      </c>
      <c r="I24" s="28" t="s">
        <v>21</v>
      </c>
      <c r="J24" s="30">
        <f t="shared" si="0"/>
        <v>1</v>
      </c>
      <c r="K24" s="31">
        <f>+K23*0.25</f>
        <v>13572</v>
      </c>
      <c r="L24" s="31"/>
      <c r="M24" s="31">
        <f>+Table136[[#This Row],[Total Personnel]]+Table136[[#This Row],[Total Non-personnel]]</f>
        <v>13572</v>
      </c>
      <c r="N24" s="31"/>
      <c r="O24" s="31"/>
      <c r="P24" s="31"/>
      <c r="Q24" s="31">
        <f t="shared" si="1"/>
        <v>13572</v>
      </c>
      <c r="R24" s="32">
        <v>3000</v>
      </c>
      <c r="S24" s="64" t="s">
        <v>47</v>
      </c>
      <c r="T24" s="33"/>
      <c r="U24" s="32"/>
      <c r="V24" s="34"/>
      <c r="W24" s="35" t="str">
        <f>IF(Table136[[#This Row],[Total Funds]]=SUM(Table136[[#This Row],[Total Personnel]:[Total Non-personnel]]),"","Check")</f>
        <v/>
      </c>
    </row>
    <row r="25" spans="1:23" ht="30" x14ac:dyDescent="0.2">
      <c r="A25" s="25">
        <v>2</v>
      </c>
      <c r="B25" s="26">
        <v>1</v>
      </c>
      <c r="C25" s="27" t="s">
        <v>43</v>
      </c>
      <c r="D25" s="28"/>
      <c r="E25" s="29"/>
      <c r="F25" s="28"/>
      <c r="G25" s="28"/>
      <c r="H25" s="28" t="s">
        <v>20</v>
      </c>
      <c r="I25" s="28" t="s">
        <v>21</v>
      </c>
      <c r="J25" s="30">
        <f t="shared" si="0"/>
        <v>0</v>
      </c>
      <c r="K25" s="31"/>
      <c r="L25" s="31">
        <v>66723</v>
      </c>
      <c r="M25" s="31">
        <f>+Table136[[#This Row],[Total Personnel]]+Table136[[#This Row],[Total Non-personnel]]</f>
        <v>66723</v>
      </c>
      <c r="N25" s="31"/>
      <c r="O25" s="31"/>
      <c r="P25" s="31"/>
      <c r="Q25" s="31">
        <f t="shared" si="1"/>
        <v>66723</v>
      </c>
      <c r="R25" s="32">
        <v>5531</v>
      </c>
      <c r="S25" s="64" t="s">
        <v>49</v>
      </c>
      <c r="T25" s="33"/>
      <c r="U25" s="32"/>
      <c r="V25" s="34"/>
      <c r="W25" s="35" t="str">
        <f>IF(Table136[[#This Row],[Total Funds]]=SUM(Table136[[#This Row],[Total Personnel]:[Total Non-personnel]]),"","Check")</f>
        <v/>
      </c>
    </row>
    <row r="26" spans="1:23" ht="30" x14ac:dyDescent="0.2">
      <c r="A26" s="25">
        <v>2</v>
      </c>
      <c r="B26" s="26">
        <v>1</v>
      </c>
      <c r="C26" s="27" t="s">
        <v>43</v>
      </c>
      <c r="D26" s="28"/>
      <c r="E26" s="29"/>
      <c r="F26" s="28"/>
      <c r="G26" s="28"/>
      <c r="H26" s="28" t="s">
        <v>20</v>
      </c>
      <c r="I26" s="28" t="s">
        <v>21</v>
      </c>
      <c r="J26" s="30" t="str">
        <f t="shared" si="0"/>
        <v/>
      </c>
      <c r="K26" s="31"/>
      <c r="L26" s="31">
        <v>0</v>
      </c>
      <c r="M26" s="31">
        <f>+Table136[[#This Row],[Total Personnel]]+Table136[[#This Row],[Total Non-personnel]]</f>
        <v>0</v>
      </c>
      <c r="N26" s="31"/>
      <c r="O26" s="31"/>
      <c r="P26" s="31"/>
      <c r="Q26" s="31">
        <f t="shared" si="1"/>
        <v>0</v>
      </c>
      <c r="R26" s="32">
        <v>5521</v>
      </c>
      <c r="S26" s="64" t="s">
        <v>50</v>
      </c>
      <c r="T26" s="33"/>
      <c r="U26" s="83" t="s">
        <v>163</v>
      </c>
      <c r="V26" s="34"/>
      <c r="W26" s="35" t="str">
        <f>IF(Table136[[#This Row],[Total Funds]]=SUM(Table136[[#This Row],[Total Personnel]:[Total Non-personnel]]),"","Check")</f>
        <v/>
      </c>
    </row>
    <row r="27" spans="1:23" ht="45" x14ac:dyDescent="0.2">
      <c r="A27" s="25">
        <v>2</v>
      </c>
      <c r="B27" s="26">
        <v>1</v>
      </c>
      <c r="C27" s="27" t="s">
        <v>43</v>
      </c>
      <c r="D27" s="28"/>
      <c r="E27" s="29"/>
      <c r="F27" s="28"/>
      <c r="G27" s="28"/>
      <c r="H27" s="28" t="s">
        <v>20</v>
      </c>
      <c r="I27" s="28" t="s">
        <v>21</v>
      </c>
      <c r="J27" s="30">
        <f t="shared" si="0"/>
        <v>0</v>
      </c>
      <c r="K27" s="31"/>
      <c r="L27" s="71">
        <v>61898</v>
      </c>
      <c r="M27" s="31">
        <f>+Table136[[#This Row],[Total Personnel]]+Table136[[#This Row],[Total Non-personnel]]</f>
        <v>61898</v>
      </c>
      <c r="N27" s="31"/>
      <c r="O27" s="31"/>
      <c r="P27" s="31"/>
      <c r="Q27" s="31">
        <f t="shared" si="1"/>
        <v>61898</v>
      </c>
      <c r="R27" s="32">
        <v>4411</v>
      </c>
      <c r="S27" s="64" t="s">
        <v>51</v>
      </c>
      <c r="T27" s="33"/>
      <c r="U27" s="69" t="s">
        <v>174</v>
      </c>
      <c r="V27" s="65"/>
      <c r="W27" s="35" t="str">
        <f>IF(Table136[[#This Row],[Total Funds]]=SUM(Table136[[#This Row],[Total Personnel]:[Total Non-personnel]]),"","Check")</f>
        <v/>
      </c>
    </row>
    <row r="28" spans="1:23" x14ac:dyDescent="0.2">
      <c r="A28" s="25">
        <v>2</v>
      </c>
      <c r="B28" s="26">
        <v>1</v>
      </c>
      <c r="C28" s="27" t="s">
        <v>43</v>
      </c>
      <c r="D28" s="28"/>
      <c r="E28" s="29"/>
      <c r="F28" s="28"/>
      <c r="G28" s="28"/>
      <c r="H28" s="28" t="s">
        <v>20</v>
      </c>
      <c r="I28" s="28" t="s">
        <v>21</v>
      </c>
      <c r="J28" s="30">
        <f t="shared" si="0"/>
        <v>0</v>
      </c>
      <c r="K28" s="31"/>
      <c r="L28" s="71">
        <f>0.25*533202</f>
        <v>133300.5</v>
      </c>
      <c r="M28" s="31">
        <f>+Table136[[#This Row],[Total Personnel]]+Table136[[#This Row],[Total Non-personnel]]</f>
        <v>133300.5</v>
      </c>
      <c r="N28" s="31"/>
      <c r="O28" s="31"/>
      <c r="P28" s="31"/>
      <c r="Q28" s="31">
        <f t="shared" si="1"/>
        <v>133300.5</v>
      </c>
      <c r="R28" s="32">
        <v>5611</v>
      </c>
      <c r="S28" s="64" t="s">
        <v>52</v>
      </c>
      <c r="T28" s="33"/>
      <c r="U28" s="33"/>
      <c r="V28" s="34"/>
      <c r="W28" s="35" t="str">
        <f>IF(Table136[[#This Row],[Total Funds]]=SUM(Table136[[#This Row],[Total Personnel]:[Total Non-personnel]]),"","Check")</f>
        <v/>
      </c>
    </row>
    <row r="29" spans="1:23" ht="15.75" thickBot="1" x14ac:dyDescent="0.25">
      <c r="A29" s="36">
        <v>2</v>
      </c>
      <c r="B29" s="37">
        <v>1</v>
      </c>
      <c r="C29" s="38" t="s">
        <v>43</v>
      </c>
      <c r="D29" s="39"/>
      <c r="E29" s="46"/>
      <c r="F29" s="39"/>
      <c r="G29" s="39"/>
      <c r="H29" s="39" t="s">
        <v>20</v>
      </c>
      <c r="I29" s="39" t="s">
        <v>21</v>
      </c>
      <c r="J29" s="40">
        <f t="shared" si="0"/>
        <v>0</v>
      </c>
      <c r="K29" s="41"/>
      <c r="L29" s="72">
        <v>18000</v>
      </c>
      <c r="M29" s="41">
        <f>+Table136[[#This Row],[Total Personnel]]+Table136[[#This Row],[Total Non-personnel]]</f>
        <v>18000</v>
      </c>
      <c r="N29" s="41"/>
      <c r="O29" s="41"/>
      <c r="P29" s="41"/>
      <c r="Q29" s="41">
        <f t="shared" si="1"/>
        <v>18000</v>
      </c>
      <c r="R29" s="42">
        <v>4351</v>
      </c>
      <c r="S29" s="48" t="s">
        <v>53</v>
      </c>
      <c r="T29" s="43"/>
      <c r="U29" s="70" t="s">
        <v>78</v>
      </c>
      <c r="V29" s="67"/>
      <c r="W29" s="45" t="str">
        <f>IF(Table136[[#This Row],[Total Funds]]=SUM(Table136[[#This Row],[Total Personnel]:[Total Non-personnel]]),"","Check")</f>
        <v/>
      </c>
    </row>
    <row r="30" spans="1:23" ht="105" x14ac:dyDescent="0.2">
      <c r="A30" s="14">
        <v>2</v>
      </c>
      <c r="B30" s="15">
        <v>2</v>
      </c>
      <c r="C30" s="16" t="s">
        <v>54</v>
      </c>
      <c r="D30" s="17"/>
      <c r="E30" s="18"/>
      <c r="F30" s="17"/>
      <c r="G30" s="17"/>
      <c r="H30" s="17" t="s">
        <v>20</v>
      </c>
      <c r="I30" s="17" t="s">
        <v>21</v>
      </c>
      <c r="J30" s="19">
        <f t="shared" si="0"/>
        <v>1</v>
      </c>
      <c r="K30" s="20">
        <v>73588</v>
      </c>
      <c r="L30" s="20"/>
      <c r="M30" s="20">
        <f>+Table136[[#This Row],[Total Personnel]]+Table136[[#This Row],[Total Non-personnel]]</f>
        <v>73588</v>
      </c>
      <c r="N30" s="20"/>
      <c r="O30" s="20"/>
      <c r="P30" s="20"/>
      <c r="Q30" s="20">
        <f t="shared" si="1"/>
        <v>73588</v>
      </c>
      <c r="R30" s="21">
        <v>1110</v>
      </c>
      <c r="S30" s="47" t="s">
        <v>55</v>
      </c>
      <c r="T30" s="22"/>
      <c r="U30" s="47" t="s">
        <v>175</v>
      </c>
      <c r="V30" s="68"/>
      <c r="W30" s="24" t="str">
        <f>IF(Table136[[#This Row],[Total Funds]]=SUM(Table136[[#This Row],[Total Personnel]:[Total Non-personnel]]),"","Check")</f>
        <v/>
      </c>
    </row>
    <row r="31" spans="1:23" ht="45" x14ac:dyDescent="0.2">
      <c r="A31" s="25">
        <v>2</v>
      </c>
      <c r="B31" s="26">
        <v>2</v>
      </c>
      <c r="C31" s="27" t="s">
        <v>54</v>
      </c>
      <c r="D31" s="28"/>
      <c r="E31" s="29"/>
      <c r="F31" s="28"/>
      <c r="G31" s="28"/>
      <c r="H31" s="28" t="s">
        <v>20</v>
      </c>
      <c r="I31" s="28" t="s">
        <v>21</v>
      </c>
      <c r="J31" s="30">
        <f t="shared" si="0"/>
        <v>1</v>
      </c>
      <c r="K31" s="31">
        <f>+K30*0.25</f>
        <v>18397</v>
      </c>
      <c r="L31" s="31"/>
      <c r="M31" s="31">
        <f>+Table136[[#This Row],[Total Personnel]]+Table136[[#This Row],[Total Non-personnel]]</f>
        <v>18397</v>
      </c>
      <c r="N31" s="31"/>
      <c r="O31" s="31"/>
      <c r="P31" s="31"/>
      <c r="Q31" s="31">
        <f t="shared" si="1"/>
        <v>18397</v>
      </c>
      <c r="R31" s="32">
        <v>3000</v>
      </c>
      <c r="S31" s="64" t="s">
        <v>56</v>
      </c>
      <c r="T31" s="33"/>
      <c r="U31" s="64"/>
      <c r="V31" s="65"/>
      <c r="W31" s="35" t="str">
        <f>IF(Table136[[#This Row],[Total Funds]]=SUM(Table136[[#This Row],[Total Personnel]:[Total Non-personnel]]),"","Check")</f>
        <v/>
      </c>
    </row>
    <row r="32" spans="1:23" ht="45" x14ac:dyDescent="0.2">
      <c r="A32" s="25">
        <v>2</v>
      </c>
      <c r="B32" s="26">
        <v>2</v>
      </c>
      <c r="C32" s="27" t="s">
        <v>54</v>
      </c>
      <c r="D32" s="28"/>
      <c r="E32" s="29"/>
      <c r="F32" s="28"/>
      <c r="G32" s="28"/>
      <c r="H32" s="28"/>
      <c r="I32" s="28"/>
      <c r="J32" s="30">
        <f t="shared" si="0"/>
        <v>0</v>
      </c>
      <c r="K32" s="31"/>
      <c r="L32" s="71">
        <v>924523.95750898542</v>
      </c>
      <c r="M32" s="31">
        <f>+Table136[[#This Row],[Total Personnel]]+Table136[[#This Row],[Total Non-personnel]]</f>
        <v>924523.95750898542</v>
      </c>
      <c r="N32" s="31"/>
      <c r="O32" s="31"/>
      <c r="P32" s="31"/>
      <c r="Q32" s="31">
        <f t="shared" si="1"/>
        <v>924523.95750898542</v>
      </c>
      <c r="R32" s="32">
        <v>5881</v>
      </c>
      <c r="S32" s="64" t="s">
        <v>57</v>
      </c>
      <c r="T32" s="33"/>
      <c r="U32" s="64" t="s">
        <v>78</v>
      </c>
      <c r="V32" s="65"/>
      <c r="W32" s="35" t="str">
        <f>IF(Table136[[#This Row],[Total Funds]]=SUM(Table136[[#This Row],[Total Personnel]:[Total Non-personnel]]),"","Check")</f>
        <v/>
      </c>
    </row>
    <row r="33" spans="1:23" ht="45" x14ac:dyDescent="0.2">
      <c r="A33" s="25">
        <v>2</v>
      </c>
      <c r="B33" s="26">
        <v>2</v>
      </c>
      <c r="C33" s="27" t="s">
        <v>54</v>
      </c>
      <c r="D33" s="28"/>
      <c r="E33" s="29"/>
      <c r="F33" s="28"/>
      <c r="G33" s="28"/>
      <c r="H33" s="28"/>
      <c r="I33" s="28"/>
      <c r="J33" s="30" t="str">
        <f t="shared" si="0"/>
        <v/>
      </c>
      <c r="K33" s="31"/>
      <c r="L33" s="71"/>
      <c r="M33" s="31">
        <f>+Table136[[#This Row],[Total Personnel]]+Table136[[#This Row],[Total Non-personnel]]</f>
        <v>0</v>
      </c>
      <c r="N33" s="31"/>
      <c r="O33" s="31"/>
      <c r="P33" s="31"/>
      <c r="Q33" s="31">
        <f t="shared" si="1"/>
        <v>0</v>
      </c>
      <c r="R33" s="32">
        <v>4211</v>
      </c>
      <c r="S33" s="64" t="s">
        <v>58</v>
      </c>
      <c r="T33" s="33"/>
      <c r="U33" s="64" t="s">
        <v>63</v>
      </c>
      <c r="V33" s="65"/>
      <c r="W33" s="35" t="str">
        <f>IF(Table136[[#This Row],[Total Funds]]=SUM(Table136[[#This Row],[Total Personnel]:[Total Non-personnel]]),"","Check")</f>
        <v/>
      </c>
    </row>
    <row r="34" spans="1:23" ht="60" x14ac:dyDescent="0.2">
      <c r="A34" s="25">
        <v>2</v>
      </c>
      <c r="B34" s="26">
        <v>2</v>
      </c>
      <c r="C34" s="27" t="s">
        <v>54</v>
      </c>
      <c r="D34" s="28"/>
      <c r="E34" s="29"/>
      <c r="F34" s="28"/>
      <c r="G34" s="28"/>
      <c r="H34" s="28"/>
      <c r="I34" s="28"/>
      <c r="J34" s="30" t="str">
        <f t="shared" si="0"/>
        <v/>
      </c>
      <c r="K34" s="31"/>
      <c r="L34" s="71"/>
      <c r="M34" s="31">
        <f>+Table136[[#This Row],[Total Personnel]]+Table136[[#This Row],[Total Non-personnel]]</f>
        <v>0</v>
      </c>
      <c r="N34" s="31"/>
      <c r="O34" s="31"/>
      <c r="P34" s="31"/>
      <c r="Q34" s="31">
        <f t="shared" si="1"/>
        <v>0</v>
      </c>
      <c r="R34" s="32">
        <v>5861</v>
      </c>
      <c r="S34" s="64" t="s">
        <v>59</v>
      </c>
      <c r="T34" s="33"/>
      <c r="U34" s="64" t="s">
        <v>64</v>
      </c>
      <c r="V34" s="65"/>
      <c r="W34" s="35" t="str">
        <f>IF(Table136[[#This Row],[Total Funds]]=SUM(Table136[[#This Row],[Total Personnel]:[Total Non-personnel]]),"","Check")</f>
        <v/>
      </c>
    </row>
    <row r="35" spans="1:23" ht="60" x14ac:dyDescent="0.2">
      <c r="A35" s="25">
        <v>2</v>
      </c>
      <c r="B35" s="26">
        <v>2</v>
      </c>
      <c r="C35" s="27" t="s">
        <v>54</v>
      </c>
      <c r="D35" s="28"/>
      <c r="E35" s="29"/>
      <c r="F35" s="28"/>
      <c r="G35" s="28"/>
      <c r="H35" s="28"/>
      <c r="I35" s="28"/>
      <c r="J35" s="30" t="str">
        <f t="shared" si="0"/>
        <v/>
      </c>
      <c r="K35" s="31"/>
      <c r="L35" s="71"/>
      <c r="M35" s="31">
        <f>+Table136[[#This Row],[Total Personnel]]+Table136[[#This Row],[Total Non-personnel]]</f>
        <v>0</v>
      </c>
      <c r="N35" s="31"/>
      <c r="O35" s="31"/>
      <c r="P35" s="31"/>
      <c r="Q35" s="31">
        <f t="shared" si="1"/>
        <v>0</v>
      </c>
      <c r="R35" s="32">
        <v>5859</v>
      </c>
      <c r="S35" s="64" t="s">
        <v>60</v>
      </c>
      <c r="T35" s="33"/>
      <c r="U35" s="64" t="s">
        <v>101</v>
      </c>
      <c r="V35" s="65"/>
      <c r="W35" s="35" t="str">
        <f>IF(Table136[[#This Row],[Total Funds]]=SUM(Table136[[#This Row],[Total Personnel]:[Total Non-personnel]]),"","Check")</f>
        <v/>
      </c>
    </row>
    <row r="36" spans="1:23" ht="45" x14ac:dyDescent="0.2">
      <c r="A36" s="25">
        <v>2</v>
      </c>
      <c r="B36" s="26">
        <v>2</v>
      </c>
      <c r="C36" s="27" t="s">
        <v>54</v>
      </c>
      <c r="D36" s="28"/>
      <c r="E36" s="29"/>
      <c r="F36" s="28"/>
      <c r="G36" s="28"/>
      <c r="H36" s="28"/>
      <c r="I36" s="28"/>
      <c r="J36" s="30">
        <f t="shared" si="0"/>
        <v>1</v>
      </c>
      <c r="K36" s="31">
        <v>65368</v>
      </c>
      <c r="L36" s="31"/>
      <c r="M36" s="31">
        <f>+Table136[[#This Row],[Total Personnel]]+Table136[[#This Row],[Total Non-personnel]]</f>
        <v>65368</v>
      </c>
      <c r="N36" s="31"/>
      <c r="O36" s="31"/>
      <c r="P36" s="31"/>
      <c r="Q36" s="31">
        <f t="shared" si="1"/>
        <v>65368</v>
      </c>
      <c r="R36" s="32">
        <v>2400</v>
      </c>
      <c r="S36" s="64" t="s">
        <v>61</v>
      </c>
      <c r="T36" s="33"/>
      <c r="U36" s="64" t="s">
        <v>81</v>
      </c>
      <c r="V36" s="65"/>
      <c r="W36" s="35" t="str">
        <f>IF(Table136[[#This Row],[Total Funds]]=SUM(Table136[[#This Row],[Total Personnel]:[Total Non-personnel]]),"","Check")</f>
        <v/>
      </c>
    </row>
    <row r="37" spans="1:23" ht="45" x14ac:dyDescent="0.2">
      <c r="A37" s="25">
        <v>2</v>
      </c>
      <c r="B37" s="26">
        <v>2</v>
      </c>
      <c r="C37" s="27" t="s">
        <v>54</v>
      </c>
      <c r="D37" s="28"/>
      <c r="E37" s="29"/>
      <c r="F37" s="28"/>
      <c r="G37" s="28"/>
      <c r="H37" s="28"/>
      <c r="I37" s="28"/>
      <c r="J37" s="30">
        <f t="shared" si="0"/>
        <v>1</v>
      </c>
      <c r="K37" s="31">
        <f>+K36*0.25</f>
        <v>16342</v>
      </c>
      <c r="L37" s="31"/>
      <c r="M37" s="31">
        <f>+Table136[[#This Row],[Total Personnel]]+Table136[[#This Row],[Total Non-personnel]]</f>
        <v>16342</v>
      </c>
      <c r="N37" s="31"/>
      <c r="O37" s="31"/>
      <c r="P37" s="31"/>
      <c r="Q37" s="31">
        <f t="shared" si="1"/>
        <v>16342</v>
      </c>
      <c r="R37" s="32">
        <v>3000</v>
      </c>
      <c r="S37" s="64" t="s">
        <v>62</v>
      </c>
      <c r="T37" s="33"/>
      <c r="U37" s="64" t="s">
        <v>81</v>
      </c>
      <c r="V37" s="65"/>
      <c r="W37" s="35" t="str">
        <f>IF(Table136[[#This Row],[Total Funds]]=SUM(Table136[[#This Row],[Total Personnel]:[Total Non-personnel]]),"","Check")</f>
        <v/>
      </c>
    </row>
    <row r="38" spans="1:23" ht="75.75" thickBot="1" x14ac:dyDescent="0.25">
      <c r="A38" s="36">
        <v>2</v>
      </c>
      <c r="B38" s="37">
        <v>3</v>
      </c>
      <c r="C38" s="38" t="s">
        <v>102</v>
      </c>
      <c r="D38" s="39"/>
      <c r="E38" s="81"/>
      <c r="F38" s="39"/>
      <c r="G38" s="39"/>
      <c r="H38" s="39"/>
      <c r="I38" s="39"/>
      <c r="J38" s="40" t="str">
        <f>IF(Q38&gt;0,K38/Q38,"")</f>
        <v/>
      </c>
      <c r="K38" s="41"/>
      <c r="L38" s="41"/>
      <c r="M38" s="41"/>
      <c r="N38" s="41"/>
      <c r="O38" s="41"/>
      <c r="P38" s="41"/>
      <c r="Q38" s="41">
        <f>IF(SUM(M38:P38)="","",SUM(M38:P38))</f>
        <v>0</v>
      </c>
      <c r="R38" s="42"/>
      <c r="S38" s="48"/>
      <c r="T38" s="43"/>
      <c r="U38" s="80" t="s">
        <v>103</v>
      </c>
      <c r="V38" s="67"/>
      <c r="W38" s="45" t="str">
        <f>IF(Table136[[#This Row],[Total Funds]]=SUM(Table136[[#This Row],[Total Personnel]:[Total Non-personnel]]),"","Check")</f>
        <v/>
      </c>
    </row>
    <row r="39" spans="1:23" ht="60" x14ac:dyDescent="0.2">
      <c r="A39" s="14">
        <v>3</v>
      </c>
      <c r="B39" s="15">
        <v>1</v>
      </c>
      <c r="C39" s="16" t="s">
        <v>66</v>
      </c>
      <c r="D39" s="17"/>
      <c r="E39" s="18"/>
      <c r="F39" s="17"/>
      <c r="G39" s="17"/>
      <c r="H39" s="17"/>
      <c r="I39" s="17"/>
      <c r="J39" s="19">
        <f t="shared" si="0"/>
        <v>1</v>
      </c>
      <c r="K39" s="20">
        <v>57462</v>
      </c>
      <c r="L39" s="20"/>
      <c r="M39" s="20">
        <f>+Table136[[#This Row],[Total Personnel]]+Table136[[#This Row],[Total Non-personnel]]</f>
        <v>57462</v>
      </c>
      <c r="N39" s="20"/>
      <c r="O39" s="20"/>
      <c r="P39" s="20"/>
      <c r="Q39" s="20">
        <f t="shared" si="1"/>
        <v>57462</v>
      </c>
      <c r="R39" s="21">
        <v>2900</v>
      </c>
      <c r="S39" s="47" t="s">
        <v>89</v>
      </c>
      <c r="T39" s="22"/>
      <c r="U39" s="21"/>
      <c r="V39" s="23"/>
      <c r="W39" s="24" t="str">
        <f>IF(Table136[[#This Row],[Total Funds]]=SUM(Table136[[#This Row],[Total Personnel]:[Total Non-personnel]]),"","Check")</f>
        <v/>
      </c>
    </row>
    <row r="40" spans="1:23" ht="60" x14ac:dyDescent="0.2">
      <c r="A40" s="25">
        <v>3</v>
      </c>
      <c r="B40" s="26">
        <v>1</v>
      </c>
      <c r="C40" s="27" t="s">
        <v>66</v>
      </c>
      <c r="D40" s="28"/>
      <c r="E40" s="29"/>
      <c r="F40" s="28"/>
      <c r="G40" s="28"/>
      <c r="H40" s="28"/>
      <c r="I40" s="28"/>
      <c r="J40" s="30">
        <f t="shared" si="0"/>
        <v>1</v>
      </c>
      <c r="K40" s="31">
        <f>+K39*0.25</f>
        <v>14365.5</v>
      </c>
      <c r="L40" s="31"/>
      <c r="M40" s="31">
        <f>+Table136[[#This Row],[Total Personnel]]+Table136[[#This Row],[Total Non-personnel]]</f>
        <v>14365.5</v>
      </c>
      <c r="N40" s="31"/>
      <c r="O40" s="31"/>
      <c r="P40" s="31"/>
      <c r="Q40" s="31">
        <f t="shared" si="1"/>
        <v>14365.5</v>
      </c>
      <c r="R40" s="32">
        <v>3000</v>
      </c>
      <c r="S40" s="64" t="s">
        <v>90</v>
      </c>
      <c r="T40" s="33"/>
      <c r="U40" s="32"/>
      <c r="V40" s="34"/>
      <c r="W40" s="35" t="str">
        <f>IF(Table136[[#This Row],[Total Funds]]=SUM(Table136[[#This Row],[Total Personnel]:[Total Non-personnel]]),"","Check")</f>
        <v/>
      </c>
    </row>
    <row r="41" spans="1:23" ht="60" x14ac:dyDescent="0.2">
      <c r="A41" s="25">
        <v>3</v>
      </c>
      <c r="B41" s="26">
        <v>1</v>
      </c>
      <c r="C41" s="27" t="s">
        <v>66</v>
      </c>
      <c r="D41" s="28"/>
      <c r="E41" s="29"/>
      <c r="F41" s="28"/>
      <c r="G41" s="28"/>
      <c r="H41" s="28"/>
      <c r="I41" s="28"/>
      <c r="J41" s="30">
        <f t="shared" si="0"/>
        <v>1</v>
      </c>
      <c r="K41" s="71">
        <v>40194</v>
      </c>
      <c r="L41" s="31"/>
      <c r="M41" s="31">
        <f>+Table136[[#This Row],[Total Personnel]]+Table136[[#This Row],[Total Non-personnel]]</f>
        <v>40194</v>
      </c>
      <c r="N41" s="31"/>
      <c r="O41" s="31"/>
      <c r="P41" s="31"/>
      <c r="Q41" s="31">
        <f t="shared" si="1"/>
        <v>40194</v>
      </c>
      <c r="R41" s="32">
        <v>2400</v>
      </c>
      <c r="S41" s="64" t="s">
        <v>67</v>
      </c>
      <c r="T41" s="33"/>
      <c r="U41" s="64" t="s">
        <v>82</v>
      </c>
      <c r="V41" s="65"/>
      <c r="W41" s="35" t="str">
        <f>IF(Table136[[#This Row],[Total Funds]]=SUM(Table136[[#This Row],[Total Personnel]:[Total Non-personnel]]),"","Check")</f>
        <v/>
      </c>
    </row>
    <row r="42" spans="1:23" ht="60" x14ac:dyDescent="0.2">
      <c r="A42" s="25">
        <v>3</v>
      </c>
      <c r="B42" s="26">
        <v>1</v>
      </c>
      <c r="C42" s="27" t="s">
        <v>66</v>
      </c>
      <c r="D42" s="28"/>
      <c r="E42" s="29"/>
      <c r="F42" s="28"/>
      <c r="G42" s="28"/>
      <c r="H42" s="28"/>
      <c r="I42" s="28"/>
      <c r="J42" s="30">
        <f t="shared" si="0"/>
        <v>1</v>
      </c>
      <c r="K42" s="71">
        <f>+K41*0.25</f>
        <v>10048.5</v>
      </c>
      <c r="L42" s="31"/>
      <c r="M42" s="31">
        <f>+Table136[[#This Row],[Total Personnel]]+Table136[[#This Row],[Total Non-personnel]]</f>
        <v>10048.5</v>
      </c>
      <c r="N42" s="31"/>
      <c r="O42" s="31"/>
      <c r="P42" s="31"/>
      <c r="Q42" s="31">
        <f t="shared" si="1"/>
        <v>10048.5</v>
      </c>
      <c r="R42" s="32">
        <v>3000</v>
      </c>
      <c r="S42" s="64" t="s">
        <v>68</v>
      </c>
      <c r="T42" s="33"/>
      <c r="U42" s="64"/>
      <c r="V42" s="65"/>
      <c r="W42" s="35" t="str">
        <f>IF(Table136[[#This Row],[Total Funds]]=SUM(Table136[[#This Row],[Total Personnel]:[Total Non-personnel]]),"","Check")</f>
        <v/>
      </c>
    </row>
    <row r="43" spans="1:23" ht="90" x14ac:dyDescent="0.2">
      <c r="A43" s="25">
        <v>3</v>
      </c>
      <c r="B43" s="26">
        <v>1</v>
      </c>
      <c r="C43" s="27" t="s">
        <v>66</v>
      </c>
      <c r="D43" s="28"/>
      <c r="E43" s="29"/>
      <c r="F43" s="28"/>
      <c r="G43" s="28"/>
      <c r="H43" s="28"/>
      <c r="I43" s="28"/>
      <c r="J43" s="30">
        <f t="shared" si="0"/>
        <v>1</v>
      </c>
      <c r="K43" s="71">
        <f>34974+33408</f>
        <v>68382</v>
      </c>
      <c r="L43" s="31"/>
      <c r="M43" s="31">
        <f>+Table136[[#This Row],[Total Personnel]]+Table136[[#This Row],[Total Non-personnel]]</f>
        <v>68382</v>
      </c>
      <c r="N43" s="31"/>
      <c r="O43" s="31"/>
      <c r="P43" s="31"/>
      <c r="Q43" s="31">
        <f t="shared" si="1"/>
        <v>68382</v>
      </c>
      <c r="R43" s="32">
        <v>2400</v>
      </c>
      <c r="S43" s="64" t="s">
        <v>69</v>
      </c>
      <c r="T43" s="33"/>
      <c r="U43" s="64" t="s">
        <v>176</v>
      </c>
      <c r="V43" s="65"/>
      <c r="W43" s="35" t="str">
        <f>IF(Table136[[#This Row],[Total Funds]]=SUM(Table136[[#This Row],[Total Personnel]:[Total Non-personnel]]),"","Check")</f>
        <v/>
      </c>
    </row>
    <row r="44" spans="1:23" ht="60.75" thickBot="1" x14ac:dyDescent="0.25">
      <c r="A44" s="36">
        <v>3</v>
      </c>
      <c r="B44" s="37">
        <v>1</v>
      </c>
      <c r="C44" s="38" t="s">
        <v>66</v>
      </c>
      <c r="D44" s="39"/>
      <c r="E44" s="46"/>
      <c r="F44" s="39"/>
      <c r="G44" s="39"/>
      <c r="H44" s="39"/>
      <c r="I44" s="39"/>
      <c r="J44" s="40">
        <f t="shared" si="0"/>
        <v>1</v>
      </c>
      <c r="K44" s="72">
        <f>+K43*0.25</f>
        <v>17095.5</v>
      </c>
      <c r="L44" s="41"/>
      <c r="M44" s="41">
        <f>+Table136[[#This Row],[Total Personnel]]+Table136[[#This Row],[Total Non-personnel]]</f>
        <v>17095.5</v>
      </c>
      <c r="N44" s="41"/>
      <c r="O44" s="41"/>
      <c r="P44" s="41"/>
      <c r="Q44" s="41">
        <f t="shared" si="1"/>
        <v>17095.5</v>
      </c>
      <c r="R44" s="42">
        <v>3000</v>
      </c>
      <c r="S44" s="48" t="s">
        <v>70</v>
      </c>
      <c r="T44" s="43"/>
      <c r="U44" s="48"/>
      <c r="V44" s="67"/>
      <c r="W44" s="45" t="str">
        <f>IF(Table136[[#This Row],[Total Funds]]=SUM(Table136[[#This Row],[Total Personnel]:[Total Non-personnel]]),"","Check")</f>
        <v/>
      </c>
    </row>
    <row r="45" spans="1:23" ht="60" x14ac:dyDescent="0.2">
      <c r="A45" s="14">
        <v>3</v>
      </c>
      <c r="B45" s="15">
        <v>2</v>
      </c>
      <c r="C45" s="16" t="s">
        <v>71</v>
      </c>
      <c r="D45" s="17"/>
      <c r="E45" s="18"/>
      <c r="F45" s="17"/>
      <c r="G45" s="17"/>
      <c r="H45" s="17"/>
      <c r="I45" s="17"/>
      <c r="J45" s="19">
        <f t="shared" si="0"/>
        <v>1</v>
      </c>
      <c r="K45" s="20">
        <f>26160+17483</f>
        <v>43643</v>
      </c>
      <c r="L45" s="20"/>
      <c r="M45" s="20">
        <f>+Table136[[#This Row],[Total Personnel]]+Table136[[#This Row],[Total Non-personnel]]</f>
        <v>43643</v>
      </c>
      <c r="N45" s="20"/>
      <c r="O45" s="20"/>
      <c r="P45" s="20"/>
      <c r="Q45" s="20">
        <f t="shared" si="1"/>
        <v>43643</v>
      </c>
      <c r="R45" s="21">
        <v>2900</v>
      </c>
      <c r="S45" s="47" t="s">
        <v>72</v>
      </c>
      <c r="T45" s="22"/>
      <c r="U45" s="21"/>
      <c r="V45" s="23"/>
      <c r="W45" s="24" t="str">
        <f>IF(Table136[[#This Row],[Total Funds]]=SUM(Table136[[#This Row],[Total Personnel]:[Total Non-personnel]]),"","Check")</f>
        <v/>
      </c>
    </row>
    <row r="46" spans="1:23" ht="60" x14ac:dyDescent="0.2">
      <c r="A46" s="25">
        <v>3</v>
      </c>
      <c r="B46" s="26">
        <v>2</v>
      </c>
      <c r="C46" s="27" t="s">
        <v>71</v>
      </c>
      <c r="D46" s="28"/>
      <c r="E46" s="29"/>
      <c r="F46" s="28"/>
      <c r="G46" s="28"/>
      <c r="H46" s="28"/>
      <c r="I46" s="28"/>
      <c r="J46" s="30">
        <f t="shared" si="0"/>
        <v>1</v>
      </c>
      <c r="K46" s="31">
        <f>+K45*0.25</f>
        <v>10910.75</v>
      </c>
      <c r="L46" s="31"/>
      <c r="M46" s="31">
        <f>+Table136[[#This Row],[Total Personnel]]+Table136[[#This Row],[Total Non-personnel]]</f>
        <v>10910.75</v>
      </c>
      <c r="N46" s="31"/>
      <c r="O46" s="31"/>
      <c r="P46" s="31"/>
      <c r="Q46" s="31">
        <f t="shared" si="1"/>
        <v>10910.75</v>
      </c>
      <c r="R46" s="32">
        <v>3000</v>
      </c>
      <c r="S46" s="64" t="s">
        <v>73</v>
      </c>
      <c r="T46" s="33"/>
      <c r="U46" s="32"/>
      <c r="V46" s="34"/>
      <c r="W46" s="35" t="str">
        <f>IF(Table136[[#This Row],[Total Funds]]=SUM(Table136[[#This Row],[Total Personnel]:[Total Non-personnel]]),"","Check")</f>
        <v/>
      </c>
    </row>
    <row r="47" spans="1:23" ht="60" x14ac:dyDescent="0.2">
      <c r="A47" s="25">
        <v>3</v>
      </c>
      <c r="B47" s="26">
        <v>2</v>
      </c>
      <c r="C47" s="27" t="s">
        <v>71</v>
      </c>
      <c r="D47" s="28"/>
      <c r="E47" s="29"/>
      <c r="F47" s="28"/>
      <c r="G47" s="28"/>
      <c r="H47" s="28"/>
      <c r="I47" s="28"/>
      <c r="J47" s="30" t="str">
        <f t="shared" si="0"/>
        <v/>
      </c>
      <c r="K47" s="31"/>
      <c r="L47" s="31"/>
      <c r="M47" s="63"/>
      <c r="N47" s="31">
        <f>+Table136[[#This Row],[Total Personnel]]+Table136[[#This Row],[Total Non-personnel]]</f>
        <v>0</v>
      </c>
      <c r="O47" s="31"/>
      <c r="P47" s="31"/>
      <c r="Q47" s="31">
        <f>IF(SUM(N47:P47)="","",SUM(N47:P47))</f>
        <v>0</v>
      </c>
      <c r="R47" s="32">
        <v>5844</v>
      </c>
      <c r="S47" s="64" t="s">
        <v>74</v>
      </c>
      <c r="T47" s="73" t="s">
        <v>74</v>
      </c>
      <c r="U47" s="83" t="s">
        <v>104</v>
      </c>
      <c r="V47" s="34"/>
      <c r="W47" s="35" t="str">
        <f>IF(Table136[[#This Row],[Total Funds]]=SUM(Table136[[#This Row],[Total Personnel]:[Total Non-personnel]]),"","Check")</f>
        <v/>
      </c>
    </row>
    <row r="48" spans="1:23" x14ac:dyDescent="0.2">
      <c r="A48" s="10"/>
      <c r="B48" s="10"/>
      <c r="C48" s="11"/>
      <c r="D48" s="10"/>
      <c r="E48" s="10"/>
      <c r="F48" s="12"/>
      <c r="G48" s="12"/>
      <c r="H48" s="12"/>
      <c r="I48" s="12"/>
      <c r="J48" s="13"/>
      <c r="K48" s="9"/>
      <c r="L48" s="9"/>
      <c r="M48" s="9">
        <f>SUBTOTAL(109,Table136[LCFF Funds])</f>
        <v>2316269.4575089854</v>
      </c>
      <c r="N48" s="9"/>
      <c r="O48" s="9"/>
      <c r="P48" s="9"/>
      <c r="Q48" s="9"/>
      <c r="R48" s="8"/>
      <c r="S48" s="8"/>
      <c r="T48" s="7"/>
      <c r="U48" s="8"/>
      <c r="V48" s="8"/>
      <c r="W48" s="7"/>
    </row>
  </sheetData>
  <dataValidations disablePrompts="1" count="1">
    <dataValidation type="list" allowBlank="1" showInputMessage="1" showErrorMessage="1" sqref="F3:F47">
      <formula1>#REF!</formula1>
    </dataValidation>
  </dataValidations>
  <pageMargins left="0.7" right="0.7" top="0.75" bottom="0.75" header="0.3" footer="0.3"/>
  <pageSetup paperSize="5" scale="54" fitToHeight="0" orientation="landscape" r:id="rId1"/>
  <headerFooter>
    <oddHeader>&amp;CDRAFT</oddHeader>
  </headerFooter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R3" sqref="R3"/>
    </sheetView>
  </sheetViews>
  <sheetFormatPr defaultRowHeight="14.25" x14ac:dyDescent="0.2"/>
  <cols>
    <col min="2" max="2" width="17.5" style="85" customWidth="1"/>
    <col min="3" max="3" width="12.5" style="95" customWidth="1"/>
  </cols>
  <sheetData>
    <row r="1" spans="1:3" ht="57" x14ac:dyDescent="0.2">
      <c r="B1" s="93" t="s">
        <v>164</v>
      </c>
      <c r="C1" s="94" t="s">
        <v>165</v>
      </c>
    </row>
    <row r="2" spans="1:3" x14ac:dyDescent="0.2">
      <c r="A2" t="s">
        <v>137</v>
      </c>
      <c r="B2" s="85">
        <v>1688280.1498480001</v>
      </c>
      <c r="C2" s="95">
        <v>0.35006000000000004</v>
      </c>
    </row>
    <row r="3" spans="1:3" x14ac:dyDescent="0.2">
      <c r="A3" t="s">
        <v>138</v>
      </c>
      <c r="B3" s="85">
        <v>1906840.4154159999</v>
      </c>
      <c r="C3" s="95">
        <v>0.3368799999999999</v>
      </c>
    </row>
    <row r="4" spans="1:3" x14ac:dyDescent="0.2">
      <c r="A4" t="s">
        <v>139</v>
      </c>
      <c r="B4" s="85">
        <f>1327862+714930</f>
        <v>2042792</v>
      </c>
      <c r="C4" s="95">
        <f>+B4/(3811972+2108440)</f>
        <v>0.34504220314397038</v>
      </c>
    </row>
    <row r="5" spans="1:3" x14ac:dyDescent="0.2">
      <c r="A5" t="s">
        <v>140</v>
      </c>
      <c r="B5" s="85">
        <v>1581651.542874</v>
      </c>
      <c r="C5" s="95">
        <v>0.33201999999999998</v>
      </c>
    </row>
    <row r="6" spans="1:3" x14ac:dyDescent="0.2">
      <c r="A6" t="s">
        <v>141</v>
      </c>
      <c r="B6" s="85">
        <v>1660288.0850559999</v>
      </c>
      <c r="C6" s="95">
        <v>0.34208000000000005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workbookViewId="0">
      <selection activeCell="D34" sqref="D34"/>
    </sheetView>
  </sheetViews>
  <sheetFormatPr defaultRowHeight="14.25" x14ac:dyDescent="0.2"/>
  <cols>
    <col min="1" max="1" width="20.875" bestFit="1" customWidth="1"/>
    <col min="2" max="2" width="10" customWidth="1"/>
    <col min="3" max="3" width="13.875" customWidth="1"/>
    <col min="4" max="4" width="39.5" style="87" bestFit="1" customWidth="1"/>
    <col min="5" max="5" width="12.125" style="86" bestFit="1" customWidth="1"/>
    <col min="6" max="6" width="11.25" style="86" customWidth="1"/>
    <col min="7" max="7" width="21.25" style="86" customWidth="1"/>
    <col min="8" max="8" width="12.875" style="86" customWidth="1"/>
    <col min="9" max="10" width="20.875" bestFit="1" customWidth="1"/>
    <col min="11" max="11" width="12.625" bestFit="1" customWidth="1"/>
    <col min="12" max="13" width="11.125" bestFit="1" customWidth="1"/>
    <col min="14" max="14" width="13" bestFit="1" customWidth="1"/>
    <col min="15" max="15" width="12.625" bestFit="1" customWidth="1"/>
    <col min="16" max="17" width="11.125" bestFit="1" customWidth="1"/>
    <col min="18" max="18" width="10.125" bestFit="1" customWidth="1"/>
    <col min="19" max="19" width="10.75" bestFit="1" customWidth="1"/>
    <col min="20" max="20" width="9.75" bestFit="1" customWidth="1"/>
    <col min="21" max="21" width="10.75" bestFit="1" customWidth="1"/>
    <col min="22" max="22" width="8.25" bestFit="1" customWidth="1"/>
  </cols>
  <sheetData>
    <row r="1" spans="1:22" ht="15.75" thickBot="1" x14ac:dyDescent="0.3">
      <c r="K1" s="104" t="s">
        <v>116</v>
      </c>
      <c r="L1" s="105"/>
      <c r="M1" s="105"/>
      <c r="N1" s="106"/>
      <c r="O1" s="105" t="s">
        <v>181</v>
      </c>
      <c r="P1" s="105"/>
      <c r="Q1" s="105"/>
      <c r="R1" s="106"/>
      <c r="S1" s="105" t="s">
        <v>182</v>
      </c>
      <c r="T1" s="105"/>
      <c r="U1" s="105"/>
      <c r="V1" s="106"/>
    </row>
    <row r="2" spans="1:22" ht="15.75" thickBot="1" x14ac:dyDescent="0.3">
      <c r="A2" t="s">
        <v>105</v>
      </c>
      <c r="B2" t="s">
        <v>116</v>
      </c>
      <c r="C2" t="s">
        <v>122</v>
      </c>
      <c r="D2" s="87" t="s">
        <v>106</v>
      </c>
      <c r="E2" s="86" t="s">
        <v>110</v>
      </c>
      <c r="F2" s="86" t="s">
        <v>111</v>
      </c>
      <c r="G2" s="86" t="s">
        <v>112</v>
      </c>
      <c r="H2" s="86" t="s">
        <v>129</v>
      </c>
      <c r="K2" s="107" t="s">
        <v>117</v>
      </c>
      <c r="L2" s="108" t="s">
        <v>118</v>
      </c>
      <c r="M2" s="108" t="s">
        <v>119</v>
      </c>
      <c r="N2" s="109" t="s">
        <v>121</v>
      </c>
      <c r="O2" s="108" t="s">
        <v>117</v>
      </c>
      <c r="P2" s="108" t="s">
        <v>118</v>
      </c>
      <c r="Q2" s="108" t="s">
        <v>119</v>
      </c>
      <c r="R2" s="109" t="s">
        <v>121</v>
      </c>
      <c r="S2" s="108" t="s">
        <v>117</v>
      </c>
      <c r="T2" s="108" t="s">
        <v>118</v>
      </c>
      <c r="U2" s="108" t="s">
        <v>119</v>
      </c>
      <c r="V2" s="109" t="s">
        <v>121</v>
      </c>
    </row>
    <row r="3" spans="1:22" x14ac:dyDescent="0.2">
      <c r="A3" t="s">
        <v>115</v>
      </c>
      <c r="B3" t="s">
        <v>117</v>
      </c>
      <c r="C3">
        <v>1110</v>
      </c>
      <c r="D3" s="87" t="s">
        <v>113</v>
      </c>
      <c r="E3" s="88">
        <v>175336</v>
      </c>
      <c r="F3" s="86">
        <f>+E3*0.25</f>
        <v>43834</v>
      </c>
      <c r="H3" s="86">
        <f>SUM(E3:G3)</f>
        <v>219170</v>
      </c>
      <c r="I3" s="97"/>
      <c r="J3" s="110" t="s">
        <v>115</v>
      </c>
      <c r="K3" s="111">
        <v>310690</v>
      </c>
      <c r="L3" s="112">
        <v>29060</v>
      </c>
      <c r="M3" s="112">
        <v>41756</v>
      </c>
      <c r="N3" s="113">
        <v>23814</v>
      </c>
      <c r="O3" s="112">
        <f>SUMIFS(Table6[Total Cost],Table6[Site],J3,Table6[Funding],O$2)</f>
        <v>395175</v>
      </c>
      <c r="P3" s="112">
        <f>SUMIFS(Table6[Total Cost],Table6[Site],J3,Table6[Funding],P$2)</f>
        <v>29813</v>
      </c>
      <c r="Q3" s="112">
        <f>SUMIFS(Table6[Total Cost],Table6[Site],J3,Table6[Funding],Q$2)</f>
        <v>41278.75</v>
      </c>
      <c r="R3" s="113">
        <f>SUMIFS(Table6[Total Cost],Table6[Site],J3,Table6[Funding],R$2)</f>
        <v>24800</v>
      </c>
      <c r="S3" s="112">
        <f>+K3-O3</f>
        <v>-84485</v>
      </c>
      <c r="T3" s="112">
        <f t="shared" ref="T3:T8" si="0">+L3-P3</f>
        <v>-753</v>
      </c>
      <c r="U3" s="112">
        <f t="shared" ref="U3:U8" si="1">+M3-Q3</f>
        <v>477.25</v>
      </c>
      <c r="V3" s="113">
        <f t="shared" ref="V3:V8" si="2">+N3-R3</f>
        <v>-986</v>
      </c>
    </row>
    <row r="4" spans="1:22" x14ac:dyDescent="0.2">
      <c r="A4" t="s">
        <v>115</v>
      </c>
      <c r="B4" t="s">
        <v>117</v>
      </c>
      <c r="C4">
        <v>2111</v>
      </c>
      <c r="D4" s="87" t="s">
        <v>114</v>
      </c>
      <c r="E4" s="88">
        <v>140804</v>
      </c>
      <c r="F4" s="86">
        <f t="shared" ref="F4:F38" si="3">+E4*0.25</f>
        <v>35201</v>
      </c>
      <c r="H4" s="86">
        <f t="shared" ref="H4:H20" si="4">SUM(E4:G4)</f>
        <v>176005</v>
      </c>
      <c r="I4" s="97"/>
      <c r="J4" s="114" t="s">
        <v>126</v>
      </c>
      <c r="K4" s="98">
        <v>234893.30482115084</v>
      </c>
      <c r="L4" s="99">
        <v>28616.314152410574</v>
      </c>
      <c r="M4" s="99">
        <v>28256.800000000003</v>
      </c>
      <c r="N4" s="100">
        <v>17687.496111975117</v>
      </c>
      <c r="O4" s="99">
        <f>SUMIFS(Table6[Total Cost],Table6[Site],J4,Table6[Funding],O$2)</f>
        <v>273037.34999999998</v>
      </c>
      <c r="P4" s="99">
        <f>SUMIFS(Table6[Total Cost],Table6[Site],J4,Table6[Funding],P$2)</f>
        <v>28625</v>
      </c>
      <c r="Q4" s="99">
        <f>SUMIFS(Table6[Total Cost],Table6[Site],J4,Table6[Funding],Q$2)</f>
        <v>52500</v>
      </c>
      <c r="R4" s="100">
        <f>SUMIFS(Table6[Total Cost],Table6[Site],J4,Table6[Funding],R$2)</f>
        <v>17700</v>
      </c>
      <c r="S4" s="99">
        <f t="shared" ref="S4:S8" si="5">+K4-O4</f>
        <v>-38144.045178849134</v>
      </c>
      <c r="T4" s="99">
        <f t="shared" si="0"/>
        <v>-8.6858475894259755</v>
      </c>
      <c r="U4" s="99">
        <f t="shared" si="1"/>
        <v>-24243.199999999997</v>
      </c>
      <c r="V4" s="100">
        <f t="shared" si="2"/>
        <v>-12.503888024883054</v>
      </c>
    </row>
    <row r="5" spans="1:22" x14ac:dyDescent="0.2">
      <c r="A5" t="s">
        <v>115</v>
      </c>
      <c r="B5" t="s">
        <v>118</v>
      </c>
      <c r="C5">
        <v>5211</v>
      </c>
      <c r="D5" s="87" t="s">
        <v>152</v>
      </c>
      <c r="F5" s="86">
        <f t="shared" si="3"/>
        <v>0</v>
      </c>
      <c r="G5" s="88">
        <v>11000</v>
      </c>
      <c r="H5" s="86">
        <f t="shared" si="4"/>
        <v>11000</v>
      </c>
      <c r="I5" s="97"/>
      <c r="J5" s="114" t="s">
        <v>130</v>
      </c>
      <c r="K5" s="98">
        <v>213115.82740499999</v>
      </c>
      <c r="L5" s="99">
        <v>23303.981934999996</v>
      </c>
      <c r="M5" s="99">
        <v>31345.600000000002</v>
      </c>
      <c r="N5" s="100">
        <v>16335.405515</v>
      </c>
      <c r="O5" s="99">
        <f>SUMIFS(Table6[Total Cost],Table6[Site],J5,Table6[Funding],O$2)</f>
        <v>250297.87499999994</v>
      </c>
      <c r="P5" s="99">
        <f>SUMIFS(Table6[Total Cost],Table6[Site],J5,Table6[Funding],P$2)</f>
        <v>25250</v>
      </c>
      <c r="Q5" s="99">
        <f>SUMIFS(Table6[Total Cost],Table6[Site],J5,Table6[Funding],Q$2)</f>
        <v>46250</v>
      </c>
      <c r="R5" s="100">
        <f>SUMIFS(Table6[Total Cost],Table6[Site],J5,Table6[Funding],R$2)</f>
        <v>16571</v>
      </c>
      <c r="S5" s="119">
        <f t="shared" si="5"/>
        <v>-37182.047594999953</v>
      </c>
      <c r="T5" s="99">
        <f t="shared" si="0"/>
        <v>-1946.0180650000038</v>
      </c>
      <c r="U5" s="99">
        <f t="shared" si="1"/>
        <v>-14904.399999999998</v>
      </c>
      <c r="V5" s="100">
        <f t="shared" si="2"/>
        <v>-235.59448499999962</v>
      </c>
    </row>
    <row r="6" spans="1:22" x14ac:dyDescent="0.2">
      <c r="A6" t="s">
        <v>115</v>
      </c>
      <c r="B6" t="s">
        <v>118</v>
      </c>
      <c r="C6">
        <v>5852</v>
      </c>
      <c r="D6" s="87" t="s">
        <v>153</v>
      </c>
      <c r="F6" s="86">
        <f t="shared" si="3"/>
        <v>0</v>
      </c>
      <c r="G6" s="88">
        <f>2813+16000</f>
        <v>18813</v>
      </c>
      <c r="H6" s="86">
        <f t="shared" si="4"/>
        <v>18813</v>
      </c>
      <c r="I6" s="97"/>
      <c r="J6" s="114" t="s">
        <v>132</v>
      </c>
      <c r="K6" s="98">
        <v>115831.8526007722</v>
      </c>
      <c r="L6" s="99">
        <v>12666.086012355212</v>
      </c>
      <c r="M6" s="99">
        <v>11783.2</v>
      </c>
      <c r="N6" s="100">
        <v>9743.8363000000008</v>
      </c>
      <c r="O6" s="99">
        <f>SUMIFS(Table6[Total Cost],Table6[Site],J6,Table6[Funding],O$2)</f>
        <v>86347.799999999988</v>
      </c>
      <c r="P6" s="99">
        <f>SUMIFS(Table6[Total Cost],Table6[Site],J6,Table6[Funding],P$2)</f>
        <v>16687.5</v>
      </c>
      <c r="Q6" s="99">
        <f>SUMIFS(Table6[Total Cost],Table6[Site],J6,Table6[Funding],Q$2)</f>
        <v>34687.500000000007</v>
      </c>
      <c r="R6" s="100">
        <f>SUMIFS(Table6[Total Cost],Table6[Site],J6,Table6[Funding],R$2)</f>
        <v>10107</v>
      </c>
      <c r="S6" s="119">
        <f t="shared" si="5"/>
        <v>29484.052600772207</v>
      </c>
      <c r="T6" s="99">
        <f t="shared" si="0"/>
        <v>-4021.413987644788</v>
      </c>
      <c r="U6" s="99">
        <f t="shared" si="1"/>
        <v>-22904.300000000007</v>
      </c>
      <c r="V6" s="100">
        <f t="shared" si="2"/>
        <v>-363.16369999999915</v>
      </c>
    </row>
    <row r="7" spans="1:22" x14ac:dyDescent="0.2">
      <c r="A7" t="s">
        <v>115</v>
      </c>
      <c r="B7" t="s">
        <v>119</v>
      </c>
      <c r="C7">
        <v>2131</v>
      </c>
      <c r="D7" s="87" t="s">
        <v>120</v>
      </c>
      <c r="E7" s="88">
        <v>33023</v>
      </c>
      <c r="F7" s="86">
        <f t="shared" si="3"/>
        <v>8255.75</v>
      </c>
      <c r="H7" s="86">
        <f t="shared" si="4"/>
        <v>41278.75</v>
      </c>
      <c r="I7" s="97"/>
      <c r="J7" s="114" t="s">
        <v>133</v>
      </c>
      <c r="K7" s="98">
        <v>207936.05683836591</v>
      </c>
      <c r="L7" s="99">
        <v>23768.134991119008</v>
      </c>
      <c r="M7" s="99">
        <v>22193.600000000002</v>
      </c>
      <c r="N7" s="100">
        <v>15938.017761989344</v>
      </c>
      <c r="O7" s="99">
        <f>SUMIFS(Table6[Total Cost],Table6[Site],J7,Table6[Funding],O$2)</f>
        <v>252420</v>
      </c>
      <c r="P7" s="99">
        <f>SUMIFS(Table6[Total Cost],Table6[Site],J7,Table6[Funding],P$2)</f>
        <v>32250</v>
      </c>
      <c r="Q7" s="99">
        <f>SUMIFS(Table6[Total Cost],Table6[Site],J7,Table6[Funding],Q$2)</f>
        <v>23125</v>
      </c>
      <c r="R7" s="100">
        <f>SUMIFS(Table6[Total Cost],Table6[Site],J7,Table6[Funding],R$2)</f>
        <v>16000</v>
      </c>
      <c r="S7" s="99">
        <f t="shared" si="5"/>
        <v>-44483.943161634088</v>
      </c>
      <c r="T7" s="99">
        <f t="shared" si="0"/>
        <v>-8481.8650088809918</v>
      </c>
      <c r="U7" s="99">
        <f t="shared" si="1"/>
        <v>-931.39999999999782</v>
      </c>
      <c r="V7" s="100">
        <f t="shared" si="2"/>
        <v>-61.982238010656147</v>
      </c>
    </row>
    <row r="8" spans="1:22" ht="29.25" thickBot="1" x14ac:dyDescent="0.25">
      <c r="A8" t="s">
        <v>115</v>
      </c>
      <c r="B8" t="s">
        <v>121</v>
      </c>
      <c r="C8">
        <v>4111</v>
      </c>
      <c r="D8" s="87" t="s">
        <v>123</v>
      </c>
      <c r="F8" s="86">
        <f t="shared" si="3"/>
        <v>0</v>
      </c>
      <c r="G8" s="88">
        <f>1800+23000</f>
        <v>24800</v>
      </c>
      <c r="H8" s="86">
        <f t="shared" si="4"/>
        <v>24800</v>
      </c>
      <c r="I8" s="97"/>
      <c r="J8" s="115" t="s">
        <v>134</v>
      </c>
      <c r="K8" s="101">
        <v>182908.70629370629</v>
      </c>
      <c r="L8" s="102">
        <v>20262.731934731935</v>
      </c>
      <c r="M8" s="102">
        <v>10753.6</v>
      </c>
      <c r="N8" s="103">
        <v>14019.491841491841</v>
      </c>
      <c r="O8" s="102">
        <f>SUMIFS(Table6[Total Cost],Table6[Site],J8,Table6[Funding],O$2)</f>
        <v>212741.69999999995</v>
      </c>
      <c r="P8" s="102">
        <f>SUMIFS(Table6[Total Cost],Table6[Site],J8,Table6[Funding],P$2)</f>
        <v>20563</v>
      </c>
      <c r="Q8" s="102">
        <f>SUMIFS(Table6[Total Cost],Table6[Site],J8,Table6[Funding],Q$2)</f>
        <v>30351.25</v>
      </c>
      <c r="R8" s="103">
        <f>SUMIFS(Table6[Total Cost],Table6[Site],J8,Table6[Funding],R$2)</f>
        <v>14700</v>
      </c>
      <c r="S8" s="102">
        <f t="shared" si="5"/>
        <v>-29832.993706293666</v>
      </c>
      <c r="T8" s="102">
        <f t="shared" si="0"/>
        <v>-300.26806526806467</v>
      </c>
      <c r="U8" s="102">
        <f t="shared" si="1"/>
        <v>-19597.650000000001</v>
      </c>
      <c r="V8" s="103">
        <f t="shared" si="2"/>
        <v>-680.50815850815889</v>
      </c>
    </row>
    <row r="9" spans="1:22" ht="15" thickBot="1" x14ac:dyDescent="0.25">
      <c r="A9" t="s">
        <v>126</v>
      </c>
      <c r="B9" t="s">
        <v>117</v>
      </c>
      <c r="C9">
        <v>1110</v>
      </c>
      <c r="D9" s="87" t="s">
        <v>113</v>
      </c>
      <c r="E9" s="88">
        <v>199004.88</v>
      </c>
      <c r="F9" s="86">
        <f t="shared" si="3"/>
        <v>49751.22</v>
      </c>
      <c r="H9" s="86">
        <f t="shared" si="4"/>
        <v>248756.1</v>
      </c>
      <c r="I9" s="97"/>
      <c r="K9" s="116">
        <f t="shared" ref="K9:R9" si="6">SUM(K3:K8)</f>
        <v>1265375.7479589952</v>
      </c>
      <c r="L9" s="117">
        <f t="shared" si="6"/>
        <v>137677.24902561671</v>
      </c>
      <c r="M9" s="117">
        <f t="shared" si="6"/>
        <v>146088.80000000002</v>
      </c>
      <c r="N9" s="117">
        <f t="shared" si="6"/>
        <v>97538.247530456283</v>
      </c>
      <c r="O9" s="116">
        <f t="shared" si="6"/>
        <v>1470019.7249999999</v>
      </c>
      <c r="P9" s="117">
        <f t="shared" si="6"/>
        <v>153188.5</v>
      </c>
      <c r="Q9" s="117">
        <f t="shared" si="6"/>
        <v>228192.5</v>
      </c>
      <c r="R9" s="118">
        <f t="shared" si="6"/>
        <v>99878</v>
      </c>
    </row>
    <row r="10" spans="1:22" ht="28.5" x14ac:dyDescent="0.2">
      <c r="A10" t="s">
        <v>126</v>
      </c>
      <c r="B10" t="s">
        <v>117</v>
      </c>
      <c r="C10">
        <v>2111</v>
      </c>
      <c r="D10" s="87" t="s">
        <v>127</v>
      </c>
      <c r="E10" s="88">
        <v>19425</v>
      </c>
      <c r="F10" s="86">
        <f t="shared" si="3"/>
        <v>4856.25</v>
      </c>
      <c r="H10" s="86">
        <f t="shared" si="4"/>
        <v>24281.25</v>
      </c>
    </row>
    <row r="11" spans="1:22" ht="28.5" x14ac:dyDescent="0.2">
      <c r="A11" t="s">
        <v>126</v>
      </c>
      <c r="B11" t="s">
        <v>118</v>
      </c>
      <c r="C11">
        <v>5211</v>
      </c>
      <c r="D11" s="87" t="s">
        <v>154</v>
      </c>
      <c r="F11" s="86">
        <f t="shared" si="3"/>
        <v>0</v>
      </c>
      <c r="G11" s="88">
        <v>11250</v>
      </c>
      <c r="H11" s="86">
        <f t="shared" si="4"/>
        <v>11250</v>
      </c>
    </row>
    <row r="12" spans="1:22" ht="28.5" x14ac:dyDescent="0.2">
      <c r="A12" t="s">
        <v>126</v>
      </c>
      <c r="B12" t="s">
        <v>118</v>
      </c>
      <c r="C12">
        <v>5852</v>
      </c>
      <c r="D12" s="87" t="s">
        <v>155</v>
      </c>
      <c r="F12" s="86">
        <f t="shared" si="3"/>
        <v>0</v>
      </c>
      <c r="G12" s="88">
        <v>17375</v>
      </c>
      <c r="H12" s="86">
        <f t="shared" si="4"/>
        <v>17375</v>
      </c>
    </row>
    <row r="13" spans="1:22" x14ac:dyDescent="0.2">
      <c r="A13" t="s">
        <v>126</v>
      </c>
      <c r="B13" t="s">
        <v>119</v>
      </c>
      <c r="C13">
        <v>1120</v>
      </c>
      <c r="D13" s="87" t="s">
        <v>128</v>
      </c>
      <c r="E13" s="88">
        <v>42000</v>
      </c>
      <c r="F13" s="86">
        <f t="shared" si="3"/>
        <v>10500</v>
      </c>
      <c r="H13" s="86">
        <f t="shared" si="4"/>
        <v>52500</v>
      </c>
    </row>
    <row r="14" spans="1:22" ht="28.5" x14ac:dyDescent="0.2">
      <c r="A14" t="s">
        <v>126</v>
      </c>
      <c r="B14" t="s">
        <v>121</v>
      </c>
      <c r="C14">
        <v>4111</v>
      </c>
      <c r="D14" s="87" t="s">
        <v>123</v>
      </c>
      <c r="F14" s="86">
        <f t="shared" si="3"/>
        <v>0</v>
      </c>
      <c r="G14" s="88">
        <f>1600+16100</f>
        <v>17700</v>
      </c>
      <c r="H14" s="86">
        <f t="shared" si="4"/>
        <v>17700</v>
      </c>
    </row>
    <row r="15" spans="1:22" x14ac:dyDescent="0.2">
      <c r="A15" t="s">
        <v>130</v>
      </c>
      <c r="B15" t="s">
        <v>117</v>
      </c>
      <c r="C15">
        <v>1110</v>
      </c>
      <c r="D15" s="87" t="s">
        <v>113</v>
      </c>
      <c r="E15" s="88">
        <v>137830.79999999996</v>
      </c>
      <c r="F15" s="86">
        <f t="shared" si="3"/>
        <v>34457.69999999999</v>
      </c>
      <c r="H15" s="86">
        <f t="shared" si="4"/>
        <v>172288.49999999994</v>
      </c>
    </row>
    <row r="16" spans="1:22" x14ac:dyDescent="0.2">
      <c r="A16" t="s">
        <v>130</v>
      </c>
      <c r="B16" t="s">
        <v>117</v>
      </c>
      <c r="C16">
        <v>2111</v>
      </c>
      <c r="D16" s="87" t="s">
        <v>114</v>
      </c>
      <c r="E16" s="88">
        <v>62407.5</v>
      </c>
      <c r="F16" s="86">
        <f t="shared" si="3"/>
        <v>15601.875</v>
      </c>
      <c r="H16" s="86">
        <f t="shared" si="4"/>
        <v>78009.375</v>
      </c>
    </row>
    <row r="17" spans="1:8" x14ac:dyDescent="0.2">
      <c r="A17" t="s">
        <v>130</v>
      </c>
      <c r="B17" t="s">
        <v>118</v>
      </c>
      <c r="C17">
        <v>5211</v>
      </c>
      <c r="D17" s="92" t="s">
        <v>177</v>
      </c>
      <c r="F17" s="86">
        <f t="shared" si="3"/>
        <v>0</v>
      </c>
      <c r="G17" s="88">
        <v>8000</v>
      </c>
      <c r="H17" s="86">
        <f t="shared" si="4"/>
        <v>8000</v>
      </c>
    </row>
    <row r="18" spans="1:8" x14ac:dyDescent="0.2">
      <c r="A18" t="s">
        <v>130</v>
      </c>
      <c r="B18" t="s">
        <v>118</v>
      </c>
      <c r="C18">
        <v>5852</v>
      </c>
      <c r="D18" s="87" t="s">
        <v>153</v>
      </c>
      <c r="F18" s="86">
        <f t="shared" si="3"/>
        <v>0</v>
      </c>
      <c r="G18" s="88">
        <v>17250</v>
      </c>
      <c r="H18" s="86">
        <f t="shared" si="4"/>
        <v>17250</v>
      </c>
    </row>
    <row r="19" spans="1:8" ht="28.5" x14ac:dyDescent="0.2">
      <c r="A19" t="s">
        <v>130</v>
      </c>
      <c r="B19" t="s">
        <v>119</v>
      </c>
      <c r="C19">
        <v>2131</v>
      </c>
      <c r="D19" s="87" t="s">
        <v>178</v>
      </c>
      <c r="E19" s="88">
        <v>37000</v>
      </c>
      <c r="F19" s="86">
        <f t="shared" si="3"/>
        <v>9250</v>
      </c>
      <c r="H19" s="86">
        <f t="shared" si="4"/>
        <v>46250</v>
      </c>
    </row>
    <row r="20" spans="1:8" ht="28.5" x14ac:dyDescent="0.2">
      <c r="A20" t="s">
        <v>130</v>
      </c>
      <c r="B20" t="s">
        <v>121</v>
      </c>
      <c r="C20">
        <v>4111</v>
      </c>
      <c r="D20" s="87" t="s">
        <v>123</v>
      </c>
      <c r="F20" s="86">
        <f t="shared" si="3"/>
        <v>0</v>
      </c>
      <c r="G20" s="88">
        <v>16571</v>
      </c>
      <c r="H20" s="86">
        <f t="shared" si="4"/>
        <v>16571</v>
      </c>
    </row>
    <row r="21" spans="1:8" ht="28.5" x14ac:dyDescent="0.2">
      <c r="A21" t="s">
        <v>132</v>
      </c>
      <c r="B21" t="s">
        <v>117</v>
      </c>
      <c r="C21">
        <v>1110</v>
      </c>
      <c r="D21" s="87" t="s">
        <v>179</v>
      </c>
      <c r="E21" s="90">
        <v>69078.239999999991</v>
      </c>
      <c r="F21" s="89">
        <f t="shared" si="3"/>
        <v>17269.559999999998</v>
      </c>
      <c r="G21" s="89"/>
      <c r="H21" s="89">
        <f t="shared" ref="H21:H26" si="7">SUM(E21:G21)</f>
        <v>86347.799999999988</v>
      </c>
    </row>
    <row r="22" spans="1:8" x14ac:dyDescent="0.2">
      <c r="A22" t="s">
        <v>132</v>
      </c>
      <c r="B22" t="s">
        <v>117</v>
      </c>
      <c r="C22">
        <v>2111</v>
      </c>
      <c r="D22" s="87" t="s">
        <v>160</v>
      </c>
      <c r="E22" s="90">
        <v>0</v>
      </c>
      <c r="F22" s="89">
        <f t="shared" si="3"/>
        <v>0</v>
      </c>
      <c r="G22" s="89"/>
      <c r="H22" s="89">
        <f t="shared" si="7"/>
        <v>0</v>
      </c>
    </row>
    <row r="23" spans="1:8" x14ac:dyDescent="0.2">
      <c r="A23" t="s">
        <v>132</v>
      </c>
      <c r="B23" t="s">
        <v>118</v>
      </c>
      <c r="C23">
        <v>5211</v>
      </c>
      <c r="D23" s="87" t="s">
        <v>180</v>
      </c>
      <c r="E23" s="89"/>
      <c r="F23" s="89">
        <f t="shared" si="3"/>
        <v>0</v>
      </c>
      <c r="G23" s="90">
        <v>0</v>
      </c>
      <c r="H23" s="89">
        <f t="shared" si="7"/>
        <v>0</v>
      </c>
    </row>
    <row r="24" spans="1:8" x14ac:dyDescent="0.2">
      <c r="A24" t="s">
        <v>132</v>
      </c>
      <c r="B24" t="s">
        <v>118</v>
      </c>
      <c r="C24">
        <v>5852</v>
      </c>
      <c r="D24" s="87" t="s">
        <v>153</v>
      </c>
      <c r="E24" s="89"/>
      <c r="F24" s="89">
        <f t="shared" si="3"/>
        <v>0</v>
      </c>
      <c r="G24" s="90">
        <v>16687.5</v>
      </c>
      <c r="H24" s="89">
        <f t="shared" si="7"/>
        <v>16687.5</v>
      </c>
    </row>
    <row r="25" spans="1:8" x14ac:dyDescent="0.2">
      <c r="A25" t="s">
        <v>132</v>
      </c>
      <c r="B25" t="s">
        <v>119</v>
      </c>
      <c r="D25" s="87" t="s">
        <v>131</v>
      </c>
      <c r="E25" s="90">
        <v>27750.000000000004</v>
      </c>
      <c r="F25" s="89">
        <f t="shared" si="3"/>
        <v>6937.5000000000009</v>
      </c>
      <c r="G25" s="89"/>
      <c r="H25" s="89">
        <f t="shared" si="7"/>
        <v>34687.500000000007</v>
      </c>
    </row>
    <row r="26" spans="1:8" ht="28.5" x14ac:dyDescent="0.2">
      <c r="A26" t="s">
        <v>132</v>
      </c>
      <c r="B26" t="s">
        <v>121</v>
      </c>
      <c r="C26">
        <v>4111</v>
      </c>
      <c r="D26" s="87" t="s">
        <v>123</v>
      </c>
      <c r="E26" s="89"/>
      <c r="F26" s="89">
        <f t="shared" si="3"/>
        <v>0</v>
      </c>
      <c r="G26" s="90">
        <v>10107</v>
      </c>
      <c r="H26" s="89">
        <f t="shared" si="7"/>
        <v>10107</v>
      </c>
    </row>
    <row r="27" spans="1:8" x14ac:dyDescent="0.2">
      <c r="A27" t="s">
        <v>133</v>
      </c>
      <c r="B27" t="s">
        <v>117</v>
      </c>
      <c r="C27">
        <v>1110</v>
      </c>
      <c r="D27" s="87" t="s">
        <v>113</v>
      </c>
      <c r="E27" s="90">
        <v>201936</v>
      </c>
      <c r="F27" s="89">
        <f t="shared" si="3"/>
        <v>50484</v>
      </c>
      <c r="G27" s="89"/>
      <c r="H27" s="89">
        <f t="shared" ref="H27:H32" si="8">SUM(E27:G27)</f>
        <v>252420</v>
      </c>
    </row>
    <row r="28" spans="1:8" x14ac:dyDescent="0.2">
      <c r="A28" t="s">
        <v>133</v>
      </c>
      <c r="B28" t="s">
        <v>117</v>
      </c>
      <c r="C28">
        <v>2111</v>
      </c>
      <c r="D28" s="87" t="s">
        <v>160</v>
      </c>
      <c r="E28" s="90">
        <v>0</v>
      </c>
      <c r="F28" s="89">
        <f t="shared" si="3"/>
        <v>0</v>
      </c>
      <c r="G28" s="89"/>
      <c r="H28" s="89">
        <f t="shared" si="8"/>
        <v>0</v>
      </c>
    </row>
    <row r="29" spans="1:8" x14ac:dyDescent="0.2">
      <c r="A29" t="s">
        <v>133</v>
      </c>
      <c r="B29" t="s">
        <v>118</v>
      </c>
      <c r="C29">
        <v>5211</v>
      </c>
      <c r="D29" s="87" t="s">
        <v>157</v>
      </c>
      <c r="E29" s="89"/>
      <c r="F29" s="89">
        <f t="shared" si="3"/>
        <v>0</v>
      </c>
      <c r="G29" s="90">
        <v>5000</v>
      </c>
      <c r="H29" s="89">
        <f t="shared" si="8"/>
        <v>5000</v>
      </c>
    </row>
    <row r="30" spans="1:8" ht="28.5" x14ac:dyDescent="0.2">
      <c r="A30" t="s">
        <v>133</v>
      </c>
      <c r="B30" t="s">
        <v>118</v>
      </c>
      <c r="C30">
        <v>5852</v>
      </c>
      <c r="D30" s="87" t="s">
        <v>158</v>
      </c>
      <c r="E30" s="89"/>
      <c r="F30" s="89">
        <f t="shared" si="3"/>
        <v>0</v>
      </c>
      <c r="G30" s="90">
        <f>15000+2250+10000</f>
        <v>27250</v>
      </c>
      <c r="H30" s="89">
        <f t="shared" si="8"/>
        <v>27250</v>
      </c>
    </row>
    <row r="31" spans="1:8" ht="28.5" x14ac:dyDescent="0.2">
      <c r="A31" t="s">
        <v>133</v>
      </c>
      <c r="B31" t="s">
        <v>119</v>
      </c>
      <c r="C31">
        <v>2131</v>
      </c>
      <c r="D31" s="92" t="s">
        <v>159</v>
      </c>
      <c r="E31" s="90">
        <v>18500</v>
      </c>
      <c r="F31" s="89">
        <f t="shared" si="3"/>
        <v>4625</v>
      </c>
      <c r="G31" s="89"/>
      <c r="H31" s="89">
        <f t="shared" si="8"/>
        <v>23125</v>
      </c>
    </row>
    <row r="32" spans="1:8" ht="28.5" x14ac:dyDescent="0.2">
      <c r="A32" t="s">
        <v>133</v>
      </c>
      <c r="B32" t="s">
        <v>121</v>
      </c>
      <c r="C32">
        <v>4111</v>
      </c>
      <c r="D32" s="87" t="s">
        <v>123</v>
      </c>
      <c r="E32" s="89"/>
      <c r="F32" s="89">
        <f t="shared" si="3"/>
        <v>0</v>
      </c>
      <c r="G32" s="90">
        <f>1500+14500</f>
        <v>16000</v>
      </c>
      <c r="H32" s="89">
        <f t="shared" si="8"/>
        <v>16000</v>
      </c>
    </row>
    <row r="33" spans="1:8" x14ac:dyDescent="0.2">
      <c r="A33" t="s">
        <v>134</v>
      </c>
      <c r="B33" t="s">
        <v>117</v>
      </c>
      <c r="C33">
        <v>1110</v>
      </c>
      <c r="D33" s="87" t="s">
        <v>113</v>
      </c>
      <c r="E33" s="90">
        <v>170193.35999999996</v>
      </c>
      <c r="F33" s="89">
        <f t="shared" si="3"/>
        <v>42548.339999999989</v>
      </c>
      <c r="G33" s="89"/>
      <c r="H33" s="89">
        <f t="shared" ref="H33:H38" si="9">SUM(E33:G33)</f>
        <v>212741.69999999995</v>
      </c>
    </row>
    <row r="34" spans="1:8" x14ac:dyDescent="0.2">
      <c r="A34" t="s">
        <v>134</v>
      </c>
      <c r="B34" t="s">
        <v>117</v>
      </c>
      <c r="C34">
        <v>2111</v>
      </c>
      <c r="D34" s="87" t="s">
        <v>160</v>
      </c>
      <c r="E34" s="90">
        <v>0</v>
      </c>
      <c r="F34" s="89">
        <f t="shared" si="3"/>
        <v>0</v>
      </c>
      <c r="G34" s="89"/>
      <c r="H34" s="89">
        <f t="shared" si="9"/>
        <v>0</v>
      </c>
    </row>
    <row r="35" spans="1:8" x14ac:dyDescent="0.2">
      <c r="A35" t="s">
        <v>134</v>
      </c>
      <c r="B35" t="s">
        <v>118</v>
      </c>
      <c r="C35">
        <v>5211</v>
      </c>
      <c r="D35" s="87" t="s">
        <v>167</v>
      </c>
      <c r="E35" s="89"/>
      <c r="F35" s="89">
        <f t="shared" si="3"/>
        <v>0</v>
      </c>
      <c r="G35" s="90">
        <v>20000</v>
      </c>
      <c r="H35" s="89">
        <f t="shared" si="9"/>
        <v>20000</v>
      </c>
    </row>
    <row r="36" spans="1:8" x14ac:dyDescent="0.2">
      <c r="A36" t="s">
        <v>134</v>
      </c>
      <c r="B36" t="s">
        <v>118</v>
      </c>
      <c r="C36">
        <v>5852</v>
      </c>
      <c r="D36" s="87" t="s">
        <v>124</v>
      </c>
      <c r="E36" s="89"/>
      <c r="F36" s="89">
        <f t="shared" si="3"/>
        <v>0</v>
      </c>
      <c r="G36" s="90">
        <v>563</v>
      </c>
      <c r="H36" s="89">
        <f t="shared" si="9"/>
        <v>563</v>
      </c>
    </row>
    <row r="37" spans="1:8" ht="28.5" x14ac:dyDescent="0.2">
      <c r="A37" t="s">
        <v>134</v>
      </c>
      <c r="B37" t="s">
        <v>119</v>
      </c>
      <c r="C37">
        <v>2111</v>
      </c>
      <c r="D37" s="87" t="s">
        <v>166</v>
      </c>
      <c r="E37" s="90">
        <v>24281</v>
      </c>
      <c r="F37" s="89">
        <f t="shared" si="3"/>
        <v>6070.25</v>
      </c>
      <c r="G37" s="89"/>
      <c r="H37" s="89">
        <f t="shared" si="9"/>
        <v>30351.25</v>
      </c>
    </row>
    <row r="38" spans="1:8" ht="28.5" x14ac:dyDescent="0.2">
      <c r="A38" t="s">
        <v>134</v>
      </c>
      <c r="B38" t="s">
        <v>121</v>
      </c>
      <c r="C38">
        <v>4111</v>
      </c>
      <c r="D38" s="87" t="s">
        <v>123</v>
      </c>
      <c r="E38" s="89"/>
      <c r="F38" s="89">
        <f t="shared" si="3"/>
        <v>0</v>
      </c>
      <c r="G38" s="90">
        <v>14700</v>
      </c>
      <c r="H38" s="89">
        <f t="shared" si="9"/>
        <v>14700</v>
      </c>
    </row>
    <row r="39" spans="1:8" x14ac:dyDescent="0.2">
      <c r="E39" s="123"/>
      <c r="F39" s="123"/>
      <c r="G39" s="123"/>
      <c r="H39" s="123">
        <f>SUBTOTAL(109,Table6[Total Cost])</f>
        <v>1951278.7249999999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CNCA#1 - BUR</vt:lpstr>
      <vt:lpstr>CNCA#2 - KAY</vt:lpstr>
      <vt:lpstr>CNCA#3 - CAS.EIS</vt:lpstr>
      <vt:lpstr>CNCA#4 - CIS</vt:lpstr>
      <vt:lpstr>CNHS#2 - DAL</vt:lpstr>
      <vt:lpstr>LCFF S&amp;C Amounts</vt:lpstr>
      <vt:lpstr>Title Expenses Budgeted</vt:lpstr>
      <vt:lpstr>'CNCA#1 - BUR'!Print_Area</vt:lpstr>
      <vt:lpstr>'CNCA#2 - KAY'!Print_Area</vt:lpstr>
      <vt:lpstr>'CNCA#3 - CAS.EIS'!Print_Area</vt:lpstr>
      <vt:lpstr>'CNCA#4 - CIS'!Print_Area</vt:lpstr>
      <vt:lpstr>'CNHS#2 - DAL'!Print_Area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Oliva</dc:creator>
  <cp:lastModifiedBy>Sonia Oliva</cp:lastModifiedBy>
  <dcterms:created xsi:type="dcterms:W3CDTF">2021-05-20T03:54:23Z</dcterms:created>
  <dcterms:modified xsi:type="dcterms:W3CDTF">2021-05-27T19:46:01Z</dcterms:modified>
</cp:coreProperties>
</file>