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ci-my.sharepoint.com/personal/jeng_csmci_com/Documents/Desktop/"/>
    </mc:Choice>
  </mc:AlternateContent>
  <xr:revisionPtr revIDLastSave="51" documentId="8_{505FE039-74DF-4C40-9527-1A457B881EF6}" xr6:coauthVersionLast="47" xr6:coauthVersionMax="47" xr10:uidLastSave="{0F01FAC5-0185-4E63-958C-AFCD8B3D6020}"/>
  <workbookProtection workbookAlgorithmName="SHA-512" workbookHashValue="WNuTLyuA4J4nj1GF0WjWEIUKpvx5MUk0tK24t52fnt63F0m2d3y7yqjiXgK8Vz6yULag5AnXI/14tYpuNfaEKQ==" workbookSaltValue="5Rn07C/adidhKV9S813+BQ==" workbookSpinCount="100000" lockStructure="1"/>
  <bookViews>
    <workbookView xWindow="2550" yWindow="2550" windowWidth="9435" windowHeight="8325" xr2:uid="{00000000-000D-0000-FFFF-FFFF00000000}"/>
  </bookViews>
  <sheets>
    <sheet name="Interim Input" sheetId="4" r:id="rId1"/>
    <sheet name="Budget Variance Analysis" sheetId="5" r:id="rId2"/>
  </sheets>
  <definedNames>
    <definedName name="F2F3RestrictedSum" localSheetId="1">'Budget Variance Analysis'!#REF!</definedName>
    <definedName name="F2F3RestrictedSum">'Interim Input'!#REF!</definedName>
    <definedName name="_xlnm.Print_Area" localSheetId="1">'Budget Variance Analysis'!$A$1:$K$121</definedName>
    <definedName name="_xlnm.Print_Area" localSheetId="0">'Interim Input'!$B$1:$N$173</definedName>
    <definedName name="_xlnm.Print_Titles" localSheetId="1">'Budget Variance Analysis'!$1:$13</definedName>
    <definedName name="_xlnm.Print_Titles" localSheetId="0">'Interim Input'!$1:$13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" l="1"/>
  <c r="H139" i="4" l="1"/>
  <c r="J125" i="4"/>
  <c r="H125" i="4"/>
  <c r="H158" i="4"/>
  <c r="H162" i="4"/>
  <c r="G98" i="4"/>
  <c r="G95" i="4"/>
  <c r="G94" i="4"/>
  <c r="G92" i="4"/>
  <c r="G91" i="4"/>
  <c r="G90" i="4"/>
  <c r="G89" i="4"/>
  <c r="G88" i="4"/>
  <c r="G84" i="4"/>
  <c r="G83" i="4"/>
  <c r="G82" i="4"/>
  <c r="G81" i="4"/>
  <c r="G80" i="4"/>
  <c r="G74" i="4"/>
  <c r="G73" i="4"/>
  <c r="G72" i="4"/>
  <c r="G71" i="4"/>
  <c r="G69" i="4"/>
  <c r="G66" i="4"/>
  <c r="G65" i="4"/>
  <c r="G63" i="4"/>
  <c r="G62" i="4"/>
  <c r="G59" i="4"/>
  <c r="G58" i="4"/>
  <c r="G119" i="5" l="1"/>
  <c r="G99" i="4" l="1"/>
  <c r="H117" i="5" l="1"/>
  <c r="K115" i="4"/>
  <c r="K117" i="4"/>
  <c r="L43" i="4" l="1"/>
  <c r="E10" i="5" l="1"/>
  <c r="E9" i="5"/>
  <c r="E8" i="5"/>
  <c r="E7" i="5"/>
  <c r="E6" i="5"/>
  <c r="K43" i="4"/>
  <c r="M43" i="4" s="1"/>
  <c r="N43" i="4" s="1"/>
  <c r="H43" i="5"/>
  <c r="K50" i="4" l="1"/>
  <c r="L32" i="4"/>
  <c r="L23" i="4"/>
  <c r="L34" i="4"/>
  <c r="K34" i="4"/>
  <c r="J35" i="4"/>
  <c r="I35" i="4"/>
  <c r="H35" i="4"/>
  <c r="G35" i="4"/>
  <c r="H34" i="5" l="1"/>
  <c r="I34" i="5" s="1"/>
  <c r="J34" i="5" s="1"/>
  <c r="M34" i="4"/>
  <c r="N34" i="4" s="1"/>
  <c r="K23" i="4" l="1"/>
  <c r="H23" i="5" s="1"/>
  <c r="L33" i="4"/>
  <c r="K33" i="4"/>
  <c r="K32" i="4"/>
  <c r="H32" i="5" s="1"/>
  <c r="L31" i="4"/>
  <c r="K31" i="4"/>
  <c r="H31" i="5" s="1"/>
  <c r="L30" i="4"/>
  <c r="K30" i="4"/>
  <c r="H30" i="5" s="1"/>
  <c r="L29" i="4"/>
  <c r="K29" i="4"/>
  <c r="H29" i="5" s="1"/>
  <c r="L28" i="4"/>
  <c r="K28" i="4"/>
  <c r="L27" i="4"/>
  <c r="K27" i="4"/>
  <c r="H27" i="5" s="1"/>
  <c r="L26" i="4"/>
  <c r="K26" i="4"/>
  <c r="H26" i="5" s="1"/>
  <c r="L25" i="4"/>
  <c r="K25" i="4"/>
  <c r="H25" i="5" s="1"/>
  <c r="L24" i="4"/>
  <c r="K24" i="4"/>
  <c r="H24" i="5" s="1"/>
  <c r="L17" i="4"/>
  <c r="K16" i="4"/>
  <c r="G35" i="5"/>
  <c r="H16" i="5" l="1"/>
  <c r="I16" i="5" s="1"/>
  <c r="J16" i="5" s="1"/>
  <c r="M33" i="4"/>
  <c r="N33" i="4" s="1"/>
  <c r="H33" i="5"/>
  <c r="H28" i="5"/>
  <c r="I28" i="5" s="1"/>
  <c r="J28" i="5" s="1"/>
  <c r="M25" i="4"/>
  <c r="N25" i="4" s="1"/>
  <c r="M27" i="4"/>
  <c r="N27" i="4" s="1"/>
  <c r="M29" i="4"/>
  <c r="N29" i="4" s="1"/>
  <c r="L35" i="4"/>
  <c r="M23" i="4"/>
  <c r="K35" i="4"/>
  <c r="M24" i="4"/>
  <c r="N24" i="4" s="1"/>
  <c r="M31" i="4"/>
  <c r="N31" i="4" s="1"/>
  <c r="M26" i="4"/>
  <c r="N26" i="4" s="1"/>
  <c r="M28" i="4"/>
  <c r="N28" i="4" s="1"/>
  <c r="M30" i="4"/>
  <c r="N30" i="4" s="1"/>
  <c r="M32" i="4"/>
  <c r="N32" i="4" s="1"/>
  <c r="M35" i="4" l="1"/>
  <c r="N35" i="4" s="1"/>
  <c r="N23" i="4"/>
  <c r="G108" i="5"/>
  <c r="G99" i="5"/>
  <c r="G96" i="5"/>
  <c r="G85" i="5"/>
  <c r="G78" i="5"/>
  <c r="G67" i="5"/>
  <c r="G21" i="5"/>
  <c r="G51" i="5" l="1"/>
  <c r="G60" i="5"/>
  <c r="G110" i="5" s="1"/>
  <c r="G48" i="5"/>
  <c r="N100" i="4"/>
  <c r="N97" i="4"/>
  <c r="N86" i="4"/>
  <c r="N79" i="4"/>
  <c r="N68" i="4"/>
  <c r="N61" i="4"/>
  <c r="N49" i="4"/>
  <c r="N36" i="4"/>
  <c r="G53" i="5" l="1"/>
  <c r="G112" i="5" s="1"/>
  <c r="G121" i="5" s="1"/>
  <c r="L46" i="4" l="1"/>
  <c r="H122" i="5" l="1"/>
  <c r="I126" i="4"/>
  <c r="G126" i="4"/>
  <c r="J48" i="4" l="1"/>
  <c r="I48" i="4"/>
  <c r="H48" i="4"/>
  <c r="G48" i="4"/>
  <c r="L47" i="4"/>
  <c r="K47" i="4"/>
  <c r="H47" i="5" s="1"/>
  <c r="K46" i="4"/>
  <c r="H46" i="5" s="1"/>
  <c r="L45" i="4"/>
  <c r="K45" i="4"/>
  <c r="H45" i="5" s="1"/>
  <c r="L44" i="4"/>
  <c r="K44" i="4"/>
  <c r="H44" i="5" s="1"/>
  <c r="L42" i="4"/>
  <c r="K42" i="4"/>
  <c r="H42" i="5" s="1"/>
  <c r="L41" i="4"/>
  <c r="K41" i="4"/>
  <c r="H41" i="5" s="1"/>
  <c r="L40" i="4"/>
  <c r="K40" i="4"/>
  <c r="H40" i="5" s="1"/>
  <c r="L39" i="4"/>
  <c r="K39" i="4"/>
  <c r="H39" i="5" s="1"/>
  <c r="L38" i="4"/>
  <c r="K38" i="4"/>
  <c r="H38" i="5" s="1"/>
  <c r="L37" i="4"/>
  <c r="K37" i="4"/>
  <c r="H37" i="5" s="1"/>
  <c r="I40" i="5" l="1"/>
  <c r="J40" i="5" s="1"/>
  <c r="I47" i="5"/>
  <c r="J47" i="5" s="1"/>
  <c r="I39" i="5"/>
  <c r="J39" i="5" s="1"/>
  <c r="I37" i="5"/>
  <c r="J37" i="5" s="1"/>
  <c r="I45" i="5"/>
  <c r="J45" i="5" s="1"/>
  <c r="I44" i="5"/>
  <c r="J44" i="5" s="1"/>
  <c r="I42" i="5"/>
  <c r="J42" i="5" s="1"/>
  <c r="I43" i="5"/>
  <c r="J43" i="5" s="1"/>
  <c r="I38" i="5"/>
  <c r="J38" i="5" s="1"/>
  <c r="I46" i="5"/>
  <c r="J46" i="5" s="1"/>
  <c r="I41" i="5"/>
  <c r="J41" i="5" s="1"/>
  <c r="M44" i="4"/>
  <c r="N44" i="4" s="1"/>
  <c r="M47" i="4"/>
  <c r="N47" i="4" s="1"/>
  <c r="M45" i="4"/>
  <c r="N45" i="4" s="1"/>
  <c r="M42" i="4"/>
  <c r="N42" i="4" s="1"/>
  <c r="M41" i="4"/>
  <c r="N41" i="4" s="1"/>
  <c r="M40" i="4"/>
  <c r="N40" i="4" s="1"/>
  <c r="M38" i="4"/>
  <c r="N38" i="4" s="1"/>
  <c r="M39" i="4"/>
  <c r="N39" i="4" s="1"/>
  <c r="L48" i="4"/>
  <c r="P48" i="4" s="1"/>
  <c r="M46" i="4"/>
  <c r="N46" i="4" s="1"/>
  <c r="K48" i="4"/>
  <c r="M37" i="4"/>
  <c r="N37" i="4" s="1"/>
  <c r="I30" i="5"/>
  <c r="J30" i="5" s="1"/>
  <c r="I48" i="5" l="1"/>
  <c r="J48" i="5" s="1"/>
  <c r="O48" i="4"/>
  <c r="H48" i="5"/>
  <c r="M48" i="4"/>
  <c r="L105" i="4"/>
  <c r="K105" i="4"/>
  <c r="H105" i="5" s="1"/>
  <c r="I105" i="5" s="1"/>
  <c r="J105" i="5" s="1"/>
  <c r="I32" i="5"/>
  <c r="J32" i="5" s="1"/>
  <c r="I31" i="5"/>
  <c r="J31" i="5" s="1"/>
  <c r="N48" i="4" l="1"/>
  <c r="M105" i="4"/>
  <c r="N105" i="4" s="1"/>
  <c r="I33" i="5" l="1"/>
  <c r="J33" i="5" s="1"/>
  <c r="I26" i="5" l="1"/>
  <c r="J26" i="5" s="1"/>
  <c r="I29" i="5"/>
  <c r="J29" i="5" s="1"/>
  <c r="I27" i="5"/>
  <c r="J27" i="5" s="1"/>
  <c r="I25" i="5"/>
  <c r="J25" i="5" s="1"/>
  <c r="I24" i="5"/>
  <c r="J24" i="5" s="1"/>
  <c r="H164" i="4"/>
  <c r="H35" i="5" l="1"/>
  <c r="I23" i="5"/>
  <c r="J23" i="5" s="1"/>
  <c r="L160" i="4"/>
  <c r="I35" i="5" l="1"/>
  <c r="J35" i="5" s="1"/>
  <c r="K19" i="4"/>
  <c r="K18" i="4"/>
  <c r="H18" i="5" s="1"/>
  <c r="K17" i="4"/>
  <c r="H17" i="5" s="1"/>
  <c r="I17" i="5" s="1"/>
  <c r="J17" i="5" s="1"/>
  <c r="H19" i="5" l="1"/>
  <c r="I19" i="5" s="1"/>
  <c r="J19" i="5" s="1"/>
  <c r="M17" i="4"/>
  <c r="N17" i="4" s="1"/>
  <c r="J127" i="4"/>
  <c r="I127" i="4"/>
  <c r="H127" i="4"/>
  <c r="G127" i="4"/>
  <c r="L126" i="4"/>
  <c r="K126" i="4"/>
  <c r="L125" i="4"/>
  <c r="K125" i="4"/>
  <c r="J119" i="4"/>
  <c r="I119" i="4"/>
  <c r="H119" i="4"/>
  <c r="G119" i="4"/>
  <c r="L117" i="4"/>
  <c r="I117" i="5"/>
  <c r="L116" i="4"/>
  <c r="K116" i="4"/>
  <c r="H116" i="5" s="1"/>
  <c r="I116" i="5" s="1"/>
  <c r="L115" i="4"/>
  <c r="H115" i="5"/>
  <c r="J108" i="4"/>
  <c r="I108" i="4"/>
  <c r="H108" i="4"/>
  <c r="G108" i="4"/>
  <c r="L107" i="4"/>
  <c r="K107" i="4"/>
  <c r="H107" i="5" s="1"/>
  <c r="I107" i="5" s="1"/>
  <c r="J107" i="5" s="1"/>
  <c r="L106" i="4"/>
  <c r="K106" i="4"/>
  <c r="H106" i="5" s="1"/>
  <c r="I106" i="5" s="1"/>
  <c r="J106" i="5" s="1"/>
  <c r="L104" i="4"/>
  <c r="K104" i="4"/>
  <c r="H104" i="5" s="1"/>
  <c r="I104" i="5" s="1"/>
  <c r="J104" i="5" s="1"/>
  <c r="L103" i="4"/>
  <c r="K103" i="4"/>
  <c r="H103" i="5" s="1"/>
  <c r="I103" i="5" s="1"/>
  <c r="J103" i="5" s="1"/>
  <c r="L102" i="4"/>
  <c r="K102" i="4"/>
  <c r="H102" i="5" s="1"/>
  <c r="I102" i="5" s="1"/>
  <c r="J102" i="5" s="1"/>
  <c r="L101" i="4"/>
  <c r="K101" i="4"/>
  <c r="H101" i="5" s="1"/>
  <c r="L98" i="4"/>
  <c r="K98" i="4"/>
  <c r="H98" i="5" s="1"/>
  <c r="J96" i="4"/>
  <c r="I96" i="4"/>
  <c r="H96" i="4"/>
  <c r="G96" i="4"/>
  <c r="L95" i="4"/>
  <c r="K95" i="4"/>
  <c r="H95" i="5" s="1"/>
  <c r="I95" i="5" s="1"/>
  <c r="J95" i="5" s="1"/>
  <c r="L94" i="4"/>
  <c r="K94" i="4"/>
  <c r="H94" i="5" s="1"/>
  <c r="I94" i="5" s="1"/>
  <c r="J94" i="5" s="1"/>
  <c r="L93" i="4"/>
  <c r="K93" i="4"/>
  <c r="H93" i="5" s="1"/>
  <c r="I93" i="5" s="1"/>
  <c r="J93" i="5" s="1"/>
  <c r="L92" i="4"/>
  <c r="K92" i="4"/>
  <c r="H92" i="5" s="1"/>
  <c r="I92" i="5" s="1"/>
  <c r="J92" i="5" s="1"/>
  <c r="L91" i="4"/>
  <c r="K91" i="4"/>
  <c r="H91" i="5" s="1"/>
  <c r="I91" i="5" s="1"/>
  <c r="J91" i="5" s="1"/>
  <c r="L90" i="4"/>
  <c r="K90" i="4"/>
  <c r="H90" i="5" s="1"/>
  <c r="I90" i="5" s="1"/>
  <c r="J90" i="5" s="1"/>
  <c r="L89" i="4"/>
  <c r="K89" i="4"/>
  <c r="H89" i="5" s="1"/>
  <c r="I89" i="5" s="1"/>
  <c r="J89" i="5" s="1"/>
  <c r="L88" i="4"/>
  <c r="K88" i="4"/>
  <c r="H88" i="5" s="1"/>
  <c r="I88" i="5" s="1"/>
  <c r="J88" i="5" s="1"/>
  <c r="L87" i="4"/>
  <c r="K87" i="4"/>
  <c r="H87" i="5" s="1"/>
  <c r="J85" i="4"/>
  <c r="I85" i="4"/>
  <c r="H85" i="4"/>
  <c r="G85" i="4"/>
  <c r="L84" i="4"/>
  <c r="K84" i="4"/>
  <c r="H84" i="5" s="1"/>
  <c r="I84" i="5" s="1"/>
  <c r="J84" i="5" s="1"/>
  <c r="L83" i="4"/>
  <c r="K83" i="4"/>
  <c r="H83" i="5" s="1"/>
  <c r="I83" i="5" s="1"/>
  <c r="J83" i="5" s="1"/>
  <c r="L82" i="4"/>
  <c r="K82" i="4"/>
  <c r="H82" i="5" s="1"/>
  <c r="I82" i="5" s="1"/>
  <c r="J82" i="5" s="1"/>
  <c r="L81" i="4"/>
  <c r="K81" i="4"/>
  <c r="H81" i="5" s="1"/>
  <c r="I81" i="5" s="1"/>
  <c r="J81" i="5" s="1"/>
  <c r="L80" i="4"/>
  <c r="K80" i="4"/>
  <c r="H80" i="5" s="1"/>
  <c r="J78" i="4"/>
  <c r="I78" i="4"/>
  <c r="H78" i="4"/>
  <c r="G78" i="4"/>
  <c r="L77" i="4"/>
  <c r="K77" i="4"/>
  <c r="H77" i="5" s="1"/>
  <c r="I77" i="5" s="1"/>
  <c r="J77" i="5" s="1"/>
  <c r="L76" i="4"/>
  <c r="K76" i="4"/>
  <c r="H76" i="5" s="1"/>
  <c r="I76" i="5" s="1"/>
  <c r="J76" i="5" s="1"/>
  <c r="L75" i="4"/>
  <c r="K75" i="4"/>
  <c r="H75" i="5" s="1"/>
  <c r="I75" i="5" s="1"/>
  <c r="J75" i="5" s="1"/>
  <c r="L74" i="4"/>
  <c r="K74" i="4"/>
  <c r="H74" i="5" s="1"/>
  <c r="I74" i="5" s="1"/>
  <c r="J74" i="5" s="1"/>
  <c r="L73" i="4"/>
  <c r="K73" i="4"/>
  <c r="H73" i="5" s="1"/>
  <c r="I73" i="5" s="1"/>
  <c r="J73" i="5" s="1"/>
  <c r="L72" i="4"/>
  <c r="K72" i="4"/>
  <c r="H72" i="5" s="1"/>
  <c r="I72" i="5" s="1"/>
  <c r="J72" i="5" s="1"/>
  <c r="L71" i="4"/>
  <c r="K71" i="4"/>
  <c r="H71" i="5" s="1"/>
  <c r="I71" i="5" s="1"/>
  <c r="J71" i="5" s="1"/>
  <c r="L70" i="4"/>
  <c r="K70" i="4"/>
  <c r="H70" i="5" s="1"/>
  <c r="I70" i="5" s="1"/>
  <c r="J70" i="5" s="1"/>
  <c r="L69" i="4"/>
  <c r="K69" i="4"/>
  <c r="H69" i="5" s="1"/>
  <c r="J67" i="4"/>
  <c r="I67" i="4"/>
  <c r="H67" i="4"/>
  <c r="G67" i="4"/>
  <c r="L66" i="4"/>
  <c r="K66" i="4"/>
  <c r="H66" i="5" s="1"/>
  <c r="I66" i="5" s="1"/>
  <c r="J66" i="5" s="1"/>
  <c r="L65" i="4"/>
  <c r="K65" i="4"/>
  <c r="H65" i="5" s="1"/>
  <c r="I65" i="5" s="1"/>
  <c r="J65" i="5" s="1"/>
  <c r="L64" i="4"/>
  <c r="K64" i="4"/>
  <c r="H64" i="5" s="1"/>
  <c r="I64" i="5" s="1"/>
  <c r="J64" i="5" s="1"/>
  <c r="L63" i="4"/>
  <c r="K63" i="4"/>
  <c r="H63" i="5" s="1"/>
  <c r="I63" i="5" s="1"/>
  <c r="J63" i="5" s="1"/>
  <c r="L62" i="4"/>
  <c r="K62" i="4"/>
  <c r="H62" i="5" s="1"/>
  <c r="J60" i="4"/>
  <c r="H60" i="4"/>
  <c r="L59" i="4"/>
  <c r="K59" i="4"/>
  <c r="H59" i="5" s="1"/>
  <c r="I59" i="5" s="1"/>
  <c r="J59" i="5" s="1"/>
  <c r="L58" i="4"/>
  <c r="K58" i="4"/>
  <c r="H58" i="5" s="1"/>
  <c r="I58" i="5" s="1"/>
  <c r="J58" i="5" s="1"/>
  <c r="L57" i="4"/>
  <c r="K57" i="4"/>
  <c r="H57" i="5" s="1"/>
  <c r="I57" i="5" s="1"/>
  <c r="J57" i="5" s="1"/>
  <c r="L56" i="4"/>
  <c r="J51" i="4"/>
  <c r="I51" i="4"/>
  <c r="H51" i="4"/>
  <c r="G51" i="4"/>
  <c r="L50" i="4"/>
  <c r="J21" i="4"/>
  <c r="I21" i="4"/>
  <c r="H21" i="4"/>
  <c r="G21" i="4"/>
  <c r="L20" i="4"/>
  <c r="K20" i="4"/>
  <c r="L19" i="4"/>
  <c r="L18" i="4"/>
  <c r="L16" i="4"/>
  <c r="H119" i="5" l="1"/>
  <c r="I119" i="5" s="1"/>
  <c r="I121" i="5" s="1"/>
  <c r="H20" i="5"/>
  <c r="I20" i="5" s="1"/>
  <c r="J20" i="5" s="1"/>
  <c r="G53" i="4"/>
  <c r="J53" i="4"/>
  <c r="H53" i="4"/>
  <c r="M18" i="4"/>
  <c r="N18" i="4" s="1"/>
  <c r="I53" i="4"/>
  <c r="I18" i="5"/>
  <c r="J18" i="5" s="1"/>
  <c r="I87" i="5"/>
  <c r="J87" i="5" s="1"/>
  <c r="H96" i="5"/>
  <c r="I101" i="5"/>
  <c r="J101" i="5" s="1"/>
  <c r="H108" i="5"/>
  <c r="I115" i="5"/>
  <c r="L51" i="4"/>
  <c r="P51" i="4" s="1"/>
  <c r="I62" i="5"/>
  <c r="J62" i="5" s="1"/>
  <c r="H67" i="5"/>
  <c r="I80" i="5"/>
  <c r="J80" i="5" s="1"/>
  <c r="H85" i="5"/>
  <c r="H99" i="5"/>
  <c r="I98" i="5"/>
  <c r="J98" i="5" s="1"/>
  <c r="K51" i="4"/>
  <c r="O51" i="4" s="1"/>
  <c r="H50" i="5"/>
  <c r="I50" i="5" s="1"/>
  <c r="J50" i="5" s="1"/>
  <c r="I69" i="5"/>
  <c r="J69" i="5" s="1"/>
  <c r="H78" i="5"/>
  <c r="M107" i="4"/>
  <c r="N107" i="4" s="1"/>
  <c r="M57" i="4"/>
  <c r="N57" i="4" s="1"/>
  <c r="M59" i="4"/>
  <c r="N59" i="4" s="1"/>
  <c r="M89" i="4"/>
  <c r="N89" i="4" s="1"/>
  <c r="M91" i="4"/>
  <c r="N91" i="4" s="1"/>
  <c r="M115" i="4"/>
  <c r="M117" i="4"/>
  <c r="M126" i="4"/>
  <c r="M87" i="4"/>
  <c r="N87" i="4" s="1"/>
  <c r="M58" i="4"/>
  <c r="N58" i="4" s="1"/>
  <c r="K67" i="4"/>
  <c r="O67" i="4" s="1"/>
  <c r="M64" i="4"/>
  <c r="N64" i="4" s="1"/>
  <c r="M66" i="4"/>
  <c r="N66" i="4" s="1"/>
  <c r="M70" i="4"/>
  <c r="N70" i="4" s="1"/>
  <c r="M72" i="4"/>
  <c r="N72" i="4" s="1"/>
  <c r="M74" i="4"/>
  <c r="N74" i="4" s="1"/>
  <c r="M76" i="4"/>
  <c r="N76" i="4" s="1"/>
  <c r="M80" i="4"/>
  <c r="N80" i="4" s="1"/>
  <c r="M84" i="4"/>
  <c r="N84" i="4" s="1"/>
  <c r="M88" i="4"/>
  <c r="N88" i="4" s="1"/>
  <c r="M90" i="4"/>
  <c r="N90" i="4" s="1"/>
  <c r="M92" i="4"/>
  <c r="N92" i="4" s="1"/>
  <c r="M93" i="4"/>
  <c r="N93" i="4" s="1"/>
  <c r="M95" i="4"/>
  <c r="N95" i="4" s="1"/>
  <c r="M103" i="4"/>
  <c r="N103" i="4" s="1"/>
  <c r="L127" i="4"/>
  <c r="P127" i="4" s="1"/>
  <c r="M106" i="4"/>
  <c r="N106" i="4" s="1"/>
  <c r="L60" i="4"/>
  <c r="K108" i="4"/>
  <c r="O108" i="4" s="1"/>
  <c r="L78" i="4"/>
  <c r="P78" i="4" s="1"/>
  <c r="M83" i="4"/>
  <c r="N83" i="4" s="1"/>
  <c r="M94" i="4"/>
  <c r="N94" i="4" s="1"/>
  <c r="M20" i="4"/>
  <c r="L108" i="4"/>
  <c r="P108" i="4" s="1"/>
  <c r="M82" i="4"/>
  <c r="N82" i="4" s="1"/>
  <c r="M19" i="4"/>
  <c r="N19" i="4" s="1"/>
  <c r="M63" i="4"/>
  <c r="N63" i="4" s="1"/>
  <c r="M65" i="4"/>
  <c r="N65" i="4" s="1"/>
  <c r="M81" i="4"/>
  <c r="N81" i="4" s="1"/>
  <c r="M102" i="4"/>
  <c r="N102" i="4" s="1"/>
  <c r="M104" i="4"/>
  <c r="N104" i="4" s="1"/>
  <c r="L96" i="4"/>
  <c r="P96" i="4" s="1"/>
  <c r="L67" i="4"/>
  <c r="P67" i="4" s="1"/>
  <c r="M62" i="4"/>
  <c r="N62" i="4" s="1"/>
  <c r="L85" i="4"/>
  <c r="P85" i="4" s="1"/>
  <c r="M101" i="4"/>
  <c r="N101" i="4" s="1"/>
  <c r="L119" i="4"/>
  <c r="P119" i="4" s="1"/>
  <c r="M69" i="4"/>
  <c r="N69" i="4" s="1"/>
  <c r="M71" i="4"/>
  <c r="N71" i="4" s="1"/>
  <c r="M73" i="4"/>
  <c r="N73" i="4" s="1"/>
  <c r="M75" i="4"/>
  <c r="N75" i="4" s="1"/>
  <c r="M77" i="4"/>
  <c r="N77" i="4" s="1"/>
  <c r="M98" i="4"/>
  <c r="N98" i="4" s="1"/>
  <c r="M116" i="4"/>
  <c r="M125" i="4"/>
  <c r="K85" i="4"/>
  <c r="O85" i="4" s="1"/>
  <c r="K21" i="4"/>
  <c r="L21" i="4"/>
  <c r="K119" i="4"/>
  <c r="O119" i="4" s="1"/>
  <c r="K127" i="4"/>
  <c r="O127" i="4" s="1"/>
  <c r="M16" i="4"/>
  <c r="N16" i="4" s="1"/>
  <c r="K78" i="4"/>
  <c r="K96" i="4"/>
  <c r="O96" i="4" s="1"/>
  <c r="M50" i="4"/>
  <c r="N50" i="4" s="1"/>
  <c r="H21" i="5" l="1"/>
  <c r="K53" i="4"/>
  <c r="N20" i="4"/>
  <c r="M21" i="4"/>
  <c r="N21" i="4" s="1"/>
  <c r="I67" i="5"/>
  <c r="J67" i="5" s="1"/>
  <c r="I96" i="5"/>
  <c r="J96" i="5" s="1"/>
  <c r="I85" i="5"/>
  <c r="J85" i="5" s="1"/>
  <c r="I78" i="5"/>
  <c r="J78" i="5" s="1"/>
  <c r="I99" i="5"/>
  <c r="J99" i="5" s="1"/>
  <c r="I108" i="5"/>
  <c r="J108" i="5" s="1"/>
  <c r="I51" i="5"/>
  <c r="J51" i="5" s="1"/>
  <c r="I21" i="5"/>
  <c r="J21" i="5" s="1"/>
  <c r="L53" i="4"/>
  <c r="H51" i="5"/>
  <c r="P60" i="4"/>
  <c r="O21" i="4"/>
  <c r="O78" i="4"/>
  <c r="M96" i="4"/>
  <c r="N96" i="4" s="1"/>
  <c r="M119" i="4"/>
  <c r="M85" i="4"/>
  <c r="N85" i="4" s="1"/>
  <c r="M78" i="4"/>
  <c r="N78" i="4" s="1"/>
  <c r="M108" i="4"/>
  <c r="N108" i="4" s="1"/>
  <c r="P21" i="4"/>
  <c r="M127" i="4"/>
  <c r="M67" i="4"/>
  <c r="N67" i="4" s="1"/>
  <c r="M51" i="4"/>
  <c r="N51" i="4" s="1"/>
  <c r="I53" i="5" l="1"/>
  <c r="H53" i="5"/>
  <c r="N53" i="4"/>
  <c r="M53" i="4"/>
  <c r="P53" i="4"/>
  <c r="O53" i="4"/>
  <c r="J99" i="4"/>
  <c r="H99" i="4"/>
  <c r="H110" i="4" s="1"/>
  <c r="H112" i="4" s="1"/>
  <c r="J110" i="4" l="1"/>
  <c r="J112" i="4" s="1"/>
  <c r="J121" i="4" s="1"/>
  <c r="H121" i="4"/>
  <c r="H128" i="4" s="1"/>
  <c r="I99" i="4"/>
  <c r="L159" i="4"/>
  <c r="L161" i="4"/>
  <c r="L162" i="4"/>
  <c r="L131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4" i="4"/>
  <c r="L155" i="4" s="1"/>
  <c r="L158" i="4"/>
  <c r="L163" i="4"/>
  <c r="L167" i="4"/>
  <c r="L168" i="4" s="1"/>
  <c r="J128" i="4" l="1"/>
  <c r="L99" i="4"/>
  <c r="L110" i="4" s="1"/>
  <c r="L112" i="4" s="1"/>
  <c r="L151" i="4"/>
  <c r="L164" i="4"/>
  <c r="J132" i="4" l="1"/>
  <c r="L171" i="4"/>
  <c r="P110" i="4"/>
  <c r="O155" i="4"/>
  <c r="O168" i="4"/>
  <c r="J168" i="4"/>
  <c r="H168" i="4"/>
  <c r="J155" i="4"/>
  <c r="H155" i="4"/>
  <c r="L132" i="4" l="1"/>
  <c r="L121" i="4"/>
  <c r="L128" i="4" s="1"/>
  <c r="S170" i="4" s="1"/>
  <c r="S171" i="4" s="1"/>
  <c r="L170" i="4" s="1"/>
  <c r="P112" i="4"/>
  <c r="P168" i="4"/>
  <c r="P155" i="4"/>
  <c r="P128" i="4" l="1"/>
  <c r="P121" i="4"/>
  <c r="H151" i="4"/>
  <c r="H171" i="4" s="1"/>
  <c r="Q170" i="4" s="1"/>
  <c r="Q171" i="4" s="1"/>
  <c r="H170" i="4" s="1"/>
  <c r="J151" i="4"/>
  <c r="J164" i="4"/>
  <c r="O171" i="4"/>
  <c r="O164" i="4"/>
  <c r="O151" i="4"/>
  <c r="J171" i="4" l="1"/>
  <c r="R170" i="4" s="1"/>
  <c r="R171" i="4" s="1"/>
  <c r="J170" i="4" s="1"/>
  <c r="P99" i="4"/>
  <c r="P164" i="4"/>
  <c r="K99" i="4"/>
  <c r="O99" i="4" l="1"/>
  <c r="P151" i="4"/>
  <c r="P171" i="4"/>
  <c r="M99" i="4"/>
  <c r="N99" i="4" s="1"/>
  <c r="H173" i="4" l="1"/>
  <c r="L133" i="4"/>
  <c r="L173" i="4"/>
  <c r="H133" i="4"/>
  <c r="J173" i="4" l="1"/>
  <c r="O133" i="4"/>
  <c r="P133" i="4" l="1"/>
  <c r="I60" i="4"/>
  <c r="I110" i="4" s="1"/>
  <c r="I112" i="4" s="1"/>
  <c r="I121" i="4" s="1"/>
  <c r="I128" i="4" s="1"/>
  <c r="G56" i="4"/>
  <c r="G60" i="4" l="1"/>
  <c r="K56" i="4"/>
  <c r="G110" i="4" l="1"/>
  <c r="M56" i="4"/>
  <c r="K60" i="4"/>
  <c r="H56" i="5"/>
  <c r="G112" i="4" l="1"/>
  <c r="I56" i="5"/>
  <c r="H60" i="5"/>
  <c r="H110" i="5" s="1"/>
  <c r="H112" i="5" s="1"/>
  <c r="H121" i="5" s="1"/>
  <c r="N56" i="4"/>
  <c r="M60" i="4"/>
  <c r="K110" i="4"/>
  <c r="O60" i="4"/>
  <c r="G121" i="4" l="1"/>
  <c r="K112" i="4"/>
  <c r="O110" i="4"/>
  <c r="N60" i="4"/>
  <c r="N110" i="4" s="1"/>
  <c r="M110" i="4"/>
  <c r="M112" i="4" s="1"/>
  <c r="M121" i="4" s="1"/>
  <c r="M128" i="4" s="1"/>
  <c r="I60" i="5"/>
  <c r="J56" i="5"/>
  <c r="G128" i="4" l="1"/>
  <c r="I110" i="5"/>
  <c r="J60" i="5"/>
  <c r="K121" i="4"/>
  <c r="O112" i="4"/>
  <c r="K128" i="4" l="1"/>
  <c r="O128" i="4" s="1"/>
  <c r="O121" i="4"/>
</calcChain>
</file>

<file path=xl/sharedStrings.xml><?xml version="1.0" encoding="utf-8"?>
<sst xmlns="http://schemas.openxmlformats.org/spreadsheetml/2006/main" count="389" uniqueCount="246">
  <si>
    <t>Object Code</t>
  </si>
  <si>
    <t>Proof</t>
  </si>
  <si>
    <t xml:space="preserve">5. TOTAL REVENUES </t>
  </si>
  <si>
    <t xml:space="preserve">1. Certificated Salaries </t>
  </si>
  <si>
    <t xml:space="preserve">Total, Certificated Salaries </t>
  </si>
  <si>
    <t xml:space="preserve">2. Classified Salaries </t>
  </si>
  <si>
    <t xml:space="preserve">Total, Classified Salaries </t>
  </si>
  <si>
    <t xml:space="preserve">3. Employee Benefits </t>
  </si>
  <si>
    <t>3101-3102</t>
  </si>
  <si>
    <t>3201-3202</t>
  </si>
  <si>
    <t>3301-3302</t>
  </si>
  <si>
    <t>3401-3402</t>
  </si>
  <si>
    <t>3501-3502</t>
  </si>
  <si>
    <t>3601-3602</t>
  </si>
  <si>
    <t>3701-3702</t>
  </si>
  <si>
    <t>3901-3902</t>
  </si>
  <si>
    <t xml:space="preserve">Total, Employee Benefits </t>
  </si>
  <si>
    <t xml:space="preserve">4. Books and Supplies </t>
  </si>
  <si>
    <t xml:space="preserve">Total, Books and Supplies </t>
  </si>
  <si>
    <t xml:space="preserve">5. Services and Other Operating Expenditures </t>
  </si>
  <si>
    <t xml:space="preserve">Total, Services and Other Operating Expenditures </t>
  </si>
  <si>
    <t xml:space="preserve">Total, Capital Outlay </t>
  </si>
  <si>
    <t xml:space="preserve">7. Other Outgo </t>
  </si>
  <si>
    <t>7110-7143</t>
  </si>
  <si>
    <t>7211-7213</t>
  </si>
  <si>
    <t>7221-7223</t>
  </si>
  <si>
    <t xml:space="preserve">All Other Transfers </t>
  </si>
  <si>
    <t>7280-7299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</si>
  <si>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</si>
  <si>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</si>
  <si>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</si>
  <si>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</si>
  <si>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8930-8979</t>
  </si>
  <si>
    <t xml:space="preserve">2. Other Uses </t>
  </si>
  <si>
    <t>7630-7699</t>
  </si>
  <si>
    <t>8980-8999</t>
  </si>
  <si>
    <t>9793, 9795</t>
  </si>
  <si>
    <t xml:space="preserve">G. ASSETS </t>
  </si>
  <si>
    <t xml:space="preserve">1. Cash </t>
  </si>
  <si>
    <t xml:space="preserve">In County Treasury </t>
  </si>
  <si>
    <t xml:space="preserve">In Banks </t>
  </si>
  <si>
    <t xml:space="preserve">In Revolving Fund </t>
  </si>
  <si>
    <t xml:space="preserve">Collections Awaiting Deposit </t>
  </si>
  <si>
    <t xml:space="preserve">2. Investments </t>
  </si>
  <si>
    <t xml:space="preserve">3. Accounts Receivable </t>
  </si>
  <si>
    <t xml:space="preserve">4. Due From Grantor Government </t>
  </si>
  <si>
    <t xml:space="preserve">5. Due From Other Funds </t>
  </si>
  <si>
    <t xml:space="preserve">6. Stores </t>
  </si>
  <si>
    <t xml:space="preserve">8. Other Current Assets </t>
  </si>
  <si>
    <t xml:space="preserve">1. Accounts Payable </t>
  </si>
  <si>
    <t xml:space="preserve">2. Due to Grantor Government </t>
  </si>
  <si>
    <t xml:space="preserve">3. Due to Other Funds </t>
  </si>
  <si>
    <t xml:space="preserve">5. Deferred Revenue </t>
  </si>
  <si>
    <t>9660-9669</t>
  </si>
  <si>
    <t xml:space="preserve">  </t>
  </si>
  <si>
    <t xml:space="preserve">Other Certificated Salaries </t>
  </si>
  <si>
    <t xml:space="preserve">Clerical and Office Salaries  </t>
  </si>
  <si>
    <t xml:space="preserve">Other Classified Salaries </t>
  </si>
  <si>
    <t xml:space="preserve">STRS </t>
  </si>
  <si>
    <t xml:space="preserve">PERS </t>
  </si>
  <si>
    <t xml:space="preserve">Health and Welfare Benefits  </t>
  </si>
  <si>
    <t xml:space="preserve">Unemployment Insurance  </t>
  </si>
  <si>
    <t xml:space="preserve">Workers' Compensation Insurance 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</si>
  <si>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</si>
  <si>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</si>
  <si>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</si>
  <si>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</si>
  <si>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Travel and Conferences</t>
  </si>
  <si>
    <t>Dues and Memberships</t>
  </si>
  <si>
    <t>Insurance</t>
  </si>
  <si>
    <t>Operations and Housekeeping Services</t>
  </si>
  <si>
    <t>Communications</t>
  </si>
  <si>
    <t>Subagreements for Services</t>
  </si>
  <si>
    <t>Transfers of Apportionments to Other LEAs - Spec Ed and All Others</t>
  </si>
  <si>
    <t>4. Current Loans</t>
  </si>
  <si>
    <t>Debt Service - Principal  (FOR MODIFIED ACCRUAL BASIS ONLY)</t>
  </si>
  <si>
    <t xml:space="preserve">6. Capital Outlay </t>
  </si>
  <si>
    <t>6. Long-term Liabilities</t>
  </si>
  <si>
    <t>A. REVENUES  (8000-8799)</t>
  </si>
  <si>
    <t>8300-8599</t>
  </si>
  <si>
    <t>8100-8299</t>
  </si>
  <si>
    <t xml:space="preserve">Total - Federal Revenues </t>
  </si>
  <si>
    <t xml:space="preserve">Total - Other State Revenues </t>
  </si>
  <si>
    <t xml:space="preserve">Total - Local Revenues </t>
  </si>
  <si>
    <t xml:space="preserve">1. All Other Financing Sources </t>
  </si>
  <si>
    <t>4. TOTAL OTHER FINANCING SOURCES/USES</t>
  </si>
  <si>
    <t>1. Beginning Fund Balance/Net Position</t>
  </si>
  <si>
    <t>c. Adjusted Beginning Fund Balance/Net Position</t>
  </si>
  <si>
    <t>b. Adjustments/Restatements</t>
  </si>
  <si>
    <t>7. Prepaid Expenditures (Expenses)</t>
  </si>
  <si>
    <t>Fair Value Adjustment to Cash in County Treasury</t>
  </si>
  <si>
    <t>With Fiscal Agent/Trustee</t>
  </si>
  <si>
    <t>H. DEFERRED OUTFLOWS OF RESOURCES</t>
  </si>
  <si>
    <t>1. Deferred Outflows of Resources</t>
  </si>
  <si>
    <t xml:space="preserve">I. LIABILITIES </t>
  </si>
  <si>
    <t>J. DEFERRED INFLOWS OF RESOURCES</t>
  </si>
  <si>
    <t>1. Deferred Inflows of Resources</t>
  </si>
  <si>
    <t>B. EXPENDITURES AND OTHER OUTGO (1000-7499)</t>
  </si>
  <si>
    <t>8600-8799</t>
  </si>
  <si>
    <t>D. OTHER FINANCING SOURCES/USES (7600-7699, 8930-8999)</t>
  </si>
  <si>
    <t>Components of Ending Net Position</t>
  </si>
  <si>
    <t xml:space="preserve">Debt Service - Interest </t>
  </si>
  <si>
    <t xml:space="preserve">1. Ending Fund Balance/Net Position  (G10+H2-I7-J2) </t>
  </si>
  <si>
    <t>c. Unrestricted Net Position</t>
  </si>
  <si>
    <t xml:space="preserve">b. Restricted Net Position </t>
  </si>
  <si>
    <t>(Include contribution to the unfunded cost of Special Education)</t>
  </si>
  <si>
    <t>CELLS G178, I178 AND K178 MUST BE ZERO OR BLANK</t>
  </si>
  <si>
    <t>Description</t>
  </si>
  <si>
    <t>Accrual Basis</t>
  </si>
  <si>
    <t>9400-9489</t>
  </si>
  <si>
    <t>Other LCFF Transfers</t>
  </si>
  <si>
    <t>8091, 8097</t>
  </si>
  <si>
    <t>1. Local Control Funding Formula (LCFF) Sources - (8011-8097)</t>
  </si>
  <si>
    <t>8677, 8590</t>
  </si>
  <si>
    <t>Financial Accounting Department</t>
  </si>
  <si>
    <t>Charter Schools Accounting Office</t>
  </si>
  <si>
    <t>Unrestricted Budget</t>
  </si>
  <si>
    <t>Restricted Budget</t>
  </si>
  <si>
    <t>Total Budget</t>
  </si>
  <si>
    <t>Proposition 39 - California Clean Energy Jobs Act (Res 6230)</t>
  </si>
  <si>
    <t>Charter School Facility Grant Program (SB 740) (Res 6030)</t>
  </si>
  <si>
    <t>After School Education and Safety (ASES) (Res 6010)</t>
  </si>
  <si>
    <t>Mandate Block Grant (Res 0000)</t>
  </si>
  <si>
    <t>Common Core Standards Implementation (Res 7405)</t>
  </si>
  <si>
    <t>Lottery, Unrestricted (Res 1100)</t>
  </si>
  <si>
    <t>OPEB, Allocated</t>
  </si>
  <si>
    <t>OPEB, Active Employees</t>
  </si>
  <si>
    <t>3751-3752</t>
  </si>
  <si>
    <t>Other Employee Benefits</t>
  </si>
  <si>
    <t>Depreciation Expense (See Sections G.9 &amp; F.2.a)</t>
  </si>
  <si>
    <t>State Special Education (Res 6500)</t>
  </si>
  <si>
    <t>Child Nutrition - Federal  (NSLP) (Res 5310 and others)</t>
  </si>
  <si>
    <t>Projected EFB/NP (Higher of Budget or Actual)</t>
  </si>
  <si>
    <t>4. Local Revenue (8600-8799)</t>
  </si>
  <si>
    <t xml:space="preserve">All Local Revenues </t>
  </si>
  <si>
    <t>Fed Sp Ed, IDEA Mental Health Allocation Plan, Part B, Sec 611 (Res 3327)</t>
  </si>
  <si>
    <t>Authorizing Agency Contact:</t>
  </si>
  <si>
    <t>OASDI/Medicare (Social Security)</t>
  </si>
  <si>
    <t>Food (Food used in food-service activities for which the purpose is nutrition)</t>
  </si>
  <si>
    <t>State Special Education Mental Health Services (Res 6512)</t>
  </si>
  <si>
    <t xml:space="preserve">2. Projected Ending Fund Balance/Net Position, June 30 (E + F.1.c.) </t>
  </si>
  <si>
    <t>Transfers to Charter Schools In Lieu of Property Taxes - CY &amp; PY (Res 0000)</t>
  </si>
  <si>
    <t xml:space="preserve">Total, LCFF Sources 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</si>
  <si>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</si>
  <si>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</si>
  <si>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</si>
  <si>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</si>
  <si>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Nadine Creer (ncreer@sandi.net)</t>
  </si>
  <si>
    <t>Theresa Goody (tgoody@sandi.net)</t>
  </si>
  <si>
    <t>Has board approved a revised budget? (check box below)</t>
  </si>
  <si>
    <t>No.</t>
  </si>
  <si>
    <t>Yes. (Enter board approved revision date below)</t>
  </si>
  <si>
    <t>Revised Date:</t>
  </si>
  <si>
    <t>Charter School Name:</t>
  </si>
  <si>
    <t>( A + C )</t>
  </si>
  <si>
    <t>( B + D)</t>
  </si>
  <si>
    <t>( E + H )</t>
  </si>
  <si>
    <t>E</t>
  </si>
  <si>
    <t>F</t>
  </si>
  <si>
    <t>G</t>
  </si>
  <si>
    <t>H</t>
  </si>
  <si>
    <t>A</t>
  </si>
  <si>
    <t>B</t>
  </si>
  <si>
    <t>C</t>
  </si>
  <si>
    <t>D</t>
  </si>
  <si>
    <t>Lottery, Restricted - Prop 20 (Res 6300)</t>
  </si>
  <si>
    <t>ESSA: Title V, Part B, Public Charter Schools Grant Program (Res 4610)</t>
  </si>
  <si>
    <t xml:space="preserve">Teachers' Salaries </t>
  </si>
  <si>
    <t xml:space="preserve">Pupil Support Salaries  </t>
  </si>
  <si>
    <t xml:space="preserve">Supervisors' and Administrators' Salaries </t>
  </si>
  <si>
    <t>Instructional Salaries</t>
  </si>
  <si>
    <t xml:space="preserve">Support Salaries </t>
  </si>
  <si>
    <t xml:space="preserve">Supervisors' and Administrators' Salaries  </t>
  </si>
  <si>
    <t>Rentals,Leases,Repairs,and Noncapitalized Improvements</t>
  </si>
  <si>
    <t xml:space="preserve">Transfers of Pass-Through Revenues to Other LEAs </t>
  </si>
  <si>
    <t>10. Total Assets</t>
  </si>
  <si>
    <t>2. Total Deferred Outflows</t>
  </si>
  <si>
    <t>7. Total Liabilities</t>
  </si>
  <si>
    <t>2. Total Deferred inflows of Resources</t>
  </si>
  <si>
    <t>Amount over Budget</t>
  </si>
  <si>
    <t>Fed SpEd, IDEA Basic Local Assistance Entitlement, Part B, Sec 611 (Res 3310)</t>
  </si>
  <si>
    <t>( G - E )</t>
  </si>
  <si>
    <t>Maintenance and Operations (Public Law 81-874) (Res 0000)</t>
  </si>
  <si>
    <t>7300-7399</t>
  </si>
  <si>
    <t>7430-7439</t>
  </si>
  <si>
    <t>1st Interim Budget                 (B)</t>
  </si>
  <si>
    <t>Favorable / (Unfavorable)</t>
  </si>
  <si>
    <t>3. Other State Revenues (8300-8599)</t>
  </si>
  <si>
    <t>2. Federal Revenues (8100-8299)</t>
  </si>
  <si>
    <t>ESEA (ESSA): Title IV, 21st Century Learning Communities (Res 4124)</t>
  </si>
  <si>
    <t>ESEA (ESSA): Title IV, Part A, Student Support and Academic Enrichment Grants (Res 4127)</t>
  </si>
  <si>
    <t>COVID-19 LEA Response Funds (SB 117) (Res 7388)</t>
  </si>
  <si>
    <r>
      <t>LCFF State Aid - Current Year (CY)</t>
    </r>
    <r>
      <rPr>
        <i/>
        <sz val="11"/>
        <rFont val="Cambria"/>
        <family val="1"/>
        <scheme val="major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</si>
  <si>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  <scheme val="major"/>
      </rPr>
      <t xml:space="preserve"> (Res 1400)</t>
    </r>
  </si>
  <si>
    <r>
      <t>State Aid - Prior Years (</t>
    </r>
    <r>
      <rPr>
        <i/>
        <sz val="11"/>
        <rFont val="Cambria"/>
        <family val="1"/>
        <scheme val="major"/>
      </rPr>
      <t>LCFF State Aid and EPA) (Res 0000 and Res 1400)</t>
    </r>
  </si>
  <si>
    <r>
      <t>Other Federal Revenues</t>
    </r>
    <r>
      <rPr>
        <i/>
        <sz val="11"/>
        <rFont val="Cambria"/>
        <family val="1"/>
        <scheme val="major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</si>
  <si>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  <scheme val="major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</si>
  <si>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net to zero)</t>
    </r>
  </si>
  <si>
    <r>
      <t xml:space="preserve">Prof/Consulting Svcs and Operating Expend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>Include District Oversight</t>
    </r>
    <r>
      <rPr>
        <i/>
        <sz val="11"/>
        <rFont val="Cambria"/>
        <family val="1"/>
        <scheme val="major"/>
      </rPr>
      <t>)</t>
    </r>
  </si>
  <si>
    <r>
      <t xml:space="preserve">Tuition to Other Schools </t>
    </r>
    <r>
      <rPr>
        <i/>
        <sz val="11"/>
        <rFont val="Cambria"/>
        <family val="1"/>
        <scheme val="major"/>
      </rPr>
      <t>(Include contribution to unfunded cost of Sp Ed.)</t>
    </r>
  </si>
  <si>
    <r>
      <t xml:space="preserve">Transfers of Indirect Costs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</si>
  <si>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3. Contributions between unrestricted and restricted accounts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</si>
  <si>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E. NET INCREASE (DECREASE) IN FUND BALANCE/NET POSITION</t>
    </r>
    <r>
      <rPr>
        <i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 xml:space="preserve">(C + D.4.) </t>
    </r>
  </si>
  <si>
    <t>Charter School First Interim Report</t>
  </si>
  <si>
    <r>
      <t xml:space="preserve">F. FUND BALANCE/NET POSITION  </t>
    </r>
    <r>
      <rPr>
        <i/>
        <sz val="11"/>
        <rFont val="Cambria"/>
        <family val="1"/>
        <scheme val="major"/>
      </rPr>
      <t xml:space="preserve">(Budget and Actuals </t>
    </r>
    <r>
      <rPr>
        <b/>
        <i/>
        <sz val="11"/>
        <rFont val="Cambria"/>
        <family val="1"/>
        <scheme val="major"/>
      </rPr>
      <t>MUST</t>
    </r>
    <r>
      <rPr>
        <i/>
        <sz val="11"/>
        <rFont val="Cambria"/>
        <family val="1"/>
        <scheme val="major"/>
      </rPr>
      <t xml:space="preserve"> match) ( F.1.a-b)</t>
    </r>
  </si>
  <si>
    <r>
      <t>a. July 1 (</t>
    </r>
    <r>
      <rPr>
        <b/>
        <sz val="11"/>
        <rFont val="Cambria"/>
        <family val="1"/>
        <scheme val="major"/>
      </rPr>
      <t xml:space="preserve">MUST </t>
    </r>
    <r>
      <rPr>
        <sz val="11"/>
        <rFont val="Cambria"/>
        <family val="1"/>
        <scheme val="major"/>
      </rPr>
      <t xml:space="preserve">match </t>
    </r>
    <r>
      <rPr>
        <i/>
        <sz val="11"/>
        <rFont val="Cambria"/>
        <family val="1"/>
        <scheme val="major"/>
      </rPr>
      <t>EFB/Net Position of PY Unaudited Actuals, Section F.2)</t>
    </r>
  </si>
  <si>
    <r>
      <t>a. Net Investment in Capital Assets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>See Sections B.6 and G.9</t>
    </r>
    <r>
      <rPr>
        <i/>
        <sz val="11"/>
        <rFont val="Cambria"/>
        <family val="1"/>
        <scheme val="major"/>
      </rPr>
      <t>)</t>
    </r>
  </si>
  <si>
    <r>
      <t>9. Capital Assets (</t>
    </r>
    <r>
      <rPr>
        <b/>
        <sz val="11"/>
        <rFont val="Cambria"/>
        <family val="1"/>
        <scheme val="major"/>
      </rPr>
      <t>See Sections B.6 &amp; F.2.a</t>
    </r>
    <r>
      <rPr>
        <sz val="11"/>
        <rFont val="Cambria"/>
        <family val="1"/>
        <scheme val="major"/>
      </rPr>
      <t>)</t>
    </r>
  </si>
  <si>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agree with F.2)</t>
    </r>
  </si>
  <si>
    <t>$ Difference                  (Col B &amp; A)                     (C)</t>
  </si>
  <si>
    <t>% Change                         (C/A)                                        (D)</t>
  </si>
  <si>
    <t xml:space="preserve">        CDS #:</t>
  </si>
  <si>
    <t xml:space="preserve">   Charter Approving Entity: </t>
  </si>
  <si>
    <t xml:space="preserve">       County:</t>
  </si>
  <si>
    <t xml:space="preserve">  SBE Charter #:</t>
  </si>
  <si>
    <t>San Diego</t>
  </si>
  <si>
    <t>Instructions:</t>
  </si>
  <si>
    <t>Column J "% Change" - will automatically populate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</si>
  <si>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</si>
  <si>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Column H "1st Interim Budget" - will automatically populate (linked to 1st Interim tab)</t>
  </si>
  <si>
    <t>Column I "$ Difference" - will automatically populate</t>
  </si>
  <si>
    <r>
      <t xml:space="preserve">Explanation of Change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 from 350 students to 280.;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</t>
    </r>
  </si>
  <si>
    <t>BUDGET VARIANCE ANALYSIS</t>
  </si>
  <si>
    <t>See cell  M128</t>
  </si>
  <si>
    <t>Preliminary Budget           (A)</t>
  </si>
  <si>
    <t>1st Interim Budget vs Preliminary Budget</t>
  </si>
  <si>
    <t>San Diego Unified School District</t>
  </si>
  <si>
    <t>FY 2022-2023</t>
  </si>
  <si>
    <t>For the Period July 1, 2022 through October 31, 2022</t>
  </si>
  <si>
    <t>Unrestricted Actuals through 10/31/22</t>
  </si>
  <si>
    <t>Restricted Actuals through 10/31/22</t>
  </si>
  <si>
    <t>Total Actuals through 10/31/22</t>
  </si>
  <si>
    <t>K. ENDING FUND BALANCE/NET POSITION, October 31, 2022</t>
  </si>
  <si>
    <t>FY 2022-23</t>
  </si>
  <si>
    <t>Column G "Preliminary Budget" - manual input (data source: Budget submitted in June 2022)</t>
  </si>
  <si>
    <t>Health Science High and Middle School</t>
  </si>
  <si>
    <t>37-68338-0114462</t>
  </si>
  <si>
    <t>0876</t>
  </si>
  <si>
    <t>Account for loss in ADA projection.</t>
  </si>
  <si>
    <t>LCFF calculator funding formula adjustment.</t>
  </si>
  <si>
    <t xml:space="preserve">Utilize additional restricted funds. </t>
  </si>
  <si>
    <t xml:space="preserve">Account for additional funds received. </t>
  </si>
  <si>
    <t xml:space="preserve">Position recognized in other categories. </t>
  </si>
  <si>
    <t xml:space="preserve">Account for additional staff. </t>
  </si>
  <si>
    <t>Due to additional staff.</t>
  </si>
  <si>
    <t xml:space="preserve">Additional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</si>
</sst>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000\)\ 000\-0000"/>
  </numFmts>
  <fonts count="19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Trellis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41" fontId="2" fillId="0" borderId="0" xfId="0" applyNumberFormat="1" applyFont="1" applyAlignment="1" applyProtection="1"/>
    <xf numFmtId="44" fontId="2" fillId="0" borderId="0" xfId="0" applyNumberFormat="1" applyFont="1" applyProtection="1"/>
    <xf numFmtId="41" fontId="2" fillId="0" borderId="0" xfId="1" applyNumberFormat="1" applyFont="1" applyAlignment="1" applyProtection="1"/>
    <xf numFmtId="41" fontId="2" fillId="0" borderId="0" xfId="0" applyNumberFormat="1" applyFont="1" applyBorder="1" applyAlignment="1" applyProtection="1"/>
    <xf numFmtId="41" fontId="2" fillId="0" borderId="1" xfId="0" applyNumberFormat="1" applyFont="1" applyBorder="1" applyAlignment="1" applyProtection="1"/>
    <xf numFmtId="0" fontId="2" fillId="0" borderId="1" xfId="0" applyFont="1" applyBorder="1" applyProtection="1"/>
    <xf numFmtId="41" fontId="2" fillId="0" borderId="4" xfId="0" applyNumberFormat="1" applyFont="1" applyBorder="1" applyAlignment="1" applyProtection="1"/>
    <xf numFmtId="0" fontId="2" fillId="0" borderId="4" xfId="0" applyFont="1" applyBorder="1" applyProtection="1"/>
    <xf numFmtId="39" fontId="2" fillId="0" borderId="0" xfId="0" applyNumberFormat="1" applyFont="1" applyProtection="1"/>
    <xf numFmtId="0" fontId="3" fillId="0" borderId="11" xfId="0" applyFont="1" applyBorder="1" applyProtection="1"/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right"/>
    </xf>
    <xf numFmtId="43" fontId="3" fillId="2" borderId="1" xfId="0" applyNumberFormat="1" applyFont="1" applyFill="1" applyBorder="1" applyAlignment="1" applyProtection="1"/>
    <xf numFmtId="44" fontId="3" fillId="2" borderId="1" xfId="0" applyNumberFormat="1" applyFont="1" applyFill="1" applyBorder="1" applyAlignment="1" applyProtection="1"/>
    <xf numFmtId="43" fontId="3" fillId="0" borderId="1" xfId="0" applyNumberFormat="1" applyFont="1" applyFill="1" applyBorder="1" applyAlignment="1" applyProtection="1"/>
    <xf numFmtId="44" fontId="3" fillId="0" borderId="1" xfId="0" applyNumberFormat="1" applyFont="1" applyFill="1" applyBorder="1" applyAlignment="1" applyProtection="1"/>
    <xf numFmtId="44" fontId="3" fillId="0" borderId="1" xfId="0" applyNumberFormat="1" applyFont="1" applyBorder="1" applyAlignment="1" applyProtection="1"/>
    <xf numFmtId="44" fontId="3" fillId="0" borderId="12" xfId="0" applyNumberFormat="1" applyFont="1" applyBorder="1" applyAlignment="1" applyProtection="1"/>
    <xf numFmtId="44" fontId="3" fillId="0" borderId="0" xfId="0" applyNumberFormat="1" applyFont="1" applyAlignment="1" applyProtection="1"/>
    <xf numFmtId="0" fontId="3" fillId="0" borderId="0" xfId="0" applyFont="1" applyProtection="1"/>
    <xf numFmtId="0" fontId="2" fillId="0" borderId="0" xfId="0" applyFont="1" applyFill="1" applyProtection="1"/>
    <xf numFmtId="3" fontId="2" fillId="0" borderId="0" xfId="0" applyNumberFormat="1" applyFont="1" applyFill="1" applyProtection="1"/>
    <xf numFmtId="41" fontId="2" fillId="0" borderId="0" xfId="1" applyNumberFormat="1" applyFont="1" applyBorder="1" applyAlignment="1" applyProtection="1"/>
    <xf numFmtId="41" fontId="2" fillId="0" borderId="1" xfId="1" applyNumberFormat="1" applyFont="1" applyBorder="1" applyAlignment="1" applyProtection="1"/>
    <xf numFmtId="41" fontId="2" fillId="0" borderId="4" xfId="1" applyNumberFormat="1" applyFont="1" applyBorder="1" applyAlignment="1" applyProtection="1"/>
    <xf numFmtId="0" fontId="4" fillId="0" borderId="0" xfId="0" applyFont="1" applyAlignment="1" applyProtection="1">
      <alignment horizontal="center"/>
    </xf>
    <xf numFmtId="0" fontId="2" fillId="4" borderId="0" xfId="0" applyFont="1" applyFill="1" applyBorder="1" applyProtection="1"/>
    <xf numFmtId="0" fontId="2" fillId="4" borderId="21" xfId="0" applyFont="1" applyFill="1" applyBorder="1" applyProtection="1"/>
    <xf numFmtId="0" fontId="2" fillId="4" borderId="19" xfId="0" applyFont="1" applyFill="1" applyBorder="1" applyProtection="1"/>
    <xf numFmtId="0" fontId="2" fillId="4" borderId="17" xfId="0" applyFont="1" applyFill="1" applyBorder="1" applyProtection="1"/>
    <xf numFmtId="0" fontId="2" fillId="4" borderId="20" xfId="0" applyFont="1" applyFill="1" applyBorder="1" applyProtection="1"/>
    <xf numFmtId="0" fontId="4" fillId="4" borderId="17" xfId="0" applyFont="1" applyFill="1" applyBorder="1" applyAlignment="1" applyProtection="1">
      <alignment horizontal="center"/>
    </xf>
    <xf numFmtId="0" fontId="2" fillId="0" borderId="17" xfId="0" applyFont="1" applyBorder="1" applyProtection="1"/>
    <xf numFmtId="0" fontId="7" fillId="4" borderId="17" xfId="0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8" xfId="0" applyFont="1" applyFill="1" applyBorder="1" applyProtection="1"/>
    <xf numFmtId="0" fontId="8" fillId="4" borderId="14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Protection="1"/>
    <xf numFmtId="0" fontId="7" fillId="0" borderId="0" xfId="0" applyFont="1" applyProtection="1"/>
    <xf numFmtId="0" fontId="7" fillId="4" borderId="1" xfId="0" applyFont="1" applyFill="1" applyBorder="1" applyProtection="1"/>
    <xf numFmtId="0" fontId="7" fillId="4" borderId="10" xfId="0" applyFont="1" applyFill="1" applyBorder="1" applyProtection="1"/>
    <xf numFmtId="0" fontId="7" fillId="4" borderId="15" xfId="0" applyFont="1" applyFill="1" applyBorder="1" applyProtection="1"/>
    <xf numFmtId="44" fontId="7" fillId="4" borderId="5" xfId="0" applyNumberFormat="1" applyFont="1" applyFill="1" applyBorder="1" applyAlignment="1" applyProtection="1">
      <alignment horizontal="center"/>
    </xf>
    <xf numFmtId="44" fontId="7" fillId="4" borderId="5" xfId="0" applyNumberFormat="1" applyFont="1" applyFill="1" applyBorder="1" applyProtection="1"/>
    <xf numFmtId="44" fontId="7" fillId="4" borderId="3" xfId="0" applyNumberFormat="1" applyFont="1" applyFill="1" applyBorder="1" applyProtection="1"/>
    <xf numFmtId="44" fontId="7" fillId="4" borderId="7" xfId="0" applyNumberFormat="1" applyFont="1" applyFill="1" applyBorder="1" applyProtection="1"/>
    <xf numFmtId="44" fontId="7" fillId="4" borderId="6" xfId="0" applyNumberFormat="1" applyFont="1" applyFill="1" applyBorder="1" applyProtection="1"/>
    <xf numFmtId="0" fontId="7" fillId="4" borderId="10" xfId="0" applyFont="1" applyFill="1" applyBorder="1" applyAlignment="1" applyProtection="1">
      <alignment horizontal="center"/>
    </xf>
    <xf numFmtId="41" fontId="7" fillId="4" borderId="7" xfId="0" applyNumberFormat="1" applyFont="1" applyFill="1" applyBorder="1" applyProtection="1"/>
    <xf numFmtId="41" fontId="7" fillId="4" borderId="6" xfId="1" applyNumberFormat="1" applyFont="1" applyFill="1" applyBorder="1" applyAlignment="1" applyProtection="1"/>
    <xf numFmtId="0" fontId="7" fillId="4" borderId="12" xfId="0" applyFont="1" applyFill="1" applyBorder="1" applyProtection="1"/>
    <xf numFmtId="0" fontId="7" fillId="4" borderId="12" xfId="0" applyFont="1" applyFill="1" applyBorder="1" applyAlignment="1" applyProtection="1">
      <alignment horizontal="center"/>
    </xf>
    <xf numFmtId="41" fontId="7" fillId="0" borderId="13" xfId="0" applyNumberFormat="1" applyFont="1" applyFill="1" applyBorder="1" applyAlignment="1" applyProtection="1"/>
    <xf numFmtId="41" fontId="7" fillId="4" borderId="13" xfId="0" applyNumberFormat="1" applyFont="1" applyFill="1" applyBorder="1" applyAlignment="1" applyProtection="1"/>
    <xf numFmtId="41" fontId="7" fillId="4" borderId="11" xfId="0" applyNumberFormat="1" applyFont="1" applyFill="1" applyBorder="1" applyAlignment="1" applyProtection="1"/>
    <xf numFmtId="0" fontId="7" fillId="4" borderId="19" xfId="0" applyFont="1" applyFill="1" applyBorder="1" applyProtection="1"/>
    <xf numFmtId="0" fontId="7" fillId="4" borderId="4" xfId="0" applyFont="1" applyFill="1" applyBorder="1" applyProtection="1"/>
    <xf numFmtId="0" fontId="7" fillId="4" borderId="7" xfId="0" applyFont="1" applyFill="1" applyBorder="1" applyAlignment="1" applyProtection="1">
      <alignment horizontal="center"/>
    </xf>
    <xf numFmtId="41" fontId="7" fillId="4" borderId="7" xfId="0" applyNumberFormat="1" applyFont="1" applyFill="1" applyBorder="1" applyAlignment="1" applyProtection="1"/>
    <xf numFmtId="41" fontId="7" fillId="4" borderId="5" xfId="0" applyNumberFormat="1" applyFont="1" applyFill="1" applyBorder="1" applyProtection="1"/>
    <xf numFmtId="41" fontId="7" fillId="4" borderId="6" xfId="0" applyNumberFormat="1" applyFont="1" applyFill="1" applyBorder="1" applyAlignment="1" applyProtection="1"/>
    <xf numFmtId="0" fontId="7" fillId="4" borderId="13" xfId="0" applyFont="1" applyFill="1" applyBorder="1" applyProtection="1"/>
    <xf numFmtId="41" fontId="7" fillId="0" borderId="7" xfId="0" applyNumberFormat="1" applyFont="1" applyFill="1" applyBorder="1" applyProtection="1"/>
    <xf numFmtId="41" fontId="7" fillId="4" borderId="5" xfId="0" applyNumberFormat="1" applyFont="1" applyFill="1" applyBorder="1" applyAlignment="1" applyProtection="1">
      <alignment horizontal="center"/>
    </xf>
    <xf numFmtId="41" fontId="7" fillId="4" borderId="5" xfId="0" applyNumberFormat="1" applyFont="1" applyFill="1" applyBorder="1" applyAlignment="1" applyProtection="1"/>
    <xf numFmtId="0" fontId="8" fillId="4" borderId="0" xfId="0" applyFont="1" applyFill="1" applyBorder="1" applyProtection="1"/>
    <xf numFmtId="0" fontId="8" fillId="4" borderId="10" xfId="0" applyFont="1" applyFill="1" applyBorder="1" applyProtection="1"/>
    <xf numFmtId="0" fontId="8" fillId="4" borderId="12" xfId="0" applyFont="1" applyFill="1" applyBorder="1" applyProtection="1"/>
    <xf numFmtId="41" fontId="8" fillId="4" borderId="13" xfId="0" applyNumberFormat="1" applyFont="1" applyFill="1" applyBorder="1" applyProtection="1"/>
    <xf numFmtId="0" fontId="7" fillId="4" borderId="13" xfId="0" applyFont="1" applyFill="1" applyBorder="1" applyAlignment="1" applyProtection="1">
      <alignment horizontal="center"/>
    </xf>
    <xf numFmtId="41" fontId="7" fillId="0" borderId="7" xfId="0" applyNumberFormat="1" applyFont="1" applyFill="1" applyBorder="1" applyAlignment="1" applyProtection="1"/>
    <xf numFmtId="0" fontId="7" fillId="4" borderId="15" xfId="0" applyFont="1" applyFill="1" applyBorder="1" applyAlignment="1" applyProtection="1">
      <alignment horizontal="center"/>
    </xf>
    <xf numFmtId="41" fontId="7" fillId="4" borderId="3" xfId="0" applyNumberFormat="1" applyFont="1" applyFill="1" applyBorder="1" applyAlignment="1" applyProtection="1"/>
    <xf numFmtId="41" fontId="7" fillId="0" borderId="11" xfId="0" applyNumberFormat="1" applyFont="1" applyFill="1" applyBorder="1" applyAlignment="1" applyProtection="1"/>
    <xf numFmtId="0" fontId="8" fillId="4" borderId="12" xfId="0" applyFont="1" applyFill="1" applyBorder="1" applyAlignment="1" applyProtection="1">
      <alignment horizontal="center"/>
    </xf>
    <xf numFmtId="41" fontId="8" fillId="4" borderId="13" xfId="0" applyNumberFormat="1" applyFont="1" applyFill="1" applyBorder="1" applyAlignment="1" applyProtection="1"/>
    <xf numFmtId="41" fontId="8" fillId="4" borderId="11" xfId="0" applyNumberFormat="1" applyFont="1" applyFill="1" applyBorder="1" applyAlignment="1" applyProtection="1"/>
    <xf numFmtId="0" fontId="10" fillId="4" borderId="0" xfId="0" applyFont="1" applyFill="1" applyBorder="1" applyProtection="1"/>
    <xf numFmtId="0" fontId="10" fillId="4" borderId="10" xfId="0" applyFont="1" applyFill="1" applyBorder="1" applyProtection="1"/>
    <xf numFmtId="41" fontId="7" fillId="4" borderId="7" xfId="1" applyNumberFormat="1" applyFont="1" applyFill="1" applyBorder="1" applyAlignment="1" applyProtection="1"/>
    <xf numFmtId="0" fontId="9" fillId="0" borderId="1" xfId="0" applyFont="1" applyBorder="1" applyProtection="1"/>
    <xf numFmtId="0" fontId="9" fillId="2" borderId="1" xfId="0" applyFont="1" applyFill="1" applyBorder="1" applyAlignment="1" applyProtection="1">
      <alignment horizontal="right"/>
    </xf>
    <xf numFmtId="44" fontId="9" fillId="0" borderId="1" xfId="0" applyNumberFormat="1" applyFont="1" applyFill="1" applyBorder="1" applyAlignment="1" applyProtection="1"/>
    <xf numFmtId="44" fontId="9" fillId="2" borderId="1" xfId="0" applyNumberFormat="1" applyFont="1" applyFill="1" applyBorder="1" applyAlignment="1" applyProtection="1"/>
    <xf numFmtId="44" fontId="9" fillId="0" borderId="1" xfId="0" applyNumberFormat="1" applyFont="1" applyBorder="1" applyAlignment="1" applyProtection="1"/>
    <xf numFmtId="44" fontId="9" fillId="0" borderId="12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Protection="1"/>
    <xf numFmtId="3" fontId="7" fillId="0" borderId="0" xfId="0" applyNumberFormat="1" applyFont="1" applyFill="1" applyProtection="1"/>
    <xf numFmtId="0" fontId="7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/>
    </xf>
    <xf numFmtId="49" fontId="7" fillId="4" borderId="0" xfId="0" quotePrefix="1" applyNumberFormat="1" applyFont="1" applyFill="1" applyBorder="1" applyAlignment="1" applyProtection="1">
      <alignment horizontal="left"/>
    </xf>
    <xf numFmtId="49" fontId="7" fillId="4" borderId="0" xfId="0" quotePrefix="1" applyNumberFormat="1" applyFont="1" applyFill="1" applyBorder="1" applyAlignment="1" applyProtection="1">
      <alignment horizontal="left" vertical="center"/>
    </xf>
    <xf numFmtId="164" fontId="7" fillId="4" borderId="0" xfId="1" applyNumberFormat="1" applyFont="1" applyFill="1" applyBorder="1" applyAlignment="1" applyProtection="1">
      <alignment horizontal="left" indent="1"/>
      <protection locked="0"/>
    </xf>
    <xf numFmtId="164" fontId="7" fillId="4" borderId="0" xfId="1" applyNumberFormat="1" applyFont="1" applyFill="1" applyBorder="1" applyAlignment="1" applyProtection="1"/>
    <xf numFmtId="0" fontId="12" fillId="4" borderId="0" xfId="0" applyFont="1" applyFill="1" applyBorder="1" applyProtection="1">
      <protection locked="0"/>
    </xf>
    <xf numFmtId="14" fontId="7" fillId="4" borderId="0" xfId="0" applyNumberFormat="1" applyFont="1" applyFill="1" applyBorder="1" applyAlignment="1" applyProtection="1">
      <alignment horizontal="left"/>
    </xf>
    <xf numFmtId="0" fontId="9" fillId="4" borderId="2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/>
    </xf>
    <xf numFmtId="49" fontId="11" fillId="4" borderId="0" xfId="0" quotePrefix="1" applyNumberFormat="1" applyFont="1" applyFill="1" applyBorder="1" applyAlignment="1" applyProtection="1">
      <alignment horizontal="center"/>
    </xf>
    <xf numFmtId="3" fontId="7" fillId="4" borderId="7" xfId="0" applyNumberFormat="1" applyFont="1" applyFill="1" applyBorder="1" applyAlignment="1" applyProtection="1">
      <alignment horizontal="center"/>
    </xf>
    <xf numFmtId="0" fontId="7" fillId="4" borderId="9" xfId="0" applyFont="1" applyFill="1" applyBorder="1" applyProtection="1"/>
    <xf numFmtId="0" fontId="7" fillId="4" borderId="14" xfId="0" applyFont="1" applyFill="1" applyBorder="1" applyProtection="1"/>
    <xf numFmtId="0" fontId="7" fillId="4" borderId="8" xfId="0" applyFont="1" applyFill="1" applyBorder="1" applyAlignment="1" applyProtection="1">
      <alignment horizontal="center"/>
    </xf>
    <xf numFmtId="41" fontId="7" fillId="3" borderId="7" xfId="0" applyNumberFormat="1" applyFont="1" applyFill="1" applyBorder="1" applyAlignment="1" applyProtection="1"/>
    <xf numFmtId="41" fontId="7" fillId="4" borderId="11" xfId="0" applyNumberFormat="1" applyFont="1" applyFill="1" applyBorder="1" applyProtection="1"/>
    <xf numFmtId="41" fontId="7" fillId="4" borderId="13" xfId="0" applyNumberFormat="1" applyFont="1" applyFill="1" applyBorder="1" applyProtection="1"/>
    <xf numFmtId="41" fontId="7" fillId="0" borderId="6" xfId="0" applyNumberFormat="1" applyFont="1" applyFill="1" applyBorder="1" applyProtection="1"/>
    <xf numFmtId="41" fontId="7" fillId="6" borderId="7" xfId="0" applyNumberFormat="1" applyFont="1" applyFill="1" applyBorder="1" applyAlignment="1" applyProtection="1"/>
    <xf numFmtId="41" fontId="7" fillId="4" borderId="3" xfId="0" applyNumberFormat="1" applyFont="1" applyFill="1" applyBorder="1" applyProtection="1"/>
    <xf numFmtId="41" fontId="7" fillId="4" borderId="6" xfId="0" applyNumberFormat="1" applyFont="1" applyFill="1" applyBorder="1" applyProtection="1"/>
    <xf numFmtId="41" fontId="7" fillId="0" borderId="13" xfId="0" applyNumberFormat="1" applyFont="1" applyFill="1" applyBorder="1" applyProtection="1"/>
    <xf numFmtId="41" fontId="7" fillId="4" borderId="14" xfId="0" applyNumberFormat="1" applyFont="1" applyFill="1" applyBorder="1" applyAlignment="1" applyProtection="1"/>
    <xf numFmtId="41" fontId="7" fillId="4" borderId="2" xfId="0" applyNumberFormat="1" applyFont="1" applyFill="1" applyBorder="1" applyProtection="1"/>
    <xf numFmtId="41" fontId="7" fillId="4" borderId="2" xfId="0" applyNumberFormat="1" applyFont="1" applyFill="1" applyBorder="1" applyAlignment="1" applyProtection="1"/>
    <xf numFmtId="41" fontId="7" fillId="4" borderId="8" xfId="0" applyNumberFormat="1" applyFont="1" applyFill="1" applyBorder="1" applyProtection="1"/>
    <xf numFmtId="41" fontId="7" fillId="3" borderId="5" xfId="0" applyNumberFormat="1" applyFont="1" applyFill="1" applyBorder="1" applyAlignment="1" applyProtection="1"/>
    <xf numFmtId="0" fontId="7" fillId="4" borderId="21" xfId="0" applyFont="1" applyFill="1" applyBorder="1" applyProtection="1"/>
    <xf numFmtId="0" fontId="7" fillId="4" borderId="22" xfId="0" applyFont="1" applyFill="1" applyBorder="1" applyProtection="1"/>
    <xf numFmtId="0" fontId="9" fillId="4" borderId="22" xfId="0" applyFont="1" applyFill="1" applyBorder="1" applyProtection="1"/>
    <xf numFmtId="0" fontId="9" fillId="4" borderId="23" xfId="0" applyFont="1" applyFill="1" applyBorder="1" applyProtection="1"/>
    <xf numFmtId="0" fontId="7" fillId="4" borderId="23" xfId="0" applyFont="1" applyFill="1" applyBorder="1" applyAlignment="1" applyProtection="1">
      <alignment horizontal="center"/>
    </xf>
    <xf numFmtId="41" fontId="7" fillId="3" borderId="24" xfId="0" applyNumberFormat="1" applyFont="1" applyFill="1" applyBorder="1" applyAlignment="1" applyProtection="1"/>
    <xf numFmtId="41" fontId="7" fillId="4" borderId="24" xfId="0" applyNumberFormat="1" applyFont="1" applyFill="1" applyBorder="1" applyAlignment="1" applyProtection="1"/>
    <xf numFmtId="41" fontId="7" fillId="4" borderId="25" xfId="0" applyNumberFormat="1" applyFont="1" applyFill="1" applyBorder="1" applyAlignment="1" applyProtection="1"/>
    <xf numFmtId="0" fontId="4" fillId="4" borderId="17" xfId="0" applyFont="1" applyFill="1" applyBorder="1" applyProtection="1"/>
    <xf numFmtId="0" fontId="8" fillId="4" borderId="13" xfId="0" applyFont="1" applyFill="1" applyBorder="1" applyProtection="1"/>
    <xf numFmtId="0" fontId="4" fillId="0" borderId="0" xfId="0" applyFont="1" applyProtection="1"/>
    <xf numFmtId="0" fontId="8" fillId="4" borderId="1" xfId="0" applyFont="1" applyFill="1" applyBorder="1" applyProtection="1"/>
    <xf numFmtId="41" fontId="8" fillId="0" borderId="13" xfId="0" applyNumberFormat="1" applyFont="1" applyFill="1" applyBorder="1" applyAlignment="1" applyProtection="1"/>
    <xf numFmtId="41" fontId="8" fillId="0" borderId="7" xfId="0" applyNumberFormat="1" applyFont="1" applyFill="1" applyBorder="1" applyProtection="1"/>
    <xf numFmtId="41" fontId="8" fillId="4" borderId="7" xfId="0" applyNumberFormat="1" applyFont="1" applyFill="1" applyBorder="1" applyProtection="1"/>
    <xf numFmtId="0" fontId="8" fillId="4" borderId="13" xfId="0" applyFont="1" applyFill="1" applyBorder="1" applyAlignment="1" applyProtection="1">
      <alignment horizontal="center"/>
    </xf>
    <xf numFmtId="41" fontId="8" fillId="0" borderId="7" xfId="0" applyNumberFormat="1" applyFont="1" applyFill="1" applyBorder="1" applyAlignment="1" applyProtection="1"/>
    <xf numFmtId="0" fontId="7" fillId="4" borderId="0" xfId="0" applyFont="1" applyFill="1" applyBorder="1" applyAlignment="1" applyProtection="1">
      <protection locked="0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4" fillId="4" borderId="17" xfId="0" applyFont="1" applyFill="1" applyBorder="1" applyAlignment="1" applyProtection="1">
      <alignment horizontal="left"/>
    </xf>
    <xf numFmtId="0" fontId="8" fillId="4" borderId="12" xfId="0" applyFont="1" applyFill="1" applyBorder="1" applyAlignment="1" applyProtection="1">
      <alignment horizontal="center" vertical="center" wrapText="1"/>
    </xf>
    <xf numFmtId="0" fontId="7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9" fontId="7" fillId="4" borderId="6" xfId="2" applyFont="1" applyFill="1" applyBorder="1" applyAlignment="1" applyProtection="1"/>
    <xf numFmtId="9" fontId="8" fillId="4" borderId="11" xfId="2" applyFont="1" applyFill="1" applyBorder="1" applyAlignment="1" applyProtection="1"/>
    <xf numFmtId="41" fontId="8" fillId="4" borderId="11" xfId="0" applyNumberFormat="1" applyFont="1" applyFill="1" applyBorder="1" applyProtection="1"/>
    <xf numFmtId="9" fontId="8" fillId="4" borderId="11" xfId="0" applyNumberFormat="1" applyFont="1" applyFill="1" applyBorder="1" applyAlignment="1" applyProtection="1"/>
    <xf numFmtId="41" fontId="7" fillId="3" borderId="6" xfId="0" applyNumberFormat="1" applyFont="1" applyFill="1" applyBorder="1" applyAlignment="1" applyProtection="1"/>
    <xf numFmtId="0" fontId="9" fillId="0" borderId="2" xfId="0" applyFont="1" applyFill="1" applyBorder="1" applyAlignment="1" applyProtection="1">
      <alignment horizontal="center" vertical="center"/>
    </xf>
    <xf numFmtId="41" fontId="8" fillId="0" borderId="13" xfId="0" applyNumberFormat="1" applyFont="1" applyFill="1" applyBorder="1" applyProtection="1"/>
    <xf numFmtId="41" fontId="7" fillId="0" borderId="5" xfId="0" applyNumberFormat="1" applyFont="1" applyFill="1" applyBorder="1" applyAlignment="1" applyProtection="1">
      <alignment horizontal="center"/>
    </xf>
    <xf numFmtId="41" fontId="8" fillId="0" borderId="13" xfId="1" applyNumberFormat="1" applyFont="1" applyFill="1" applyBorder="1" applyAlignment="1" applyProtection="1">
      <protection locked="0"/>
    </xf>
    <xf numFmtId="0" fontId="14" fillId="4" borderId="2" xfId="0" applyFont="1" applyFill="1" applyBorder="1" applyAlignment="1" applyProtection="1">
      <alignment horizontal="left"/>
    </xf>
    <xf numFmtId="0" fontId="2" fillId="4" borderId="10" xfId="0" applyFont="1" applyFill="1" applyBorder="1" applyProtection="1"/>
    <xf numFmtId="41" fontId="2" fillId="4" borderId="7" xfId="0" applyNumberFormat="1" applyFont="1" applyFill="1" applyBorder="1" applyProtection="1"/>
    <xf numFmtId="41" fontId="2" fillId="4" borderId="7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41" fontId="7" fillId="0" borderId="7" xfId="1" applyNumberFormat="1" applyFont="1" applyFill="1" applyBorder="1" applyAlignment="1" applyProtection="1"/>
    <xf numFmtId="41" fontId="7" fillId="4" borderId="7" xfId="0" applyNumberFormat="1" applyFont="1" applyFill="1" applyBorder="1" applyAlignment="1" applyProtection="1">
      <alignment horizontal="center"/>
    </xf>
    <xf numFmtId="41" fontId="7" fillId="0" borderId="11" xfId="0" applyNumberFormat="1" applyFont="1" applyFill="1" applyBorder="1" applyProtection="1"/>
    <xf numFmtId="0" fontId="7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right"/>
    </xf>
    <xf numFmtId="0" fontId="7" fillId="4" borderId="27" xfId="0" applyFont="1" applyFill="1" applyBorder="1" applyProtection="1"/>
    <xf numFmtId="0" fontId="7" fillId="4" borderId="27" xfId="0" applyFont="1" applyFill="1" applyBorder="1" applyAlignment="1" applyProtection="1">
      <alignment horizontal="right"/>
    </xf>
    <xf numFmtId="0" fontId="7" fillId="4" borderId="27" xfId="0" applyFont="1" applyFill="1" applyBorder="1" applyAlignment="1" applyProtection="1">
      <alignment horizontal="left"/>
    </xf>
    <xf numFmtId="0" fontId="13" fillId="4" borderId="27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right" vertical="center"/>
    </xf>
    <xf numFmtId="0" fontId="7" fillId="4" borderId="27" xfId="0" applyFont="1" applyFill="1" applyBorder="1" applyAlignment="1" applyProtection="1">
      <alignment vertical="center"/>
    </xf>
    <xf numFmtId="0" fontId="7" fillId="4" borderId="28" xfId="0" applyFont="1" applyFill="1" applyBorder="1" applyProtection="1"/>
    <xf numFmtId="0" fontId="7" fillId="4" borderId="17" xfId="0" applyFont="1" applyFill="1" applyBorder="1" applyAlignment="1" applyProtection="1">
      <alignment horizontal="right"/>
    </xf>
    <xf numFmtId="0" fontId="9" fillId="4" borderId="29" xfId="0" applyFont="1" applyFill="1" applyBorder="1" applyAlignment="1" applyProtection="1">
      <alignment horizontal="center"/>
    </xf>
    <xf numFmtId="44" fontId="7" fillId="4" borderId="31" xfId="0" applyNumberFormat="1" applyFont="1" applyFill="1" applyBorder="1" applyProtection="1"/>
    <xf numFmtId="41" fontId="7" fillId="4" borderId="31" xfId="1" applyNumberFormat="1" applyFont="1" applyFill="1" applyBorder="1" applyAlignment="1" applyProtection="1"/>
    <xf numFmtId="41" fontId="7" fillId="4" borderId="31" xfId="0" applyNumberFormat="1" applyFont="1" applyFill="1" applyBorder="1" applyAlignment="1" applyProtection="1"/>
    <xf numFmtId="0" fontId="7" fillId="4" borderId="20" xfId="0" applyFont="1" applyFill="1" applyBorder="1" applyProtection="1"/>
    <xf numFmtId="41" fontId="7" fillId="4" borderId="32" xfId="0" applyNumberFormat="1" applyFont="1" applyFill="1" applyBorder="1" applyAlignment="1" applyProtection="1"/>
    <xf numFmtId="41" fontId="8" fillId="4" borderId="32" xfId="0" applyNumberFormat="1" applyFont="1" applyFill="1" applyBorder="1" applyProtection="1"/>
    <xf numFmtId="41" fontId="7" fillId="4" borderId="30" xfId="0" applyNumberFormat="1" applyFont="1" applyFill="1" applyBorder="1" applyAlignment="1" applyProtection="1"/>
    <xf numFmtId="41" fontId="8" fillId="4" borderId="32" xfId="0" applyNumberFormat="1" applyFont="1" applyFill="1" applyBorder="1" applyAlignment="1" applyProtection="1"/>
    <xf numFmtId="41" fontId="7" fillId="3" borderId="31" xfId="0" applyNumberFormat="1" applyFont="1" applyFill="1" applyBorder="1" applyAlignment="1" applyProtection="1"/>
    <xf numFmtId="41" fontId="2" fillId="3" borderId="31" xfId="0" applyNumberFormat="1" applyFont="1" applyFill="1" applyBorder="1" applyAlignment="1" applyProtection="1"/>
    <xf numFmtId="0" fontId="7" fillId="4" borderId="33" xfId="0" applyFont="1" applyFill="1" applyBorder="1" applyProtection="1"/>
    <xf numFmtId="41" fontId="7" fillId="3" borderId="30" xfId="0" applyNumberFormat="1" applyFont="1" applyFill="1" applyBorder="1" applyAlignment="1" applyProtection="1"/>
    <xf numFmtId="41" fontId="7" fillId="3" borderId="34" xfId="0" applyNumberFormat="1" applyFont="1" applyFill="1" applyBorder="1" applyAlignment="1" applyProtection="1"/>
    <xf numFmtId="0" fontId="7" fillId="4" borderId="17" xfId="0" applyFont="1" applyFill="1" applyBorder="1" applyAlignment="1" applyProtection="1">
      <alignment horizontal="left"/>
    </xf>
    <xf numFmtId="0" fontId="9" fillId="4" borderId="5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/>
    </xf>
    <xf numFmtId="44" fontId="7" fillId="4" borderId="7" xfId="0" applyNumberFormat="1" applyFont="1" applyFill="1" applyBorder="1" applyAlignment="1" applyProtection="1">
      <alignment horizontal="center"/>
    </xf>
    <xf numFmtId="0" fontId="2" fillId="4" borderId="26" xfId="0" applyFont="1" applyFill="1" applyBorder="1" applyProtection="1"/>
    <xf numFmtId="0" fontId="2" fillId="4" borderId="33" xfId="0" applyFont="1" applyFill="1" applyBorder="1" applyAlignment="1" applyProtection="1">
      <alignment horizontal="left"/>
    </xf>
    <xf numFmtId="0" fontId="7" fillId="4" borderId="37" xfId="0" applyFont="1" applyFill="1" applyBorder="1" applyAlignment="1" applyProtection="1">
      <alignment vertical="center"/>
    </xf>
    <xf numFmtId="0" fontId="7" fillId="4" borderId="37" xfId="0" applyFont="1" applyFill="1" applyBorder="1" applyAlignment="1" applyProtection="1">
      <alignment horizontal="center" vertical="center" wrapText="1"/>
    </xf>
    <xf numFmtId="41" fontId="7" fillId="4" borderId="38" xfId="0" applyNumberFormat="1" applyFont="1" applyFill="1" applyBorder="1" applyAlignment="1" applyProtection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/>
    </xf>
    <xf numFmtId="0" fontId="7" fillId="7" borderId="2" xfId="0" applyFont="1" applyFill="1" applyBorder="1" applyAlignment="1" applyProtection="1">
      <protection locked="0"/>
    </xf>
    <xf numFmtId="49" fontId="7" fillId="7" borderId="2" xfId="0" quotePrefix="1" applyNumberFormat="1" applyFont="1" applyFill="1" applyBorder="1" applyAlignment="1" applyProtection="1">
      <alignment horizontal="left" vertical="center"/>
    </xf>
    <xf numFmtId="41" fontId="7" fillId="7" borderId="7" xfId="0" applyNumberFormat="1" applyFont="1" applyFill="1" applyBorder="1" applyProtection="1">
      <protection locked="0"/>
    </xf>
    <xf numFmtId="41" fontId="7" fillId="7" borderId="6" xfId="0" applyNumberFormat="1" applyFont="1" applyFill="1" applyBorder="1" applyProtection="1">
      <protection locked="0"/>
    </xf>
    <xf numFmtId="41" fontId="7" fillId="7" borderId="7" xfId="0" applyNumberFormat="1" applyFont="1" applyFill="1" applyBorder="1" applyAlignment="1" applyProtection="1">
      <protection locked="0"/>
    </xf>
    <xf numFmtId="41" fontId="2" fillId="7" borderId="7" xfId="0" applyNumberFormat="1" applyFont="1" applyFill="1" applyBorder="1" applyProtection="1">
      <protection locked="0"/>
    </xf>
    <xf numFmtId="41" fontId="2" fillId="7" borderId="6" xfId="0" applyNumberFormat="1" applyFont="1" applyFill="1" applyBorder="1" applyProtection="1">
      <protection locked="0"/>
    </xf>
    <xf numFmtId="41" fontId="2" fillId="7" borderId="7" xfId="0" applyNumberFormat="1" applyFont="1" applyFill="1" applyBorder="1" applyAlignment="1" applyProtection="1">
      <protection locked="0"/>
    </xf>
    <xf numFmtId="41" fontId="2" fillId="7" borderId="6" xfId="0" applyNumberFormat="1" applyFont="1" applyFill="1" applyBorder="1" applyAlignment="1" applyProtection="1">
      <protection locked="0"/>
    </xf>
    <xf numFmtId="41" fontId="7" fillId="7" borderId="7" xfId="0" applyNumberFormat="1" applyFont="1" applyFill="1" applyBorder="1" applyAlignment="1" applyProtection="1"/>
    <xf numFmtId="41" fontId="7" fillId="7" borderId="6" xfId="0" applyNumberFormat="1" applyFont="1" applyFill="1" applyBorder="1" applyAlignment="1" applyProtection="1">
      <protection locked="0"/>
    </xf>
    <xf numFmtId="41" fontId="7" fillId="7" borderId="6" xfId="0" applyNumberFormat="1" applyFont="1" applyFill="1" applyBorder="1" applyAlignment="1" applyProtection="1"/>
    <xf numFmtId="41" fontId="7" fillId="7" borderId="11" xfId="0" applyNumberFormat="1" applyFont="1" applyFill="1" applyBorder="1" applyProtection="1"/>
    <xf numFmtId="41" fontId="7" fillId="7" borderId="13" xfId="0" applyNumberFormat="1" applyFont="1" applyFill="1" applyBorder="1" applyProtection="1"/>
    <xf numFmtId="41" fontId="2" fillId="7" borderId="0" xfId="0" applyNumberFormat="1" applyFont="1" applyFill="1" applyBorder="1" applyAlignment="1" applyProtection="1">
      <protection locked="0"/>
    </xf>
    <xf numFmtId="0" fontId="7" fillId="8" borderId="4" xfId="0" applyFont="1" applyFill="1" applyBorder="1" applyProtection="1"/>
    <xf numFmtId="0" fontId="7" fillId="8" borderId="15" xfId="0" applyFont="1" applyFill="1" applyBorder="1" applyProtection="1"/>
    <xf numFmtId="0" fontId="7" fillId="8" borderId="14" xfId="0" applyFont="1" applyFill="1" applyBorder="1" applyAlignment="1" applyProtection="1">
      <alignment horizontal="right" indent="4"/>
    </xf>
    <xf numFmtId="41" fontId="7" fillId="8" borderId="2" xfId="0" applyNumberFormat="1" applyFont="1" applyFill="1" applyBorder="1" applyAlignment="1" applyProtection="1"/>
    <xf numFmtId="41" fontId="7" fillId="8" borderId="8" xfId="0" applyNumberFormat="1" applyFont="1" applyFill="1" applyBorder="1" applyAlignment="1" applyProtection="1"/>
    <xf numFmtId="41" fontId="7" fillId="8" borderId="16" xfId="0" applyNumberFormat="1" applyFont="1" applyFill="1" applyBorder="1" applyAlignment="1" applyProtection="1"/>
    <xf numFmtId="0" fontId="7" fillId="8" borderId="19" xfId="0" applyFont="1" applyFill="1" applyBorder="1" applyProtection="1"/>
    <xf numFmtId="0" fontId="8" fillId="8" borderId="4" xfId="0" applyFont="1" applyFill="1" applyBorder="1" applyProtection="1"/>
    <xf numFmtId="0" fontId="7" fillId="8" borderId="17" xfId="0" applyFont="1" applyFill="1" applyBorder="1" applyProtection="1"/>
    <xf numFmtId="0" fontId="7" fillId="8" borderId="0" xfId="0" applyFont="1" applyFill="1" applyBorder="1" applyProtection="1"/>
    <xf numFmtId="0" fontId="7" fillId="8" borderId="10" xfId="0" applyFont="1" applyFill="1" applyBorder="1" applyProtection="1"/>
    <xf numFmtId="0" fontId="7" fillId="8" borderId="10" xfId="0" applyFont="1" applyFill="1" applyBorder="1" applyAlignment="1" applyProtection="1">
      <alignment horizontal="center"/>
    </xf>
    <xf numFmtId="41" fontId="7" fillId="8" borderId="7" xfId="0" applyNumberFormat="1" applyFont="1" applyFill="1" applyBorder="1" applyProtection="1"/>
    <xf numFmtId="41" fontId="7" fillId="8" borderId="6" xfId="0" applyNumberFormat="1" applyFont="1" applyFill="1" applyBorder="1" applyProtection="1"/>
    <xf numFmtId="41" fontId="7" fillId="7" borderId="7" xfId="1" applyNumberFormat="1" applyFont="1" applyFill="1" applyBorder="1" applyAlignment="1" applyProtection="1">
      <protection locked="0"/>
    </xf>
    <xf numFmtId="41" fontId="7" fillId="7" borderId="13" xfId="1" applyNumberFormat="1" applyFont="1" applyFill="1" applyBorder="1" applyAlignment="1" applyProtection="1">
      <protection locked="0"/>
    </xf>
    <xf numFmtId="41" fontId="7" fillId="7" borderId="13" xfId="0" applyNumberFormat="1" applyFont="1" applyFill="1" applyBorder="1" applyAlignment="1" applyProtection="1"/>
    <xf numFmtId="41" fontId="7" fillId="9" borderId="7" xfId="1" applyNumberFormat="1" applyFont="1" applyFill="1" applyBorder="1" applyAlignment="1" applyProtection="1">
      <protection locked="0"/>
    </xf>
    <xf numFmtId="41" fontId="7" fillId="9" borderId="7" xfId="0" applyNumberFormat="1" applyFont="1" applyFill="1" applyBorder="1" applyAlignment="1" applyProtection="1">
      <protection locked="0"/>
    </xf>
    <xf numFmtId="41" fontId="2" fillId="9" borderId="7" xfId="0" applyNumberFormat="1" applyFont="1" applyFill="1" applyBorder="1" applyAlignment="1" applyProtection="1">
      <protection locked="0"/>
    </xf>
    <xf numFmtId="41" fontId="2" fillId="9" borderId="7" xfId="1" applyNumberFormat="1" applyFont="1" applyFill="1" applyBorder="1" applyAlignment="1" applyProtection="1">
      <protection locked="0"/>
    </xf>
    <xf numFmtId="41" fontId="7" fillId="9" borderId="7" xfId="0" applyNumberFormat="1" applyFont="1" applyFill="1" applyBorder="1" applyAlignment="1" applyProtection="1"/>
    <xf numFmtId="41" fontId="7" fillId="9" borderId="7" xfId="1" applyNumberFormat="1" applyFont="1" applyFill="1" applyBorder="1" applyAlignment="1" applyProtection="1"/>
    <xf numFmtId="0" fontId="8" fillId="4" borderId="17" xfId="0" applyFont="1" applyFill="1" applyBorder="1" applyAlignment="1" applyProtection="1"/>
    <xf numFmtId="0" fontId="8" fillId="4" borderId="0" xfId="0" applyFont="1" applyFill="1" applyBorder="1" applyAlignment="1" applyProtection="1"/>
    <xf numFmtId="0" fontId="15" fillId="4" borderId="0" xfId="0" applyFont="1" applyFill="1" applyBorder="1" applyProtection="1"/>
    <xf numFmtId="0" fontId="8" fillId="4" borderId="6" xfId="0" applyFont="1" applyFill="1" applyBorder="1" applyAlignment="1" applyProtection="1"/>
    <xf numFmtId="0" fontId="7" fillId="4" borderId="6" xfId="0" applyFont="1" applyFill="1" applyBorder="1" applyProtection="1"/>
    <xf numFmtId="0" fontId="7" fillId="4" borderId="10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center"/>
    </xf>
    <xf numFmtId="0" fontId="17" fillId="4" borderId="2" xfId="0" applyFont="1" applyFill="1" applyBorder="1" applyAlignment="1" applyProtection="1">
      <alignment horizontal="center" vertical="center" wrapText="1"/>
    </xf>
    <xf numFmtId="41" fontId="7" fillId="4" borderId="5" xfId="1" applyNumberFormat="1" applyFont="1" applyFill="1" applyBorder="1" applyAlignment="1" applyProtection="1">
      <protection locked="0"/>
    </xf>
    <xf numFmtId="41" fontId="7" fillId="4" borderId="7" xfId="1" applyNumberFormat="1" applyFont="1" applyFill="1" applyBorder="1" applyAlignment="1" applyProtection="1">
      <protection locked="0"/>
    </xf>
    <xf numFmtId="0" fontId="8" fillId="4" borderId="11" xfId="0" applyFont="1" applyFill="1" applyBorder="1" applyProtection="1"/>
    <xf numFmtId="41" fontId="7" fillId="4" borderId="13" xfId="1" applyNumberFormat="1" applyFont="1" applyFill="1" applyBorder="1" applyAlignment="1" applyProtection="1">
      <protection locked="0"/>
    </xf>
    <xf numFmtId="0" fontId="7" fillId="4" borderId="3" xfId="0" applyFont="1" applyFill="1" applyBorder="1" applyProtection="1"/>
    <xf numFmtId="0" fontId="8" fillId="4" borderId="6" xfId="0" applyFont="1" applyFill="1" applyBorder="1" applyProtection="1"/>
    <xf numFmtId="0" fontId="2" fillId="4" borderId="13" xfId="0" applyFont="1" applyFill="1" applyBorder="1" applyProtection="1"/>
    <xf numFmtId="0" fontId="2" fillId="4" borderId="7" xfId="0" applyFont="1" applyFill="1" applyBorder="1" applyProtection="1"/>
    <xf numFmtId="0" fontId="2" fillId="4" borderId="6" xfId="0" applyFont="1" applyFill="1" applyBorder="1" applyProtection="1"/>
    <xf numFmtId="0" fontId="2" fillId="4" borderId="5" xfId="0" applyFont="1" applyFill="1" applyBorder="1" applyProtection="1"/>
    <xf numFmtId="0" fontId="7" fillId="4" borderId="11" xfId="0" applyFont="1" applyFill="1" applyBorder="1" applyProtection="1"/>
    <xf numFmtId="41" fontId="7" fillId="3" borderId="11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41" fontId="2" fillId="0" borderId="0" xfId="1" applyNumberFormat="1" applyFont="1" applyFill="1" applyBorder="1" applyAlignment="1" applyProtection="1"/>
    <xf numFmtId="41" fontId="2" fillId="0" borderId="0" xfId="0" applyNumberFormat="1" applyFont="1" applyFill="1" applyBorder="1" applyProtection="1"/>
    <xf numFmtId="41" fontId="2" fillId="0" borderId="0" xfId="0" applyNumberFormat="1" applyFont="1" applyFill="1" applyAlignment="1" applyProtection="1"/>
    <xf numFmtId="41" fontId="2" fillId="0" borderId="0" xfId="1" applyNumberFormat="1" applyFont="1" applyFill="1" applyAlignment="1" applyProtection="1"/>
    <xf numFmtId="0" fontId="7" fillId="7" borderId="2" xfId="0" quotePrefix="1" applyFont="1" applyFill="1" applyBorder="1" applyAlignment="1" applyProtection="1">
      <alignment horizontal="left"/>
      <protection locked="0"/>
    </xf>
    <xf numFmtId="0" fontId="7" fillId="4" borderId="27" xfId="0" applyFont="1" applyFill="1" applyBorder="1" applyAlignment="1" applyProtection="1">
      <alignment horizontal="left"/>
      <protection locked="0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D3CDB1"/>
      <color rgb="FFEBFDC3"/>
      <color rgb="FFDCE6F1"/>
      <color rgb="FFFFFFCC"/>
      <color rgb="FFFF6D6D"/>
      <color rgb="FFDDE7C7"/>
      <color rgb="FFFFFF66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F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7</xdr:row>
          <xdr:rowOff>161925</xdr:rowOff>
        </xdr:from>
        <xdr:to>
          <xdr:col>3</xdr:col>
          <xdr:colOff>1095375</xdr:colOff>
          <xdr:row>9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8</xdr:row>
          <xdr:rowOff>180975</xdr:rowOff>
        </xdr:from>
        <xdr:to>
          <xdr:col>3</xdr:col>
          <xdr:colOff>1095375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07"/>
  <sheetViews>
    <sheetView tabSelected="1" zoomScale="80" zoomScaleNormal="80" zoomScaleSheetLayoutView="80" workbookViewId="0">
      <pane xSplit="6" ySplit="13" topLeftCell="G14" activePane="bottomRight" state="frozen"/>
      <selection activeCell="B1" sqref="B1"/>
      <selection pane="topRight" activeCell="F1" sqref="F1"/>
      <selection pane="bottomLeft" activeCell="B7" sqref="B7"/>
      <selection pane="bottomRight" activeCell="H51" sqref="H51"/>
    </sheetView>
  </sheetViews>
  <sheetFormatPr defaultColWidth="0" defaultRowHeight="15" zeroHeight="1" x14ac:dyDescent="0.25"/>
  <cols>
    <col min="1" max="1" width="1" style="1" hidden="1" customWidth="1"/>
    <col min="2" max="2" width="4.7109375" style="1" customWidth="1"/>
    <col min="3" max="3" width="2.5703125" style="1" customWidth="1"/>
    <col min="4" max="4" width="19.42578125" style="1" customWidth="1"/>
    <col min="5" max="5" width="56.42578125" style="1" customWidth="1"/>
    <col min="6" max="6" width="12.28515625" style="1" customWidth="1"/>
    <col min="7" max="7" width="20.42578125" style="1" customWidth="1"/>
    <col min="8" max="10" width="15.5703125" style="1" customWidth="1"/>
    <col min="11" max="11" width="15.5703125" style="24" customWidth="1"/>
    <col min="12" max="12" width="15.140625" style="24" customWidth="1"/>
    <col min="13" max="13" width="17.7109375" style="1" customWidth="1"/>
    <col min="14" max="14" width="19.7109375" style="1" customWidth="1"/>
    <col min="15" max="15" width="13.28515625" style="1" customWidth="1"/>
    <col min="16" max="16" width="11.5703125" style="1" customWidth="1"/>
    <col min="17" max="19" width="0" style="1" hidden="1" customWidth="1"/>
    <col min="20" max="16384" width="9.140625" style="1" hidden="1"/>
  </cols>
  <sheetData>
    <row r="1" spans="1:16" s="30" customFormat="1" ht="15" customHeight="1" x14ac:dyDescent="0.25">
      <c r="A1" s="203"/>
      <c r="B1" s="174"/>
      <c r="C1" s="175"/>
      <c r="D1" s="176"/>
      <c r="E1" s="276"/>
      <c r="F1" s="276"/>
      <c r="G1" s="177"/>
      <c r="H1" s="178" t="s">
        <v>203</v>
      </c>
      <c r="I1" s="175"/>
      <c r="J1" s="175"/>
      <c r="K1" s="175"/>
      <c r="L1" s="179"/>
      <c r="M1" s="180"/>
      <c r="N1" s="181"/>
    </row>
    <row r="2" spans="1:16" s="24" customFormat="1" ht="15" customHeight="1" x14ac:dyDescent="0.25">
      <c r="A2" s="33"/>
      <c r="B2" s="182"/>
      <c r="C2" s="38"/>
      <c r="D2" s="39" t="s">
        <v>153</v>
      </c>
      <c r="E2" s="211" t="s">
        <v>235</v>
      </c>
      <c r="F2" s="145"/>
      <c r="G2" s="99"/>
      <c r="H2" s="109" t="s">
        <v>227</v>
      </c>
      <c r="I2" s="38"/>
      <c r="J2" s="38"/>
      <c r="K2" s="38"/>
      <c r="L2" s="40"/>
      <c r="M2" s="41" t="s">
        <v>114</v>
      </c>
      <c r="N2" s="42"/>
    </row>
    <row r="3" spans="1:16" s="24" customFormat="1" ht="15" customHeight="1" x14ac:dyDescent="0.25">
      <c r="A3" s="33"/>
      <c r="B3" s="37"/>
      <c r="C3" s="38"/>
      <c r="D3" s="39" t="s">
        <v>211</v>
      </c>
      <c r="E3" s="211" t="s">
        <v>236</v>
      </c>
      <c r="F3" s="145"/>
      <c r="G3" s="99"/>
      <c r="H3" s="110" t="s">
        <v>228</v>
      </c>
      <c r="I3" s="38"/>
      <c r="J3" s="38"/>
      <c r="K3" s="38"/>
      <c r="L3" s="40"/>
      <c r="M3" s="41" t="s">
        <v>115</v>
      </c>
      <c r="N3" s="42"/>
    </row>
    <row r="4" spans="1:16" s="24" customFormat="1" ht="15" customHeight="1" x14ac:dyDescent="0.25">
      <c r="A4" s="33"/>
      <c r="B4" s="37"/>
      <c r="C4" s="38"/>
      <c r="D4" s="39" t="s">
        <v>212</v>
      </c>
      <c r="E4" s="212" t="s">
        <v>226</v>
      </c>
      <c r="F4" s="102"/>
      <c r="G4" s="101"/>
      <c r="H4" s="109" t="s">
        <v>108</v>
      </c>
      <c r="I4" s="38"/>
      <c r="J4" s="38"/>
      <c r="K4" s="38"/>
      <c r="L4" s="40" t="s">
        <v>136</v>
      </c>
      <c r="M4" s="41" t="s">
        <v>148</v>
      </c>
      <c r="N4" s="42"/>
    </row>
    <row r="5" spans="1:16" s="24" customFormat="1" ht="15" customHeight="1" x14ac:dyDescent="0.25">
      <c r="A5" s="33"/>
      <c r="B5" s="37"/>
      <c r="C5" s="38"/>
      <c r="D5" s="39" t="s">
        <v>213</v>
      </c>
      <c r="E5" s="212" t="s">
        <v>215</v>
      </c>
      <c r="F5" s="102"/>
      <c r="G5" s="99"/>
      <c r="H5" s="38"/>
      <c r="I5" s="38"/>
      <c r="J5" s="38"/>
      <c r="K5" s="38"/>
      <c r="L5" s="40" t="s">
        <v>136</v>
      </c>
      <c r="M5" s="41" t="s">
        <v>147</v>
      </c>
      <c r="N5" s="42"/>
    </row>
    <row r="6" spans="1:16" ht="14.45" customHeight="1" x14ac:dyDescent="0.25">
      <c r="A6" s="33"/>
      <c r="B6" s="37"/>
      <c r="C6" s="38"/>
      <c r="D6" s="39" t="s">
        <v>214</v>
      </c>
      <c r="E6" s="275" t="s">
        <v>237</v>
      </c>
      <c r="F6" s="172"/>
      <c r="G6" s="38"/>
      <c r="H6" s="38"/>
      <c r="I6" s="38"/>
      <c r="J6" s="38" t="s">
        <v>54</v>
      </c>
      <c r="K6" s="38"/>
      <c r="L6" s="40"/>
      <c r="M6" s="41"/>
      <c r="N6" s="42"/>
    </row>
    <row r="7" spans="1:16" ht="14.45" customHeight="1" x14ac:dyDescent="0.25">
      <c r="A7" s="33"/>
      <c r="B7" s="37"/>
      <c r="C7" s="38"/>
      <c r="D7" s="38"/>
      <c r="E7" s="38"/>
      <c r="F7" s="38"/>
      <c r="G7" s="38"/>
      <c r="H7" s="100"/>
      <c r="I7" s="38"/>
      <c r="J7" s="38"/>
      <c r="K7" s="38"/>
      <c r="L7" s="40"/>
      <c r="M7" s="41"/>
      <c r="N7" s="42"/>
    </row>
    <row r="8" spans="1:16" ht="14.45" customHeight="1" x14ac:dyDescent="0.25">
      <c r="A8" s="33"/>
      <c r="B8" s="37"/>
      <c r="C8" s="38"/>
      <c r="D8" s="99" t="s">
        <v>149</v>
      </c>
      <c r="E8" s="103"/>
      <c r="F8" s="38"/>
      <c r="G8" s="38"/>
      <c r="H8" s="38"/>
      <c r="I8" s="38"/>
      <c r="J8" s="38"/>
      <c r="K8" s="38"/>
      <c r="L8" s="40"/>
      <c r="M8" s="41"/>
      <c r="N8" s="42"/>
    </row>
    <row r="9" spans="1:16" ht="14.45" customHeight="1" x14ac:dyDescent="0.25">
      <c r="A9" s="33"/>
      <c r="B9" s="37"/>
      <c r="C9" s="38"/>
      <c r="D9" s="39"/>
      <c r="E9" s="104" t="s">
        <v>150</v>
      </c>
      <c r="F9" s="38"/>
      <c r="G9" s="38"/>
      <c r="H9" s="38"/>
      <c r="I9" s="38"/>
      <c r="J9" s="38"/>
      <c r="K9" s="38"/>
      <c r="L9" s="40"/>
      <c r="M9" s="41"/>
      <c r="N9" s="42"/>
    </row>
    <row r="10" spans="1:16" ht="14.45" customHeight="1" x14ac:dyDescent="0.25">
      <c r="A10" s="33"/>
      <c r="B10" s="37"/>
      <c r="C10" s="38"/>
      <c r="D10" s="39"/>
      <c r="E10" s="104" t="s">
        <v>151</v>
      </c>
      <c r="F10" s="105" t="b">
        <v>1</v>
      </c>
      <c r="G10" s="38"/>
      <c r="H10" s="38"/>
      <c r="I10" s="38"/>
      <c r="J10" s="38"/>
      <c r="K10" s="38"/>
      <c r="L10" s="40"/>
      <c r="M10" s="41"/>
      <c r="N10" s="42"/>
    </row>
    <row r="11" spans="1:16" x14ac:dyDescent="0.25">
      <c r="A11" s="33"/>
      <c r="B11" s="37"/>
      <c r="C11" s="38"/>
      <c r="D11" s="39" t="s">
        <v>152</v>
      </c>
      <c r="E11" s="106">
        <v>44893</v>
      </c>
      <c r="F11" s="38"/>
      <c r="G11" s="38"/>
      <c r="H11" s="38"/>
      <c r="I11" s="38"/>
      <c r="J11" s="38"/>
      <c r="K11" s="107" t="s">
        <v>154</v>
      </c>
      <c r="L11" s="108" t="s">
        <v>155</v>
      </c>
      <c r="M11" s="159" t="s">
        <v>156</v>
      </c>
      <c r="N11" s="183" t="s">
        <v>181</v>
      </c>
    </row>
    <row r="12" spans="1:16" s="29" customFormat="1" ht="13.5" customHeight="1" thickBot="1" x14ac:dyDescent="0.3">
      <c r="A12" s="35"/>
      <c r="B12" s="197"/>
      <c r="C12" s="173"/>
      <c r="D12" s="173"/>
      <c r="E12" s="173"/>
      <c r="F12" s="173"/>
      <c r="G12" s="198" t="s">
        <v>161</v>
      </c>
      <c r="H12" s="198" t="s">
        <v>162</v>
      </c>
      <c r="I12" s="198" t="s">
        <v>163</v>
      </c>
      <c r="J12" s="198" t="s">
        <v>164</v>
      </c>
      <c r="K12" s="198" t="s">
        <v>157</v>
      </c>
      <c r="L12" s="199" t="s">
        <v>158</v>
      </c>
      <c r="M12" s="200" t="s">
        <v>159</v>
      </c>
      <c r="N12" s="201" t="s">
        <v>160</v>
      </c>
    </row>
    <row r="13" spans="1:16" s="3" customFormat="1" ht="57.75" thickBot="1" x14ac:dyDescent="0.3">
      <c r="A13" s="204"/>
      <c r="B13" s="277" t="s">
        <v>107</v>
      </c>
      <c r="C13" s="278"/>
      <c r="D13" s="278"/>
      <c r="E13" s="205"/>
      <c r="F13" s="206" t="s">
        <v>0</v>
      </c>
      <c r="G13" s="207" t="s">
        <v>116</v>
      </c>
      <c r="H13" s="208" t="s">
        <v>229</v>
      </c>
      <c r="I13" s="207" t="s">
        <v>117</v>
      </c>
      <c r="J13" s="208" t="s">
        <v>230</v>
      </c>
      <c r="K13" s="208" t="s">
        <v>118</v>
      </c>
      <c r="L13" s="208" t="s">
        <v>231</v>
      </c>
      <c r="M13" s="208" t="s">
        <v>132</v>
      </c>
      <c r="N13" s="209" t="s">
        <v>179</v>
      </c>
      <c r="O13" s="3" t="s">
        <v>1</v>
      </c>
    </row>
    <row r="14" spans="1:16" x14ac:dyDescent="0.25">
      <c r="A14" s="33"/>
      <c r="B14" s="37" t="s">
        <v>78</v>
      </c>
      <c r="C14" s="38"/>
      <c r="D14" s="38"/>
      <c r="E14" s="50"/>
      <c r="F14" s="50"/>
      <c r="G14" s="58"/>
      <c r="H14" s="55"/>
      <c r="I14" s="58"/>
      <c r="J14" s="56"/>
      <c r="K14" s="202"/>
      <c r="L14" s="55"/>
      <c r="M14" s="55"/>
      <c r="N14" s="184"/>
      <c r="O14" s="5"/>
      <c r="P14" s="5"/>
    </row>
    <row r="15" spans="1:16" x14ac:dyDescent="0.25">
      <c r="A15" s="33"/>
      <c r="B15" s="37"/>
      <c r="C15" s="38" t="s">
        <v>112</v>
      </c>
      <c r="D15" s="38"/>
      <c r="E15" s="50"/>
      <c r="F15" s="50"/>
      <c r="G15" s="58"/>
      <c r="H15" s="55"/>
      <c r="I15" s="58"/>
      <c r="J15" s="56"/>
      <c r="K15" s="55"/>
      <c r="L15" s="55"/>
      <c r="M15" s="55"/>
      <c r="N15" s="184"/>
      <c r="O15" s="5"/>
      <c r="P15" s="5"/>
    </row>
    <row r="16" spans="1:16" x14ac:dyDescent="0.25">
      <c r="A16" s="33"/>
      <c r="B16" s="37"/>
      <c r="C16" s="38"/>
      <c r="D16" s="38" t="s">
        <v>192</v>
      </c>
      <c r="E16" s="50"/>
      <c r="F16" s="57">
        <v>8011</v>
      </c>
      <c r="G16" s="243">
        <v>2791641</v>
      </c>
      <c r="H16" s="213">
        <v>859242</v>
      </c>
      <c r="I16" s="115"/>
      <c r="J16" s="115"/>
      <c r="K16" s="58">
        <f>G16+I16</f>
        <v>2791641</v>
      </c>
      <c r="L16" s="58">
        <f t="shared" ref="K16:L20" si="0">H16+J16</f>
        <v>859242</v>
      </c>
      <c r="M16" s="89">
        <f t="shared" ref="M16:M20" si="1">IF(K16&gt;L16,K16,L16)</f>
        <v>2791641</v>
      </c>
      <c r="N16" s="185">
        <f>+M16-K16</f>
        <v>0</v>
      </c>
      <c r="O16" s="6"/>
      <c r="P16" s="6"/>
    </row>
    <row r="17" spans="1:16" x14ac:dyDescent="0.25">
      <c r="A17" s="33"/>
      <c r="B17" s="37"/>
      <c r="C17" s="38"/>
      <c r="D17" s="38" t="s">
        <v>193</v>
      </c>
      <c r="E17" s="50"/>
      <c r="F17" s="57">
        <v>8012</v>
      </c>
      <c r="G17" s="243">
        <v>303785</v>
      </c>
      <c r="H17" s="213">
        <v>26896</v>
      </c>
      <c r="I17" s="115"/>
      <c r="J17" s="115"/>
      <c r="K17" s="58">
        <f t="shared" si="0"/>
        <v>303785</v>
      </c>
      <c r="L17" s="58">
        <f>H17+J17</f>
        <v>26896</v>
      </c>
      <c r="M17" s="68">
        <f>IF(K17&gt;L17,K17,L17)</f>
        <v>303785</v>
      </c>
      <c r="N17" s="186">
        <f>+M17-K17</f>
        <v>0</v>
      </c>
      <c r="O17" s="4"/>
      <c r="P17" s="4"/>
    </row>
    <row r="18" spans="1:16" x14ac:dyDescent="0.25">
      <c r="A18" s="33"/>
      <c r="B18" s="37"/>
      <c r="C18" s="38"/>
      <c r="D18" s="38" t="s">
        <v>194</v>
      </c>
      <c r="E18" s="50"/>
      <c r="F18" s="57">
        <v>8019</v>
      </c>
      <c r="G18" s="243"/>
      <c r="H18" s="213"/>
      <c r="I18" s="115"/>
      <c r="J18" s="115"/>
      <c r="K18" s="58">
        <f t="shared" si="0"/>
        <v>0</v>
      </c>
      <c r="L18" s="58">
        <f t="shared" si="0"/>
        <v>0</v>
      </c>
      <c r="M18" s="68">
        <f>IF(K18&gt;L18,K18,L18)</f>
        <v>0</v>
      </c>
      <c r="N18" s="186">
        <f>+M18-K18</f>
        <v>0</v>
      </c>
      <c r="O18" s="4"/>
      <c r="P18" s="4"/>
    </row>
    <row r="19" spans="1:16" x14ac:dyDescent="0.25">
      <c r="A19" s="33"/>
      <c r="B19" s="37"/>
      <c r="C19" s="38"/>
      <c r="D19" s="38" t="s">
        <v>141</v>
      </c>
      <c r="E19" s="50"/>
      <c r="F19" s="57">
        <v>8096</v>
      </c>
      <c r="G19" s="243">
        <v>3487361</v>
      </c>
      <c r="H19" s="213">
        <v>1031000</v>
      </c>
      <c r="I19" s="115"/>
      <c r="J19" s="115"/>
      <c r="K19" s="58">
        <f t="shared" si="0"/>
        <v>3487361</v>
      </c>
      <c r="L19" s="58">
        <f t="shared" si="0"/>
        <v>1031000</v>
      </c>
      <c r="M19" s="68">
        <f t="shared" si="1"/>
        <v>3487361</v>
      </c>
      <c r="N19" s="186">
        <f t="shared" ref="N19:N51" si="2">+M19-K19</f>
        <v>0</v>
      </c>
      <c r="O19" s="4"/>
      <c r="P19" s="4"/>
    </row>
    <row r="20" spans="1:16" x14ac:dyDescent="0.25">
      <c r="A20" s="33"/>
      <c r="B20" s="37"/>
      <c r="C20" s="38"/>
      <c r="D20" s="38" t="s">
        <v>110</v>
      </c>
      <c r="E20" s="50"/>
      <c r="F20" s="57" t="s">
        <v>111</v>
      </c>
      <c r="G20" s="243"/>
      <c r="H20" s="213"/>
      <c r="I20" s="243"/>
      <c r="J20" s="214"/>
      <c r="K20" s="58">
        <f t="shared" si="0"/>
        <v>0</v>
      </c>
      <c r="L20" s="58">
        <f t="shared" si="0"/>
        <v>0</v>
      </c>
      <c r="M20" s="68">
        <f t="shared" si="1"/>
        <v>0</v>
      </c>
      <c r="N20" s="186">
        <f t="shared" si="2"/>
        <v>0</v>
      </c>
      <c r="O20" s="4"/>
      <c r="P20" s="4"/>
    </row>
    <row r="21" spans="1:16" x14ac:dyDescent="0.25">
      <c r="A21" s="33"/>
      <c r="B21" s="187"/>
      <c r="C21" s="49" t="s">
        <v>142</v>
      </c>
      <c r="D21" s="49"/>
      <c r="E21" s="60"/>
      <c r="F21" s="61"/>
      <c r="G21" s="62">
        <f t="shared" ref="G21:L21" si="3">SUM(G16:G20)</f>
        <v>6582787</v>
      </c>
      <c r="H21" s="72">
        <f t="shared" si="3"/>
        <v>1917138</v>
      </c>
      <c r="I21" s="63">
        <f t="shared" si="3"/>
        <v>0</v>
      </c>
      <c r="J21" s="116">
        <f t="shared" si="3"/>
        <v>0</v>
      </c>
      <c r="K21" s="62">
        <f t="shared" si="3"/>
        <v>6582787</v>
      </c>
      <c r="L21" s="117">
        <f t="shared" si="3"/>
        <v>1917138</v>
      </c>
      <c r="M21" s="63">
        <f>SUM(M16:M20)</f>
        <v>6582787</v>
      </c>
      <c r="N21" s="188">
        <f>+M21-K21</f>
        <v>0</v>
      </c>
      <c r="O21" s="4">
        <f>+G21+I21-K21</f>
        <v>0</v>
      </c>
      <c r="P21" s="6">
        <f>+H21+J21-L21</f>
        <v>0</v>
      </c>
    </row>
    <row r="22" spans="1:16" x14ac:dyDescent="0.25">
      <c r="A22" s="33"/>
      <c r="B22" s="37"/>
      <c r="C22" s="38" t="s">
        <v>188</v>
      </c>
      <c r="D22" s="38"/>
      <c r="E22" s="38"/>
      <c r="F22" s="67"/>
      <c r="G22" s="68"/>
      <c r="H22" s="74"/>
      <c r="I22" s="80"/>
      <c r="J22" s="118"/>
      <c r="K22" s="80"/>
      <c r="L22" s="72"/>
      <c r="M22" s="68"/>
      <c r="N22" s="186"/>
      <c r="O22" s="4"/>
      <c r="P22" s="6"/>
    </row>
    <row r="23" spans="1:16" x14ac:dyDescent="0.25">
      <c r="A23" s="33"/>
      <c r="B23" s="37"/>
      <c r="C23" s="38"/>
      <c r="D23" s="38" t="s">
        <v>143</v>
      </c>
      <c r="E23" s="38"/>
      <c r="F23" s="67">
        <v>8290</v>
      </c>
      <c r="G23" s="119"/>
      <c r="H23" s="119"/>
      <c r="I23" s="244">
        <v>173141</v>
      </c>
      <c r="J23" s="215"/>
      <c r="K23" s="58">
        <f>G23+I23</f>
        <v>173141</v>
      </c>
      <c r="L23" s="58">
        <f>H23+J23</f>
        <v>0</v>
      </c>
      <c r="M23" s="68">
        <f>IF(K23&gt;L23,K23,L23)</f>
        <v>173141</v>
      </c>
      <c r="N23" s="186">
        <f t="shared" si="2"/>
        <v>0</v>
      </c>
      <c r="O23" s="4"/>
      <c r="P23" s="6"/>
    </row>
    <row r="24" spans="1:16" x14ac:dyDescent="0.25">
      <c r="A24" s="33"/>
      <c r="B24" s="37"/>
      <c r="C24" s="38"/>
      <c r="D24" s="38" t="s">
        <v>144</v>
      </c>
      <c r="E24" s="38"/>
      <c r="F24" s="67">
        <v>8290</v>
      </c>
      <c r="G24" s="119"/>
      <c r="H24" s="119"/>
      <c r="I24" s="244">
        <v>24800</v>
      </c>
      <c r="J24" s="215"/>
      <c r="K24" s="58">
        <f t="shared" ref="K24:K33" si="4">G24+I24</f>
        <v>24800</v>
      </c>
      <c r="L24" s="58">
        <f t="shared" ref="L24:L33" si="5">H24+J24</f>
        <v>0</v>
      </c>
      <c r="M24" s="68">
        <f>IF(K24&gt;L24,K24,L24)</f>
        <v>24800</v>
      </c>
      <c r="N24" s="186">
        <f t="shared" si="2"/>
        <v>0</v>
      </c>
      <c r="O24" s="4"/>
      <c r="P24" s="6"/>
    </row>
    <row r="25" spans="1:16" x14ac:dyDescent="0.25">
      <c r="A25" s="33"/>
      <c r="B25" s="37"/>
      <c r="C25" s="38"/>
      <c r="D25" s="38" t="s">
        <v>145</v>
      </c>
      <c r="E25" s="38"/>
      <c r="F25" s="67">
        <v>8290</v>
      </c>
      <c r="G25" s="119"/>
      <c r="H25" s="119"/>
      <c r="I25" s="244">
        <v>10294</v>
      </c>
      <c r="J25" s="215"/>
      <c r="K25" s="58">
        <f t="shared" si="4"/>
        <v>10294</v>
      </c>
      <c r="L25" s="58">
        <f t="shared" si="5"/>
        <v>0</v>
      </c>
      <c r="M25" s="68">
        <f t="shared" ref="M25:M33" si="6">IF(K25&gt;L25,K25,L25)</f>
        <v>10294</v>
      </c>
      <c r="N25" s="186">
        <f t="shared" si="2"/>
        <v>0</v>
      </c>
      <c r="O25" s="4"/>
      <c r="P25" s="6"/>
    </row>
    <row r="26" spans="1:16" x14ac:dyDescent="0.25">
      <c r="A26" s="33"/>
      <c r="B26" s="37"/>
      <c r="C26" s="38"/>
      <c r="D26" s="38" t="s">
        <v>146</v>
      </c>
      <c r="E26" s="38"/>
      <c r="F26" s="67">
        <v>8290</v>
      </c>
      <c r="G26" s="119"/>
      <c r="H26" s="119"/>
      <c r="I26" s="244"/>
      <c r="J26" s="215"/>
      <c r="K26" s="58">
        <f t="shared" si="4"/>
        <v>0</v>
      </c>
      <c r="L26" s="58">
        <f t="shared" si="5"/>
        <v>0</v>
      </c>
      <c r="M26" s="68">
        <f t="shared" si="6"/>
        <v>0</v>
      </c>
      <c r="N26" s="186">
        <f t="shared" si="2"/>
        <v>0</v>
      </c>
      <c r="O26" s="4"/>
      <c r="P26" s="6"/>
    </row>
    <row r="27" spans="1:16" x14ac:dyDescent="0.25">
      <c r="A27" s="33"/>
      <c r="B27" s="37"/>
      <c r="C27" s="38"/>
      <c r="D27" s="38" t="s">
        <v>189</v>
      </c>
      <c r="E27" s="38"/>
      <c r="F27" s="67">
        <v>8290</v>
      </c>
      <c r="G27" s="119"/>
      <c r="H27" s="119"/>
      <c r="I27" s="244"/>
      <c r="J27" s="215"/>
      <c r="K27" s="58">
        <f t="shared" si="4"/>
        <v>0</v>
      </c>
      <c r="L27" s="58">
        <f t="shared" si="5"/>
        <v>0</v>
      </c>
      <c r="M27" s="68">
        <f t="shared" si="6"/>
        <v>0</v>
      </c>
      <c r="N27" s="186">
        <f t="shared" si="2"/>
        <v>0</v>
      </c>
      <c r="O27" s="4"/>
      <c r="P27" s="6"/>
    </row>
    <row r="28" spans="1:16" x14ac:dyDescent="0.25">
      <c r="A28" s="33"/>
      <c r="B28" s="37"/>
      <c r="C28" s="38"/>
      <c r="D28" s="38" t="s">
        <v>190</v>
      </c>
      <c r="E28" s="38"/>
      <c r="F28" s="67">
        <v>8290</v>
      </c>
      <c r="G28" s="119"/>
      <c r="H28" s="119"/>
      <c r="I28" s="244">
        <v>11853</v>
      </c>
      <c r="J28" s="215"/>
      <c r="K28" s="58">
        <f t="shared" si="4"/>
        <v>11853</v>
      </c>
      <c r="L28" s="58">
        <f t="shared" si="5"/>
        <v>0</v>
      </c>
      <c r="M28" s="68">
        <f t="shared" si="6"/>
        <v>11853</v>
      </c>
      <c r="N28" s="186">
        <f t="shared" si="2"/>
        <v>0</v>
      </c>
      <c r="O28" s="4"/>
      <c r="P28" s="6"/>
    </row>
    <row r="29" spans="1:16" x14ac:dyDescent="0.25">
      <c r="A29" s="33"/>
      <c r="B29" s="37"/>
      <c r="C29" s="38"/>
      <c r="D29" s="38" t="s">
        <v>166</v>
      </c>
      <c r="E29" s="38"/>
      <c r="F29" s="67">
        <v>8290</v>
      </c>
      <c r="G29" s="119"/>
      <c r="H29" s="119"/>
      <c r="I29" s="244"/>
      <c r="J29" s="215"/>
      <c r="K29" s="58">
        <f t="shared" si="4"/>
        <v>0</v>
      </c>
      <c r="L29" s="58">
        <f t="shared" si="5"/>
        <v>0</v>
      </c>
      <c r="M29" s="68">
        <f t="shared" si="6"/>
        <v>0</v>
      </c>
      <c r="N29" s="186">
        <f t="shared" si="2"/>
        <v>0</v>
      </c>
      <c r="O29" s="4"/>
      <c r="P29" s="6"/>
    </row>
    <row r="30" spans="1:16" x14ac:dyDescent="0.25">
      <c r="A30" s="33"/>
      <c r="B30" s="37"/>
      <c r="C30" s="38"/>
      <c r="D30" s="38" t="s">
        <v>180</v>
      </c>
      <c r="E30" s="38"/>
      <c r="F30" s="67">
        <v>8181</v>
      </c>
      <c r="G30" s="119"/>
      <c r="H30" s="119"/>
      <c r="I30" s="244">
        <v>119700</v>
      </c>
      <c r="J30" s="215"/>
      <c r="K30" s="58">
        <f t="shared" si="4"/>
        <v>119700</v>
      </c>
      <c r="L30" s="58">
        <f t="shared" si="5"/>
        <v>0</v>
      </c>
      <c r="M30" s="68">
        <f t="shared" si="6"/>
        <v>119700</v>
      </c>
      <c r="N30" s="186">
        <f t="shared" si="2"/>
        <v>0</v>
      </c>
      <c r="O30" s="4"/>
      <c r="P30" s="6"/>
    </row>
    <row r="31" spans="1:16" x14ac:dyDescent="0.25">
      <c r="A31" s="33"/>
      <c r="B31" s="37"/>
      <c r="C31" s="38"/>
      <c r="D31" s="38" t="s">
        <v>135</v>
      </c>
      <c r="E31" s="38"/>
      <c r="F31" s="67">
        <v>8182</v>
      </c>
      <c r="G31" s="119"/>
      <c r="H31" s="119"/>
      <c r="I31" s="244"/>
      <c r="J31" s="215"/>
      <c r="K31" s="58">
        <f>G31+I31</f>
        <v>0</v>
      </c>
      <c r="L31" s="58">
        <f>H31+J31</f>
        <v>0</v>
      </c>
      <c r="M31" s="68">
        <f t="shared" si="6"/>
        <v>0</v>
      </c>
      <c r="N31" s="186">
        <f t="shared" si="2"/>
        <v>0</v>
      </c>
      <c r="O31" s="4"/>
      <c r="P31" s="6"/>
    </row>
    <row r="32" spans="1:16" x14ac:dyDescent="0.25">
      <c r="A32" s="33"/>
      <c r="B32" s="37"/>
      <c r="C32" s="38"/>
      <c r="D32" s="38" t="s">
        <v>131</v>
      </c>
      <c r="E32" s="38"/>
      <c r="F32" s="67">
        <v>8220</v>
      </c>
      <c r="G32" s="119"/>
      <c r="H32" s="119"/>
      <c r="I32" s="244"/>
      <c r="J32" s="215"/>
      <c r="K32" s="58">
        <f>G32+I32</f>
        <v>0</v>
      </c>
      <c r="L32" s="58">
        <f>H32+J32</f>
        <v>0</v>
      </c>
      <c r="M32" s="68">
        <f t="shared" si="6"/>
        <v>0</v>
      </c>
      <c r="N32" s="186">
        <f t="shared" si="2"/>
        <v>0</v>
      </c>
      <c r="O32" s="4"/>
      <c r="P32" s="6"/>
    </row>
    <row r="33" spans="1:16" x14ac:dyDescent="0.25">
      <c r="A33" s="33"/>
      <c r="B33" s="37"/>
      <c r="C33" s="38"/>
      <c r="D33" s="38" t="s">
        <v>182</v>
      </c>
      <c r="E33" s="38"/>
      <c r="F33" s="67">
        <v>8110</v>
      </c>
      <c r="G33" s="244"/>
      <c r="H33" s="215"/>
      <c r="I33" s="119"/>
      <c r="J33" s="119"/>
      <c r="K33" s="58">
        <f t="shared" si="4"/>
        <v>0</v>
      </c>
      <c r="L33" s="58">
        <f t="shared" si="5"/>
        <v>0</v>
      </c>
      <c r="M33" s="68">
        <f t="shared" si="6"/>
        <v>0</v>
      </c>
      <c r="N33" s="186">
        <f t="shared" si="2"/>
        <v>0</v>
      </c>
      <c r="O33" s="4"/>
      <c r="P33" s="6"/>
    </row>
    <row r="34" spans="1:16" x14ac:dyDescent="0.25">
      <c r="A34" s="33"/>
      <c r="B34" s="37"/>
      <c r="C34" s="38"/>
      <c r="D34" s="38" t="s">
        <v>195</v>
      </c>
      <c r="E34" s="38"/>
      <c r="F34" s="67" t="s">
        <v>80</v>
      </c>
      <c r="G34" s="244"/>
      <c r="H34" s="215"/>
      <c r="I34" s="244">
        <v>1584013</v>
      </c>
      <c r="J34" s="244">
        <v>268114.61</v>
      </c>
      <c r="K34" s="58">
        <f>G34+I34</f>
        <v>1584013</v>
      </c>
      <c r="L34" s="58">
        <f t="shared" ref="L34" si="7">H34+J34</f>
        <v>268114.61</v>
      </c>
      <c r="M34" s="68">
        <f t="shared" ref="M34" si="8">IF(K34&gt;L34,K34,L34)</f>
        <v>1584013</v>
      </c>
      <c r="N34" s="186">
        <f t="shared" si="2"/>
        <v>0</v>
      </c>
      <c r="O34" s="4"/>
      <c r="P34" s="6"/>
    </row>
    <row r="35" spans="1:16" x14ac:dyDescent="0.25">
      <c r="A35" s="33"/>
      <c r="B35" s="37"/>
      <c r="C35" s="38" t="s">
        <v>81</v>
      </c>
      <c r="D35" s="38"/>
      <c r="E35" s="38"/>
      <c r="F35" s="71"/>
      <c r="G35" s="62">
        <f>SUM(G33:G34)</f>
        <v>0</v>
      </c>
      <c r="H35" s="62">
        <f>SUM(H33:H34)</f>
        <v>0</v>
      </c>
      <c r="I35" s="63">
        <f>SUM(I23:I34)</f>
        <v>1923801</v>
      </c>
      <c r="J35" s="63">
        <f>SUM(J23:J34)</f>
        <v>268114.61</v>
      </c>
      <c r="K35" s="63">
        <f>SUM(K23:K34)</f>
        <v>1923801</v>
      </c>
      <c r="L35" s="63">
        <f t="shared" ref="L35:M35" si="9">SUM(L23:L34)</f>
        <v>268114.61</v>
      </c>
      <c r="M35" s="63">
        <f t="shared" si="9"/>
        <v>1923801</v>
      </c>
      <c r="N35" s="188">
        <f t="shared" si="2"/>
        <v>0</v>
      </c>
      <c r="O35" s="4"/>
      <c r="P35" s="6"/>
    </row>
    <row r="36" spans="1:16" x14ac:dyDescent="0.25">
      <c r="A36" s="33"/>
      <c r="B36" s="65"/>
      <c r="C36" s="66" t="s">
        <v>187</v>
      </c>
      <c r="D36" s="66"/>
      <c r="E36" s="51"/>
      <c r="F36" s="50"/>
      <c r="G36" s="74"/>
      <c r="H36" s="69"/>
      <c r="I36" s="74"/>
      <c r="J36" s="120"/>
      <c r="K36" s="68"/>
      <c r="L36" s="69"/>
      <c r="M36" s="68"/>
      <c r="N36" s="186">
        <f t="shared" si="2"/>
        <v>0</v>
      </c>
      <c r="O36" s="4"/>
      <c r="P36" s="4"/>
    </row>
    <row r="37" spans="1:16" x14ac:dyDescent="0.25">
      <c r="A37" s="33"/>
      <c r="B37" s="37"/>
      <c r="C37" s="38"/>
      <c r="D37" s="38" t="s">
        <v>130</v>
      </c>
      <c r="E37" s="50"/>
      <c r="F37" s="57">
        <v>8792</v>
      </c>
      <c r="G37" s="115"/>
      <c r="H37" s="115"/>
      <c r="I37" s="244">
        <v>323418</v>
      </c>
      <c r="J37" s="214">
        <v>41188</v>
      </c>
      <c r="K37" s="58">
        <f t="shared" ref="K37:K47" si="10">G37+I37</f>
        <v>323418</v>
      </c>
      <c r="L37" s="58">
        <f t="shared" ref="L37:L47" si="11">H37+J37</f>
        <v>41188</v>
      </c>
      <c r="M37" s="68">
        <f>IF(K37&gt;L37,K37,L37)</f>
        <v>323418</v>
      </c>
      <c r="N37" s="186">
        <f t="shared" si="2"/>
        <v>0</v>
      </c>
      <c r="O37" s="4"/>
      <c r="P37" s="4"/>
    </row>
    <row r="38" spans="1:16" x14ac:dyDescent="0.25">
      <c r="A38" s="33"/>
      <c r="B38" s="37"/>
      <c r="C38" s="38"/>
      <c r="D38" s="38" t="s">
        <v>139</v>
      </c>
      <c r="E38" s="50"/>
      <c r="F38" s="57">
        <v>8590</v>
      </c>
      <c r="G38" s="115"/>
      <c r="H38" s="115"/>
      <c r="I38" s="244"/>
      <c r="J38" s="214"/>
      <c r="K38" s="58">
        <f t="shared" si="10"/>
        <v>0</v>
      </c>
      <c r="L38" s="58">
        <f t="shared" si="11"/>
        <v>0</v>
      </c>
      <c r="M38" s="68">
        <f t="shared" ref="M38:M47" si="12">IF(K38&gt;L38,K38,L38)</f>
        <v>0</v>
      </c>
      <c r="N38" s="186">
        <f t="shared" si="2"/>
        <v>0</v>
      </c>
      <c r="O38" s="4"/>
      <c r="P38" s="4"/>
    </row>
    <row r="39" spans="1:16" x14ac:dyDescent="0.25">
      <c r="A39" s="33"/>
      <c r="B39" s="37"/>
      <c r="C39" s="38"/>
      <c r="D39" s="38" t="s">
        <v>122</v>
      </c>
      <c r="E39" s="50"/>
      <c r="F39" s="57">
        <v>8550</v>
      </c>
      <c r="G39" s="245">
        <v>27376</v>
      </c>
      <c r="H39" s="216"/>
      <c r="I39" s="115"/>
      <c r="J39" s="115"/>
      <c r="K39" s="58">
        <f t="shared" si="10"/>
        <v>27376</v>
      </c>
      <c r="L39" s="58">
        <f t="shared" si="11"/>
        <v>0</v>
      </c>
      <c r="M39" s="68">
        <f t="shared" si="12"/>
        <v>27376</v>
      </c>
      <c r="N39" s="186">
        <f>+M39-K39</f>
        <v>0</v>
      </c>
      <c r="O39" s="4"/>
      <c r="P39" s="4"/>
    </row>
    <row r="40" spans="1:16" x14ac:dyDescent="0.25">
      <c r="A40" s="33"/>
      <c r="B40" s="37"/>
      <c r="C40" s="38"/>
      <c r="D40" s="38" t="s">
        <v>121</v>
      </c>
      <c r="E40" s="50"/>
      <c r="F40" s="57" t="s">
        <v>113</v>
      </c>
      <c r="G40" s="115"/>
      <c r="H40" s="115"/>
      <c r="I40" s="244"/>
      <c r="J40" s="214"/>
      <c r="K40" s="58">
        <f t="shared" si="10"/>
        <v>0</v>
      </c>
      <c r="L40" s="58">
        <f t="shared" si="11"/>
        <v>0</v>
      </c>
      <c r="M40" s="68">
        <f t="shared" si="12"/>
        <v>0</v>
      </c>
      <c r="N40" s="186">
        <f t="shared" si="2"/>
        <v>0</v>
      </c>
      <c r="O40" s="4"/>
      <c r="P40" s="4"/>
    </row>
    <row r="41" spans="1:16" x14ac:dyDescent="0.25">
      <c r="A41" s="33"/>
      <c r="B41" s="37"/>
      <c r="C41" s="38"/>
      <c r="D41" s="38" t="s">
        <v>123</v>
      </c>
      <c r="E41" s="50"/>
      <c r="F41" s="57">
        <v>8590</v>
      </c>
      <c r="G41" s="115"/>
      <c r="H41" s="115"/>
      <c r="I41" s="244"/>
      <c r="J41" s="214"/>
      <c r="K41" s="58">
        <f t="shared" si="10"/>
        <v>0</v>
      </c>
      <c r="L41" s="58">
        <f t="shared" si="11"/>
        <v>0</v>
      </c>
      <c r="M41" s="68">
        <f t="shared" si="12"/>
        <v>0</v>
      </c>
      <c r="N41" s="186">
        <f t="shared" si="2"/>
        <v>0</v>
      </c>
      <c r="O41" s="4"/>
      <c r="P41" s="4"/>
    </row>
    <row r="42" spans="1:16" x14ac:dyDescent="0.25">
      <c r="A42" s="33"/>
      <c r="B42" s="37"/>
      <c r="C42" s="38"/>
      <c r="D42" s="38" t="s">
        <v>120</v>
      </c>
      <c r="E42" s="50"/>
      <c r="F42" s="57">
        <v>8590</v>
      </c>
      <c r="G42" s="115"/>
      <c r="H42" s="115"/>
      <c r="I42" s="244"/>
      <c r="J42" s="214"/>
      <c r="K42" s="58">
        <f t="shared" si="10"/>
        <v>0</v>
      </c>
      <c r="L42" s="58">
        <f t="shared" si="11"/>
        <v>0</v>
      </c>
      <c r="M42" s="68">
        <f t="shared" si="12"/>
        <v>0</v>
      </c>
      <c r="N42" s="186">
        <f t="shared" si="2"/>
        <v>0</v>
      </c>
      <c r="O42" s="4"/>
      <c r="P42" s="4"/>
    </row>
    <row r="43" spans="1:16" x14ac:dyDescent="0.25">
      <c r="A43" s="33"/>
      <c r="B43" s="37"/>
      <c r="C43" s="38"/>
      <c r="D43" s="38" t="s">
        <v>191</v>
      </c>
      <c r="E43" s="50"/>
      <c r="F43" s="57">
        <v>8590</v>
      </c>
      <c r="G43" s="115"/>
      <c r="H43" s="115"/>
      <c r="I43" s="244"/>
      <c r="J43" s="214"/>
      <c r="K43" s="58">
        <f t="shared" si="10"/>
        <v>0</v>
      </c>
      <c r="L43" s="58">
        <f t="shared" si="11"/>
        <v>0</v>
      </c>
      <c r="M43" s="68">
        <f t="shared" si="12"/>
        <v>0</v>
      </c>
      <c r="N43" s="186">
        <f t="shared" si="2"/>
        <v>0</v>
      </c>
      <c r="O43" s="4"/>
      <c r="P43" s="4"/>
    </row>
    <row r="44" spans="1:16" x14ac:dyDescent="0.25">
      <c r="A44" s="33"/>
      <c r="B44" s="37"/>
      <c r="C44" s="38"/>
      <c r="D44" s="38" t="s">
        <v>124</v>
      </c>
      <c r="E44" s="50"/>
      <c r="F44" s="57">
        <v>8560</v>
      </c>
      <c r="G44" s="244">
        <v>80868.374999999985</v>
      </c>
      <c r="H44" s="213"/>
      <c r="I44" s="115"/>
      <c r="J44" s="115"/>
      <c r="K44" s="58">
        <f t="shared" si="10"/>
        <v>80868.374999999985</v>
      </c>
      <c r="L44" s="58">
        <f t="shared" si="11"/>
        <v>0</v>
      </c>
      <c r="M44" s="68">
        <f t="shared" si="12"/>
        <v>80868.374999999985</v>
      </c>
      <c r="N44" s="186">
        <f t="shared" si="2"/>
        <v>0</v>
      </c>
      <c r="O44" s="4"/>
      <c r="P44" s="4"/>
    </row>
    <row r="45" spans="1:16" x14ac:dyDescent="0.25">
      <c r="A45" s="33"/>
      <c r="B45" s="37"/>
      <c r="C45" s="38"/>
      <c r="D45" s="38" t="s">
        <v>165</v>
      </c>
      <c r="E45" s="50"/>
      <c r="F45" s="57">
        <v>8560</v>
      </c>
      <c r="G45" s="115"/>
      <c r="H45" s="115"/>
      <c r="I45" s="244">
        <v>32248.124999999996</v>
      </c>
      <c r="J45" s="214"/>
      <c r="K45" s="58">
        <f t="shared" si="10"/>
        <v>32248.124999999996</v>
      </c>
      <c r="L45" s="58">
        <f t="shared" si="11"/>
        <v>0</v>
      </c>
      <c r="M45" s="68">
        <f t="shared" si="12"/>
        <v>32248.124999999996</v>
      </c>
      <c r="N45" s="186">
        <f t="shared" si="2"/>
        <v>0</v>
      </c>
      <c r="O45" s="4"/>
      <c r="P45" s="4"/>
    </row>
    <row r="46" spans="1:16" x14ac:dyDescent="0.25">
      <c r="A46" s="33"/>
      <c r="B46" s="37"/>
      <c r="C46" s="38"/>
      <c r="D46" s="38" t="s">
        <v>119</v>
      </c>
      <c r="E46" s="50"/>
      <c r="F46" s="57">
        <v>8590</v>
      </c>
      <c r="G46" s="115"/>
      <c r="H46" s="115"/>
      <c r="I46" s="244"/>
      <c r="J46" s="214"/>
      <c r="K46" s="58">
        <f t="shared" si="10"/>
        <v>0</v>
      </c>
      <c r="L46" s="58">
        <f t="shared" si="11"/>
        <v>0</v>
      </c>
      <c r="M46" s="68">
        <f t="shared" si="12"/>
        <v>0</v>
      </c>
      <c r="N46" s="186">
        <f t="shared" si="2"/>
        <v>0</v>
      </c>
      <c r="O46" s="4"/>
      <c r="P46" s="4"/>
    </row>
    <row r="47" spans="1:16" x14ac:dyDescent="0.25">
      <c r="A47" s="33"/>
      <c r="B47" s="37"/>
      <c r="C47" s="38"/>
      <c r="D47" s="38" t="s">
        <v>196</v>
      </c>
      <c r="E47" s="50"/>
      <c r="F47" s="57" t="s">
        <v>79</v>
      </c>
      <c r="G47" s="244"/>
      <c r="H47" s="213">
        <v>9167.4699999999993</v>
      </c>
      <c r="I47" s="244">
        <v>1503167</v>
      </c>
      <c r="J47" s="214">
        <v>112043</v>
      </c>
      <c r="K47" s="58">
        <f t="shared" si="10"/>
        <v>1503167</v>
      </c>
      <c r="L47" s="58">
        <f t="shared" si="11"/>
        <v>121210.47</v>
      </c>
      <c r="M47" s="68">
        <f t="shared" si="12"/>
        <v>1503167</v>
      </c>
      <c r="N47" s="186">
        <f t="shared" si="2"/>
        <v>0</v>
      </c>
      <c r="O47" s="4"/>
      <c r="P47" s="4"/>
    </row>
    <row r="48" spans="1:16" x14ac:dyDescent="0.25">
      <c r="A48" s="33"/>
      <c r="B48" s="187"/>
      <c r="C48" s="49" t="s">
        <v>82</v>
      </c>
      <c r="D48" s="49"/>
      <c r="E48" s="60"/>
      <c r="F48" s="60"/>
      <c r="G48" s="62">
        <f t="shared" ref="G48:M48" si="13">SUM(G37:G47)</f>
        <v>108244.37499999999</v>
      </c>
      <c r="H48" s="72">
        <f t="shared" si="13"/>
        <v>9167.4699999999993</v>
      </c>
      <c r="I48" s="80">
        <f t="shared" si="13"/>
        <v>1858833.125</v>
      </c>
      <c r="J48" s="118">
        <f t="shared" si="13"/>
        <v>153231</v>
      </c>
      <c r="K48" s="62">
        <f t="shared" si="13"/>
        <v>1967077.5</v>
      </c>
      <c r="L48" s="72">
        <f t="shared" si="13"/>
        <v>162398.47</v>
      </c>
      <c r="M48" s="63">
        <f t="shared" si="13"/>
        <v>1967077.5</v>
      </c>
      <c r="N48" s="188">
        <f t="shared" si="2"/>
        <v>0</v>
      </c>
      <c r="O48" s="4">
        <f>+G48+I48-K48</f>
        <v>0</v>
      </c>
      <c r="P48" s="6">
        <f>+H48+J48-L48</f>
        <v>0</v>
      </c>
    </row>
    <row r="49" spans="1:16" x14ac:dyDescent="0.25">
      <c r="A49" s="33"/>
      <c r="B49" s="65"/>
      <c r="C49" s="66" t="s">
        <v>133</v>
      </c>
      <c r="D49" s="66"/>
      <c r="E49" s="51"/>
      <c r="F49" s="50"/>
      <c r="G49" s="74"/>
      <c r="H49" s="69"/>
      <c r="I49" s="69"/>
      <c r="J49" s="120"/>
      <c r="K49" s="73"/>
      <c r="L49" s="69"/>
      <c r="M49" s="68"/>
      <c r="N49" s="186">
        <f t="shared" si="2"/>
        <v>0</v>
      </c>
      <c r="O49" s="4"/>
      <c r="P49" s="4"/>
    </row>
    <row r="50" spans="1:16" x14ac:dyDescent="0.25">
      <c r="A50" s="33"/>
      <c r="B50" s="37"/>
      <c r="C50" s="38"/>
      <c r="D50" s="38" t="s">
        <v>134</v>
      </c>
      <c r="E50" s="50"/>
      <c r="F50" s="57" t="s">
        <v>98</v>
      </c>
      <c r="G50" s="245">
        <v>50456.98</v>
      </c>
      <c r="H50" s="216">
        <f>47095.75+8439</f>
        <v>55534.75</v>
      </c>
      <c r="I50" s="245"/>
      <c r="J50" s="217"/>
      <c r="K50" s="58">
        <f>G50+I50</f>
        <v>50456.98</v>
      </c>
      <c r="L50" s="58">
        <f>H50+J50</f>
        <v>55534.75</v>
      </c>
      <c r="M50" s="68">
        <f>IF(K50&gt;L50,K50,L50)</f>
        <v>55534.75</v>
      </c>
      <c r="N50" s="186">
        <f t="shared" si="2"/>
        <v>5077.7699999999968</v>
      </c>
      <c r="O50" s="4"/>
      <c r="P50" s="4"/>
    </row>
    <row r="51" spans="1:16" x14ac:dyDescent="0.25">
      <c r="A51" s="33"/>
      <c r="B51" s="37"/>
      <c r="C51" s="38" t="s">
        <v>83</v>
      </c>
      <c r="D51" s="38"/>
      <c r="E51" s="50"/>
      <c r="F51" s="60"/>
      <c r="G51" s="62">
        <f t="shared" ref="G51:M51" si="14">SUM(G50:G50)</f>
        <v>50456.98</v>
      </c>
      <c r="H51" s="72">
        <f t="shared" si="14"/>
        <v>55534.75</v>
      </c>
      <c r="I51" s="80">
        <f t="shared" si="14"/>
        <v>0</v>
      </c>
      <c r="J51" s="118">
        <f t="shared" si="14"/>
        <v>0</v>
      </c>
      <c r="K51" s="63">
        <f t="shared" si="14"/>
        <v>50456.98</v>
      </c>
      <c r="L51" s="58">
        <f t="shared" si="14"/>
        <v>55534.75</v>
      </c>
      <c r="M51" s="63">
        <f t="shared" si="14"/>
        <v>55534.75</v>
      </c>
      <c r="N51" s="188">
        <f t="shared" si="2"/>
        <v>5077.7699999999968</v>
      </c>
      <c r="O51" s="270">
        <f>+G51+I51-K51</f>
        <v>0</v>
      </c>
      <c r="P51" s="271">
        <f>+H51+J51-L51</f>
        <v>0</v>
      </c>
    </row>
    <row r="52" spans="1:16" ht="10.5" customHeight="1" x14ac:dyDescent="0.25">
      <c r="A52" s="33"/>
      <c r="B52" s="65"/>
      <c r="C52" s="66"/>
      <c r="D52" s="66"/>
      <c r="E52" s="51"/>
      <c r="F52" s="50"/>
      <c r="G52" s="74"/>
      <c r="H52" s="74"/>
      <c r="I52" s="74"/>
      <c r="J52" s="82"/>
      <c r="K52" s="74"/>
      <c r="L52" s="74"/>
      <c r="M52" s="68"/>
      <c r="N52" s="186"/>
      <c r="O52" s="270"/>
      <c r="P52" s="270"/>
    </row>
    <row r="53" spans="1:16" x14ac:dyDescent="0.25">
      <c r="A53" s="36"/>
      <c r="B53" s="47"/>
      <c r="C53" s="75" t="s">
        <v>2</v>
      </c>
      <c r="D53" s="75"/>
      <c r="E53" s="76"/>
      <c r="F53" s="77"/>
      <c r="G53" s="78">
        <f>G21+G48+G35+G51</f>
        <v>6741488.3550000004</v>
      </c>
      <c r="H53" s="78">
        <f t="shared" ref="H53:N53" si="15">H21+H48+H35+H51</f>
        <v>1981840.22</v>
      </c>
      <c r="I53" s="78">
        <f t="shared" si="15"/>
        <v>3782634.125</v>
      </c>
      <c r="J53" s="78">
        <f>J21+J48+J35+J51</f>
        <v>421345.61</v>
      </c>
      <c r="K53" s="78">
        <f>K21+K48+K35+K51</f>
        <v>10524122.48</v>
      </c>
      <c r="L53" s="78">
        <f t="shared" si="15"/>
        <v>2403185.83</v>
      </c>
      <c r="M53" s="78">
        <f t="shared" si="15"/>
        <v>10529200.25</v>
      </c>
      <c r="N53" s="189">
        <f t="shared" si="15"/>
        <v>5077.7699999999968</v>
      </c>
      <c r="O53" s="272">
        <f>+G53+I53-K53</f>
        <v>0</v>
      </c>
      <c r="P53" s="272">
        <f>+H53+J53-L53</f>
        <v>0</v>
      </c>
    </row>
    <row r="54" spans="1:16" x14ac:dyDescent="0.25">
      <c r="A54" s="33"/>
      <c r="B54" s="65" t="s">
        <v>97</v>
      </c>
      <c r="C54" s="66"/>
      <c r="D54" s="66"/>
      <c r="E54" s="51"/>
      <c r="F54" s="50"/>
      <c r="G54" s="68"/>
      <c r="H54" s="58"/>
      <c r="I54" s="69"/>
      <c r="J54" s="121"/>
      <c r="K54" s="73"/>
      <c r="L54" s="58"/>
      <c r="M54" s="68"/>
      <c r="N54" s="186"/>
      <c r="O54" s="270"/>
      <c r="P54" s="270"/>
    </row>
    <row r="55" spans="1:16" x14ac:dyDescent="0.25">
      <c r="A55" s="33"/>
      <c r="B55" s="37"/>
      <c r="C55" s="38" t="s">
        <v>3</v>
      </c>
      <c r="D55" s="38"/>
      <c r="E55" s="50"/>
      <c r="F55" s="57"/>
      <c r="G55" s="68"/>
      <c r="H55" s="58"/>
      <c r="I55" s="68"/>
      <c r="J55" s="121"/>
      <c r="K55" s="58"/>
      <c r="L55" s="58"/>
      <c r="M55" s="68"/>
      <c r="N55" s="186"/>
      <c r="O55" s="270"/>
      <c r="P55" s="270"/>
    </row>
    <row r="56" spans="1:16" x14ac:dyDescent="0.25">
      <c r="A56" s="33"/>
      <c r="B56" s="37"/>
      <c r="C56" s="38"/>
      <c r="D56" s="38" t="s">
        <v>167</v>
      </c>
      <c r="E56" s="50"/>
      <c r="F56" s="57">
        <v>1100</v>
      </c>
      <c r="G56" s="244">
        <f>2207000-I56</f>
        <v>955267.2577047823</v>
      </c>
      <c r="H56" s="213">
        <v>278120.05</v>
      </c>
      <c r="I56" s="243">
        <v>1251732.7422952177</v>
      </c>
      <c r="J56" s="214">
        <v>364434.11</v>
      </c>
      <c r="K56" s="58">
        <f t="shared" ref="K56:L59" si="16">G56+I56</f>
        <v>2207000</v>
      </c>
      <c r="L56" s="58">
        <f t="shared" si="16"/>
        <v>642554.15999999992</v>
      </c>
      <c r="M56" s="68">
        <f>IF(K56&gt;L56,K56,L56)</f>
        <v>2207000</v>
      </c>
      <c r="N56" s="186">
        <f t="shared" ref="N56:N108" si="17">+M56-K56</f>
        <v>0</v>
      </c>
      <c r="O56" s="270"/>
      <c r="P56" s="270"/>
    </row>
    <row r="57" spans="1:16" x14ac:dyDescent="0.25">
      <c r="A57" s="33"/>
      <c r="B57" s="37"/>
      <c r="C57" s="38"/>
      <c r="D57" s="38" t="s">
        <v>168</v>
      </c>
      <c r="E57" s="50"/>
      <c r="F57" s="57">
        <v>1200</v>
      </c>
      <c r="G57" s="244"/>
      <c r="H57" s="213"/>
      <c r="I57" s="243"/>
      <c r="J57" s="214"/>
      <c r="K57" s="58">
        <f t="shared" si="16"/>
        <v>0</v>
      </c>
      <c r="L57" s="58">
        <f t="shared" si="16"/>
        <v>0</v>
      </c>
      <c r="M57" s="68">
        <f>IF(K57&gt;L57,K57,L57)</f>
        <v>0</v>
      </c>
      <c r="N57" s="186">
        <f t="shared" si="17"/>
        <v>0</v>
      </c>
      <c r="O57" s="273"/>
      <c r="P57" s="273"/>
    </row>
    <row r="58" spans="1:16" x14ac:dyDescent="0.25">
      <c r="A58" s="33"/>
      <c r="B58" s="37"/>
      <c r="C58" s="38"/>
      <c r="D58" s="38" t="s">
        <v>169</v>
      </c>
      <c r="E58" s="50"/>
      <c r="F58" s="57">
        <v>1300</v>
      </c>
      <c r="G58" s="244">
        <f>644625-I58</f>
        <v>198763.01496889215</v>
      </c>
      <c r="H58" s="213">
        <v>62468.91</v>
      </c>
      <c r="I58" s="243">
        <v>445861.98503110785</v>
      </c>
      <c r="J58" s="214">
        <v>140129.25</v>
      </c>
      <c r="K58" s="58">
        <f t="shared" si="16"/>
        <v>644625</v>
      </c>
      <c r="L58" s="58">
        <f t="shared" si="16"/>
        <v>202598.16</v>
      </c>
      <c r="M58" s="68">
        <f>IF(K58&gt;L58,K58,L58)</f>
        <v>644625</v>
      </c>
      <c r="N58" s="186">
        <f t="shared" si="17"/>
        <v>0</v>
      </c>
      <c r="O58" s="273"/>
      <c r="P58" s="273"/>
    </row>
    <row r="59" spans="1:16" x14ac:dyDescent="0.25">
      <c r="A59" s="33"/>
      <c r="B59" s="37"/>
      <c r="C59" s="38"/>
      <c r="D59" s="38" t="s">
        <v>55</v>
      </c>
      <c r="E59" s="50"/>
      <c r="F59" s="57">
        <v>1900</v>
      </c>
      <c r="G59" s="244">
        <f>169000-I59</f>
        <v>87668.372617575907</v>
      </c>
      <c r="H59" s="213">
        <v>18177.98</v>
      </c>
      <c r="I59" s="243">
        <v>81331.627382424093</v>
      </c>
      <c r="J59" s="214">
        <v>16864.059999999998</v>
      </c>
      <c r="K59" s="58">
        <f t="shared" si="16"/>
        <v>169000</v>
      </c>
      <c r="L59" s="58">
        <f t="shared" si="16"/>
        <v>35042.039999999994</v>
      </c>
      <c r="M59" s="68">
        <f>IF(K59&gt;L59,K59,L59)</f>
        <v>169000</v>
      </c>
      <c r="N59" s="186">
        <f t="shared" si="17"/>
        <v>0</v>
      </c>
      <c r="O59" s="273"/>
      <c r="P59" s="273"/>
    </row>
    <row r="60" spans="1:16" x14ac:dyDescent="0.25">
      <c r="A60" s="34"/>
      <c r="B60" s="187"/>
      <c r="C60" s="49" t="s">
        <v>4</v>
      </c>
      <c r="D60" s="49"/>
      <c r="E60" s="60"/>
      <c r="F60" s="61"/>
      <c r="G60" s="62">
        <f t="shared" ref="G60:M60" si="18">SUM(G56:G59)</f>
        <v>1241698.6452912502</v>
      </c>
      <c r="H60" s="122">
        <f t="shared" si="18"/>
        <v>358766.93999999994</v>
      </c>
      <c r="I60" s="62">
        <f t="shared" si="18"/>
        <v>1778926.3547087498</v>
      </c>
      <c r="J60" s="171">
        <f t="shared" si="18"/>
        <v>521427.42</v>
      </c>
      <c r="K60" s="63">
        <f t="shared" si="18"/>
        <v>3020625</v>
      </c>
      <c r="L60" s="117">
        <f t="shared" si="18"/>
        <v>880194.36</v>
      </c>
      <c r="M60" s="63">
        <f t="shared" si="18"/>
        <v>3020625</v>
      </c>
      <c r="N60" s="188">
        <f t="shared" si="17"/>
        <v>0</v>
      </c>
      <c r="O60" s="273">
        <f>+G60+I60-K60</f>
        <v>0</v>
      </c>
      <c r="P60" s="274">
        <f>+H60+J60-L60</f>
        <v>0</v>
      </c>
    </row>
    <row r="61" spans="1:16" x14ac:dyDescent="0.25">
      <c r="A61" s="33"/>
      <c r="B61" s="37"/>
      <c r="C61" s="38" t="s">
        <v>5</v>
      </c>
      <c r="D61" s="38"/>
      <c r="E61" s="38"/>
      <c r="F61" s="67"/>
      <c r="G61" s="68"/>
      <c r="H61" s="58"/>
      <c r="I61" s="58"/>
      <c r="J61" s="121"/>
      <c r="K61" s="170"/>
      <c r="L61" s="58"/>
      <c r="M61" s="68"/>
      <c r="N61" s="186">
        <f t="shared" si="17"/>
        <v>0</v>
      </c>
      <c r="O61" s="273"/>
      <c r="P61" s="273"/>
    </row>
    <row r="62" spans="1:16" x14ac:dyDescent="0.25">
      <c r="A62" s="33"/>
      <c r="B62" s="37"/>
      <c r="C62" s="38"/>
      <c r="D62" s="38" t="s">
        <v>170</v>
      </c>
      <c r="E62" s="38"/>
      <c r="F62" s="67">
        <v>2100</v>
      </c>
      <c r="G62" s="244">
        <f>1303300-I62</f>
        <v>505492.15140859142</v>
      </c>
      <c r="H62" s="213">
        <v>146857.35</v>
      </c>
      <c r="I62" s="243">
        <v>797807.84859140858</v>
      </c>
      <c r="J62" s="214">
        <v>231781.93</v>
      </c>
      <c r="K62" s="58">
        <f t="shared" ref="K62:L66" si="19">G62+I62</f>
        <v>1303300</v>
      </c>
      <c r="L62" s="58">
        <f t="shared" si="19"/>
        <v>378639.28</v>
      </c>
      <c r="M62" s="68">
        <f>IF(K62&gt;L62,K62,L62)</f>
        <v>1303300</v>
      </c>
      <c r="N62" s="186">
        <f t="shared" si="17"/>
        <v>0</v>
      </c>
      <c r="O62" s="4"/>
      <c r="P62" s="4"/>
    </row>
    <row r="63" spans="1:16" x14ac:dyDescent="0.25">
      <c r="A63" s="33"/>
      <c r="B63" s="37"/>
      <c r="C63" s="38"/>
      <c r="D63" s="38" t="s">
        <v>171</v>
      </c>
      <c r="E63" s="38"/>
      <c r="F63" s="67">
        <v>2200</v>
      </c>
      <c r="G63" s="244">
        <f>74050-I63</f>
        <v>74050</v>
      </c>
      <c r="H63" s="213">
        <v>18952.18</v>
      </c>
      <c r="I63" s="243"/>
      <c r="J63" s="214"/>
      <c r="K63" s="58">
        <f t="shared" si="19"/>
        <v>74050</v>
      </c>
      <c r="L63" s="58">
        <f t="shared" si="19"/>
        <v>18952.18</v>
      </c>
      <c r="M63" s="68">
        <f>IF(K63&gt;L63,K63,L63)</f>
        <v>74050</v>
      </c>
      <c r="N63" s="186">
        <f t="shared" si="17"/>
        <v>0</v>
      </c>
      <c r="O63" s="4"/>
      <c r="P63" s="4"/>
    </row>
    <row r="64" spans="1:16" x14ac:dyDescent="0.25">
      <c r="A64" s="33"/>
      <c r="B64" s="37"/>
      <c r="C64" s="38"/>
      <c r="D64" s="38" t="s">
        <v>172</v>
      </c>
      <c r="E64" s="38"/>
      <c r="F64" s="67">
        <v>2300</v>
      </c>
      <c r="G64" s="244"/>
      <c r="H64" s="213"/>
      <c r="I64" s="243"/>
      <c r="J64" s="214"/>
      <c r="K64" s="58">
        <f t="shared" si="19"/>
        <v>0</v>
      </c>
      <c r="L64" s="58">
        <f t="shared" si="19"/>
        <v>0</v>
      </c>
      <c r="M64" s="68">
        <f>IF(K64&gt;L64,K64,L64)</f>
        <v>0</v>
      </c>
      <c r="N64" s="186">
        <f t="shared" si="17"/>
        <v>0</v>
      </c>
      <c r="O64" s="4"/>
      <c r="P64" s="4"/>
    </row>
    <row r="65" spans="1:16" x14ac:dyDescent="0.25">
      <c r="A65" s="33"/>
      <c r="B65" s="37"/>
      <c r="C65" s="38"/>
      <c r="D65" s="38" t="s">
        <v>56</v>
      </c>
      <c r="E65" s="38"/>
      <c r="F65" s="67">
        <v>2400</v>
      </c>
      <c r="G65" s="244">
        <f>468000-I65</f>
        <v>178714.40067615861</v>
      </c>
      <c r="H65" s="213">
        <v>58509.3</v>
      </c>
      <c r="I65" s="243">
        <v>289285.59932384139</v>
      </c>
      <c r="J65" s="214">
        <v>94709.2</v>
      </c>
      <c r="K65" s="58">
        <f t="shared" si="19"/>
        <v>468000</v>
      </c>
      <c r="L65" s="58">
        <f t="shared" si="19"/>
        <v>153218.5</v>
      </c>
      <c r="M65" s="68">
        <f>IF(K65&gt;L65,K65,L65)</f>
        <v>468000</v>
      </c>
      <c r="N65" s="186">
        <f t="shared" si="17"/>
        <v>0</v>
      </c>
      <c r="O65" s="4"/>
      <c r="P65" s="4"/>
    </row>
    <row r="66" spans="1:16" x14ac:dyDescent="0.25">
      <c r="A66" s="33"/>
      <c r="B66" s="37"/>
      <c r="C66" s="38"/>
      <c r="D66" s="38" t="s">
        <v>57</v>
      </c>
      <c r="E66" s="38"/>
      <c r="F66" s="67">
        <v>2900</v>
      </c>
      <c r="G66" s="244">
        <f>26000-I66</f>
        <v>17189.166045574919</v>
      </c>
      <c r="H66" s="213">
        <v>5002.92</v>
      </c>
      <c r="I66" s="243">
        <v>8810.8339544250812</v>
      </c>
      <c r="J66" s="214">
        <v>2564.4</v>
      </c>
      <c r="K66" s="58">
        <f t="shared" si="19"/>
        <v>26000</v>
      </c>
      <c r="L66" s="58">
        <f t="shared" si="19"/>
        <v>7567.32</v>
      </c>
      <c r="M66" s="68">
        <f>IF(K66&gt;L66,K66,L66)</f>
        <v>26000</v>
      </c>
      <c r="N66" s="186">
        <f t="shared" si="17"/>
        <v>0</v>
      </c>
      <c r="O66" s="4"/>
      <c r="P66" s="4"/>
    </row>
    <row r="67" spans="1:16" x14ac:dyDescent="0.25">
      <c r="A67" s="33"/>
      <c r="B67" s="37"/>
      <c r="C67" s="38" t="s">
        <v>6</v>
      </c>
      <c r="D67" s="38"/>
      <c r="E67" s="38"/>
      <c r="F67" s="79"/>
      <c r="G67" s="80">
        <f t="shared" ref="G67:M67" si="20">SUM(G62:G66)</f>
        <v>775445.71813032497</v>
      </c>
      <c r="H67" s="72">
        <f t="shared" si="20"/>
        <v>229321.75000000003</v>
      </c>
      <c r="I67" s="80">
        <f t="shared" si="20"/>
        <v>1095904.281869675</v>
      </c>
      <c r="J67" s="118">
        <f t="shared" si="20"/>
        <v>329055.53000000003</v>
      </c>
      <c r="K67" s="80">
        <f t="shared" si="20"/>
        <v>1871350</v>
      </c>
      <c r="L67" s="62">
        <f t="shared" si="20"/>
        <v>558377.27999999991</v>
      </c>
      <c r="M67" s="63">
        <f t="shared" si="20"/>
        <v>1871350</v>
      </c>
      <c r="N67" s="188">
        <f t="shared" si="17"/>
        <v>0</v>
      </c>
      <c r="O67" s="4">
        <f>+G67+I67-K67</f>
        <v>0</v>
      </c>
      <c r="P67" s="6">
        <f>+H67+J67-L67</f>
        <v>0</v>
      </c>
    </row>
    <row r="68" spans="1:16" x14ac:dyDescent="0.25">
      <c r="A68" s="33"/>
      <c r="B68" s="65"/>
      <c r="C68" s="66" t="s">
        <v>7</v>
      </c>
      <c r="D68" s="66"/>
      <c r="E68" s="51"/>
      <c r="F68" s="81"/>
      <c r="G68" s="74"/>
      <c r="H68" s="69"/>
      <c r="I68" s="69"/>
      <c r="J68" s="120"/>
      <c r="K68" s="73"/>
      <c r="L68" s="58"/>
      <c r="M68" s="74"/>
      <c r="N68" s="190">
        <f t="shared" si="17"/>
        <v>0</v>
      </c>
      <c r="O68" s="4"/>
      <c r="P68" s="4"/>
    </row>
    <row r="69" spans="1:16" x14ac:dyDescent="0.25">
      <c r="A69" s="33"/>
      <c r="B69" s="37"/>
      <c r="C69" s="38"/>
      <c r="D69" s="38" t="s">
        <v>58</v>
      </c>
      <c r="E69" s="50"/>
      <c r="F69" s="57" t="s">
        <v>8</v>
      </c>
      <c r="G69" s="244">
        <f>548420+65000-I69</f>
        <v>267453.46024888556</v>
      </c>
      <c r="H69" s="213">
        <v>77269.83</v>
      </c>
      <c r="I69" s="243">
        <v>345966.53975111444</v>
      </c>
      <c r="J69" s="214">
        <v>99953</v>
      </c>
      <c r="K69" s="58">
        <f>G69+I69</f>
        <v>613420</v>
      </c>
      <c r="L69" s="58">
        <f>H69+J69</f>
        <v>177222.83000000002</v>
      </c>
      <c r="M69" s="68">
        <f>IF(K69&gt;L69,K69,L69)</f>
        <v>613420</v>
      </c>
      <c r="N69" s="186">
        <f t="shared" si="17"/>
        <v>0</v>
      </c>
      <c r="O69" s="4"/>
      <c r="P69" s="4"/>
    </row>
    <row r="70" spans="1:16" x14ac:dyDescent="0.25">
      <c r="A70" s="33"/>
      <c r="B70" s="37"/>
      <c r="C70" s="38"/>
      <c r="D70" s="38" t="s">
        <v>59</v>
      </c>
      <c r="E70" s="50"/>
      <c r="F70" s="57" t="s">
        <v>9</v>
      </c>
      <c r="G70" s="244"/>
      <c r="H70" s="213"/>
      <c r="I70" s="243"/>
      <c r="J70" s="214"/>
      <c r="K70" s="58">
        <f t="shared" ref="K70:L77" si="21">G70+I70</f>
        <v>0</v>
      </c>
      <c r="L70" s="58">
        <f t="shared" si="21"/>
        <v>0</v>
      </c>
      <c r="M70" s="68">
        <f>IF(K70&gt;L70,K70,L70)</f>
        <v>0</v>
      </c>
      <c r="N70" s="186">
        <f t="shared" si="17"/>
        <v>0</v>
      </c>
      <c r="O70" s="4"/>
      <c r="P70" s="4"/>
    </row>
    <row r="71" spans="1:16" x14ac:dyDescent="0.25">
      <c r="A71" s="33"/>
      <c r="B71" s="37"/>
      <c r="C71" s="38"/>
      <c r="D71" s="38" t="s">
        <v>137</v>
      </c>
      <c r="E71" s="50"/>
      <c r="F71" s="57" t="s">
        <v>10</v>
      </c>
      <c r="G71" s="244">
        <f>175115-I71</f>
        <v>69977.513759086025</v>
      </c>
      <c r="H71" s="213">
        <v>20225.009999999998</v>
      </c>
      <c r="I71" s="243">
        <v>105137.48624091398</v>
      </c>
      <c r="J71" s="214">
        <v>30387</v>
      </c>
      <c r="K71" s="58">
        <f t="shared" si="21"/>
        <v>175115</v>
      </c>
      <c r="L71" s="58">
        <f t="shared" si="21"/>
        <v>50612.009999999995</v>
      </c>
      <c r="M71" s="68">
        <f t="shared" ref="M71:M77" si="22">IF(K71&gt;L71,K71,L71)</f>
        <v>175115</v>
      </c>
      <c r="N71" s="186">
        <f t="shared" si="17"/>
        <v>0</v>
      </c>
      <c r="O71" s="4"/>
      <c r="P71" s="4"/>
    </row>
    <row r="72" spans="1:16" x14ac:dyDescent="0.25">
      <c r="A72" s="33"/>
      <c r="B72" s="37"/>
      <c r="C72" s="38"/>
      <c r="D72" s="38" t="s">
        <v>60</v>
      </c>
      <c r="E72" s="50"/>
      <c r="F72" s="57" t="s">
        <v>11</v>
      </c>
      <c r="G72" s="244">
        <f>596902.428144-I72</f>
        <v>251329.64968949649</v>
      </c>
      <c r="H72" s="213">
        <v>85895.91</v>
      </c>
      <c r="I72" s="243">
        <v>345572.77845450351</v>
      </c>
      <c r="J72" s="214">
        <v>118105</v>
      </c>
      <c r="K72" s="58">
        <f t="shared" si="21"/>
        <v>596902.428144</v>
      </c>
      <c r="L72" s="58">
        <f t="shared" si="21"/>
        <v>204000.91</v>
      </c>
      <c r="M72" s="68">
        <f t="shared" si="22"/>
        <v>596902.428144</v>
      </c>
      <c r="N72" s="186">
        <f t="shared" si="17"/>
        <v>0</v>
      </c>
      <c r="O72" s="4"/>
      <c r="P72" s="4"/>
    </row>
    <row r="73" spans="1:16" x14ac:dyDescent="0.25">
      <c r="A73" s="33"/>
      <c r="B73" s="37"/>
      <c r="C73" s="38"/>
      <c r="D73" s="38" t="s">
        <v>61</v>
      </c>
      <c r="E73" s="50"/>
      <c r="F73" s="57" t="s">
        <v>12</v>
      </c>
      <c r="G73" s="244">
        <f>34547.5-I73</f>
        <v>29888.05799612734</v>
      </c>
      <c r="H73" s="213">
        <v>2443.9299999999998</v>
      </c>
      <c r="I73" s="243">
        <v>4659.4420038726621</v>
      </c>
      <c r="J73" s="214">
        <v>381</v>
      </c>
      <c r="K73" s="58">
        <f t="shared" si="21"/>
        <v>34547.5</v>
      </c>
      <c r="L73" s="58">
        <f t="shared" si="21"/>
        <v>2824.93</v>
      </c>
      <c r="M73" s="68">
        <f t="shared" si="22"/>
        <v>34547.5</v>
      </c>
      <c r="N73" s="186">
        <f t="shared" si="17"/>
        <v>0</v>
      </c>
      <c r="O73" s="4"/>
      <c r="P73" s="4"/>
    </row>
    <row r="74" spans="1:16" x14ac:dyDescent="0.25">
      <c r="A74" s="33"/>
      <c r="B74" s="37"/>
      <c r="C74" s="38"/>
      <c r="D74" s="38" t="s">
        <v>62</v>
      </c>
      <c r="E74" s="50"/>
      <c r="F74" s="57" t="s">
        <v>13</v>
      </c>
      <c r="G74" s="244">
        <f>53811.725-I74</f>
        <v>22764.34419983792</v>
      </c>
      <c r="H74" s="213">
        <v>7516.9</v>
      </c>
      <c r="I74" s="243">
        <v>31047.380800162078</v>
      </c>
      <c r="J74" s="214">
        <v>10252</v>
      </c>
      <c r="K74" s="58">
        <f t="shared" si="21"/>
        <v>53811.724999999999</v>
      </c>
      <c r="L74" s="58">
        <f t="shared" si="21"/>
        <v>17768.900000000001</v>
      </c>
      <c r="M74" s="68">
        <f t="shared" si="22"/>
        <v>53811.724999999999</v>
      </c>
      <c r="N74" s="186">
        <f t="shared" si="17"/>
        <v>0</v>
      </c>
      <c r="O74" s="4"/>
      <c r="P74" s="4"/>
    </row>
    <row r="75" spans="1:16" x14ac:dyDescent="0.25">
      <c r="A75" s="33"/>
      <c r="B75" s="37"/>
      <c r="C75" s="38"/>
      <c r="D75" s="38" t="s">
        <v>125</v>
      </c>
      <c r="E75" s="50"/>
      <c r="F75" s="57" t="s">
        <v>14</v>
      </c>
      <c r="G75" s="244"/>
      <c r="H75" s="213"/>
      <c r="I75" s="243"/>
      <c r="J75" s="214"/>
      <c r="K75" s="58">
        <f t="shared" si="21"/>
        <v>0</v>
      </c>
      <c r="L75" s="58">
        <f t="shared" si="21"/>
        <v>0</v>
      </c>
      <c r="M75" s="68">
        <f t="shared" si="22"/>
        <v>0</v>
      </c>
      <c r="N75" s="186">
        <f t="shared" si="17"/>
        <v>0</v>
      </c>
      <c r="O75" s="4"/>
      <c r="P75" s="4"/>
    </row>
    <row r="76" spans="1:16" x14ac:dyDescent="0.25">
      <c r="A76" s="33"/>
      <c r="B76" s="37"/>
      <c r="C76" s="38"/>
      <c r="D76" s="38" t="s">
        <v>126</v>
      </c>
      <c r="E76" s="50"/>
      <c r="F76" s="57" t="s">
        <v>127</v>
      </c>
      <c r="G76" s="244"/>
      <c r="H76" s="213"/>
      <c r="I76" s="243"/>
      <c r="J76" s="214"/>
      <c r="K76" s="58">
        <f t="shared" si="21"/>
        <v>0</v>
      </c>
      <c r="L76" s="58">
        <f t="shared" si="21"/>
        <v>0</v>
      </c>
      <c r="M76" s="68">
        <f t="shared" si="22"/>
        <v>0</v>
      </c>
      <c r="N76" s="186">
        <f t="shared" si="17"/>
        <v>0</v>
      </c>
      <c r="O76" s="4"/>
      <c r="P76" s="4"/>
    </row>
    <row r="77" spans="1:16" x14ac:dyDescent="0.25">
      <c r="A77" s="33"/>
      <c r="B77" s="37"/>
      <c r="C77" s="38"/>
      <c r="D77" s="38" t="s">
        <v>128</v>
      </c>
      <c r="E77" s="50"/>
      <c r="F77" s="57" t="s">
        <v>15</v>
      </c>
      <c r="G77" s="244"/>
      <c r="H77" s="213"/>
      <c r="I77" s="243"/>
      <c r="J77" s="214"/>
      <c r="K77" s="58">
        <f t="shared" si="21"/>
        <v>0</v>
      </c>
      <c r="L77" s="58">
        <f t="shared" si="21"/>
        <v>0</v>
      </c>
      <c r="M77" s="68">
        <f t="shared" si="22"/>
        <v>0</v>
      </c>
      <c r="N77" s="186">
        <f t="shared" si="17"/>
        <v>0</v>
      </c>
      <c r="O77" s="4"/>
      <c r="P77" s="4"/>
    </row>
    <row r="78" spans="1:16" x14ac:dyDescent="0.25">
      <c r="A78" s="33"/>
      <c r="B78" s="187"/>
      <c r="C78" s="49" t="s">
        <v>16</v>
      </c>
      <c r="D78" s="49"/>
      <c r="E78" s="60"/>
      <c r="F78" s="61"/>
      <c r="G78" s="62">
        <f t="shared" ref="G78:M78" si="23">SUM(G69:G77)</f>
        <v>641413.02589343325</v>
      </c>
      <c r="H78" s="122">
        <f t="shared" si="23"/>
        <v>193351.58</v>
      </c>
      <c r="I78" s="80">
        <f t="shared" si="23"/>
        <v>832383.62725056673</v>
      </c>
      <c r="J78" s="118">
        <f t="shared" si="23"/>
        <v>259078</v>
      </c>
      <c r="K78" s="63">
        <f t="shared" si="23"/>
        <v>1473796.6531440001</v>
      </c>
      <c r="L78" s="63">
        <f t="shared" si="23"/>
        <v>452429.58</v>
      </c>
      <c r="M78" s="63">
        <f t="shared" si="23"/>
        <v>1473796.6531440001</v>
      </c>
      <c r="N78" s="188">
        <f t="shared" si="17"/>
        <v>0</v>
      </c>
      <c r="O78" s="4">
        <f>+G78+I78-K78</f>
        <v>0</v>
      </c>
      <c r="P78" s="6">
        <f>+H78+J78-L78</f>
        <v>0</v>
      </c>
    </row>
    <row r="79" spans="1:16" x14ac:dyDescent="0.25">
      <c r="A79" s="33"/>
      <c r="B79" s="65"/>
      <c r="C79" s="66" t="s">
        <v>17</v>
      </c>
      <c r="D79" s="66"/>
      <c r="E79" s="51"/>
      <c r="F79" s="57"/>
      <c r="G79" s="68"/>
      <c r="H79" s="58"/>
      <c r="I79" s="69"/>
      <c r="J79" s="120"/>
      <c r="K79" s="73"/>
      <c r="L79" s="58"/>
      <c r="M79" s="68"/>
      <c r="N79" s="186">
        <f t="shared" si="17"/>
        <v>0</v>
      </c>
      <c r="O79" s="4"/>
      <c r="P79" s="4"/>
    </row>
    <row r="80" spans="1:16" x14ac:dyDescent="0.25">
      <c r="A80" s="33"/>
      <c r="B80" s="37"/>
      <c r="C80" s="38"/>
      <c r="D80" s="38" t="s">
        <v>63</v>
      </c>
      <c r="E80" s="50"/>
      <c r="F80" s="57">
        <v>4100</v>
      </c>
      <c r="G80" s="244">
        <f>25706-I80</f>
        <v>0</v>
      </c>
      <c r="H80" s="213"/>
      <c r="I80" s="243">
        <v>25706</v>
      </c>
      <c r="J80" s="214">
        <v>64.650000000000006</v>
      </c>
      <c r="K80" s="58">
        <f t="shared" ref="K80:L84" si="24">G80+I80</f>
        <v>25706</v>
      </c>
      <c r="L80" s="58">
        <f t="shared" si="24"/>
        <v>64.650000000000006</v>
      </c>
      <c r="M80" s="68">
        <f>IF(K80&gt;L80,K80,L80)</f>
        <v>25706</v>
      </c>
      <c r="N80" s="186">
        <f t="shared" si="17"/>
        <v>0</v>
      </c>
      <c r="O80" s="4"/>
      <c r="P80" s="4"/>
    </row>
    <row r="81" spans="1:16" x14ac:dyDescent="0.25">
      <c r="A81" s="33"/>
      <c r="B81" s="37"/>
      <c r="C81" s="38"/>
      <c r="D81" s="38" t="s">
        <v>64</v>
      </c>
      <c r="E81" s="50"/>
      <c r="F81" s="57">
        <v>4200</v>
      </c>
      <c r="G81" s="244">
        <f>26000-I81</f>
        <v>8762.1054487744659</v>
      </c>
      <c r="H81" s="213">
        <v>2675.61</v>
      </c>
      <c r="I81" s="243">
        <v>17237.894551225534</v>
      </c>
      <c r="J81" s="214">
        <v>5263.79</v>
      </c>
      <c r="K81" s="58">
        <f t="shared" si="24"/>
        <v>26000</v>
      </c>
      <c r="L81" s="58">
        <f t="shared" si="24"/>
        <v>7939.4</v>
      </c>
      <c r="M81" s="68">
        <f>IF(K81&gt;L81,K81,L81)</f>
        <v>26000</v>
      </c>
      <c r="N81" s="186">
        <f t="shared" si="17"/>
        <v>0</v>
      </c>
      <c r="O81" s="4"/>
      <c r="P81" s="4"/>
    </row>
    <row r="82" spans="1:16" x14ac:dyDescent="0.25">
      <c r="A82" s="33"/>
      <c r="B82" s="37"/>
      <c r="C82" s="38"/>
      <c r="D82" s="38" t="s">
        <v>65</v>
      </c>
      <c r="E82" s="50"/>
      <c r="F82" s="57">
        <v>4300</v>
      </c>
      <c r="G82" s="244">
        <f>234193-I82</f>
        <v>226341.81989419088</v>
      </c>
      <c r="H82" s="213">
        <v>79404.92</v>
      </c>
      <c r="I82" s="243">
        <v>7851.1801058091323</v>
      </c>
      <c r="J82" s="214">
        <v>2754.34</v>
      </c>
      <c r="K82" s="58">
        <f t="shared" si="24"/>
        <v>234193</v>
      </c>
      <c r="L82" s="58">
        <f t="shared" si="24"/>
        <v>82159.259999999995</v>
      </c>
      <c r="M82" s="68">
        <f>IF(K82&gt;L82,K82,L82)</f>
        <v>234193</v>
      </c>
      <c r="N82" s="186">
        <f t="shared" si="17"/>
        <v>0</v>
      </c>
      <c r="O82" s="4"/>
      <c r="P82" s="4"/>
    </row>
    <row r="83" spans="1:16" x14ac:dyDescent="0.25">
      <c r="A83" s="33"/>
      <c r="B83" s="37"/>
      <c r="C83" s="38"/>
      <c r="D83" s="38" t="s">
        <v>66</v>
      </c>
      <c r="E83" s="50"/>
      <c r="F83" s="57">
        <v>4400</v>
      </c>
      <c r="G83" s="244">
        <f>430673-I83</f>
        <v>430673</v>
      </c>
      <c r="H83" s="213">
        <v>105430.58</v>
      </c>
      <c r="I83" s="243"/>
      <c r="J83" s="214"/>
      <c r="K83" s="58">
        <f t="shared" si="24"/>
        <v>430673</v>
      </c>
      <c r="L83" s="58">
        <f t="shared" si="24"/>
        <v>105430.58</v>
      </c>
      <c r="M83" s="68">
        <f>IF(K83&gt;L83,K83,L83)</f>
        <v>430673</v>
      </c>
      <c r="N83" s="186">
        <f t="shared" si="17"/>
        <v>0</v>
      </c>
      <c r="O83" s="4"/>
      <c r="P83" s="4"/>
    </row>
    <row r="84" spans="1:16" x14ac:dyDescent="0.25">
      <c r="A84" s="33"/>
      <c r="B84" s="37"/>
      <c r="C84" s="38"/>
      <c r="D84" s="38" t="s">
        <v>138</v>
      </c>
      <c r="E84" s="50"/>
      <c r="F84" s="57">
        <v>4700</v>
      </c>
      <c r="G84" s="244">
        <f>13500-I84</f>
        <v>13500</v>
      </c>
      <c r="H84" s="213"/>
      <c r="I84" s="243"/>
      <c r="J84" s="214"/>
      <c r="K84" s="58">
        <f t="shared" si="24"/>
        <v>13500</v>
      </c>
      <c r="L84" s="58">
        <f t="shared" si="24"/>
        <v>0</v>
      </c>
      <c r="M84" s="68">
        <f>IF(K84&gt;L84,K84,L84)</f>
        <v>13500</v>
      </c>
      <c r="N84" s="186">
        <f t="shared" si="17"/>
        <v>0</v>
      </c>
      <c r="O84" s="4"/>
      <c r="P84" s="4"/>
    </row>
    <row r="85" spans="1:16" x14ac:dyDescent="0.25">
      <c r="A85" s="33"/>
      <c r="B85" s="37"/>
      <c r="C85" s="38" t="s">
        <v>18</v>
      </c>
      <c r="D85" s="38"/>
      <c r="E85" s="50"/>
      <c r="F85" s="61"/>
      <c r="G85" s="80">
        <f t="shared" ref="G85:M85" si="25">SUM(G80:G84)</f>
        <v>679276.92534296541</v>
      </c>
      <c r="H85" s="72">
        <f t="shared" si="25"/>
        <v>187511.11</v>
      </c>
      <c r="I85" s="80">
        <f t="shared" si="25"/>
        <v>50795.07465703466</v>
      </c>
      <c r="J85" s="118">
        <f t="shared" si="25"/>
        <v>8082.78</v>
      </c>
      <c r="K85" s="63">
        <f t="shared" si="25"/>
        <v>730072</v>
      </c>
      <c r="L85" s="63">
        <f t="shared" si="25"/>
        <v>195593.89</v>
      </c>
      <c r="M85" s="62">
        <f t="shared" si="25"/>
        <v>730072</v>
      </c>
      <c r="N85" s="188">
        <f t="shared" si="17"/>
        <v>0</v>
      </c>
      <c r="O85" s="4">
        <f>+G85+I85-K85</f>
        <v>0</v>
      </c>
      <c r="P85" s="6">
        <f>+H85+J85-L85</f>
        <v>0</v>
      </c>
    </row>
    <row r="86" spans="1:16" x14ac:dyDescent="0.25">
      <c r="A86" s="33"/>
      <c r="B86" s="65"/>
      <c r="C86" s="66" t="s">
        <v>19</v>
      </c>
      <c r="D86" s="66"/>
      <c r="E86" s="51"/>
      <c r="F86" s="57"/>
      <c r="G86" s="74"/>
      <c r="H86" s="69"/>
      <c r="I86" s="69"/>
      <c r="J86" s="120"/>
      <c r="K86" s="73"/>
      <c r="L86" s="58"/>
      <c r="M86" s="68"/>
      <c r="N86" s="186">
        <f t="shared" si="17"/>
        <v>0</v>
      </c>
      <c r="O86" s="4"/>
      <c r="P86" s="4"/>
    </row>
    <row r="87" spans="1:16" x14ac:dyDescent="0.25">
      <c r="A87" s="33"/>
      <c r="B87" s="37"/>
      <c r="C87" s="38"/>
      <c r="D87" s="38" t="s">
        <v>72</v>
      </c>
      <c r="E87" s="50"/>
      <c r="F87" s="57">
        <v>5100</v>
      </c>
      <c r="G87" s="245"/>
      <c r="H87" s="218"/>
      <c r="I87" s="246"/>
      <c r="J87" s="219"/>
      <c r="K87" s="58">
        <f>G87+I87</f>
        <v>0</v>
      </c>
      <c r="L87" s="58">
        <f t="shared" ref="L87:L95" si="26">H87+J87</f>
        <v>0</v>
      </c>
      <c r="M87" s="68">
        <f t="shared" ref="M87:M95" si="27">IF(K87&gt;L87,K87,L87)</f>
        <v>0</v>
      </c>
      <c r="N87" s="186">
        <f t="shared" si="17"/>
        <v>0</v>
      </c>
      <c r="O87" s="4"/>
      <c r="P87" s="4"/>
    </row>
    <row r="88" spans="1:16" x14ac:dyDescent="0.25">
      <c r="A88" s="33"/>
      <c r="B88" s="37"/>
      <c r="C88" s="38"/>
      <c r="D88" s="38" t="s">
        <v>67</v>
      </c>
      <c r="E88" s="50"/>
      <c r="F88" s="57">
        <v>5200</v>
      </c>
      <c r="G88" s="245">
        <f>150000-I88</f>
        <v>148863.24762877246</v>
      </c>
      <c r="H88" s="218">
        <v>65477.43</v>
      </c>
      <c r="I88" s="246">
        <v>1136.7523712275547</v>
      </c>
      <c r="J88" s="219">
        <v>500</v>
      </c>
      <c r="K88" s="58">
        <f t="shared" ref="K88:K95" si="28">G88+I88</f>
        <v>150000</v>
      </c>
      <c r="L88" s="58">
        <f t="shared" si="26"/>
        <v>65977.429999999993</v>
      </c>
      <c r="M88" s="68">
        <f t="shared" si="27"/>
        <v>150000</v>
      </c>
      <c r="N88" s="186">
        <f t="shared" si="17"/>
        <v>0</v>
      </c>
      <c r="O88" s="4"/>
      <c r="P88" s="4"/>
    </row>
    <row r="89" spans="1:16" x14ac:dyDescent="0.25">
      <c r="A89" s="33"/>
      <c r="B89" s="37"/>
      <c r="C89" s="38"/>
      <c r="D89" s="38" t="s">
        <v>68</v>
      </c>
      <c r="E89" s="50"/>
      <c r="F89" s="57">
        <v>5300</v>
      </c>
      <c r="G89" s="245">
        <f>25000-I89</f>
        <v>25000</v>
      </c>
      <c r="H89" s="218">
        <v>11875.77</v>
      </c>
      <c r="I89" s="246"/>
      <c r="J89" s="219"/>
      <c r="K89" s="58">
        <f t="shared" si="28"/>
        <v>25000</v>
      </c>
      <c r="L89" s="58">
        <f t="shared" si="26"/>
        <v>11875.77</v>
      </c>
      <c r="M89" s="68">
        <f t="shared" si="27"/>
        <v>25000</v>
      </c>
      <c r="N89" s="186">
        <f t="shared" si="17"/>
        <v>0</v>
      </c>
      <c r="O89" s="4"/>
      <c r="P89" s="4"/>
    </row>
    <row r="90" spans="1:16" x14ac:dyDescent="0.25">
      <c r="A90" s="33"/>
      <c r="B90" s="37"/>
      <c r="C90" s="38"/>
      <c r="D90" s="38" t="s">
        <v>69</v>
      </c>
      <c r="E90" s="50"/>
      <c r="F90" s="57">
        <v>5400</v>
      </c>
      <c r="G90" s="245">
        <f>45000-I90</f>
        <v>45000</v>
      </c>
      <c r="H90" s="218">
        <v>24191.89</v>
      </c>
      <c r="I90" s="246"/>
      <c r="J90" s="219"/>
      <c r="K90" s="58">
        <f t="shared" si="28"/>
        <v>45000</v>
      </c>
      <c r="L90" s="58">
        <f t="shared" si="26"/>
        <v>24191.89</v>
      </c>
      <c r="M90" s="68">
        <f t="shared" si="27"/>
        <v>45000</v>
      </c>
      <c r="N90" s="186">
        <f t="shared" si="17"/>
        <v>0</v>
      </c>
      <c r="O90" s="4"/>
      <c r="P90" s="4"/>
    </row>
    <row r="91" spans="1:16" x14ac:dyDescent="0.25">
      <c r="A91" s="33"/>
      <c r="B91" s="37"/>
      <c r="C91" s="38"/>
      <c r="D91" s="38" t="s">
        <v>70</v>
      </c>
      <c r="E91" s="50"/>
      <c r="F91" s="57">
        <v>5500</v>
      </c>
      <c r="G91" s="245">
        <f>1100000-I91</f>
        <v>1100000</v>
      </c>
      <c r="H91" s="218">
        <v>255906.8</v>
      </c>
      <c r="I91" s="246"/>
      <c r="J91" s="219"/>
      <c r="K91" s="58">
        <f t="shared" si="28"/>
        <v>1100000</v>
      </c>
      <c r="L91" s="58">
        <f t="shared" si="26"/>
        <v>255906.8</v>
      </c>
      <c r="M91" s="68">
        <f t="shared" si="27"/>
        <v>1100000</v>
      </c>
      <c r="N91" s="186">
        <f t="shared" si="17"/>
        <v>0</v>
      </c>
      <c r="O91" s="4"/>
      <c r="P91" s="4"/>
    </row>
    <row r="92" spans="1:16" x14ac:dyDescent="0.25">
      <c r="A92" s="33"/>
      <c r="B92" s="37"/>
      <c r="C92" s="38"/>
      <c r="D92" s="38" t="s">
        <v>173</v>
      </c>
      <c r="E92" s="50"/>
      <c r="F92" s="57">
        <v>5600</v>
      </c>
      <c r="G92" s="245">
        <f>155323-I92</f>
        <v>155323</v>
      </c>
      <c r="H92" s="218">
        <v>60860.56</v>
      </c>
      <c r="I92" s="246"/>
      <c r="J92" s="219"/>
      <c r="K92" s="58">
        <f t="shared" si="28"/>
        <v>155323</v>
      </c>
      <c r="L92" s="58">
        <f t="shared" si="26"/>
        <v>60860.56</v>
      </c>
      <c r="M92" s="68">
        <f t="shared" si="27"/>
        <v>155323</v>
      </c>
      <c r="N92" s="186">
        <f t="shared" si="17"/>
        <v>0</v>
      </c>
      <c r="O92" s="4"/>
      <c r="P92" s="4"/>
    </row>
    <row r="93" spans="1:16" x14ac:dyDescent="0.25">
      <c r="A93" s="33"/>
      <c r="B93" s="37"/>
      <c r="C93" s="38"/>
      <c r="D93" s="38" t="s">
        <v>197</v>
      </c>
      <c r="E93" s="50"/>
      <c r="F93" s="57">
        <v>5700</v>
      </c>
      <c r="G93" s="245"/>
      <c r="H93" s="218"/>
      <c r="I93" s="246"/>
      <c r="J93" s="219"/>
      <c r="K93" s="58">
        <f t="shared" si="28"/>
        <v>0</v>
      </c>
      <c r="L93" s="58">
        <f t="shared" si="26"/>
        <v>0</v>
      </c>
      <c r="M93" s="68">
        <f t="shared" si="27"/>
        <v>0</v>
      </c>
      <c r="N93" s="186">
        <f t="shared" si="17"/>
        <v>0</v>
      </c>
      <c r="O93" s="4"/>
      <c r="P93" s="4"/>
    </row>
    <row r="94" spans="1:16" x14ac:dyDescent="0.25">
      <c r="A94" s="33"/>
      <c r="B94" s="37"/>
      <c r="C94" s="38"/>
      <c r="D94" s="38" t="s">
        <v>198</v>
      </c>
      <c r="E94" s="50"/>
      <c r="F94" s="57">
        <v>5800</v>
      </c>
      <c r="G94" s="245">
        <f>1549982-I94</f>
        <v>799982</v>
      </c>
      <c r="H94" s="218">
        <v>346059.92</v>
      </c>
      <c r="I94" s="246">
        <v>750000</v>
      </c>
      <c r="J94" s="219">
        <v>5299.8</v>
      </c>
      <c r="K94" s="58">
        <f t="shared" si="28"/>
        <v>1549982</v>
      </c>
      <c r="L94" s="58">
        <f t="shared" si="26"/>
        <v>351359.72</v>
      </c>
      <c r="M94" s="68">
        <f t="shared" si="27"/>
        <v>1549982</v>
      </c>
      <c r="N94" s="186">
        <f t="shared" si="17"/>
        <v>0</v>
      </c>
      <c r="O94" s="4"/>
      <c r="P94" s="4"/>
    </row>
    <row r="95" spans="1:16" x14ac:dyDescent="0.25">
      <c r="A95" s="33"/>
      <c r="B95" s="37"/>
      <c r="C95" s="38"/>
      <c r="D95" s="38" t="s">
        <v>71</v>
      </c>
      <c r="E95" s="50"/>
      <c r="F95" s="57">
        <v>5900</v>
      </c>
      <c r="G95" s="245">
        <f>50000-I95</f>
        <v>50000</v>
      </c>
      <c r="H95" s="218">
        <v>10852.04</v>
      </c>
      <c r="I95" s="246"/>
      <c r="J95" s="219"/>
      <c r="K95" s="58">
        <f t="shared" si="28"/>
        <v>50000</v>
      </c>
      <c r="L95" s="58">
        <f t="shared" si="26"/>
        <v>10852.04</v>
      </c>
      <c r="M95" s="68">
        <f t="shared" si="27"/>
        <v>50000</v>
      </c>
      <c r="N95" s="186">
        <f t="shared" si="17"/>
        <v>0</v>
      </c>
      <c r="O95" s="4"/>
      <c r="P95" s="4"/>
    </row>
    <row r="96" spans="1:16" x14ac:dyDescent="0.25">
      <c r="A96" s="33"/>
      <c r="B96" s="37"/>
      <c r="C96" s="38" t="s">
        <v>20</v>
      </c>
      <c r="D96" s="38"/>
      <c r="E96" s="50"/>
      <c r="F96" s="61"/>
      <c r="G96" s="62">
        <f t="shared" ref="G96:M96" si="29">SUM(G86:G95)</f>
        <v>2324168.2476287726</v>
      </c>
      <c r="H96" s="72">
        <f t="shared" si="29"/>
        <v>775224.41</v>
      </c>
      <c r="I96" s="80">
        <f t="shared" si="29"/>
        <v>751136.7523712276</v>
      </c>
      <c r="J96" s="118">
        <f t="shared" si="29"/>
        <v>5799.8</v>
      </c>
      <c r="K96" s="63">
        <f t="shared" si="29"/>
        <v>3075305</v>
      </c>
      <c r="L96" s="63">
        <f t="shared" si="29"/>
        <v>781024.21</v>
      </c>
      <c r="M96" s="63">
        <f t="shared" si="29"/>
        <v>3075305</v>
      </c>
      <c r="N96" s="188">
        <f t="shared" si="17"/>
        <v>0</v>
      </c>
      <c r="O96" s="4">
        <f>+G96+I96-K96</f>
        <v>0</v>
      </c>
      <c r="P96" s="6">
        <f>+H96+J96-L96</f>
        <v>0</v>
      </c>
    </row>
    <row r="97" spans="1:16" x14ac:dyDescent="0.25">
      <c r="A97" s="33"/>
      <c r="B97" s="65"/>
      <c r="C97" s="66" t="s">
        <v>76</v>
      </c>
      <c r="D97" s="66"/>
      <c r="E97" s="51"/>
      <c r="F97" s="57"/>
      <c r="G97" s="68"/>
      <c r="H97" s="69"/>
      <c r="I97" s="69"/>
      <c r="J97" s="120"/>
      <c r="K97" s="73"/>
      <c r="L97" s="58"/>
      <c r="M97" s="68"/>
      <c r="N97" s="186">
        <f t="shared" si="17"/>
        <v>0</v>
      </c>
      <c r="O97" s="4"/>
      <c r="P97" s="4"/>
    </row>
    <row r="98" spans="1:16" x14ac:dyDescent="0.25">
      <c r="A98" s="33"/>
      <c r="B98" s="37"/>
      <c r="C98" s="38"/>
      <c r="D98" s="38" t="s">
        <v>129</v>
      </c>
      <c r="E98" s="50"/>
      <c r="F98" s="57">
        <v>6900</v>
      </c>
      <c r="G98" s="245">
        <f>150000-I98</f>
        <v>150000</v>
      </c>
      <c r="H98" s="218">
        <v>35612.06</v>
      </c>
      <c r="I98" s="246"/>
      <c r="J98" s="219"/>
      <c r="K98" s="58">
        <f t="shared" ref="K98" si="30">G98+I98</f>
        <v>150000</v>
      </c>
      <c r="L98" s="58">
        <f t="shared" ref="L98" si="31">H98+J98</f>
        <v>35612.06</v>
      </c>
      <c r="M98" s="68">
        <f t="shared" ref="M98" si="32">IF(K98&gt;L98,K98,L98)</f>
        <v>150000</v>
      </c>
      <c r="N98" s="186">
        <f t="shared" si="17"/>
        <v>0</v>
      </c>
      <c r="O98" s="4"/>
      <c r="P98" s="4"/>
    </row>
    <row r="99" spans="1:16" x14ac:dyDescent="0.25">
      <c r="A99" s="33"/>
      <c r="B99" s="37"/>
      <c r="C99" s="38" t="s">
        <v>21</v>
      </c>
      <c r="D99" s="38"/>
      <c r="E99" s="50"/>
      <c r="F99" s="61"/>
      <c r="G99" s="62">
        <f>SUM(G98:G98)</f>
        <v>150000</v>
      </c>
      <c r="H99" s="72">
        <f t="shared" ref="H99:M99" si="33">SUM(H98:H98)</f>
        <v>35612.06</v>
      </c>
      <c r="I99" s="80">
        <f t="shared" si="33"/>
        <v>0</v>
      </c>
      <c r="J99" s="118">
        <f t="shared" si="33"/>
        <v>0</v>
      </c>
      <c r="K99" s="63">
        <f t="shared" si="33"/>
        <v>150000</v>
      </c>
      <c r="L99" s="63">
        <f t="shared" si="33"/>
        <v>35612.06</v>
      </c>
      <c r="M99" s="63">
        <f t="shared" si="33"/>
        <v>150000</v>
      </c>
      <c r="N99" s="188">
        <f t="shared" si="17"/>
        <v>0</v>
      </c>
      <c r="O99" s="4">
        <f>+G99+I99-K99</f>
        <v>0</v>
      </c>
      <c r="P99" s="6">
        <f>+H99+J99-L99</f>
        <v>0</v>
      </c>
    </row>
    <row r="100" spans="1:16" x14ac:dyDescent="0.25">
      <c r="A100" s="33"/>
      <c r="B100" s="65"/>
      <c r="C100" s="66" t="s">
        <v>22</v>
      </c>
      <c r="D100" s="66"/>
      <c r="E100" s="51"/>
      <c r="F100" s="81"/>
      <c r="G100" s="74"/>
      <c r="H100" s="69"/>
      <c r="I100" s="69"/>
      <c r="J100" s="120"/>
      <c r="K100" s="73"/>
      <c r="L100" s="58"/>
      <c r="M100" s="74"/>
      <c r="N100" s="190">
        <f t="shared" si="17"/>
        <v>0</v>
      </c>
      <c r="O100" s="4"/>
      <c r="P100" s="4"/>
    </row>
    <row r="101" spans="1:16" x14ac:dyDescent="0.25">
      <c r="A101" s="33"/>
      <c r="B101" s="37"/>
      <c r="C101" s="38"/>
      <c r="D101" s="38" t="s">
        <v>199</v>
      </c>
      <c r="E101" s="50"/>
      <c r="F101" s="57" t="s">
        <v>23</v>
      </c>
      <c r="G101" s="244"/>
      <c r="H101" s="215"/>
      <c r="I101" s="244"/>
      <c r="J101" s="221"/>
      <c r="K101" s="58">
        <f t="shared" ref="K101:L107" si="34">G101+I101</f>
        <v>0</v>
      </c>
      <c r="L101" s="58">
        <f t="shared" si="34"/>
        <v>0</v>
      </c>
      <c r="M101" s="68">
        <f t="shared" ref="M101:M107" si="35">IF(K101&gt;L101,K101,L101)</f>
        <v>0</v>
      </c>
      <c r="N101" s="186">
        <f t="shared" si="17"/>
        <v>0</v>
      </c>
      <c r="O101" s="4"/>
      <c r="P101" s="4"/>
    </row>
    <row r="102" spans="1:16" x14ac:dyDescent="0.25">
      <c r="A102" s="33"/>
      <c r="B102" s="37"/>
      <c r="C102" s="38"/>
      <c r="D102" s="38" t="s">
        <v>174</v>
      </c>
      <c r="E102" s="50"/>
      <c r="F102" s="57" t="s">
        <v>24</v>
      </c>
      <c r="G102" s="244"/>
      <c r="H102" s="215"/>
      <c r="I102" s="243"/>
      <c r="J102" s="221"/>
      <c r="K102" s="58">
        <f t="shared" si="34"/>
        <v>0</v>
      </c>
      <c r="L102" s="58">
        <f t="shared" si="34"/>
        <v>0</v>
      </c>
      <c r="M102" s="68">
        <f t="shared" si="35"/>
        <v>0</v>
      </c>
      <c r="N102" s="186">
        <f t="shared" si="17"/>
        <v>0</v>
      </c>
      <c r="O102" s="4"/>
      <c r="P102" s="4"/>
    </row>
    <row r="103" spans="1:16" x14ac:dyDescent="0.25">
      <c r="A103" s="33"/>
      <c r="B103" s="37"/>
      <c r="C103" s="38"/>
      <c r="D103" s="38" t="s">
        <v>73</v>
      </c>
      <c r="E103" s="50"/>
      <c r="F103" s="57" t="s">
        <v>25</v>
      </c>
      <c r="G103" s="244"/>
      <c r="H103" s="213"/>
      <c r="I103" s="243"/>
      <c r="J103" s="214"/>
      <c r="K103" s="58">
        <f t="shared" si="34"/>
        <v>0</v>
      </c>
      <c r="L103" s="58">
        <f t="shared" si="34"/>
        <v>0</v>
      </c>
      <c r="M103" s="68">
        <f t="shared" si="35"/>
        <v>0</v>
      </c>
      <c r="N103" s="186">
        <f t="shared" si="17"/>
        <v>0</v>
      </c>
      <c r="O103" s="4"/>
      <c r="P103" s="4"/>
    </row>
    <row r="104" spans="1:16" x14ac:dyDescent="0.25">
      <c r="A104" s="33"/>
      <c r="B104" s="37"/>
      <c r="C104" s="38"/>
      <c r="D104" s="38" t="s">
        <v>26</v>
      </c>
      <c r="E104" s="50"/>
      <c r="F104" s="57" t="s">
        <v>27</v>
      </c>
      <c r="G104" s="244"/>
      <c r="H104" s="215"/>
      <c r="I104" s="243"/>
      <c r="J104" s="221"/>
      <c r="K104" s="58">
        <f t="shared" si="34"/>
        <v>0</v>
      </c>
      <c r="L104" s="58">
        <f t="shared" si="34"/>
        <v>0</v>
      </c>
      <c r="M104" s="68">
        <f t="shared" si="35"/>
        <v>0</v>
      </c>
      <c r="N104" s="186">
        <f t="shared" si="17"/>
        <v>0</v>
      </c>
      <c r="O104" s="4"/>
      <c r="P104" s="4"/>
    </row>
    <row r="105" spans="1:16" x14ac:dyDescent="0.25">
      <c r="A105" s="33"/>
      <c r="B105" s="37"/>
      <c r="C105" s="38"/>
      <c r="D105" s="38" t="s">
        <v>200</v>
      </c>
      <c r="E105" s="50"/>
      <c r="F105" s="57" t="s">
        <v>183</v>
      </c>
      <c r="G105" s="244"/>
      <c r="H105" s="215"/>
      <c r="I105" s="243"/>
      <c r="J105" s="221"/>
      <c r="K105" s="58">
        <f t="shared" si="34"/>
        <v>0</v>
      </c>
      <c r="L105" s="58">
        <f t="shared" si="34"/>
        <v>0</v>
      </c>
      <c r="M105" s="68">
        <f>IF(K105&gt;L105,K105,L105)</f>
        <v>0</v>
      </c>
      <c r="N105" s="186">
        <f t="shared" si="17"/>
        <v>0</v>
      </c>
      <c r="O105" s="4"/>
      <c r="P105" s="4"/>
    </row>
    <row r="106" spans="1:16" x14ac:dyDescent="0.25">
      <c r="A106" s="33"/>
      <c r="B106" s="37"/>
      <c r="C106" s="38"/>
      <c r="D106" s="38" t="s">
        <v>101</v>
      </c>
      <c r="E106" s="50"/>
      <c r="F106" s="57" t="s">
        <v>184</v>
      </c>
      <c r="G106" s="244"/>
      <c r="H106" s="215"/>
      <c r="I106" s="243"/>
      <c r="J106" s="221"/>
      <c r="K106" s="58">
        <f t="shared" si="34"/>
        <v>0</v>
      </c>
      <c r="L106" s="58">
        <f t="shared" si="34"/>
        <v>0</v>
      </c>
      <c r="M106" s="68">
        <f t="shared" si="35"/>
        <v>0</v>
      </c>
      <c r="N106" s="186">
        <f t="shared" si="17"/>
        <v>0</v>
      </c>
      <c r="O106" s="4"/>
      <c r="P106" s="4"/>
    </row>
    <row r="107" spans="1:16" x14ac:dyDescent="0.25">
      <c r="A107" s="33"/>
      <c r="B107" s="37"/>
      <c r="C107" s="38"/>
      <c r="D107" s="38" t="s">
        <v>75</v>
      </c>
      <c r="E107" s="50"/>
      <c r="F107" s="57">
        <v>7439</v>
      </c>
      <c r="G107" s="244"/>
      <c r="H107" s="220"/>
      <c r="I107" s="244"/>
      <c r="J107" s="222"/>
      <c r="K107" s="58">
        <f t="shared" si="34"/>
        <v>0</v>
      </c>
      <c r="L107" s="58">
        <f t="shared" si="34"/>
        <v>0</v>
      </c>
      <c r="M107" s="68">
        <f t="shared" si="35"/>
        <v>0</v>
      </c>
      <c r="N107" s="186">
        <f t="shared" si="17"/>
        <v>0</v>
      </c>
      <c r="O107" s="4"/>
      <c r="P107" s="4"/>
    </row>
    <row r="108" spans="1:16" x14ac:dyDescent="0.25">
      <c r="A108" s="33"/>
      <c r="B108" s="37"/>
      <c r="C108" s="38" t="s">
        <v>28</v>
      </c>
      <c r="D108" s="38"/>
      <c r="E108" s="50"/>
      <c r="F108" s="61"/>
      <c r="G108" s="62">
        <f t="shared" ref="G108:M108" si="36">SUM(G101:G107)</f>
        <v>0</v>
      </c>
      <c r="H108" s="72">
        <f t="shared" si="36"/>
        <v>0</v>
      </c>
      <c r="I108" s="80">
        <f t="shared" si="36"/>
        <v>0</v>
      </c>
      <c r="J108" s="118">
        <f t="shared" si="36"/>
        <v>0</v>
      </c>
      <c r="K108" s="62">
        <f t="shared" si="36"/>
        <v>0</v>
      </c>
      <c r="L108" s="62">
        <f t="shared" si="36"/>
        <v>0</v>
      </c>
      <c r="M108" s="63">
        <f t="shared" si="36"/>
        <v>0</v>
      </c>
      <c r="N108" s="188">
        <f t="shared" si="17"/>
        <v>0</v>
      </c>
      <c r="O108" s="4">
        <f>+G108+I108-K108</f>
        <v>0</v>
      </c>
      <c r="P108" s="6">
        <f>+H108+J108-L108</f>
        <v>0</v>
      </c>
    </row>
    <row r="109" spans="1:16" ht="10.5" customHeight="1" x14ac:dyDescent="0.25">
      <c r="A109" s="33"/>
      <c r="B109" s="65"/>
      <c r="C109" s="66"/>
      <c r="D109" s="66"/>
      <c r="E109" s="51"/>
      <c r="F109" s="57"/>
      <c r="G109" s="74"/>
      <c r="H109" s="74"/>
      <c r="I109" s="74"/>
      <c r="J109" s="82"/>
      <c r="K109" s="68"/>
      <c r="L109" s="68"/>
      <c r="M109" s="68"/>
      <c r="N109" s="186"/>
      <c r="O109" s="4"/>
      <c r="P109" s="4"/>
    </row>
    <row r="110" spans="1:16" x14ac:dyDescent="0.25">
      <c r="A110" s="36"/>
      <c r="B110" s="47"/>
      <c r="C110" s="75" t="s">
        <v>29</v>
      </c>
      <c r="D110" s="75"/>
      <c r="E110" s="76"/>
      <c r="F110" s="84"/>
      <c r="G110" s="85">
        <f t="shared" ref="G110:N110" si="37">+G60+G67+G78+G85+G96+G99+G108</f>
        <v>5812002.5622867458</v>
      </c>
      <c r="H110" s="85">
        <f t="shared" si="37"/>
        <v>1779787.85</v>
      </c>
      <c r="I110" s="85">
        <f t="shared" si="37"/>
        <v>4509146.0908572534</v>
      </c>
      <c r="J110" s="86">
        <f t="shared" si="37"/>
        <v>1123443.53</v>
      </c>
      <c r="K110" s="85">
        <f t="shared" si="37"/>
        <v>10321148.653144</v>
      </c>
      <c r="L110" s="86">
        <f t="shared" si="37"/>
        <v>2903231.38</v>
      </c>
      <c r="M110" s="85">
        <f t="shared" si="37"/>
        <v>10321148.653144</v>
      </c>
      <c r="N110" s="191">
        <f t="shared" si="37"/>
        <v>0</v>
      </c>
      <c r="O110" s="7">
        <f>+G110+I110-K110</f>
        <v>0</v>
      </c>
      <c r="P110" s="26">
        <f>+H110+J110-L110</f>
        <v>0</v>
      </c>
    </row>
    <row r="111" spans="1:16" x14ac:dyDescent="0.25">
      <c r="A111" s="33"/>
      <c r="B111" s="65" t="s">
        <v>30</v>
      </c>
      <c r="C111" s="66"/>
      <c r="D111" s="66"/>
      <c r="E111" s="51"/>
      <c r="F111" s="57"/>
      <c r="G111" s="68"/>
      <c r="H111" s="58"/>
      <c r="I111" s="69"/>
      <c r="J111" s="121"/>
      <c r="K111" s="73"/>
      <c r="L111" s="58"/>
      <c r="M111" s="68"/>
      <c r="N111" s="192"/>
      <c r="O111" s="4"/>
      <c r="P111" s="4"/>
    </row>
    <row r="112" spans="1:16" x14ac:dyDescent="0.25">
      <c r="A112" s="33"/>
      <c r="B112" s="37"/>
      <c r="C112" s="38" t="s">
        <v>31</v>
      </c>
      <c r="D112" s="38"/>
      <c r="E112" s="50"/>
      <c r="F112" s="61"/>
      <c r="G112" s="63">
        <f t="shared" ref="G112:M112" si="38">+G53-G110</f>
        <v>929485.79271325469</v>
      </c>
      <c r="H112" s="58">
        <f t="shared" si="38"/>
        <v>202052.36999999988</v>
      </c>
      <c r="I112" s="68">
        <f t="shared" si="38"/>
        <v>-726511.96585725341</v>
      </c>
      <c r="J112" s="121">
        <f t="shared" si="38"/>
        <v>-702097.92000000004</v>
      </c>
      <c r="K112" s="63">
        <f t="shared" si="38"/>
        <v>202973.82685600035</v>
      </c>
      <c r="L112" s="63">
        <f t="shared" si="38"/>
        <v>-500045.54999999981</v>
      </c>
      <c r="M112" s="63">
        <f t="shared" si="38"/>
        <v>208051.5968559999</v>
      </c>
      <c r="N112" s="192"/>
      <c r="O112" s="4">
        <f>+G112+I112-K112</f>
        <v>9.3132257461547852E-10</v>
      </c>
      <c r="P112" s="6">
        <f>+H112+J112-L112</f>
        <v>0</v>
      </c>
    </row>
    <row r="113" spans="1:16" s="2" customFormat="1" ht="9" customHeight="1" x14ac:dyDescent="0.25">
      <c r="A113" s="33"/>
      <c r="B113" s="65"/>
      <c r="C113" s="66"/>
      <c r="D113" s="66"/>
      <c r="E113" s="51"/>
      <c r="F113" s="57"/>
      <c r="G113" s="74"/>
      <c r="H113" s="69"/>
      <c r="I113" s="69"/>
      <c r="J113" s="120"/>
      <c r="K113" s="73"/>
      <c r="L113" s="58"/>
      <c r="M113" s="68"/>
      <c r="N113" s="192"/>
      <c r="O113" s="7"/>
      <c r="P113" s="7"/>
    </row>
    <row r="114" spans="1:16" x14ac:dyDescent="0.25">
      <c r="A114" s="33"/>
      <c r="B114" s="37" t="s">
        <v>99</v>
      </c>
      <c r="C114" s="38"/>
      <c r="D114" s="38"/>
      <c r="E114" s="50"/>
      <c r="F114" s="57"/>
      <c r="G114" s="68"/>
      <c r="H114" s="68"/>
      <c r="I114" s="68"/>
      <c r="J114" s="70"/>
      <c r="K114" s="68"/>
      <c r="L114" s="68"/>
      <c r="M114" s="68"/>
      <c r="N114" s="192"/>
      <c r="O114" s="4"/>
      <c r="P114" s="4"/>
    </row>
    <row r="115" spans="1:16" x14ac:dyDescent="0.25">
      <c r="A115" s="33"/>
      <c r="B115" s="37"/>
      <c r="C115" s="38" t="s">
        <v>84</v>
      </c>
      <c r="D115" s="38"/>
      <c r="E115" s="50"/>
      <c r="F115" s="57" t="s">
        <v>32</v>
      </c>
      <c r="G115" s="244"/>
      <c r="H115" s="215"/>
      <c r="I115" s="243"/>
      <c r="J115" s="221"/>
      <c r="K115" s="58">
        <f t="shared" ref="K115" si="39">G115+I115</f>
        <v>0</v>
      </c>
      <c r="L115" s="58">
        <f t="shared" ref="K115:L117" si="40">H115+J115</f>
        <v>0</v>
      </c>
      <c r="M115" s="68">
        <f>IF(K115&gt;L115,K115,L115)</f>
        <v>0</v>
      </c>
      <c r="N115" s="192"/>
      <c r="O115" s="4"/>
      <c r="P115" s="4"/>
    </row>
    <row r="116" spans="1:16" x14ac:dyDescent="0.25">
      <c r="A116" s="33"/>
      <c r="B116" s="37"/>
      <c r="C116" s="38" t="s">
        <v>33</v>
      </c>
      <c r="D116" s="38"/>
      <c r="E116" s="50"/>
      <c r="F116" s="57" t="s">
        <v>34</v>
      </c>
      <c r="G116" s="244"/>
      <c r="H116" s="215"/>
      <c r="I116" s="243"/>
      <c r="J116" s="221"/>
      <c r="K116" s="58">
        <f t="shared" si="40"/>
        <v>0</v>
      </c>
      <c r="L116" s="58">
        <f t="shared" si="40"/>
        <v>0</v>
      </c>
      <c r="M116" s="68">
        <f>IF(K116&gt;L116,K116,L116)</f>
        <v>0</v>
      </c>
      <c r="N116" s="192"/>
      <c r="O116" s="4"/>
      <c r="P116" s="4"/>
    </row>
    <row r="117" spans="1:16" x14ac:dyDescent="0.25">
      <c r="A117" s="33"/>
      <c r="B117" s="33"/>
      <c r="C117" s="38" t="s">
        <v>201</v>
      </c>
      <c r="D117" s="38"/>
      <c r="E117" s="50"/>
      <c r="F117" s="57" t="s">
        <v>35</v>
      </c>
      <c r="G117" s="245">
        <v>-726512</v>
      </c>
      <c r="H117" s="218">
        <v>-702098</v>
      </c>
      <c r="I117" s="246">
        <v>726512</v>
      </c>
      <c r="J117" s="218">
        <v>702098</v>
      </c>
      <c r="K117" s="58">
        <f t="shared" ref="K117" si="41">G117+I117</f>
        <v>0</v>
      </c>
      <c r="L117" s="165">
        <f t="shared" si="40"/>
        <v>0</v>
      </c>
      <c r="M117" s="166">
        <f>IF(K117&gt;L117,K117,L117)</f>
        <v>0</v>
      </c>
      <c r="N117" s="193"/>
      <c r="O117" s="4"/>
      <c r="P117" s="4"/>
    </row>
    <row r="118" spans="1:16" s="2" customFormat="1" x14ac:dyDescent="0.25">
      <c r="A118" s="33"/>
      <c r="B118" s="37"/>
      <c r="C118" s="38"/>
      <c r="D118" s="87" t="s">
        <v>105</v>
      </c>
      <c r="E118" s="88"/>
      <c r="F118" s="57"/>
      <c r="G118" s="68"/>
      <c r="H118" s="68"/>
      <c r="I118" s="68"/>
      <c r="J118" s="70"/>
      <c r="K118" s="58"/>
      <c r="L118" s="58"/>
      <c r="M118" s="68"/>
      <c r="N118" s="192"/>
      <c r="O118" s="7"/>
      <c r="P118" s="7"/>
    </row>
    <row r="119" spans="1:16" x14ac:dyDescent="0.25">
      <c r="A119" s="33"/>
      <c r="B119" s="37"/>
      <c r="C119" s="38" t="s">
        <v>85</v>
      </c>
      <c r="D119" s="38"/>
      <c r="E119" s="50"/>
      <c r="F119" s="61"/>
      <c r="G119" s="63">
        <f t="shared" ref="G119:M119" si="42">SUM(G115:G118)</f>
        <v>-726512</v>
      </c>
      <c r="H119" s="58">
        <f t="shared" si="42"/>
        <v>-702098</v>
      </c>
      <c r="I119" s="68">
        <f t="shared" si="42"/>
        <v>726512</v>
      </c>
      <c r="J119" s="121">
        <f t="shared" si="42"/>
        <v>702098</v>
      </c>
      <c r="K119" s="63">
        <f>SUM(K115:K118)</f>
        <v>0</v>
      </c>
      <c r="L119" s="63">
        <f>SUM(L115:L118)</f>
        <v>0</v>
      </c>
      <c r="M119" s="63">
        <f t="shared" si="42"/>
        <v>0</v>
      </c>
      <c r="N119" s="192"/>
      <c r="O119" s="4">
        <f>+G119+I119-K119</f>
        <v>0</v>
      </c>
      <c r="P119" s="6">
        <f>+H119+J119-L119</f>
        <v>0</v>
      </c>
    </row>
    <row r="120" spans="1:16" ht="9" customHeight="1" x14ac:dyDescent="0.25">
      <c r="A120" s="33"/>
      <c r="B120" s="65"/>
      <c r="C120" s="66"/>
      <c r="D120" s="66"/>
      <c r="E120" s="51"/>
      <c r="F120" s="57"/>
      <c r="G120" s="68"/>
      <c r="H120" s="74"/>
      <c r="I120" s="74"/>
      <c r="J120" s="82"/>
      <c r="K120" s="89"/>
      <c r="L120" s="68"/>
      <c r="M120" s="68"/>
      <c r="N120" s="192"/>
      <c r="O120" s="4"/>
      <c r="P120" s="4"/>
    </row>
    <row r="121" spans="1:16" x14ac:dyDescent="0.25">
      <c r="A121" s="33"/>
      <c r="B121" s="187" t="s">
        <v>202</v>
      </c>
      <c r="C121" s="49"/>
      <c r="D121" s="49"/>
      <c r="E121" s="60"/>
      <c r="F121" s="61"/>
      <c r="G121" s="63">
        <f t="shared" ref="G121:L121" si="43">+G112+G119</f>
        <v>202973.79271325469</v>
      </c>
      <c r="H121" s="63">
        <f t="shared" si="43"/>
        <v>-500045.63000000012</v>
      </c>
      <c r="I121" s="63">
        <f t="shared" si="43"/>
        <v>3.4142746590077877E-2</v>
      </c>
      <c r="J121" s="64">
        <f t="shared" si="43"/>
        <v>7.9999999958090484E-2</v>
      </c>
      <c r="K121" s="63">
        <f t="shared" si="43"/>
        <v>202973.82685600035</v>
      </c>
      <c r="L121" s="63">
        <f t="shared" si="43"/>
        <v>-500045.54999999981</v>
      </c>
      <c r="M121" s="63">
        <f>+M112+M119</f>
        <v>208051.5968559999</v>
      </c>
      <c r="N121" s="192"/>
      <c r="O121" s="4">
        <f>+G121+I121-K121</f>
        <v>9.3132257461547852E-10</v>
      </c>
      <c r="P121" s="6">
        <f>+H121+J121-L121</f>
        <v>0</v>
      </c>
    </row>
    <row r="122" spans="1:16" ht="9" customHeight="1" x14ac:dyDescent="0.25">
      <c r="A122" s="33"/>
      <c r="B122" s="37"/>
      <c r="C122" s="38"/>
      <c r="D122" s="38"/>
      <c r="E122" s="50"/>
      <c r="F122" s="67"/>
      <c r="G122" s="68"/>
      <c r="H122" s="58"/>
      <c r="I122" s="69"/>
      <c r="J122" s="121"/>
      <c r="K122" s="73"/>
      <c r="L122" s="58"/>
      <c r="M122" s="68"/>
      <c r="N122" s="192"/>
      <c r="O122" s="4"/>
      <c r="P122" s="4"/>
    </row>
    <row r="123" spans="1:16" x14ac:dyDescent="0.25">
      <c r="A123" s="33"/>
      <c r="B123" s="37" t="s">
        <v>204</v>
      </c>
      <c r="C123" s="38"/>
      <c r="D123" s="38"/>
      <c r="E123" s="50"/>
      <c r="F123" s="67"/>
      <c r="G123" s="68"/>
      <c r="H123" s="68"/>
      <c r="I123" s="68"/>
      <c r="J123" s="70"/>
      <c r="K123" s="68"/>
      <c r="L123" s="68"/>
      <c r="M123" s="68"/>
      <c r="N123" s="192"/>
      <c r="O123" s="4"/>
      <c r="P123" s="4"/>
    </row>
    <row r="124" spans="1:16" x14ac:dyDescent="0.25">
      <c r="A124" s="33"/>
      <c r="B124" s="37"/>
      <c r="C124" s="38" t="s">
        <v>86</v>
      </c>
      <c r="D124" s="38"/>
      <c r="E124" s="50"/>
      <c r="F124" s="67"/>
      <c r="G124" s="68"/>
      <c r="H124" s="68"/>
      <c r="I124" s="68"/>
      <c r="J124" s="70"/>
      <c r="K124" s="68"/>
      <c r="L124" s="68"/>
      <c r="M124" s="68"/>
      <c r="N124" s="192"/>
      <c r="O124" s="4"/>
      <c r="P124" s="4"/>
    </row>
    <row r="125" spans="1:16" x14ac:dyDescent="0.25">
      <c r="A125" s="33"/>
      <c r="B125" s="37"/>
      <c r="C125" s="38"/>
      <c r="D125" s="38" t="s">
        <v>205</v>
      </c>
      <c r="E125" s="50"/>
      <c r="F125" s="67">
        <v>9791</v>
      </c>
      <c r="G125" s="244">
        <v>4508110.1900000004</v>
      </c>
      <c r="H125" s="215">
        <f>G125</f>
        <v>4508110.1900000004</v>
      </c>
      <c r="I125" s="244">
        <v>630700</v>
      </c>
      <c r="J125" s="221">
        <f>I125</f>
        <v>630700</v>
      </c>
      <c r="K125" s="58">
        <f t="shared" ref="K125:L126" si="44">G125+I125</f>
        <v>5138810.1900000004</v>
      </c>
      <c r="L125" s="58">
        <f t="shared" si="44"/>
        <v>5138810.1900000004</v>
      </c>
      <c r="M125" s="68">
        <f>IF(K125&gt;L125,K125,L125)</f>
        <v>5138810.1900000004</v>
      </c>
      <c r="N125" s="192"/>
      <c r="O125" s="4"/>
      <c r="P125" s="4"/>
    </row>
    <row r="126" spans="1:16" x14ac:dyDescent="0.25">
      <c r="A126" s="33"/>
      <c r="B126" s="37"/>
      <c r="C126" s="38"/>
      <c r="D126" s="38" t="s">
        <v>88</v>
      </c>
      <c r="E126" s="50"/>
      <c r="F126" s="111" t="s">
        <v>36</v>
      </c>
      <c r="G126" s="247">
        <f>H126</f>
        <v>0</v>
      </c>
      <c r="H126" s="215"/>
      <c r="I126" s="248">
        <f>J126</f>
        <v>0</v>
      </c>
      <c r="J126" s="221"/>
      <c r="K126" s="58">
        <f t="shared" si="44"/>
        <v>0</v>
      </c>
      <c r="L126" s="58">
        <f t="shared" si="44"/>
        <v>0</v>
      </c>
      <c r="M126" s="68">
        <f>IF(K126&gt;L126,K126,L126)</f>
        <v>0</v>
      </c>
      <c r="N126" s="192"/>
      <c r="O126" s="4"/>
      <c r="P126" s="4"/>
    </row>
    <row r="127" spans="1:16" ht="15.75" thickBot="1" x14ac:dyDescent="0.3">
      <c r="A127" s="33"/>
      <c r="B127" s="194"/>
      <c r="C127" s="112"/>
      <c r="D127" s="112" t="s">
        <v>87</v>
      </c>
      <c r="E127" s="113"/>
      <c r="F127" s="114"/>
      <c r="G127" s="123">
        <f t="shared" ref="G127:J127" si="45">SUM(G122:G126)</f>
        <v>4508110.1900000004</v>
      </c>
      <c r="H127" s="124">
        <f t="shared" si="45"/>
        <v>4508110.1900000004</v>
      </c>
      <c r="I127" s="125">
        <f t="shared" si="45"/>
        <v>630700</v>
      </c>
      <c r="J127" s="126">
        <f t="shared" si="45"/>
        <v>630700</v>
      </c>
      <c r="K127" s="125">
        <f t="shared" ref="K127:L127" si="46">SUM(K123:K126)</f>
        <v>5138810.1900000004</v>
      </c>
      <c r="L127" s="125">
        <f t="shared" si="46"/>
        <v>5138810.1900000004</v>
      </c>
      <c r="M127" s="125">
        <f>SUM(M124:M126)</f>
        <v>5138810.1900000004</v>
      </c>
      <c r="N127" s="192"/>
      <c r="O127" s="4">
        <f>+G127+I127-K127</f>
        <v>0</v>
      </c>
      <c r="P127" s="6">
        <f>+H127+J127-L127</f>
        <v>0</v>
      </c>
    </row>
    <row r="128" spans="1:16" ht="15.75" thickBot="1" x14ac:dyDescent="0.3">
      <c r="A128" s="36"/>
      <c r="B128" s="232"/>
      <c r="C128" s="233" t="s">
        <v>140</v>
      </c>
      <c r="D128" s="226"/>
      <c r="E128" s="227"/>
      <c r="F128" s="228" t="s">
        <v>223</v>
      </c>
      <c r="G128" s="229">
        <f t="shared" ref="G128:L128" si="47">+G127+G121</f>
        <v>4711083.9827132551</v>
      </c>
      <c r="H128" s="229">
        <f t="shared" si="47"/>
        <v>4008064.5600000005</v>
      </c>
      <c r="I128" s="229">
        <f t="shared" si="47"/>
        <v>630700.03414274659</v>
      </c>
      <c r="J128" s="230">
        <f t="shared" si="47"/>
        <v>630700.07999999996</v>
      </c>
      <c r="K128" s="229">
        <f t="shared" si="47"/>
        <v>5341784.0168560008</v>
      </c>
      <c r="L128" s="230">
        <f t="shared" si="47"/>
        <v>4638764.6400000006</v>
      </c>
      <c r="M128" s="231">
        <f>+M121+M127</f>
        <v>5346861.7868560003</v>
      </c>
      <c r="N128" s="192"/>
      <c r="O128" s="4">
        <f>+G128+I128-K128</f>
        <v>0</v>
      </c>
      <c r="P128" s="6">
        <f>+H128+J128-L128</f>
        <v>0</v>
      </c>
    </row>
    <row r="129" spans="1:16" ht="7.5" customHeight="1" x14ac:dyDescent="0.25">
      <c r="A129" s="33"/>
      <c r="B129" s="65"/>
      <c r="C129" s="66"/>
      <c r="D129" s="66"/>
      <c r="E129" s="51"/>
      <c r="F129" s="81"/>
      <c r="G129" s="127"/>
      <c r="H129" s="69"/>
      <c r="I129" s="127"/>
      <c r="J129" s="120"/>
      <c r="K129" s="127"/>
      <c r="L129" s="69"/>
      <c r="M129" s="115"/>
      <c r="N129" s="195"/>
      <c r="O129" s="4"/>
      <c r="P129" s="4"/>
    </row>
    <row r="130" spans="1:16" x14ac:dyDescent="0.25">
      <c r="A130" s="33"/>
      <c r="B130" s="37"/>
      <c r="C130" s="38" t="s">
        <v>100</v>
      </c>
      <c r="D130" s="38"/>
      <c r="E130" s="50"/>
      <c r="F130" s="57"/>
      <c r="G130" s="115"/>
      <c r="H130" s="68"/>
      <c r="I130" s="115"/>
      <c r="J130" s="70"/>
      <c r="K130" s="115"/>
      <c r="L130" s="68"/>
      <c r="M130" s="115"/>
      <c r="N130" s="192"/>
      <c r="O130" s="4"/>
      <c r="P130" s="4"/>
    </row>
    <row r="131" spans="1:16" x14ac:dyDescent="0.25">
      <c r="A131" s="33"/>
      <c r="B131" s="37"/>
      <c r="C131" s="38"/>
      <c r="D131" s="38" t="s">
        <v>206</v>
      </c>
      <c r="E131" s="50"/>
      <c r="F131" s="57">
        <v>9796</v>
      </c>
      <c r="G131" s="115"/>
      <c r="H131" s="221">
        <v>800628</v>
      </c>
      <c r="I131" s="115"/>
      <c r="J131" s="219"/>
      <c r="K131" s="115"/>
      <c r="L131" s="58">
        <f t="shared" ref="L131:L132" si="48">H131+J131</f>
        <v>800628</v>
      </c>
      <c r="M131" s="115"/>
      <c r="N131" s="192"/>
      <c r="O131" s="4"/>
      <c r="P131" s="4"/>
    </row>
    <row r="132" spans="1:16" x14ac:dyDescent="0.25">
      <c r="A132" s="33"/>
      <c r="B132" s="37"/>
      <c r="C132" s="38"/>
      <c r="D132" s="38" t="s">
        <v>104</v>
      </c>
      <c r="E132" s="50"/>
      <c r="F132" s="57">
        <v>9797</v>
      </c>
      <c r="G132" s="115"/>
      <c r="H132" s="115"/>
      <c r="I132" s="115"/>
      <c r="J132" s="222">
        <f>J128-J131</f>
        <v>630700.07999999996</v>
      </c>
      <c r="K132" s="115"/>
      <c r="L132" s="58">
        <f t="shared" si="48"/>
        <v>630700.07999999996</v>
      </c>
      <c r="M132" s="115"/>
      <c r="N132" s="192"/>
      <c r="O132" s="4"/>
      <c r="P132" s="4"/>
    </row>
    <row r="133" spans="1:16" s="2" customFormat="1" x14ac:dyDescent="0.25">
      <c r="A133" s="33"/>
      <c r="B133" s="37"/>
      <c r="C133" s="38"/>
      <c r="D133" s="38" t="s">
        <v>103</v>
      </c>
      <c r="E133" s="50"/>
      <c r="F133" s="61">
        <v>9791</v>
      </c>
      <c r="G133" s="115"/>
      <c r="H133" s="224">
        <f>H128-SUM(H131:H132)</f>
        <v>3207436.5600000005</v>
      </c>
      <c r="I133" s="115"/>
      <c r="J133" s="223">
        <v>0</v>
      </c>
      <c r="K133" s="115"/>
      <c r="L133" s="63">
        <f>L128-SUM(L131:L132)</f>
        <v>3207436.5600000005</v>
      </c>
      <c r="M133" s="115"/>
      <c r="N133" s="192"/>
      <c r="O133" s="7">
        <f>+G133+I133-K133</f>
        <v>0</v>
      </c>
      <c r="P133" s="26">
        <f>+H133+J133-L133</f>
        <v>0</v>
      </c>
    </row>
    <row r="134" spans="1:16" ht="8.1" customHeight="1" x14ac:dyDescent="0.25">
      <c r="A134" s="33"/>
      <c r="B134" s="65"/>
      <c r="C134" s="66"/>
      <c r="D134" s="66"/>
      <c r="E134" s="51"/>
      <c r="F134" s="57"/>
      <c r="G134" s="115"/>
      <c r="H134" s="58"/>
      <c r="I134" s="115"/>
      <c r="J134" s="121">
        <v>0</v>
      </c>
      <c r="K134" s="115"/>
      <c r="L134" s="58"/>
      <c r="M134" s="115"/>
      <c r="N134" s="192"/>
      <c r="O134" s="4"/>
      <c r="P134" s="4"/>
    </row>
    <row r="135" spans="1:16" x14ac:dyDescent="0.25">
      <c r="A135" s="33"/>
      <c r="B135" s="37" t="s">
        <v>37</v>
      </c>
      <c r="C135" s="38"/>
      <c r="D135" s="38"/>
      <c r="E135" s="50"/>
      <c r="F135" s="57"/>
      <c r="G135" s="115"/>
      <c r="H135" s="68"/>
      <c r="I135" s="115"/>
      <c r="J135" s="70"/>
      <c r="K135" s="115"/>
      <c r="L135" s="68"/>
      <c r="M135" s="115"/>
      <c r="N135" s="192"/>
      <c r="O135" s="4"/>
      <c r="P135" s="4"/>
    </row>
    <row r="136" spans="1:16" x14ac:dyDescent="0.25">
      <c r="A136" s="33"/>
      <c r="B136" s="37"/>
      <c r="C136" s="38" t="s">
        <v>38</v>
      </c>
      <c r="D136" s="38"/>
      <c r="E136" s="50"/>
      <c r="F136" s="57"/>
      <c r="G136" s="115"/>
      <c r="H136" s="68"/>
      <c r="I136" s="115"/>
      <c r="J136" s="70"/>
      <c r="K136" s="115"/>
      <c r="L136" s="68"/>
      <c r="M136" s="115"/>
      <c r="N136" s="192"/>
      <c r="O136" s="4"/>
      <c r="P136" s="4"/>
    </row>
    <row r="137" spans="1:16" x14ac:dyDescent="0.25">
      <c r="A137" s="33"/>
      <c r="B137" s="37"/>
      <c r="C137" s="38"/>
      <c r="D137" s="38" t="s">
        <v>39</v>
      </c>
      <c r="E137" s="50"/>
      <c r="F137" s="57">
        <v>9110</v>
      </c>
      <c r="G137" s="115"/>
      <c r="H137" s="218">
        <v>2709082</v>
      </c>
      <c r="I137" s="115"/>
      <c r="J137" s="219"/>
      <c r="K137" s="115"/>
      <c r="L137" s="58">
        <f t="shared" ref="L137:L150" si="49">H137+J137</f>
        <v>2709082</v>
      </c>
      <c r="M137" s="115"/>
      <c r="N137" s="192"/>
      <c r="O137" s="4"/>
      <c r="P137" s="4"/>
    </row>
    <row r="138" spans="1:16" x14ac:dyDescent="0.25">
      <c r="A138" s="33"/>
      <c r="B138" s="37"/>
      <c r="C138" s="38"/>
      <c r="D138" s="38" t="s">
        <v>90</v>
      </c>
      <c r="E138" s="50"/>
      <c r="F138" s="57">
        <v>9111</v>
      </c>
      <c r="G138" s="115"/>
      <c r="H138" s="218"/>
      <c r="I138" s="115"/>
      <c r="J138" s="219"/>
      <c r="K138" s="115"/>
      <c r="L138" s="58">
        <f>H138+J138</f>
        <v>0</v>
      </c>
      <c r="M138" s="115"/>
      <c r="N138" s="192"/>
      <c r="O138" s="4"/>
      <c r="P138" s="4"/>
    </row>
    <row r="139" spans="1:16" x14ac:dyDescent="0.25">
      <c r="A139" s="33"/>
      <c r="B139" s="37"/>
      <c r="C139" s="38"/>
      <c r="D139" s="38" t="s">
        <v>40</v>
      </c>
      <c r="E139" s="50"/>
      <c r="F139" s="57">
        <v>9120</v>
      </c>
      <c r="G139" s="115"/>
      <c r="H139" s="218">
        <f>1011569+800187+23764-J139</f>
        <v>1204820</v>
      </c>
      <c r="I139" s="115"/>
      <c r="J139" s="219">
        <v>630700</v>
      </c>
      <c r="K139" s="115"/>
      <c r="L139" s="58">
        <f>H139+J139</f>
        <v>1835520</v>
      </c>
      <c r="M139" s="115"/>
      <c r="N139" s="192"/>
      <c r="O139" s="4"/>
      <c r="P139" s="4"/>
    </row>
    <row r="140" spans="1:16" x14ac:dyDescent="0.25">
      <c r="A140" s="33"/>
      <c r="B140" s="37"/>
      <c r="C140" s="38"/>
      <c r="D140" s="38" t="s">
        <v>41</v>
      </c>
      <c r="E140" s="50"/>
      <c r="F140" s="57">
        <v>9130</v>
      </c>
      <c r="G140" s="115"/>
      <c r="H140" s="218"/>
      <c r="I140" s="115"/>
      <c r="J140" s="219"/>
      <c r="K140" s="115"/>
      <c r="L140" s="58">
        <f t="shared" si="49"/>
        <v>0</v>
      </c>
      <c r="M140" s="115"/>
      <c r="N140" s="192"/>
      <c r="O140" s="4"/>
      <c r="P140" s="4"/>
    </row>
    <row r="141" spans="1:16" x14ac:dyDescent="0.25">
      <c r="A141" s="33"/>
      <c r="B141" s="37"/>
      <c r="C141" s="38"/>
      <c r="D141" s="38" t="s">
        <v>91</v>
      </c>
      <c r="E141" s="50"/>
      <c r="F141" s="57">
        <v>9135</v>
      </c>
      <c r="G141" s="115"/>
      <c r="H141" s="218"/>
      <c r="I141" s="115"/>
      <c r="J141" s="219"/>
      <c r="K141" s="115"/>
      <c r="L141" s="58">
        <f t="shared" si="49"/>
        <v>0</v>
      </c>
      <c r="M141" s="115"/>
      <c r="N141" s="192"/>
      <c r="O141" s="4"/>
      <c r="P141" s="4"/>
    </row>
    <row r="142" spans="1:16" x14ac:dyDescent="0.25">
      <c r="A142" s="33"/>
      <c r="B142" s="37"/>
      <c r="C142" s="38"/>
      <c r="D142" s="38" t="s">
        <v>42</v>
      </c>
      <c r="E142" s="50"/>
      <c r="F142" s="57">
        <v>9140</v>
      </c>
      <c r="G142" s="115"/>
      <c r="H142" s="218"/>
      <c r="I142" s="115"/>
      <c r="J142" s="219"/>
      <c r="K142" s="115"/>
      <c r="L142" s="58">
        <f t="shared" si="49"/>
        <v>0</v>
      </c>
      <c r="M142" s="115"/>
      <c r="N142" s="192"/>
      <c r="O142" s="4"/>
      <c r="P142" s="4"/>
    </row>
    <row r="143" spans="1:16" x14ac:dyDescent="0.25">
      <c r="A143" s="33"/>
      <c r="B143" s="37"/>
      <c r="C143" s="38" t="s">
        <v>43</v>
      </c>
      <c r="D143" s="38"/>
      <c r="E143" s="50"/>
      <c r="F143" s="57">
        <v>9150</v>
      </c>
      <c r="G143" s="115"/>
      <c r="H143" s="218"/>
      <c r="I143" s="115"/>
      <c r="J143" s="219"/>
      <c r="K143" s="115"/>
      <c r="L143" s="58">
        <f t="shared" si="49"/>
        <v>0</v>
      </c>
      <c r="M143" s="115"/>
      <c r="N143" s="192"/>
      <c r="O143" s="4"/>
      <c r="P143" s="4"/>
    </row>
    <row r="144" spans="1:16" x14ac:dyDescent="0.25">
      <c r="A144" s="33"/>
      <c r="B144" s="37"/>
      <c r="C144" s="38" t="s">
        <v>44</v>
      </c>
      <c r="D144" s="38"/>
      <c r="E144" s="50"/>
      <c r="F144" s="57">
        <v>9200</v>
      </c>
      <c r="G144" s="115"/>
      <c r="H144" s="218"/>
      <c r="I144" s="115"/>
      <c r="J144" s="219"/>
      <c r="K144" s="115"/>
      <c r="L144" s="58">
        <f t="shared" si="49"/>
        <v>0</v>
      </c>
      <c r="M144" s="115"/>
      <c r="N144" s="192"/>
      <c r="O144" s="4"/>
      <c r="P144" s="4"/>
    </row>
    <row r="145" spans="1:16" x14ac:dyDescent="0.25">
      <c r="A145" s="33"/>
      <c r="B145" s="37"/>
      <c r="C145" s="38" t="s">
        <v>45</v>
      </c>
      <c r="D145" s="38"/>
      <c r="E145" s="50"/>
      <c r="F145" s="57">
        <v>9290</v>
      </c>
      <c r="G145" s="115"/>
      <c r="H145" s="218">
        <v>884288</v>
      </c>
      <c r="I145" s="115"/>
      <c r="J145" s="219"/>
      <c r="K145" s="115"/>
      <c r="L145" s="58">
        <f t="shared" si="49"/>
        <v>884288</v>
      </c>
      <c r="M145" s="115"/>
      <c r="N145" s="192"/>
      <c r="O145" s="4"/>
      <c r="P145" s="4"/>
    </row>
    <row r="146" spans="1:16" x14ac:dyDescent="0.25">
      <c r="A146" s="33"/>
      <c r="B146" s="37"/>
      <c r="C146" s="38" t="s">
        <v>46</v>
      </c>
      <c r="D146" s="38"/>
      <c r="E146" s="50"/>
      <c r="F146" s="57">
        <v>9310</v>
      </c>
      <c r="G146" s="115"/>
      <c r="H146" s="218"/>
      <c r="I146" s="115"/>
      <c r="J146" s="219"/>
      <c r="K146" s="115"/>
      <c r="L146" s="58">
        <f t="shared" si="49"/>
        <v>0</v>
      </c>
      <c r="M146" s="115"/>
      <c r="N146" s="192"/>
      <c r="O146" s="4"/>
      <c r="P146" s="4"/>
    </row>
    <row r="147" spans="1:16" x14ac:dyDescent="0.25">
      <c r="A147" s="33"/>
      <c r="B147" s="37"/>
      <c r="C147" s="38" t="s">
        <v>47</v>
      </c>
      <c r="D147" s="38"/>
      <c r="E147" s="50"/>
      <c r="F147" s="57">
        <v>9320</v>
      </c>
      <c r="G147" s="115"/>
      <c r="H147" s="218"/>
      <c r="I147" s="115"/>
      <c r="J147" s="219"/>
      <c r="K147" s="115"/>
      <c r="L147" s="58">
        <f t="shared" si="49"/>
        <v>0</v>
      </c>
      <c r="M147" s="115"/>
      <c r="N147" s="192"/>
      <c r="O147" s="4"/>
      <c r="P147" s="4"/>
    </row>
    <row r="148" spans="1:16" x14ac:dyDescent="0.25">
      <c r="A148" s="33"/>
      <c r="B148" s="37"/>
      <c r="C148" s="38" t="s">
        <v>89</v>
      </c>
      <c r="D148" s="38"/>
      <c r="E148" s="50"/>
      <c r="F148" s="57">
        <v>9330</v>
      </c>
      <c r="G148" s="115"/>
      <c r="H148" s="218">
        <v>65667</v>
      </c>
      <c r="I148" s="115"/>
      <c r="J148" s="219"/>
      <c r="K148" s="115"/>
      <c r="L148" s="58">
        <f t="shared" si="49"/>
        <v>65667</v>
      </c>
      <c r="M148" s="115"/>
      <c r="N148" s="192"/>
      <c r="O148" s="4"/>
      <c r="P148" s="4"/>
    </row>
    <row r="149" spans="1:16" x14ac:dyDescent="0.25">
      <c r="A149" s="33"/>
      <c r="B149" s="37"/>
      <c r="C149" s="38" t="s">
        <v>48</v>
      </c>
      <c r="D149" s="38"/>
      <c r="E149" s="50"/>
      <c r="F149" s="57">
        <v>9340</v>
      </c>
      <c r="G149" s="115"/>
      <c r="H149" s="218"/>
      <c r="I149" s="115"/>
      <c r="J149" s="219"/>
      <c r="K149" s="115"/>
      <c r="L149" s="58">
        <f t="shared" si="49"/>
        <v>0</v>
      </c>
      <c r="M149" s="115"/>
      <c r="N149" s="192"/>
      <c r="O149" s="4"/>
      <c r="P149" s="4"/>
    </row>
    <row r="150" spans="1:16" x14ac:dyDescent="0.25">
      <c r="A150" s="33"/>
      <c r="B150" s="37"/>
      <c r="C150" s="38" t="s">
        <v>207</v>
      </c>
      <c r="D150" s="38"/>
      <c r="E150" s="50"/>
      <c r="F150" s="57" t="s">
        <v>109</v>
      </c>
      <c r="G150" s="115"/>
      <c r="H150" s="218">
        <v>800628</v>
      </c>
      <c r="I150" s="115"/>
      <c r="J150" s="219"/>
      <c r="K150" s="115"/>
      <c r="L150" s="58">
        <f t="shared" si="49"/>
        <v>800628</v>
      </c>
      <c r="M150" s="115"/>
      <c r="N150" s="192"/>
      <c r="O150" s="4"/>
      <c r="P150" s="4"/>
    </row>
    <row r="151" spans="1:16" s="9" customFormat="1" x14ac:dyDescent="0.25">
      <c r="A151" s="34"/>
      <c r="B151" s="37"/>
      <c r="C151" s="38" t="s">
        <v>175</v>
      </c>
      <c r="D151" s="38"/>
      <c r="E151" s="50"/>
      <c r="F151" s="61"/>
      <c r="G151" s="115"/>
      <c r="H151" s="62">
        <f>SUM(H137:H150)</f>
        <v>5664485</v>
      </c>
      <c r="I151" s="115"/>
      <c r="J151" s="83">
        <f>SUM(J137:J150)</f>
        <v>630700</v>
      </c>
      <c r="K151" s="115"/>
      <c r="L151" s="63">
        <f>SUM(L137:L150)</f>
        <v>6295185</v>
      </c>
      <c r="M151" s="115"/>
      <c r="N151" s="192"/>
      <c r="O151" s="8">
        <f>+G151+I151-K151</f>
        <v>0</v>
      </c>
      <c r="P151" s="27">
        <f>+H151+J151-L151</f>
        <v>0</v>
      </c>
    </row>
    <row r="152" spans="1:16" ht="8.1" customHeight="1" x14ac:dyDescent="0.25">
      <c r="A152" s="33"/>
      <c r="B152" s="65"/>
      <c r="C152" s="66"/>
      <c r="D152" s="66"/>
      <c r="E152" s="51"/>
      <c r="F152" s="57"/>
      <c r="G152" s="115"/>
      <c r="H152" s="68"/>
      <c r="I152" s="115"/>
      <c r="J152" s="70"/>
      <c r="K152" s="115"/>
      <c r="L152" s="68"/>
      <c r="M152" s="115"/>
      <c r="N152" s="192"/>
      <c r="O152" s="4"/>
      <c r="P152" s="6"/>
    </row>
    <row r="153" spans="1:16" x14ac:dyDescent="0.25">
      <c r="A153" s="33"/>
      <c r="B153" s="37" t="s">
        <v>92</v>
      </c>
      <c r="C153" s="38"/>
      <c r="D153" s="38"/>
      <c r="E153" s="50"/>
      <c r="F153" s="57"/>
      <c r="G153" s="115"/>
      <c r="H153" s="68"/>
      <c r="I153" s="115"/>
      <c r="J153" s="70"/>
      <c r="K153" s="115"/>
      <c r="L153" s="68"/>
      <c r="M153" s="115"/>
      <c r="N153" s="192"/>
      <c r="O153" s="4"/>
      <c r="P153" s="6"/>
    </row>
    <row r="154" spans="1:16" x14ac:dyDescent="0.25">
      <c r="A154" s="33"/>
      <c r="B154" s="37"/>
      <c r="C154" s="38" t="s">
        <v>93</v>
      </c>
      <c r="D154" s="38"/>
      <c r="E154" s="50"/>
      <c r="F154" s="57">
        <v>9490</v>
      </c>
      <c r="G154" s="115"/>
      <c r="H154" s="215"/>
      <c r="I154" s="115"/>
      <c r="J154" s="221"/>
      <c r="K154" s="115"/>
      <c r="L154" s="58">
        <f t="shared" ref="L154" si="50">H154+J154</f>
        <v>0</v>
      </c>
      <c r="M154" s="115"/>
      <c r="N154" s="192"/>
      <c r="O154" s="4"/>
      <c r="P154" s="6"/>
    </row>
    <row r="155" spans="1:16" s="9" customFormat="1" x14ac:dyDescent="0.25">
      <c r="A155" s="34"/>
      <c r="B155" s="37"/>
      <c r="C155" s="38" t="s">
        <v>176</v>
      </c>
      <c r="D155" s="38"/>
      <c r="E155" s="50"/>
      <c r="F155" s="61"/>
      <c r="G155" s="115"/>
      <c r="H155" s="62">
        <f>SUM(H154:H154)</f>
        <v>0</v>
      </c>
      <c r="I155" s="115"/>
      <c r="J155" s="83">
        <f>SUM(J154:J154)</f>
        <v>0</v>
      </c>
      <c r="K155" s="115"/>
      <c r="L155" s="63">
        <f>SUM(L154:L154)</f>
        <v>0</v>
      </c>
      <c r="M155" s="115"/>
      <c r="N155" s="192"/>
      <c r="O155" s="7">
        <f>+G155+I155-K155</f>
        <v>0</v>
      </c>
      <c r="P155" s="26">
        <f>+H155+J155-L155</f>
        <v>0</v>
      </c>
    </row>
    <row r="156" spans="1:16" s="11" customFormat="1" ht="8.1" customHeight="1" x14ac:dyDescent="0.25">
      <c r="A156" s="32"/>
      <c r="B156" s="65"/>
      <c r="C156" s="66"/>
      <c r="D156" s="66"/>
      <c r="E156" s="51"/>
      <c r="F156" s="81"/>
      <c r="G156" s="115"/>
      <c r="H156" s="74"/>
      <c r="I156" s="115"/>
      <c r="J156" s="82"/>
      <c r="K156" s="115"/>
      <c r="L156" s="74"/>
      <c r="M156" s="115"/>
      <c r="N156" s="192"/>
      <c r="O156" s="10"/>
      <c r="P156" s="28"/>
    </row>
    <row r="157" spans="1:16" s="2" customFormat="1" x14ac:dyDescent="0.25">
      <c r="A157" s="33"/>
      <c r="B157" s="37" t="s">
        <v>94</v>
      </c>
      <c r="C157" s="38"/>
      <c r="D157" s="38"/>
      <c r="E157" s="50"/>
      <c r="F157" s="57"/>
      <c r="G157" s="115"/>
      <c r="H157" s="68"/>
      <c r="I157" s="115"/>
      <c r="J157" s="70"/>
      <c r="K157" s="115"/>
      <c r="L157" s="68"/>
      <c r="M157" s="115"/>
      <c r="N157" s="192"/>
      <c r="O157" s="7"/>
      <c r="P157" s="7"/>
    </row>
    <row r="158" spans="1:16" x14ac:dyDescent="0.25">
      <c r="A158" s="33"/>
      <c r="B158" s="37"/>
      <c r="C158" s="38" t="s">
        <v>49</v>
      </c>
      <c r="D158" s="38"/>
      <c r="E158" s="50"/>
      <c r="F158" s="57">
        <v>9500</v>
      </c>
      <c r="G158" s="115"/>
      <c r="H158" s="218">
        <f>38643+410+193693+112577+1723</f>
        <v>347046</v>
      </c>
      <c r="I158" s="115"/>
      <c r="J158" s="221"/>
      <c r="K158" s="115"/>
      <c r="L158" s="58">
        <f t="shared" ref="L158:L163" si="51">H158+J158</f>
        <v>347046</v>
      </c>
      <c r="M158" s="115"/>
      <c r="N158" s="192"/>
      <c r="O158" s="4"/>
      <c r="P158" s="4"/>
    </row>
    <row r="159" spans="1:16" x14ac:dyDescent="0.25">
      <c r="A159" s="33"/>
      <c r="B159" s="37"/>
      <c r="C159" s="38" t="s">
        <v>50</v>
      </c>
      <c r="D159" s="38"/>
      <c r="E159" s="50"/>
      <c r="F159" s="57">
        <v>9590</v>
      </c>
      <c r="G159" s="115"/>
      <c r="H159" s="225">
        <v>3571</v>
      </c>
      <c r="I159" s="115"/>
      <c r="J159" s="221"/>
      <c r="K159" s="115"/>
      <c r="L159" s="58">
        <f t="shared" si="51"/>
        <v>3571</v>
      </c>
      <c r="M159" s="115"/>
      <c r="N159" s="192"/>
      <c r="O159" s="4"/>
      <c r="P159" s="4"/>
    </row>
    <row r="160" spans="1:16" x14ac:dyDescent="0.25">
      <c r="A160" s="33"/>
      <c r="B160" s="37"/>
      <c r="C160" s="38" t="s">
        <v>51</v>
      </c>
      <c r="D160" s="38"/>
      <c r="E160" s="50"/>
      <c r="F160" s="57">
        <v>9610</v>
      </c>
      <c r="G160" s="115"/>
      <c r="H160" s="218">
        <v>30073</v>
      </c>
      <c r="I160" s="115"/>
      <c r="J160" s="221"/>
      <c r="K160" s="115"/>
      <c r="L160" s="58">
        <f t="shared" si="51"/>
        <v>30073</v>
      </c>
      <c r="M160" s="115"/>
      <c r="N160" s="192"/>
      <c r="O160" s="4"/>
      <c r="P160" s="4"/>
    </row>
    <row r="161" spans="1:19" x14ac:dyDescent="0.25">
      <c r="A161" s="33"/>
      <c r="B161" s="37"/>
      <c r="C161" s="38" t="s">
        <v>74</v>
      </c>
      <c r="D161" s="38"/>
      <c r="E161" s="50"/>
      <c r="F161" s="57">
        <v>9640</v>
      </c>
      <c r="G161" s="115"/>
      <c r="H161" s="218"/>
      <c r="I161" s="115"/>
      <c r="J161" s="221"/>
      <c r="K161" s="115"/>
      <c r="L161" s="58">
        <f t="shared" si="51"/>
        <v>0</v>
      </c>
      <c r="M161" s="115"/>
      <c r="N161" s="192"/>
      <c r="O161" s="4"/>
      <c r="P161" s="4"/>
    </row>
    <row r="162" spans="1:19" x14ac:dyDescent="0.25">
      <c r="A162" s="33"/>
      <c r="B162" s="37"/>
      <c r="C162" s="38" t="s">
        <v>52</v>
      </c>
      <c r="D162" s="38"/>
      <c r="E162" s="50"/>
      <c r="F162" s="57">
        <v>9650</v>
      </c>
      <c r="G162" s="115"/>
      <c r="H162" s="215">
        <f>157837+452832+113208+113059+30000+318496+75000+15289</f>
        <v>1275721</v>
      </c>
      <c r="I162" s="115"/>
      <c r="J162" s="221"/>
      <c r="K162" s="115"/>
      <c r="L162" s="58">
        <f t="shared" si="51"/>
        <v>1275721</v>
      </c>
      <c r="M162" s="115"/>
      <c r="N162" s="192"/>
      <c r="O162" s="4"/>
      <c r="P162" s="4"/>
    </row>
    <row r="163" spans="1:19" x14ac:dyDescent="0.25">
      <c r="A163" s="33"/>
      <c r="B163" s="37"/>
      <c r="C163" s="38" t="s">
        <v>77</v>
      </c>
      <c r="D163" s="38"/>
      <c r="E163" s="50"/>
      <c r="F163" s="57" t="s">
        <v>53</v>
      </c>
      <c r="G163" s="115"/>
      <c r="H163" s="215"/>
      <c r="I163" s="115"/>
      <c r="J163" s="221"/>
      <c r="K163" s="115"/>
      <c r="L163" s="58">
        <f t="shared" si="51"/>
        <v>0</v>
      </c>
      <c r="M163" s="115"/>
      <c r="N163" s="192"/>
      <c r="O163" s="4"/>
      <c r="P163" s="4"/>
    </row>
    <row r="164" spans="1:19" s="2" customFormat="1" x14ac:dyDescent="0.25">
      <c r="A164" s="33"/>
      <c r="B164" s="37"/>
      <c r="C164" s="38" t="s">
        <v>177</v>
      </c>
      <c r="D164" s="38"/>
      <c r="E164" s="50"/>
      <c r="F164" s="61"/>
      <c r="G164" s="115"/>
      <c r="H164" s="62">
        <f>SUM(H157:H163)</f>
        <v>1656411</v>
      </c>
      <c r="I164" s="115"/>
      <c r="J164" s="83">
        <f>SUM(J157:J163)</f>
        <v>0</v>
      </c>
      <c r="K164" s="115"/>
      <c r="L164" s="63">
        <f>SUM(L157:L163)</f>
        <v>1656411</v>
      </c>
      <c r="M164" s="115"/>
      <c r="N164" s="192"/>
      <c r="O164" s="7">
        <f>+G164+I164-K164</f>
        <v>0</v>
      </c>
      <c r="P164" s="26">
        <f>+H164+J164-L164</f>
        <v>0</v>
      </c>
    </row>
    <row r="165" spans="1:19" ht="8.1" customHeight="1" x14ac:dyDescent="0.25">
      <c r="A165" s="33"/>
      <c r="B165" s="65"/>
      <c r="C165" s="66"/>
      <c r="D165" s="66"/>
      <c r="E165" s="51"/>
      <c r="F165" s="57"/>
      <c r="G165" s="115"/>
      <c r="H165" s="58"/>
      <c r="I165" s="115"/>
      <c r="J165" s="121"/>
      <c r="K165" s="115"/>
      <c r="L165" s="58"/>
      <c r="M165" s="115"/>
      <c r="N165" s="192"/>
      <c r="O165" s="4"/>
      <c r="P165" s="6"/>
    </row>
    <row r="166" spans="1:19" x14ac:dyDescent="0.25">
      <c r="A166" s="33"/>
      <c r="B166" s="37" t="s">
        <v>95</v>
      </c>
      <c r="C166" s="38"/>
      <c r="D166" s="38"/>
      <c r="E166" s="50"/>
      <c r="F166" s="57"/>
      <c r="G166" s="115"/>
      <c r="H166" s="68"/>
      <c r="I166" s="115"/>
      <c r="J166" s="70"/>
      <c r="K166" s="115"/>
      <c r="L166" s="68"/>
      <c r="M166" s="115"/>
      <c r="N166" s="192"/>
      <c r="O166" s="4"/>
      <c r="P166" s="6"/>
    </row>
    <row r="167" spans="1:19" x14ac:dyDescent="0.25">
      <c r="A167" s="33"/>
      <c r="B167" s="37"/>
      <c r="C167" s="38" t="s">
        <v>96</v>
      </c>
      <c r="D167" s="38"/>
      <c r="E167" s="50"/>
      <c r="F167" s="57">
        <v>9690</v>
      </c>
      <c r="G167" s="115"/>
      <c r="H167" s="215"/>
      <c r="I167" s="115"/>
      <c r="J167" s="221"/>
      <c r="K167" s="115"/>
      <c r="L167" s="68">
        <f t="shared" ref="L167" si="52">H167+J167</f>
        <v>0</v>
      </c>
      <c r="M167" s="115"/>
      <c r="N167" s="192"/>
      <c r="O167" s="4"/>
      <c r="P167" s="6"/>
    </row>
    <row r="168" spans="1:19" s="9" customFormat="1" x14ac:dyDescent="0.25">
      <c r="A168" s="34"/>
      <c r="B168" s="37"/>
      <c r="C168" s="38" t="s">
        <v>178</v>
      </c>
      <c r="D168" s="38"/>
      <c r="E168" s="50"/>
      <c r="F168" s="61"/>
      <c r="G168" s="115"/>
      <c r="H168" s="62">
        <f>SUM(H167:H167)</f>
        <v>0</v>
      </c>
      <c r="I168" s="115"/>
      <c r="J168" s="83">
        <f>SUM(J167:J167)</f>
        <v>0</v>
      </c>
      <c r="K168" s="115"/>
      <c r="L168" s="63">
        <f>SUM(L167:L167)</f>
        <v>0</v>
      </c>
      <c r="M168" s="115"/>
      <c r="N168" s="192"/>
      <c r="O168" s="7">
        <f>+G168+I168-K168</f>
        <v>0</v>
      </c>
      <c r="P168" s="26">
        <f>+H168+J168-L168</f>
        <v>0</v>
      </c>
    </row>
    <row r="169" spans="1:19" ht="8.1" customHeight="1" x14ac:dyDescent="0.25">
      <c r="A169" s="33"/>
      <c r="B169" s="65"/>
      <c r="C169" s="66"/>
      <c r="D169" s="66"/>
      <c r="E169" s="51"/>
      <c r="F169" s="57"/>
      <c r="G169" s="115"/>
      <c r="H169" s="58"/>
      <c r="I169" s="115"/>
      <c r="J169" s="121"/>
      <c r="K169" s="115"/>
      <c r="L169" s="58"/>
      <c r="M169" s="115"/>
      <c r="N169" s="192"/>
      <c r="O169" s="4"/>
      <c r="P169" s="4"/>
    </row>
    <row r="170" spans="1:19" x14ac:dyDescent="0.25">
      <c r="A170" s="33"/>
      <c r="B170" s="37" t="s">
        <v>232</v>
      </c>
      <c r="C170" s="38"/>
      <c r="D170" s="38"/>
      <c r="E170" s="50"/>
      <c r="F170" s="57"/>
      <c r="G170" s="115"/>
      <c r="H170" s="68" t="str">
        <f>IF(Q171=0," ","(must = Line F2)")</f>
        <v xml:space="preserve"> </v>
      </c>
      <c r="I170" s="115"/>
      <c r="J170" s="70" t="str">
        <f>IF(R171=0," ","(must = Line F2)")</f>
        <v xml:space="preserve"> </v>
      </c>
      <c r="K170" s="115"/>
      <c r="L170" s="68" t="str">
        <f>IF(S171=0," ","(must = Line F2)")</f>
        <v xml:space="preserve"> </v>
      </c>
      <c r="M170" s="115"/>
      <c r="N170" s="192"/>
      <c r="O170" s="4"/>
      <c r="P170" s="4"/>
      <c r="Q170" s="12">
        <f>ROUND(SUM(H171-H128),0)</f>
        <v>9</v>
      </c>
      <c r="R170" s="12">
        <f>ROUND(SUM(J171-J128),0)</f>
        <v>0</v>
      </c>
      <c r="S170" s="12">
        <f>ROUND(SUM(L171-L128),0)</f>
        <v>9</v>
      </c>
    </row>
    <row r="171" spans="1:19" x14ac:dyDescent="0.25">
      <c r="A171" s="36"/>
      <c r="B171" s="234"/>
      <c r="C171" s="235" t="s">
        <v>102</v>
      </c>
      <c r="D171" s="235"/>
      <c r="E171" s="236"/>
      <c r="F171" s="237"/>
      <c r="G171" s="115"/>
      <c r="H171" s="238">
        <f>+H151+H155-H164-H168</f>
        <v>4008074</v>
      </c>
      <c r="I171" s="115"/>
      <c r="J171" s="239">
        <f>+J151+J155-J164-J168</f>
        <v>630700</v>
      </c>
      <c r="K171" s="115"/>
      <c r="L171" s="238">
        <f>+L151+L155-L164-L168</f>
        <v>4638774</v>
      </c>
      <c r="M171" s="115"/>
      <c r="N171" s="192"/>
      <c r="O171" s="4">
        <f>+G171+I171-K171</f>
        <v>0</v>
      </c>
      <c r="P171" s="6">
        <f>+H171+J171-L171</f>
        <v>0</v>
      </c>
      <c r="Q171" s="1">
        <f>IF(ABS(Q170)&lt;10.01,0,Q170)</f>
        <v>0</v>
      </c>
      <c r="R171" s="1">
        <f t="shared" ref="R171:S171" si="53">IF(ABS(R170)&lt;10.01,0,R170)</f>
        <v>0</v>
      </c>
      <c r="S171" s="1">
        <f t="shared" si="53"/>
        <v>0</v>
      </c>
    </row>
    <row r="172" spans="1:19" ht="15.75" thickBot="1" x14ac:dyDescent="0.3">
      <c r="A172" s="31"/>
      <c r="B172" s="128"/>
      <c r="C172" s="129"/>
      <c r="D172" s="130" t="s">
        <v>208</v>
      </c>
      <c r="E172" s="131"/>
      <c r="F172" s="132"/>
      <c r="G172" s="133"/>
      <c r="H172" s="134"/>
      <c r="I172" s="133"/>
      <c r="J172" s="135"/>
      <c r="K172" s="133"/>
      <c r="L172" s="134"/>
      <c r="M172" s="133"/>
      <c r="N172" s="196"/>
      <c r="O172" s="4"/>
      <c r="P172" s="4"/>
    </row>
    <row r="173" spans="1:19" s="23" customFormat="1" hidden="1" x14ac:dyDescent="0.25">
      <c r="A173" s="13"/>
      <c r="B173" s="14"/>
      <c r="C173" s="14"/>
      <c r="D173" s="15"/>
      <c r="E173" s="15"/>
      <c r="F173" s="15" t="s">
        <v>106</v>
      </c>
      <c r="G173" s="16"/>
      <c r="H173" s="17">
        <f>+H171-H128</f>
        <v>9.4399999994784594</v>
      </c>
      <c r="I173" s="18"/>
      <c r="J173" s="17">
        <f>+J171-J128</f>
        <v>-7.9999999958090484E-2</v>
      </c>
      <c r="K173" s="19"/>
      <c r="L173" s="17">
        <f>+L171-L128</f>
        <v>9.3599999994039536</v>
      </c>
      <c r="M173" s="20"/>
      <c r="N173" s="21"/>
      <c r="O173" s="22"/>
      <c r="P173" s="22"/>
    </row>
    <row r="174" spans="1:19" hidden="1" x14ac:dyDescent="0.25">
      <c r="F174" s="3"/>
      <c r="J174" s="24"/>
      <c r="L174" s="25"/>
      <c r="M174" s="24"/>
    </row>
    <row r="175" spans="1:19" hidden="1" x14ac:dyDescent="0.25">
      <c r="F175" s="3"/>
      <c r="J175" s="24"/>
      <c r="M175" s="24"/>
    </row>
    <row r="176" spans="1:19" hidden="1" x14ac:dyDescent="0.25">
      <c r="F176" s="3"/>
      <c r="J176" s="24"/>
      <c r="M176" s="24"/>
    </row>
    <row r="177" spans="6:13" hidden="1" x14ac:dyDescent="0.25">
      <c r="F177" s="3"/>
      <c r="J177" s="24"/>
      <c r="M177" s="25"/>
    </row>
    <row r="178" spans="6:13" hidden="1" x14ac:dyDescent="0.25">
      <c r="F178" s="3"/>
      <c r="J178" s="24"/>
      <c r="M178" s="24"/>
    </row>
    <row r="179" spans="6:13" hidden="1" x14ac:dyDescent="0.25">
      <c r="F179" s="3"/>
      <c r="J179" s="24"/>
      <c r="M179" s="24"/>
    </row>
    <row r="180" spans="6:13" hidden="1" x14ac:dyDescent="0.25">
      <c r="F180" s="3"/>
      <c r="J180" s="24"/>
      <c r="M180" s="24"/>
    </row>
    <row r="181" spans="6:13" hidden="1" x14ac:dyDescent="0.25">
      <c r="F181" s="3"/>
      <c r="J181" s="24"/>
      <c r="M181" s="24"/>
    </row>
    <row r="182" spans="6:13" hidden="1" x14ac:dyDescent="0.25">
      <c r="F182" s="3"/>
      <c r="J182" s="24"/>
      <c r="M182" s="24"/>
    </row>
    <row r="183" spans="6:13" hidden="1" x14ac:dyDescent="0.25">
      <c r="F183" s="3"/>
      <c r="J183" s="24"/>
      <c r="M183" s="24"/>
    </row>
    <row r="184" spans="6:13" hidden="1" x14ac:dyDescent="0.25">
      <c r="F184" s="3"/>
      <c r="J184" s="24"/>
      <c r="M184" s="24"/>
    </row>
    <row r="185" spans="6:13" hidden="1" x14ac:dyDescent="0.25">
      <c r="F185" s="3"/>
      <c r="J185" s="24"/>
      <c r="M185" s="24"/>
    </row>
    <row r="186" spans="6:13" hidden="1" x14ac:dyDescent="0.25">
      <c r="F186" s="3"/>
      <c r="J186" s="24"/>
      <c r="M186" s="24"/>
    </row>
    <row r="187" spans="6:13" hidden="1" x14ac:dyDescent="0.25">
      <c r="F187" s="3"/>
      <c r="J187" s="24"/>
      <c r="M187" s="24"/>
    </row>
    <row r="188" spans="6:13" hidden="1" x14ac:dyDescent="0.25">
      <c r="F188" s="3"/>
      <c r="J188" s="24"/>
      <c r="M188" s="24"/>
    </row>
    <row r="189" spans="6:13" hidden="1" x14ac:dyDescent="0.25">
      <c r="F189" s="3"/>
      <c r="J189" s="24"/>
      <c r="M189" s="24"/>
    </row>
    <row r="190" spans="6:13" hidden="1" x14ac:dyDescent="0.25">
      <c r="F190" s="3"/>
      <c r="J190" s="24"/>
      <c r="M190" s="24"/>
    </row>
    <row r="191" spans="6:13" hidden="1" x14ac:dyDescent="0.25">
      <c r="F191" s="3"/>
      <c r="J191" s="24"/>
      <c r="M191" s="24"/>
    </row>
    <row r="192" spans="6:13" hidden="1" x14ac:dyDescent="0.25">
      <c r="F192" s="3"/>
      <c r="J192" s="24"/>
      <c r="M192" s="24"/>
    </row>
    <row r="193" spans="6:13" hidden="1" x14ac:dyDescent="0.25">
      <c r="F193" s="3"/>
      <c r="J193" s="24"/>
      <c r="M193" s="24"/>
    </row>
    <row r="194" spans="6:13" hidden="1" x14ac:dyDescent="0.25">
      <c r="F194" s="3"/>
      <c r="J194" s="24"/>
      <c r="M194" s="24"/>
    </row>
    <row r="195" spans="6:13" hidden="1" x14ac:dyDescent="0.25">
      <c r="F195" s="3"/>
      <c r="J195" s="24"/>
      <c r="M195" s="24"/>
    </row>
    <row r="196" spans="6:13" hidden="1" x14ac:dyDescent="0.25">
      <c r="F196" s="3"/>
      <c r="J196" s="24"/>
      <c r="M196" s="24"/>
    </row>
    <row r="197" spans="6:13" hidden="1" x14ac:dyDescent="0.25">
      <c r="F197" s="3"/>
      <c r="J197" s="24"/>
      <c r="M197" s="24"/>
    </row>
    <row r="198" spans="6:13" hidden="1" x14ac:dyDescent="0.25">
      <c r="F198" s="3"/>
      <c r="J198" s="24"/>
      <c r="M198" s="24"/>
    </row>
    <row r="199" spans="6:13" hidden="1" x14ac:dyDescent="0.25">
      <c r="F199" s="3"/>
      <c r="J199" s="24"/>
      <c r="M199" s="24"/>
    </row>
    <row r="200" spans="6:13" hidden="1" x14ac:dyDescent="0.25">
      <c r="F200" s="3"/>
      <c r="J200" s="24"/>
      <c r="M200" s="24"/>
    </row>
    <row r="201" spans="6:13" hidden="1" x14ac:dyDescent="0.25">
      <c r="F201" s="3"/>
      <c r="J201" s="24"/>
      <c r="M201" s="24"/>
    </row>
    <row r="202" spans="6:13" hidden="1" x14ac:dyDescent="0.25">
      <c r="F202" s="3"/>
      <c r="J202" s="24"/>
      <c r="M202" s="24"/>
    </row>
    <row r="203" spans="6:13" hidden="1" x14ac:dyDescent="0.25">
      <c r="F203" s="3"/>
      <c r="J203" s="24"/>
      <c r="M203" s="24"/>
    </row>
    <row r="204" spans="6:13" hidden="1" x14ac:dyDescent="0.25">
      <c r="F204" s="3"/>
      <c r="J204" s="24"/>
      <c r="M204" s="24"/>
    </row>
    <row r="205" spans="6:13" hidden="1" x14ac:dyDescent="0.25">
      <c r="F205" s="3"/>
      <c r="J205" s="24"/>
      <c r="M205" s="24"/>
    </row>
    <row r="206" spans="6:13" hidden="1" x14ac:dyDescent="0.25">
      <c r="F206" s="3"/>
      <c r="J206" s="24"/>
      <c r="M206" s="24"/>
    </row>
    <row r="207" spans="6:13" hidden="1" x14ac:dyDescent="0.25">
      <c r="F207" s="3"/>
      <c r="J207" s="24"/>
      <c r="M207" s="24"/>
    </row>
    <row r="208" spans="6:13" hidden="1" x14ac:dyDescent="0.25">
      <c r="F208" s="3"/>
      <c r="J208" s="24"/>
      <c r="M208" s="24"/>
    </row>
    <row r="209" spans="6:13" hidden="1" x14ac:dyDescent="0.25">
      <c r="F209" s="3"/>
      <c r="J209" s="24"/>
      <c r="M209" s="24"/>
    </row>
    <row r="210" spans="6:13" hidden="1" x14ac:dyDescent="0.25">
      <c r="F210" s="3"/>
      <c r="J210" s="24"/>
      <c r="M210" s="24"/>
    </row>
    <row r="211" spans="6:13" hidden="1" x14ac:dyDescent="0.25">
      <c r="F211" s="3"/>
      <c r="J211" s="24"/>
      <c r="M211" s="24"/>
    </row>
    <row r="212" spans="6:13" hidden="1" x14ac:dyDescent="0.25">
      <c r="F212" s="3"/>
      <c r="J212" s="24"/>
      <c r="M212" s="24"/>
    </row>
    <row r="213" spans="6:13" hidden="1" x14ac:dyDescent="0.25">
      <c r="F213" s="3"/>
      <c r="J213" s="24"/>
      <c r="M213" s="24"/>
    </row>
    <row r="214" spans="6:13" hidden="1" x14ac:dyDescent="0.25">
      <c r="F214" s="3"/>
      <c r="J214" s="24"/>
      <c r="M214" s="24"/>
    </row>
    <row r="215" spans="6:13" hidden="1" x14ac:dyDescent="0.25">
      <c r="F215" s="3"/>
      <c r="J215" s="24"/>
      <c r="M215" s="24"/>
    </row>
    <row r="216" spans="6:13" hidden="1" x14ac:dyDescent="0.25">
      <c r="F216" s="3"/>
      <c r="J216" s="24"/>
      <c r="M216" s="24"/>
    </row>
    <row r="217" spans="6:13" hidden="1" x14ac:dyDescent="0.25">
      <c r="F217" s="3"/>
      <c r="J217" s="24"/>
      <c r="M217" s="24"/>
    </row>
    <row r="218" spans="6:13" hidden="1" x14ac:dyDescent="0.25">
      <c r="F218" s="3"/>
      <c r="J218" s="24"/>
      <c r="M218" s="24"/>
    </row>
    <row r="219" spans="6:13" hidden="1" x14ac:dyDescent="0.25">
      <c r="F219" s="3"/>
      <c r="J219" s="24"/>
      <c r="M219" s="24"/>
    </row>
    <row r="220" spans="6:13" hidden="1" x14ac:dyDescent="0.25">
      <c r="F220" s="3"/>
      <c r="J220" s="24"/>
      <c r="M220" s="24"/>
    </row>
    <row r="221" spans="6:13" hidden="1" x14ac:dyDescent="0.25">
      <c r="F221" s="3"/>
      <c r="J221" s="24"/>
      <c r="M221" s="24"/>
    </row>
    <row r="222" spans="6:13" hidden="1" x14ac:dyDescent="0.25">
      <c r="F222" s="3"/>
      <c r="J222" s="24"/>
      <c r="M222" s="24"/>
    </row>
    <row r="223" spans="6:13" hidden="1" x14ac:dyDescent="0.25">
      <c r="F223" s="3"/>
      <c r="J223" s="24"/>
      <c r="M223" s="24"/>
    </row>
    <row r="224" spans="6:13" hidden="1" x14ac:dyDescent="0.25">
      <c r="F224" s="3"/>
      <c r="J224" s="24"/>
      <c r="M224" s="24"/>
    </row>
    <row r="225" spans="6:13" hidden="1" x14ac:dyDescent="0.25">
      <c r="F225" s="3"/>
      <c r="J225" s="24"/>
      <c r="M225" s="24"/>
    </row>
    <row r="226" spans="6:13" hidden="1" x14ac:dyDescent="0.25">
      <c r="F226" s="3"/>
      <c r="J226" s="24"/>
      <c r="M226" s="24"/>
    </row>
    <row r="227" spans="6:13" hidden="1" x14ac:dyDescent="0.25">
      <c r="F227" s="3"/>
      <c r="J227" s="24"/>
      <c r="M227" s="24"/>
    </row>
    <row r="228" spans="6:13" hidden="1" x14ac:dyDescent="0.25">
      <c r="F228" s="3"/>
      <c r="J228" s="24"/>
      <c r="M228" s="24"/>
    </row>
    <row r="229" spans="6:13" hidden="1" x14ac:dyDescent="0.25">
      <c r="F229" s="3"/>
      <c r="J229" s="24"/>
      <c r="M229" s="24"/>
    </row>
    <row r="230" spans="6:13" hidden="1" x14ac:dyDescent="0.25">
      <c r="F230" s="3"/>
      <c r="J230" s="24"/>
      <c r="M230" s="24"/>
    </row>
    <row r="231" spans="6:13" hidden="1" x14ac:dyDescent="0.25">
      <c r="F231" s="3"/>
      <c r="J231" s="24"/>
      <c r="M231" s="24"/>
    </row>
    <row r="232" spans="6:13" hidden="1" x14ac:dyDescent="0.25">
      <c r="F232" s="3"/>
      <c r="J232" s="24"/>
      <c r="M232" s="24"/>
    </row>
    <row r="233" spans="6:13" hidden="1" x14ac:dyDescent="0.25">
      <c r="F233" s="3"/>
      <c r="J233" s="24"/>
      <c r="M233" s="24"/>
    </row>
    <row r="234" spans="6:13" hidden="1" x14ac:dyDescent="0.25">
      <c r="F234" s="3"/>
      <c r="J234" s="24"/>
      <c r="M234" s="24"/>
    </row>
    <row r="235" spans="6:13" hidden="1" x14ac:dyDescent="0.25">
      <c r="F235" s="3"/>
      <c r="J235" s="24"/>
      <c r="M235" s="24"/>
    </row>
    <row r="236" spans="6:13" hidden="1" x14ac:dyDescent="0.25">
      <c r="F236" s="3"/>
      <c r="J236" s="24"/>
      <c r="M236" s="24"/>
    </row>
    <row r="237" spans="6:13" hidden="1" x14ac:dyDescent="0.25">
      <c r="F237" s="3"/>
      <c r="J237" s="24"/>
      <c r="M237" s="24"/>
    </row>
    <row r="238" spans="6:13" hidden="1" x14ac:dyDescent="0.25">
      <c r="F238" s="3"/>
      <c r="J238" s="24"/>
      <c r="M238" s="24"/>
    </row>
    <row r="239" spans="6:13" hidden="1" x14ac:dyDescent="0.25">
      <c r="F239" s="3"/>
      <c r="J239" s="24"/>
      <c r="M239" s="24"/>
    </row>
    <row r="240" spans="6:13" hidden="1" x14ac:dyDescent="0.25">
      <c r="F240" s="3"/>
      <c r="J240" s="24"/>
      <c r="M240" s="24"/>
    </row>
    <row r="241" spans="6:13" hidden="1" x14ac:dyDescent="0.25">
      <c r="F241" s="3"/>
      <c r="J241" s="24"/>
      <c r="M241" s="24"/>
    </row>
    <row r="242" spans="6:13" hidden="1" x14ac:dyDescent="0.25">
      <c r="F242" s="3"/>
      <c r="J242" s="24"/>
      <c r="M242" s="24"/>
    </row>
    <row r="243" spans="6:13" hidden="1" x14ac:dyDescent="0.25">
      <c r="F243" s="3"/>
      <c r="J243" s="24"/>
      <c r="M243" s="24"/>
    </row>
    <row r="244" spans="6:13" hidden="1" x14ac:dyDescent="0.25">
      <c r="F244" s="3"/>
      <c r="J244" s="24"/>
      <c r="M244" s="24"/>
    </row>
    <row r="245" spans="6:13" hidden="1" x14ac:dyDescent="0.25">
      <c r="F245" s="3"/>
      <c r="J245" s="24"/>
      <c r="M245" s="24"/>
    </row>
    <row r="246" spans="6:13" hidden="1" x14ac:dyDescent="0.25">
      <c r="F246" s="3"/>
      <c r="J246" s="24"/>
      <c r="M246" s="24"/>
    </row>
    <row r="247" spans="6:13" hidden="1" x14ac:dyDescent="0.25">
      <c r="F247" s="3"/>
      <c r="J247" s="24"/>
      <c r="M247" s="24"/>
    </row>
    <row r="248" spans="6:13" hidden="1" x14ac:dyDescent="0.25">
      <c r="F248" s="3"/>
      <c r="J248" s="24"/>
      <c r="M248" s="24"/>
    </row>
    <row r="249" spans="6:13" hidden="1" x14ac:dyDescent="0.25">
      <c r="F249" s="3"/>
      <c r="J249" s="24"/>
      <c r="M249" s="24"/>
    </row>
    <row r="250" spans="6:13" hidden="1" x14ac:dyDescent="0.25">
      <c r="F250" s="3"/>
      <c r="J250" s="24"/>
      <c r="M250" s="24"/>
    </row>
    <row r="251" spans="6:13" hidden="1" x14ac:dyDescent="0.25">
      <c r="F251" s="3"/>
      <c r="J251" s="24"/>
      <c r="M251" s="24"/>
    </row>
    <row r="252" spans="6:13" hidden="1" x14ac:dyDescent="0.25">
      <c r="F252" s="3"/>
      <c r="J252" s="24"/>
      <c r="M252" s="24"/>
    </row>
    <row r="253" spans="6:13" hidden="1" x14ac:dyDescent="0.25">
      <c r="F253" s="3"/>
      <c r="J253" s="24"/>
      <c r="M253" s="24"/>
    </row>
    <row r="254" spans="6:13" hidden="1" x14ac:dyDescent="0.25">
      <c r="F254" s="3"/>
      <c r="J254" s="24"/>
      <c r="M254" s="24"/>
    </row>
    <row r="255" spans="6:13" hidden="1" x14ac:dyDescent="0.25">
      <c r="F255" s="3"/>
      <c r="J255" s="24"/>
      <c r="M255" s="24"/>
    </row>
    <row r="256" spans="6:13" hidden="1" x14ac:dyDescent="0.25">
      <c r="F256" s="3"/>
      <c r="J256" s="24"/>
      <c r="M256" s="24"/>
    </row>
    <row r="257" spans="6:13" hidden="1" x14ac:dyDescent="0.25">
      <c r="F257" s="3"/>
      <c r="J257" s="24"/>
      <c r="M257" s="24"/>
    </row>
    <row r="258" spans="6:13" hidden="1" x14ac:dyDescent="0.25">
      <c r="F258" s="3"/>
      <c r="J258" s="24"/>
      <c r="M258" s="24"/>
    </row>
    <row r="259" spans="6:13" hidden="1" x14ac:dyDescent="0.25">
      <c r="F259" s="3"/>
      <c r="J259" s="24"/>
      <c r="M259" s="24"/>
    </row>
    <row r="260" spans="6:13" hidden="1" x14ac:dyDescent="0.25">
      <c r="F260" s="3"/>
      <c r="J260" s="24"/>
      <c r="M260" s="24"/>
    </row>
    <row r="261" spans="6:13" hidden="1" x14ac:dyDescent="0.25">
      <c r="F261" s="3"/>
      <c r="J261" s="24"/>
      <c r="M261" s="24"/>
    </row>
    <row r="262" spans="6:13" hidden="1" x14ac:dyDescent="0.25">
      <c r="F262" s="3"/>
      <c r="J262" s="24"/>
      <c r="M262" s="24"/>
    </row>
    <row r="263" spans="6:13" hidden="1" x14ac:dyDescent="0.25">
      <c r="F263" s="3"/>
      <c r="J263" s="24"/>
      <c r="M263" s="24"/>
    </row>
    <row r="264" spans="6:13" hidden="1" x14ac:dyDescent="0.25">
      <c r="F264" s="3"/>
      <c r="J264" s="24"/>
      <c r="M264" s="24"/>
    </row>
    <row r="265" spans="6:13" hidden="1" x14ac:dyDescent="0.25">
      <c r="F265" s="3"/>
      <c r="J265" s="24"/>
      <c r="M265" s="24"/>
    </row>
    <row r="266" spans="6:13" hidden="1" x14ac:dyDescent="0.25">
      <c r="F266" s="3"/>
      <c r="J266" s="24"/>
      <c r="M266" s="24"/>
    </row>
    <row r="267" spans="6:13" hidden="1" x14ac:dyDescent="0.25">
      <c r="F267" s="3"/>
      <c r="J267" s="24"/>
      <c r="M267" s="24"/>
    </row>
    <row r="268" spans="6:13" hidden="1" x14ac:dyDescent="0.25">
      <c r="F268" s="3"/>
      <c r="J268" s="24"/>
      <c r="M268" s="24"/>
    </row>
    <row r="269" spans="6:13" hidden="1" x14ac:dyDescent="0.25">
      <c r="F269" s="3"/>
      <c r="J269" s="24"/>
      <c r="M269" s="24"/>
    </row>
    <row r="270" spans="6:13" hidden="1" x14ac:dyDescent="0.25">
      <c r="F270" s="3"/>
      <c r="J270" s="24"/>
      <c r="M270" s="24"/>
    </row>
    <row r="271" spans="6:13" hidden="1" x14ac:dyDescent="0.25">
      <c r="F271" s="3"/>
      <c r="J271" s="24"/>
      <c r="M271" s="24"/>
    </row>
    <row r="272" spans="6:13" hidden="1" x14ac:dyDescent="0.25">
      <c r="F272" s="3"/>
      <c r="J272" s="24"/>
      <c r="M272" s="24"/>
    </row>
    <row r="273" spans="6:13" hidden="1" x14ac:dyDescent="0.25">
      <c r="F273" s="3"/>
      <c r="J273" s="24"/>
      <c r="M273" s="24"/>
    </row>
    <row r="274" spans="6:13" hidden="1" x14ac:dyDescent="0.25">
      <c r="F274" s="3"/>
      <c r="J274" s="24"/>
      <c r="M274" s="24"/>
    </row>
    <row r="275" spans="6:13" hidden="1" x14ac:dyDescent="0.25">
      <c r="F275" s="3"/>
      <c r="J275" s="24"/>
      <c r="M275" s="24"/>
    </row>
    <row r="276" spans="6:13" hidden="1" x14ac:dyDescent="0.25">
      <c r="F276" s="3"/>
      <c r="J276" s="24"/>
      <c r="M276" s="24"/>
    </row>
    <row r="277" spans="6:13" hidden="1" x14ac:dyDescent="0.25">
      <c r="F277" s="3"/>
      <c r="J277" s="24"/>
      <c r="M277" s="24"/>
    </row>
    <row r="278" spans="6:13" hidden="1" x14ac:dyDescent="0.25">
      <c r="F278" s="3"/>
      <c r="J278" s="24"/>
      <c r="M278" s="24"/>
    </row>
    <row r="279" spans="6:13" hidden="1" x14ac:dyDescent="0.25">
      <c r="F279" s="3"/>
      <c r="J279" s="24"/>
      <c r="M279" s="24"/>
    </row>
    <row r="280" spans="6:13" hidden="1" x14ac:dyDescent="0.25">
      <c r="F280" s="3"/>
      <c r="J280" s="24"/>
      <c r="M280" s="24"/>
    </row>
    <row r="281" spans="6:13" hidden="1" x14ac:dyDescent="0.25">
      <c r="F281" s="3"/>
      <c r="J281" s="24"/>
      <c r="M281" s="24"/>
    </row>
    <row r="282" spans="6:13" hidden="1" x14ac:dyDescent="0.25">
      <c r="F282" s="3"/>
      <c r="J282" s="24"/>
      <c r="M282" s="24"/>
    </row>
    <row r="283" spans="6:13" hidden="1" x14ac:dyDescent="0.25">
      <c r="F283" s="3"/>
      <c r="J283" s="24"/>
      <c r="M283" s="24"/>
    </row>
    <row r="284" spans="6:13" hidden="1" x14ac:dyDescent="0.25">
      <c r="F284" s="3"/>
      <c r="J284" s="24"/>
      <c r="M284" s="24"/>
    </row>
    <row r="285" spans="6:13" hidden="1" x14ac:dyDescent="0.25">
      <c r="F285" s="3"/>
      <c r="J285" s="24"/>
      <c r="M285" s="24"/>
    </row>
    <row r="286" spans="6:13" hidden="1" x14ac:dyDescent="0.25">
      <c r="F286" s="3"/>
    </row>
    <row r="287" spans="6:13" hidden="1" x14ac:dyDescent="0.25">
      <c r="F287" s="3"/>
    </row>
    <row r="288" spans="6:13" hidden="1" x14ac:dyDescent="0.25">
      <c r="F288" s="3"/>
    </row>
    <row r="289" spans="6:6" hidden="1" x14ac:dyDescent="0.25">
      <c r="F289" s="3"/>
    </row>
    <row r="290" spans="6:6" hidden="1" x14ac:dyDescent="0.25">
      <c r="F290" s="3"/>
    </row>
    <row r="291" spans="6:6" hidden="1" x14ac:dyDescent="0.25">
      <c r="F291" s="3"/>
    </row>
    <row r="292" spans="6:6" hidden="1" x14ac:dyDescent="0.25">
      <c r="F292" s="3"/>
    </row>
    <row r="293" spans="6:6" hidden="1" x14ac:dyDescent="0.25">
      <c r="F293" s="3"/>
    </row>
    <row r="294" spans="6:6" hidden="1" x14ac:dyDescent="0.25">
      <c r="F294" s="3"/>
    </row>
    <row r="295" spans="6:6" hidden="1" x14ac:dyDescent="0.25">
      <c r="F295" s="3"/>
    </row>
    <row r="296" spans="6:6" hidden="1" x14ac:dyDescent="0.25">
      <c r="F296" s="3"/>
    </row>
    <row r="297" spans="6:6" hidden="1" x14ac:dyDescent="0.25">
      <c r="F297" s="3"/>
    </row>
    <row r="298" spans="6:6" hidden="1" x14ac:dyDescent="0.25">
      <c r="F298" s="3"/>
    </row>
    <row r="299" spans="6:6" hidden="1" x14ac:dyDescent="0.25">
      <c r="F299" s="3"/>
    </row>
    <row r="300" spans="6:6" hidden="1" x14ac:dyDescent="0.25">
      <c r="F300" s="3"/>
    </row>
    <row r="301" spans="6:6" hidden="1" x14ac:dyDescent="0.25">
      <c r="F301" s="3"/>
    </row>
    <row r="302" spans="6:6" hidden="1" x14ac:dyDescent="0.25">
      <c r="F302" s="3"/>
    </row>
    <row r="303" spans="6:6" hidden="1" x14ac:dyDescent="0.25">
      <c r="F303" s="3"/>
    </row>
    <row r="304" spans="6:6" hidden="1" x14ac:dyDescent="0.25">
      <c r="F304" s="3"/>
    </row>
    <row r="305" spans="6:6" hidden="1" x14ac:dyDescent="0.25">
      <c r="F305" s="3"/>
    </row>
    <row r="306" spans="6:6" hidden="1" x14ac:dyDescent="0.25">
      <c r="F306" s="3"/>
    </row>
    <row r="307" spans="6:6" hidden="1" x14ac:dyDescent="0.25">
      <c r="F307" s="3"/>
    </row>
    <row r="308" spans="6:6" hidden="1" x14ac:dyDescent="0.25">
      <c r="F308" s="3"/>
    </row>
    <row r="309" spans="6:6" hidden="1" x14ac:dyDescent="0.25">
      <c r="F309" s="3"/>
    </row>
    <row r="310" spans="6:6" hidden="1" x14ac:dyDescent="0.25">
      <c r="F310" s="3"/>
    </row>
    <row r="311" spans="6:6" hidden="1" x14ac:dyDescent="0.25">
      <c r="F311" s="3"/>
    </row>
    <row r="312" spans="6:6" hidden="1" x14ac:dyDescent="0.25">
      <c r="F312" s="3"/>
    </row>
    <row r="313" spans="6:6" hidden="1" x14ac:dyDescent="0.25">
      <c r="F313" s="3"/>
    </row>
    <row r="314" spans="6:6" hidden="1" x14ac:dyDescent="0.25">
      <c r="F314" s="3"/>
    </row>
    <row r="315" spans="6:6" hidden="1" x14ac:dyDescent="0.25">
      <c r="F315" s="3"/>
    </row>
    <row r="316" spans="6:6" hidden="1" x14ac:dyDescent="0.25">
      <c r="F316" s="3"/>
    </row>
    <row r="317" spans="6:6" hidden="1" x14ac:dyDescent="0.25">
      <c r="F317" s="3"/>
    </row>
    <row r="318" spans="6:6" hidden="1" x14ac:dyDescent="0.25">
      <c r="F318" s="3"/>
    </row>
    <row r="319" spans="6:6" hidden="1" x14ac:dyDescent="0.25">
      <c r="F319" s="3"/>
    </row>
    <row r="320" spans="6:6" hidden="1" x14ac:dyDescent="0.25">
      <c r="F320" s="3"/>
    </row>
    <row r="321" spans="6:6" hidden="1" x14ac:dyDescent="0.25">
      <c r="F321" s="3"/>
    </row>
    <row r="322" spans="6:6" hidden="1" x14ac:dyDescent="0.25">
      <c r="F322" s="3"/>
    </row>
    <row r="323" spans="6:6" hidden="1" x14ac:dyDescent="0.25">
      <c r="F323" s="3"/>
    </row>
    <row r="324" spans="6:6" hidden="1" x14ac:dyDescent="0.25">
      <c r="F324" s="3"/>
    </row>
    <row r="325" spans="6:6" hidden="1" x14ac:dyDescent="0.25">
      <c r="F325" s="3"/>
    </row>
    <row r="326" spans="6:6" hidden="1" x14ac:dyDescent="0.25">
      <c r="F326" s="3"/>
    </row>
    <row r="327" spans="6:6" hidden="1" x14ac:dyDescent="0.25">
      <c r="F327" s="3"/>
    </row>
    <row r="328" spans="6:6" hidden="1" x14ac:dyDescent="0.25">
      <c r="F328" s="3"/>
    </row>
    <row r="329" spans="6:6" hidden="1" x14ac:dyDescent="0.25">
      <c r="F329" s="3"/>
    </row>
    <row r="330" spans="6:6" hidden="1" x14ac:dyDescent="0.25">
      <c r="F330" s="3"/>
    </row>
    <row r="331" spans="6:6" hidden="1" x14ac:dyDescent="0.25">
      <c r="F331" s="3"/>
    </row>
    <row r="332" spans="6:6" hidden="1" x14ac:dyDescent="0.25">
      <c r="F332" s="3"/>
    </row>
    <row r="333" spans="6:6" hidden="1" x14ac:dyDescent="0.25">
      <c r="F333" s="3"/>
    </row>
    <row r="334" spans="6:6" hidden="1" x14ac:dyDescent="0.25">
      <c r="F334" s="3"/>
    </row>
    <row r="335" spans="6:6" hidden="1" x14ac:dyDescent="0.25">
      <c r="F335" s="3"/>
    </row>
    <row r="336" spans="6:6" hidden="1" x14ac:dyDescent="0.25">
      <c r="F336" s="3"/>
    </row>
    <row r="337" spans="6:6" hidden="1" x14ac:dyDescent="0.25">
      <c r="F337" s="3"/>
    </row>
    <row r="338" spans="6:6" hidden="1" x14ac:dyDescent="0.25">
      <c r="F338" s="3"/>
    </row>
    <row r="339" spans="6:6" hidden="1" x14ac:dyDescent="0.25">
      <c r="F339" s="3"/>
    </row>
    <row r="340" spans="6:6" hidden="1" x14ac:dyDescent="0.25">
      <c r="F340" s="3"/>
    </row>
    <row r="341" spans="6:6" hidden="1" x14ac:dyDescent="0.25">
      <c r="F341" s="3"/>
    </row>
    <row r="342" spans="6:6" hidden="1" x14ac:dyDescent="0.25">
      <c r="F342" s="3"/>
    </row>
    <row r="343" spans="6:6" hidden="1" x14ac:dyDescent="0.25">
      <c r="F343" s="3"/>
    </row>
    <row r="344" spans="6:6" hidden="1" x14ac:dyDescent="0.25">
      <c r="F344" s="3"/>
    </row>
    <row r="345" spans="6:6" hidden="1" x14ac:dyDescent="0.25">
      <c r="F345" s="3"/>
    </row>
    <row r="346" spans="6:6" hidden="1" x14ac:dyDescent="0.25">
      <c r="F346" s="3"/>
    </row>
    <row r="347" spans="6:6" hidden="1" x14ac:dyDescent="0.25">
      <c r="F347" s="3"/>
    </row>
    <row r="348" spans="6:6" hidden="1" x14ac:dyDescent="0.25">
      <c r="F348" s="3"/>
    </row>
    <row r="349" spans="6:6" hidden="1" x14ac:dyDescent="0.25">
      <c r="F349" s="3"/>
    </row>
    <row r="350" spans="6:6" hidden="1" x14ac:dyDescent="0.25">
      <c r="F350" s="3"/>
    </row>
    <row r="351" spans="6:6" hidden="1" x14ac:dyDescent="0.25">
      <c r="F351" s="3"/>
    </row>
    <row r="352" spans="6:6" hidden="1" x14ac:dyDescent="0.25">
      <c r="F352" s="3"/>
    </row>
    <row r="353" spans="6:6" hidden="1" x14ac:dyDescent="0.25">
      <c r="F353" s="3"/>
    </row>
    <row r="354" spans="6:6" hidden="1" x14ac:dyDescent="0.25">
      <c r="F354" s="3"/>
    </row>
    <row r="355" spans="6:6" hidden="1" x14ac:dyDescent="0.25">
      <c r="F355" s="3"/>
    </row>
    <row r="356" spans="6:6" hidden="1" x14ac:dyDescent="0.25">
      <c r="F356" s="3"/>
    </row>
    <row r="357" spans="6:6" hidden="1" x14ac:dyDescent="0.25">
      <c r="F357" s="3"/>
    </row>
    <row r="358" spans="6:6" hidden="1" x14ac:dyDescent="0.25">
      <c r="F358" s="3"/>
    </row>
    <row r="359" spans="6:6" hidden="1" x14ac:dyDescent="0.25">
      <c r="F359" s="3"/>
    </row>
    <row r="360" spans="6:6" hidden="1" x14ac:dyDescent="0.25">
      <c r="F360" s="3"/>
    </row>
    <row r="361" spans="6:6" hidden="1" x14ac:dyDescent="0.25">
      <c r="F361" s="3"/>
    </row>
    <row r="362" spans="6:6" hidden="1" x14ac:dyDescent="0.25">
      <c r="F362" s="3"/>
    </row>
    <row r="363" spans="6:6" hidden="1" x14ac:dyDescent="0.25">
      <c r="F363" s="3"/>
    </row>
    <row r="364" spans="6:6" hidden="1" x14ac:dyDescent="0.25">
      <c r="F364" s="3"/>
    </row>
    <row r="365" spans="6:6" hidden="1" x14ac:dyDescent="0.25">
      <c r="F365" s="3"/>
    </row>
    <row r="366" spans="6:6" hidden="1" x14ac:dyDescent="0.25">
      <c r="F366" s="3"/>
    </row>
    <row r="367" spans="6:6" hidden="1" x14ac:dyDescent="0.25">
      <c r="F367" s="3"/>
    </row>
    <row r="368" spans="6:6" hidden="1" x14ac:dyDescent="0.25">
      <c r="F368" s="3"/>
    </row>
    <row r="369" spans="6:6" hidden="1" x14ac:dyDescent="0.25">
      <c r="F369" s="3"/>
    </row>
    <row r="370" spans="6:6" hidden="1" x14ac:dyDescent="0.25">
      <c r="F370" s="3"/>
    </row>
    <row r="371" spans="6:6" hidden="1" x14ac:dyDescent="0.25">
      <c r="F371" s="3"/>
    </row>
    <row r="372" spans="6:6" hidden="1" x14ac:dyDescent="0.25">
      <c r="F372" s="3"/>
    </row>
    <row r="373" spans="6:6" hidden="1" x14ac:dyDescent="0.25">
      <c r="F373" s="3"/>
    </row>
    <row r="374" spans="6:6" hidden="1" x14ac:dyDescent="0.25">
      <c r="F374" s="3"/>
    </row>
    <row r="375" spans="6:6" hidden="1" x14ac:dyDescent="0.25">
      <c r="F375" s="3"/>
    </row>
    <row r="376" spans="6:6" hidden="1" x14ac:dyDescent="0.25">
      <c r="F376" s="3"/>
    </row>
    <row r="377" spans="6:6" hidden="1" x14ac:dyDescent="0.25">
      <c r="F377" s="3"/>
    </row>
    <row r="378" spans="6:6" hidden="1" x14ac:dyDescent="0.25">
      <c r="F378" s="3"/>
    </row>
    <row r="379" spans="6:6" hidden="1" x14ac:dyDescent="0.25">
      <c r="F379" s="3"/>
    </row>
    <row r="380" spans="6:6" hidden="1" x14ac:dyDescent="0.25">
      <c r="F380" s="3"/>
    </row>
    <row r="381" spans="6:6" hidden="1" x14ac:dyDescent="0.25">
      <c r="F381" s="3"/>
    </row>
    <row r="382" spans="6:6" hidden="1" x14ac:dyDescent="0.25">
      <c r="F382" s="3"/>
    </row>
    <row r="383" spans="6:6" hidden="1" x14ac:dyDescent="0.25">
      <c r="F383" s="3"/>
    </row>
    <row r="384" spans="6:6" hidden="1" x14ac:dyDescent="0.25">
      <c r="F384" s="3"/>
    </row>
    <row r="385" spans="6:6" hidden="1" x14ac:dyDescent="0.25">
      <c r="F385" s="3"/>
    </row>
    <row r="386" spans="6:6" hidden="1" x14ac:dyDescent="0.25">
      <c r="F386" s="3"/>
    </row>
    <row r="387" spans="6:6" hidden="1" x14ac:dyDescent="0.25">
      <c r="F387" s="3"/>
    </row>
    <row r="388" spans="6:6" hidden="1" x14ac:dyDescent="0.25">
      <c r="F388" s="3"/>
    </row>
    <row r="389" spans="6:6" hidden="1" x14ac:dyDescent="0.25">
      <c r="F389" s="3"/>
    </row>
    <row r="390" spans="6:6" hidden="1" x14ac:dyDescent="0.25">
      <c r="F390" s="3"/>
    </row>
    <row r="391" spans="6:6" hidden="1" x14ac:dyDescent="0.25">
      <c r="F391" s="3"/>
    </row>
    <row r="392" spans="6:6" hidden="1" x14ac:dyDescent="0.25">
      <c r="F392" s="3"/>
    </row>
    <row r="393" spans="6:6" hidden="1" x14ac:dyDescent="0.25">
      <c r="F393" s="3"/>
    </row>
    <row r="394" spans="6:6" hidden="1" x14ac:dyDescent="0.25">
      <c r="F394" s="3"/>
    </row>
    <row r="395" spans="6:6" hidden="1" x14ac:dyDescent="0.25">
      <c r="F395" s="3"/>
    </row>
    <row r="396" spans="6:6" hidden="1" x14ac:dyDescent="0.25">
      <c r="F396" s="3"/>
    </row>
    <row r="397" spans="6:6" hidden="1" x14ac:dyDescent="0.25">
      <c r="F397" s="3"/>
    </row>
    <row r="398" spans="6:6" hidden="1" x14ac:dyDescent="0.25">
      <c r="F398" s="3"/>
    </row>
    <row r="399" spans="6:6" hidden="1" x14ac:dyDescent="0.25">
      <c r="F399" s="3"/>
    </row>
    <row r="400" spans="6:6" hidden="1" x14ac:dyDescent="0.25">
      <c r="F400" s="3"/>
    </row>
    <row r="401" spans="6:6" hidden="1" x14ac:dyDescent="0.25">
      <c r="F401" s="3"/>
    </row>
    <row r="402" spans="6:6" hidden="1" x14ac:dyDescent="0.25">
      <c r="F402" s="3"/>
    </row>
    <row r="403" spans="6:6" hidden="1" x14ac:dyDescent="0.25">
      <c r="F403" s="3"/>
    </row>
    <row r="404" spans="6:6" hidden="1" x14ac:dyDescent="0.25">
      <c r="F404" s="3"/>
    </row>
    <row r="405" spans="6:6" hidden="1" x14ac:dyDescent="0.25">
      <c r="F405" s="3"/>
    </row>
    <row r="406" spans="6:6" hidden="1" x14ac:dyDescent="0.25">
      <c r="F406" s="3"/>
    </row>
    <row r="407" spans="6:6" hidden="1" x14ac:dyDescent="0.25">
      <c r="F407" s="3"/>
    </row>
    <row r="408" spans="6:6" hidden="1" x14ac:dyDescent="0.25">
      <c r="F408" s="3"/>
    </row>
    <row r="409" spans="6:6" hidden="1" x14ac:dyDescent="0.25">
      <c r="F409" s="3"/>
    </row>
    <row r="410" spans="6:6" hidden="1" x14ac:dyDescent="0.25">
      <c r="F410" s="3"/>
    </row>
    <row r="411" spans="6:6" hidden="1" x14ac:dyDescent="0.25">
      <c r="F411" s="3"/>
    </row>
    <row r="412" spans="6:6" hidden="1" x14ac:dyDescent="0.25">
      <c r="F412" s="3"/>
    </row>
    <row r="413" spans="6:6" hidden="1" x14ac:dyDescent="0.25">
      <c r="F413" s="3"/>
    </row>
    <row r="414" spans="6:6" hidden="1" x14ac:dyDescent="0.25">
      <c r="F414" s="3"/>
    </row>
    <row r="415" spans="6:6" hidden="1" x14ac:dyDescent="0.25">
      <c r="F415" s="3"/>
    </row>
    <row r="416" spans="6:6" hidden="1" x14ac:dyDescent="0.25">
      <c r="F416" s="3"/>
    </row>
    <row r="417" spans="6:6" hidden="1" x14ac:dyDescent="0.25">
      <c r="F417" s="3"/>
    </row>
    <row r="418" spans="6:6" hidden="1" x14ac:dyDescent="0.25">
      <c r="F418" s="3"/>
    </row>
    <row r="419" spans="6:6" hidden="1" x14ac:dyDescent="0.25">
      <c r="F419" s="3"/>
    </row>
    <row r="420" spans="6:6" hidden="1" x14ac:dyDescent="0.25">
      <c r="F420" s="3"/>
    </row>
    <row r="421" spans="6:6" hidden="1" x14ac:dyDescent="0.25">
      <c r="F421" s="3"/>
    </row>
    <row r="422" spans="6:6" hidden="1" x14ac:dyDescent="0.25">
      <c r="F422" s="3"/>
    </row>
    <row r="423" spans="6:6" hidden="1" x14ac:dyDescent="0.25">
      <c r="F423" s="3"/>
    </row>
    <row r="424" spans="6:6" hidden="1" x14ac:dyDescent="0.25">
      <c r="F424" s="3"/>
    </row>
    <row r="425" spans="6:6" hidden="1" x14ac:dyDescent="0.25">
      <c r="F425" s="3"/>
    </row>
    <row r="426" spans="6:6" hidden="1" x14ac:dyDescent="0.25">
      <c r="F426" s="3"/>
    </row>
    <row r="427" spans="6:6" hidden="1" x14ac:dyDescent="0.25">
      <c r="F427" s="3"/>
    </row>
    <row r="428" spans="6:6" hidden="1" x14ac:dyDescent="0.25">
      <c r="F428" s="3"/>
    </row>
    <row r="429" spans="6:6" hidden="1" x14ac:dyDescent="0.25">
      <c r="F429" s="3"/>
    </row>
    <row r="430" spans="6:6" hidden="1" x14ac:dyDescent="0.25">
      <c r="F430" s="3"/>
    </row>
    <row r="431" spans="6:6" hidden="1" x14ac:dyDescent="0.25">
      <c r="F431" s="3"/>
    </row>
    <row r="432" spans="6:6" hidden="1" x14ac:dyDescent="0.25">
      <c r="F432" s="3"/>
    </row>
    <row r="433" spans="6:6" hidden="1" x14ac:dyDescent="0.25">
      <c r="F433" s="3"/>
    </row>
    <row r="434" spans="6:6" hidden="1" x14ac:dyDescent="0.25">
      <c r="F434" s="3"/>
    </row>
    <row r="435" spans="6:6" hidden="1" x14ac:dyDescent="0.25">
      <c r="F435" s="3"/>
    </row>
    <row r="436" spans="6:6" hidden="1" x14ac:dyDescent="0.25">
      <c r="F436" s="3"/>
    </row>
    <row r="437" spans="6:6" hidden="1" x14ac:dyDescent="0.25">
      <c r="F437" s="3"/>
    </row>
    <row r="438" spans="6:6" hidden="1" x14ac:dyDescent="0.25">
      <c r="F438" s="3"/>
    </row>
    <row r="439" spans="6:6" hidden="1" x14ac:dyDescent="0.25">
      <c r="F439" s="3"/>
    </row>
    <row r="440" spans="6:6" hidden="1" x14ac:dyDescent="0.25">
      <c r="F440" s="3"/>
    </row>
    <row r="441" spans="6:6" hidden="1" x14ac:dyDescent="0.25">
      <c r="F441" s="3"/>
    </row>
    <row r="442" spans="6:6" hidden="1" x14ac:dyDescent="0.25">
      <c r="F442" s="3"/>
    </row>
    <row r="443" spans="6:6" hidden="1" x14ac:dyDescent="0.25">
      <c r="F443" s="3"/>
    </row>
    <row r="444" spans="6:6" hidden="1" x14ac:dyDescent="0.25">
      <c r="F444" s="3"/>
    </row>
    <row r="445" spans="6:6" hidden="1" x14ac:dyDescent="0.25">
      <c r="F445" s="3"/>
    </row>
    <row r="446" spans="6:6" hidden="1" x14ac:dyDescent="0.25">
      <c r="F446" s="3"/>
    </row>
    <row r="447" spans="6:6" hidden="1" x14ac:dyDescent="0.25">
      <c r="F447" s="3"/>
    </row>
    <row r="448" spans="6:6" hidden="1" x14ac:dyDescent="0.25">
      <c r="F448" s="3"/>
    </row>
    <row r="449" spans="6:6" hidden="1" x14ac:dyDescent="0.25">
      <c r="F449" s="3"/>
    </row>
    <row r="450" spans="6:6" hidden="1" x14ac:dyDescent="0.25">
      <c r="F450" s="3"/>
    </row>
    <row r="451" spans="6:6" hidden="1" x14ac:dyDescent="0.25">
      <c r="F451" s="3"/>
    </row>
    <row r="452" spans="6:6" hidden="1" x14ac:dyDescent="0.25">
      <c r="F452" s="3"/>
    </row>
    <row r="453" spans="6:6" hidden="1" x14ac:dyDescent="0.25">
      <c r="F453" s="3"/>
    </row>
    <row r="454" spans="6:6" hidden="1" x14ac:dyDescent="0.25">
      <c r="F454" s="3"/>
    </row>
    <row r="455" spans="6:6" hidden="1" x14ac:dyDescent="0.25">
      <c r="F455" s="3"/>
    </row>
    <row r="456" spans="6:6" hidden="1" x14ac:dyDescent="0.25">
      <c r="F456" s="3"/>
    </row>
    <row r="457" spans="6:6" hidden="1" x14ac:dyDescent="0.25">
      <c r="F457" s="3"/>
    </row>
    <row r="458" spans="6:6" hidden="1" x14ac:dyDescent="0.25">
      <c r="F458" s="3"/>
    </row>
    <row r="459" spans="6:6" hidden="1" x14ac:dyDescent="0.25">
      <c r="F459" s="3"/>
    </row>
    <row r="460" spans="6:6" hidden="1" x14ac:dyDescent="0.25">
      <c r="F460" s="3"/>
    </row>
    <row r="461" spans="6:6" hidden="1" x14ac:dyDescent="0.25">
      <c r="F461" s="3"/>
    </row>
    <row r="462" spans="6:6" hidden="1" x14ac:dyDescent="0.25">
      <c r="F462" s="3"/>
    </row>
    <row r="463" spans="6:6" hidden="1" x14ac:dyDescent="0.25">
      <c r="F463" s="3"/>
    </row>
    <row r="464" spans="6:6" hidden="1" x14ac:dyDescent="0.25">
      <c r="F464" s="3"/>
    </row>
    <row r="465" spans="6:6" hidden="1" x14ac:dyDescent="0.25">
      <c r="F465" s="3"/>
    </row>
    <row r="466" spans="6:6" hidden="1" x14ac:dyDescent="0.25">
      <c r="F466" s="3"/>
    </row>
    <row r="467" spans="6:6" hidden="1" x14ac:dyDescent="0.25">
      <c r="F467" s="3"/>
    </row>
    <row r="468" spans="6:6" hidden="1" x14ac:dyDescent="0.25">
      <c r="F468" s="3"/>
    </row>
    <row r="469" spans="6:6" hidden="1" x14ac:dyDescent="0.25">
      <c r="F469" s="3"/>
    </row>
    <row r="470" spans="6:6" hidden="1" x14ac:dyDescent="0.25">
      <c r="F470" s="3"/>
    </row>
    <row r="471" spans="6:6" hidden="1" x14ac:dyDescent="0.25">
      <c r="F471" s="3"/>
    </row>
    <row r="472" spans="6:6" hidden="1" x14ac:dyDescent="0.25">
      <c r="F472" s="3"/>
    </row>
    <row r="473" spans="6:6" hidden="1" x14ac:dyDescent="0.25">
      <c r="F473" s="3"/>
    </row>
    <row r="474" spans="6:6" hidden="1" x14ac:dyDescent="0.25">
      <c r="F474" s="3"/>
    </row>
    <row r="475" spans="6:6" hidden="1" x14ac:dyDescent="0.25">
      <c r="F475" s="3"/>
    </row>
    <row r="476" spans="6:6" hidden="1" x14ac:dyDescent="0.25">
      <c r="F476" s="3"/>
    </row>
    <row r="477" spans="6:6" hidden="1" x14ac:dyDescent="0.25">
      <c r="F477" s="3"/>
    </row>
    <row r="478" spans="6:6" hidden="1" x14ac:dyDescent="0.25">
      <c r="F478" s="3"/>
    </row>
    <row r="479" spans="6:6" hidden="1" x14ac:dyDescent="0.25">
      <c r="F479" s="3"/>
    </row>
    <row r="480" spans="6:6" hidden="1" x14ac:dyDescent="0.25">
      <c r="F480" s="3"/>
    </row>
    <row r="481" spans="6:6" hidden="1" x14ac:dyDescent="0.25">
      <c r="F481" s="3"/>
    </row>
    <row r="482" spans="6:6" hidden="1" x14ac:dyDescent="0.25">
      <c r="F482" s="3"/>
    </row>
    <row r="483" spans="6:6" hidden="1" x14ac:dyDescent="0.25">
      <c r="F483" s="3"/>
    </row>
    <row r="484" spans="6:6" hidden="1" x14ac:dyDescent="0.25">
      <c r="F484" s="3"/>
    </row>
    <row r="485" spans="6:6" hidden="1" x14ac:dyDescent="0.25">
      <c r="F485" s="3"/>
    </row>
    <row r="486" spans="6:6" hidden="1" x14ac:dyDescent="0.25">
      <c r="F486" s="3"/>
    </row>
    <row r="487" spans="6:6" hidden="1" x14ac:dyDescent="0.25">
      <c r="F487" s="3"/>
    </row>
    <row r="488" spans="6:6" hidden="1" x14ac:dyDescent="0.25">
      <c r="F488" s="3"/>
    </row>
    <row r="489" spans="6:6" hidden="1" x14ac:dyDescent="0.25">
      <c r="F489" s="3"/>
    </row>
    <row r="490" spans="6:6" hidden="1" x14ac:dyDescent="0.25">
      <c r="F490" s="3"/>
    </row>
    <row r="491" spans="6:6" hidden="1" x14ac:dyDescent="0.25">
      <c r="F491" s="3"/>
    </row>
    <row r="492" spans="6:6" hidden="1" x14ac:dyDescent="0.25">
      <c r="F492" s="3"/>
    </row>
    <row r="493" spans="6:6" hidden="1" x14ac:dyDescent="0.25">
      <c r="F493" s="3"/>
    </row>
    <row r="494" spans="6:6" hidden="1" x14ac:dyDescent="0.25">
      <c r="F494" s="3"/>
    </row>
    <row r="495" spans="6:6" hidden="1" x14ac:dyDescent="0.25">
      <c r="F495" s="3"/>
    </row>
    <row r="496" spans="6:6" hidden="1" x14ac:dyDescent="0.25">
      <c r="F496" s="3"/>
    </row>
    <row r="497" spans="6:6" hidden="1" x14ac:dyDescent="0.25">
      <c r="F497" s="3"/>
    </row>
    <row r="498" spans="6:6" hidden="1" x14ac:dyDescent="0.25">
      <c r="F498" s="3"/>
    </row>
    <row r="499" spans="6:6" hidden="1" x14ac:dyDescent="0.25">
      <c r="F499" s="3"/>
    </row>
    <row r="500" spans="6:6" hidden="1" x14ac:dyDescent="0.25">
      <c r="F500" s="3"/>
    </row>
    <row r="501" spans="6:6" hidden="1" x14ac:dyDescent="0.25">
      <c r="F501" s="3"/>
    </row>
    <row r="502" spans="6:6" hidden="1" x14ac:dyDescent="0.25">
      <c r="F502" s="3"/>
    </row>
    <row r="503" spans="6:6" hidden="1" x14ac:dyDescent="0.25">
      <c r="F503" s="3"/>
    </row>
    <row r="504" spans="6:6" hidden="1" x14ac:dyDescent="0.25">
      <c r="F504" s="3"/>
    </row>
    <row r="505" spans="6:6" hidden="1" x14ac:dyDescent="0.25">
      <c r="F505" s="3"/>
    </row>
    <row r="506" spans="6:6" hidden="1" x14ac:dyDescent="0.25">
      <c r="F506" s="3"/>
    </row>
    <row r="507" spans="6:6" hidden="1" x14ac:dyDescent="0.25">
      <c r="F507" s="3"/>
    </row>
    <row r="508" spans="6:6" hidden="1" x14ac:dyDescent="0.25">
      <c r="F508" s="3"/>
    </row>
    <row r="509" spans="6:6" hidden="1" x14ac:dyDescent="0.25">
      <c r="F509" s="3"/>
    </row>
    <row r="510" spans="6:6" hidden="1" x14ac:dyDescent="0.25">
      <c r="F510" s="3"/>
    </row>
    <row r="511" spans="6:6" hidden="1" x14ac:dyDescent="0.25">
      <c r="F511" s="3"/>
    </row>
    <row r="512" spans="6:6" hidden="1" x14ac:dyDescent="0.25">
      <c r="F512" s="3"/>
    </row>
    <row r="513" spans="6:6" hidden="1" x14ac:dyDescent="0.25">
      <c r="F513" s="3"/>
    </row>
    <row r="514" spans="6:6" hidden="1" x14ac:dyDescent="0.25">
      <c r="F514" s="3"/>
    </row>
    <row r="515" spans="6:6" hidden="1" x14ac:dyDescent="0.25">
      <c r="F515" s="3"/>
    </row>
    <row r="516" spans="6:6" hidden="1" x14ac:dyDescent="0.25">
      <c r="F516" s="3"/>
    </row>
    <row r="517" spans="6:6" hidden="1" x14ac:dyDescent="0.25">
      <c r="F517" s="3"/>
    </row>
    <row r="518" spans="6:6" hidden="1" x14ac:dyDescent="0.25">
      <c r="F518" s="3"/>
    </row>
    <row r="519" spans="6:6" hidden="1" x14ac:dyDescent="0.25">
      <c r="F519" s="3"/>
    </row>
    <row r="520" spans="6:6" hidden="1" x14ac:dyDescent="0.25">
      <c r="F520" s="3"/>
    </row>
    <row r="521" spans="6:6" hidden="1" x14ac:dyDescent="0.25">
      <c r="F521" s="3"/>
    </row>
    <row r="522" spans="6:6" hidden="1" x14ac:dyDescent="0.25">
      <c r="F522" s="3"/>
    </row>
    <row r="523" spans="6:6" hidden="1" x14ac:dyDescent="0.25">
      <c r="F523" s="3"/>
    </row>
    <row r="524" spans="6:6" hidden="1" x14ac:dyDescent="0.25">
      <c r="F524" s="3"/>
    </row>
    <row r="525" spans="6:6" hidden="1" x14ac:dyDescent="0.25">
      <c r="F525" s="3"/>
    </row>
    <row r="526" spans="6:6" hidden="1" x14ac:dyDescent="0.25">
      <c r="F526" s="3"/>
    </row>
    <row r="527" spans="6:6" hidden="1" x14ac:dyDescent="0.25">
      <c r="F527" s="3"/>
    </row>
    <row r="528" spans="6:6" hidden="1" x14ac:dyDescent="0.25">
      <c r="F528" s="3"/>
    </row>
    <row r="529" spans="6:6" hidden="1" x14ac:dyDescent="0.25">
      <c r="F529" s="3"/>
    </row>
    <row r="530" spans="6:6" hidden="1" x14ac:dyDescent="0.25">
      <c r="F530" s="3"/>
    </row>
    <row r="531" spans="6:6" hidden="1" x14ac:dyDescent="0.25">
      <c r="F531" s="3"/>
    </row>
    <row r="532" spans="6:6" hidden="1" x14ac:dyDescent="0.25">
      <c r="F532" s="3"/>
    </row>
    <row r="533" spans="6:6" hidden="1" x14ac:dyDescent="0.25">
      <c r="F533" s="3"/>
    </row>
    <row r="534" spans="6:6" hidden="1" x14ac:dyDescent="0.25">
      <c r="F534" s="3"/>
    </row>
    <row r="535" spans="6:6" hidden="1" x14ac:dyDescent="0.25">
      <c r="F535" s="3"/>
    </row>
    <row r="536" spans="6:6" hidden="1" x14ac:dyDescent="0.25">
      <c r="F536" s="3"/>
    </row>
    <row r="537" spans="6:6" hidden="1" x14ac:dyDescent="0.25">
      <c r="F537" s="3"/>
    </row>
    <row r="538" spans="6:6" hidden="1" x14ac:dyDescent="0.25">
      <c r="F538" s="3"/>
    </row>
    <row r="539" spans="6:6" hidden="1" x14ac:dyDescent="0.25">
      <c r="F539" s="3"/>
    </row>
    <row r="540" spans="6:6" hidden="1" x14ac:dyDescent="0.25">
      <c r="F540" s="3"/>
    </row>
    <row r="541" spans="6:6" hidden="1" x14ac:dyDescent="0.25">
      <c r="F541" s="3"/>
    </row>
    <row r="542" spans="6:6" hidden="1" x14ac:dyDescent="0.25">
      <c r="F542" s="3"/>
    </row>
    <row r="543" spans="6:6" hidden="1" x14ac:dyDescent="0.25">
      <c r="F543" s="3"/>
    </row>
    <row r="544" spans="6:6" hidden="1" x14ac:dyDescent="0.25">
      <c r="F544" s="3"/>
    </row>
    <row r="545" spans="6:6" hidden="1" x14ac:dyDescent="0.25">
      <c r="F545" s="3"/>
    </row>
    <row r="546" spans="6:6" hidden="1" x14ac:dyDescent="0.25">
      <c r="F546" s="3"/>
    </row>
    <row r="547" spans="6:6" hidden="1" x14ac:dyDescent="0.25">
      <c r="F547" s="3"/>
    </row>
    <row r="548" spans="6:6" hidden="1" x14ac:dyDescent="0.25">
      <c r="F548" s="3"/>
    </row>
    <row r="549" spans="6:6" hidden="1" x14ac:dyDescent="0.25">
      <c r="F549" s="3"/>
    </row>
    <row r="550" spans="6:6" hidden="1" x14ac:dyDescent="0.25">
      <c r="F550" s="3"/>
    </row>
    <row r="551" spans="6:6" hidden="1" x14ac:dyDescent="0.25">
      <c r="F551" s="3"/>
    </row>
    <row r="552" spans="6:6" hidden="1" x14ac:dyDescent="0.25">
      <c r="F552" s="3"/>
    </row>
    <row r="553" spans="6:6" hidden="1" x14ac:dyDescent="0.25">
      <c r="F553" s="3"/>
    </row>
    <row r="554" spans="6:6" hidden="1" x14ac:dyDescent="0.25">
      <c r="F554" s="3"/>
    </row>
    <row r="555" spans="6:6" hidden="1" x14ac:dyDescent="0.25">
      <c r="F555" s="3"/>
    </row>
    <row r="556" spans="6:6" hidden="1" x14ac:dyDescent="0.25">
      <c r="F556" s="3"/>
    </row>
    <row r="557" spans="6:6" hidden="1" x14ac:dyDescent="0.25">
      <c r="F557" s="3"/>
    </row>
    <row r="558" spans="6:6" hidden="1" x14ac:dyDescent="0.25">
      <c r="F558" s="3"/>
    </row>
    <row r="559" spans="6:6" hidden="1" x14ac:dyDescent="0.25">
      <c r="F559" s="3"/>
    </row>
    <row r="560" spans="6:6" hidden="1" x14ac:dyDescent="0.25">
      <c r="F560" s="3"/>
    </row>
    <row r="561" spans="6:6" hidden="1" x14ac:dyDescent="0.25">
      <c r="F561" s="3"/>
    </row>
    <row r="562" spans="6:6" hidden="1" x14ac:dyDescent="0.25">
      <c r="F562" s="3"/>
    </row>
    <row r="563" spans="6:6" hidden="1" x14ac:dyDescent="0.25">
      <c r="F563" s="3"/>
    </row>
    <row r="564" spans="6:6" hidden="1" x14ac:dyDescent="0.25">
      <c r="F564" s="3"/>
    </row>
    <row r="565" spans="6:6" hidden="1" x14ac:dyDescent="0.25">
      <c r="F565" s="3"/>
    </row>
    <row r="566" spans="6:6" hidden="1" x14ac:dyDescent="0.25">
      <c r="F566" s="3"/>
    </row>
    <row r="567" spans="6:6" hidden="1" x14ac:dyDescent="0.25">
      <c r="F567" s="3"/>
    </row>
    <row r="568" spans="6:6" hidden="1" x14ac:dyDescent="0.25">
      <c r="F568" s="3"/>
    </row>
    <row r="569" spans="6:6" hidden="1" x14ac:dyDescent="0.25">
      <c r="F569" s="3"/>
    </row>
    <row r="570" spans="6:6" hidden="1" x14ac:dyDescent="0.25">
      <c r="F570" s="3"/>
    </row>
    <row r="571" spans="6:6" hidden="1" x14ac:dyDescent="0.25">
      <c r="F571" s="3"/>
    </row>
    <row r="572" spans="6:6" hidden="1" x14ac:dyDescent="0.25">
      <c r="F572" s="3"/>
    </row>
    <row r="573" spans="6:6" hidden="1" x14ac:dyDescent="0.25">
      <c r="F573" s="3"/>
    </row>
    <row r="574" spans="6:6" hidden="1" x14ac:dyDescent="0.25">
      <c r="F574" s="3"/>
    </row>
    <row r="575" spans="6:6" hidden="1" x14ac:dyDescent="0.25">
      <c r="F575" s="3"/>
    </row>
    <row r="576" spans="6:6" hidden="1" x14ac:dyDescent="0.25">
      <c r="F576" s="3"/>
    </row>
    <row r="577" spans="6:6" hidden="1" x14ac:dyDescent="0.25">
      <c r="F577" s="3"/>
    </row>
    <row r="578" spans="6:6" hidden="1" x14ac:dyDescent="0.25">
      <c r="F578" s="3"/>
    </row>
    <row r="579" spans="6:6" hidden="1" x14ac:dyDescent="0.25">
      <c r="F579" s="3"/>
    </row>
    <row r="580" spans="6:6" hidden="1" x14ac:dyDescent="0.25">
      <c r="F580" s="3"/>
    </row>
    <row r="581" spans="6:6" hidden="1" x14ac:dyDescent="0.25">
      <c r="F581" s="3"/>
    </row>
    <row r="582" spans="6:6" hidden="1" x14ac:dyDescent="0.25">
      <c r="F582" s="3"/>
    </row>
    <row r="583" spans="6:6" hidden="1" x14ac:dyDescent="0.25">
      <c r="F583" s="3"/>
    </row>
    <row r="584" spans="6:6" hidden="1" x14ac:dyDescent="0.25">
      <c r="F584" s="3"/>
    </row>
    <row r="585" spans="6:6" hidden="1" x14ac:dyDescent="0.25">
      <c r="F585" s="3"/>
    </row>
    <row r="586" spans="6:6" hidden="1" x14ac:dyDescent="0.25">
      <c r="F586" s="3"/>
    </row>
    <row r="587" spans="6:6" hidden="1" x14ac:dyDescent="0.25">
      <c r="F587" s="3"/>
    </row>
    <row r="588" spans="6:6" hidden="1" x14ac:dyDescent="0.25">
      <c r="F588" s="3"/>
    </row>
    <row r="589" spans="6:6" hidden="1" x14ac:dyDescent="0.25">
      <c r="F589" s="3"/>
    </row>
    <row r="590" spans="6:6" hidden="1" x14ac:dyDescent="0.25">
      <c r="F590" s="3"/>
    </row>
    <row r="591" spans="6:6" hidden="1" x14ac:dyDescent="0.25">
      <c r="F591" s="3"/>
    </row>
    <row r="592" spans="6:6" hidden="1" x14ac:dyDescent="0.25">
      <c r="F592" s="3"/>
    </row>
    <row r="593" spans="6:6" hidden="1" x14ac:dyDescent="0.25">
      <c r="F593" s="3"/>
    </row>
    <row r="594" spans="6:6" hidden="1" x14ac:dyDescent="0.25">
      <c r="F594" s="3"/>
    </row>
    <row r="595" spans="6:6" hidden="1" x14ac:dyDescent="0.25">
      <c r="F595" s="3"/>
    </row>
    <row r="596" spans="6:6" hidden="1" x14ac:dyDescent="0.25">
      <c r="F596" s="3"/>
    </row>
    <row r="597" spans="6:6" hidden="1" x14ac:dyDescent="0.25">
      <c r="F597" s="3"/>
    </row>
    <row r="598" spans="6:6" hidden="1" x14ac:dyDescent="0.25">
      <c r="F598" s="3"/>
    </row>
    <row r="599" spans="6:6" hidden="1" x14ac:dyDescent="0.25">
      <c r="F599" s="3"/>
    </row>
    <row r="600" spans="6:6" hidden="1" x14ac:dyDescent="0.25">
      <c r="F600" s="3"/>
    </row>
    <row r="601" spans="6:6" hidden="1" x14ac:dyDescent="0.25">
      <c r="F601" s="3"/>
    </row>
    <row r="602" spans="6:6" hidden="1" x14ac:dyDescent="0.25">
      <c r="F602" s="3"/>
    </row>
    <row r="603" spans="6:6" hidden="1" x14ac:dyDescent="0.25">
      <c r="F603" s="3"/>
    </row>
    <row r="604" spans="6:6" hidden="1" x14ac:dyDescent="0.25">
      <c r="F604" s="3"/>
    </row>
    <row r="605" spans="6:6" hidden="1" x14ac:dyDescent="0.25">
      <c r="F605" s="3"/>
    </row>
    <row r="606" spans="6:6" hidden="1" x14ac:dyDescent="0.25">
      <c r="F606" s="3"/>
    </row>
    <row r="607" spans="6:6" hidden="1" x14ac:dyDescent="0.25">
      <c r="F607" s="3"/>
    </row>
    <row r="608" spans="6:6" hidden="1" x14ac:dyDescent="0.25">
      <c r="F608" s="3"/>
    </row>
    <row r="609" spans="6:6" hidden="1" x14ac:dyDescent="0.25">
      <c r="F609" s="3"/>
    </row>
    <row r="610" spans="6:6" hidden="1" x14ac:dyDescent="0.25">
      <c r="F610" s="3"/>
    </row>
    <row r="611" spans="6:6" hidden="1" x14ac:dyDescent="0.25">
      <c r="F611" s="3"/>
    </row>
    <row r="612" spans="6:6" hidden="1" x14ac:dyDescent="0.25">
      <c r="F612" s="3"/>
    </row>
    <row r="613" spans="6:6" hidden="1" x14ac:dyDescent="0.25">
      <c r="F613" s="3"/>
    </row>
    <row r="614" spans="6:6" hidden="1" x14ac:dyDescent="0.25">
      <c r="F614" s="3"/>
    </row>
    <row r="615" spans="6:6" hidden="1" x14ac:dyDescent="0.25">
      <c r="F615" s="3"/>
    </row>
    <row r="616" spans="6:6" hidden="1" x14ac:dyDescent="0.25">
      <c r="F616" s="3"/>
    </row>
    <row r="617" spans="6:6" hidden="1" x14ac:dyDescent="0.25">
      <c r="F617" s="3"/>
    </row>
    <row r="618" spans="6:6" hidden="1" x14ac:dyDescent="0.25">
      <c r="F618" s="3"/>
    </row>
    <row r="619" spans="6:6" hidden="1" x14ac:dyDescent="0.25">
      <c r="F619" s="3"/>
    </row>
    <row r="620" spans="6:6" hidden="1" x14ac:dyDescent="0.25">
      <c r="F620" s="3"/>
    </row>
    <row r="621" spans="6:6" hidden="1" x14ac:dyDescent="0.25">
      <c r="F621" s="3"/>
    </row>
    <row r="622" spans="6:6" hidden="1" x14ac:dyDescent="0.25">
      <c r="F622" s="3"/>
    </row>
    <row r="623" spans="6:6" hidden="1" x14ac:dyDescent="0.25">
      <c r="F623" s="3"/>
    </row>
    <row r="624" spans="6:6" hidden="1" x14ac:dyDescent="0.25">
      <c r="F624" s="3"/>
    </row>
    <row r="625" spans="6:6" hidden="1" x14ac:dyDescent="0.25">
      <c r="F625" s="3"/>
    </row>
    <row r="626" spans="6:6" hidden="1" x14ac:dyDescent="0.25">
      <c r="F626" s="3"/>
    </row>
    <row r="627" spans="6:6" hidden="1" x14ac:dyDescent="0.25">
      <c r="F627" s="3"/>
    </row>
    <row r="628" spans="6:6" hidden="1" x14ac:dyDescent="0.25">
      <c r="F628" s="3"/>
    </row>
    <row r="629" spans="6:6" hidden="1" x14ac:dyDescent="0.25">
      <c r="F629" s="3"/>
    </row>
    <row r="630" spans="6:6" hidden="1" x14ac:dyDescent="0.25">
      <c r="F630" s="3"/>
    </row>
    <row r="631" spans="6:6" hidden="1" x14ac:dyDescent="0.25">
      <c r="F631" s="3"/>
    </row>
    <row r="632" spans="6:6" hidden="1" x14ac:dyDescent="0.25">
      <c r="F632" s="3"/>
    </row>
    <row r="633" spans="6:6" hidden="1" x14ac:dyDescent="0.25">
      <c r="F633" s="3"/>
    </row>
    <row r="634" spans="6:6" hidden="1" x14ac:dyDescent="0.25">
      <c r="F634" s="3"/>
    </row>
    <row r="635" spans="6:6" hidden="1" x14ac:dyDescent="0.25">
      <c r="F635" s="3"/>
    </row>
    <row r="636" spans="6:6" hidden="1" x14ac:dyDescent="0.25">
      <c r="F636" s="3"/>
    </row>
    <row r="637" spans="6:6" hidden="1" x14ac:dyDescent="0.25">
      <c r="F637" s="3"/>
    </row>
    <row r="638" spans="6:6" hidden="1" x14ac:dyDescent="0.25">
      <c r="F638" s="3"/>
    </row>
    <row r="639" spans="6:6" hidden="1" x14ac:dyDescent="0.25">
      <c r="F639" s="3"/>
    </row>
    <row r="640" spans="6:6" hidden="1" x14ac:dyDescent="0.25">
      <c r="F640" s="3"/>
    </row>
    <row r="641" spans="6:6" hidden="1" x14ac:dyDescent="0.25">
      <c r="F641" s="3"/>
    </row>
    <row r="642" spans="6:6" hidden="1" x14ac:dyDescent="0.25">
      <c r="F642" s="3"/>
    </row>
    <row r="643" spans="6:6" hidden="1" x14ac:dyDescent="0.25">
      <c r="F643" s="3"/>
    </row>
    <row r="644" spans="6:6" hidden="1" x14ac:dyDescent="0.25">
      <c r="F644" s="3"/>
    </row>
    <row r="645" spans="6:6" hidden="1" x14ac:dyDescent="0.25">
      <c r="F645" s="3"/>
    </row>
    <row r="646" spans="6:6" hidden="1" x14ac:dyDescent="0.25">
      <c r="F646" s="3"/>
    </row>
    <row r="647" spans="6:6" hidden="1" x14ac:dyDescent="0.25">
      <c r="F647" s="3"/>
    </row>
    <row r="648" spans="6:6" hidden="1" x14ac:dyDescent="0.25">
      <c r="F648" s="3"/>
    </row>
    <row r="649" spans="6:6" hidden="1" x14ac:dyDescent="0.25">
      <c r="F649" s="3"/>
    </row>
    <row r="650" spans="6:6" hidden="1" x14ac:dyDescent="0.25">
      <c r="F650" s="3"/>
    </row>
    <row r="651" spans="6:6" hidden="1" x14ac:dyDescent="0.25">
      <c r="F651" s="3"/>
    </row>
    <row r="652" spans="6:6" hidden="1" x14ac:dyDescent="0.25">
      <c r="F652" s="3"/>
    </row>
    <row r="653" spans="6:6" x14ac:dyDescent="0.25"/>
    <row r="654" spans="6:6" x14ac:dyDescent="0.25"/>
    <row r="655" spans="6:6" x14ac:dyDescent="0.25"/>
    <row r="656" spans="6: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</sheetData>
  <sheetProtection algorithmName="SHA-512" hashValue="tIItRTc/16hIhBgQCDFX0bCoSPmYedcrIZVPRmaVii9qa9ckMNCuT6S/PjGRvh0lAozYG8S7anJZno7NoXagKg==" saltValue="LiKwQFi2y7lWkjCeqVNcuQ==" spinCount="100000" sheet="1" objects="1" scenarios="1"/>
  <protectedRanges>
    <protectedRange sqref="E11" name="Range1_3"/>
    <protectedRange sqref="G33:H34" name="Range1_1"/>
    <protectedRange sqref="I34 I23:I32" name="Range1_4"/>
    <protectedRange sqref="J23:J32 J34" name="Range1_6"/>
  </protectedRanges>
  <mergeCells count="2">
    <mergeCell ref="E1:F1"/>
    <mergeCell ref="B13:D13"/>
  </mergeCells>
  <phoneticPr fontId="0" type="noConversion"/>
  <conditionalFormatting sqref="J133">
    <cfRule type="cellIs" dxfId="16" priority="33" operator="greaterThan">
      <formula>$J$134</formula>
    </cfRule>
  </conditionalFormatting>
  <conditionalFormatting sqref="H171">
    <cfRule type="expression" dxfId="15" priority="26">
      <formula>$Q$171&lt;&gt;0</formula>
    </cfRule>
  </conditionalFormatting>
  <conditionalFormatting sqref="J171">
    <cfRule type="expression" dxfId="14" priority="25">
      <formula>$R$171&lt;&gt;0</formula>
    </cfRule>
  </conditionalFormatting>
  <conditionalFormatting sqref="L171">
    <cfRule type="expression" dxfId="13" priority="24">
      <formula>$S$171&lt;&gt;0</formula>
    </cfRule>
  </conditionalFormatting>
  <conditionalFormatting sqref="E11">
    <cfRule type="expression" dxfId="12" priority="21">
      <formula>IF($F$10,TRUE,FALSE)</formula>
    </cfRule>
  </conditionalFormatting>
  <conditionalFormatting sqref="D117:E117">
    <cfRule type="expression" dxfId="11" priority="6">
      <formula>$G$117+$I$117&lt;&gt;0</formula>
    </cfRule>
  </conditionalFormatting>
  <conditionalFormatting sqref="E117">
    <cfRule type="expression" dxfId="10" priority="5">
      <formula>$H$117+$J$117&lt;&gt;0</formula>
    </cfRule>
  </conditionalFormatting>
  <conditionalFormatting sqref="G117">
    <cfRule type="expression" dxfId="9" priority="4">
      <formula>$G$117+$I$117&lt;&gt;0</formula>
    </cfRule>
  </conditionalFormatting>
  <conditionalFormatting sqref="I117">
    <cfRule type="expression" dxfId="8" priority="3">
      <formula>$G$117+$I$117&lt;&gt;0</formula>
    </cfRule>
  </conditionalFormatting>
  <conditionalFormatting sqref="H117">
    <cfRule type="expression" dxfId="7" priority="2">
      <formula>$H$117+$J$117&lt;&gt;0</formula>
    </cfRule>
  </conditionalFormatting>
  <conditionalFormatting sqref="J117">
    <cfRule type="expression" dxfId="6" priority="1">
      <formula>$H$117+$J$117&lt;&gt;0</formula>
    </cfRule>
  </conditionalFormatting>
  <dataValidations disablePrompts="1" count="1">
    <dataValidation allowBlank="1" showInputMessage="1" showErrorMessage="1" errorTitle="Unchecked Box" error="Check box on Cells C8 or C9." sqref="D9:D10" xr:uid="{00000000-0002-0000-0000-000000000000}"/>
  </dataValidations>
  <printOptions horizontalCentered="1"/>
  <pageMargins left="0.1" right="0.1" top="0.5" bottom="0.1" header="0.5" footer="0.5"/>
  <pageSetup scale="56" fitToHeight="0" orientation="landscape" horizontalDpi="300" verticalDpi="300" r:id="rId1"/>
  <headerFooter scaleWithDoc="0" alignWithMargins="0"/>
  <rowBreaks count="3" manualBreakCount="3">
    <brk id="60" min="1" max="13" man="1"/>
    <brk id="112" min="1" max="13" man="1"/>
    <brk id="155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790575</xdr:colOff>
                    <xdr:row>7</xdr:row>
                    <xdr:rowOff>161925</xdr:rowOff>
                  </from>
                  <to>
                    <xdr:col>3</xdr:col>
                    <xdr:colOff>1095375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790575</xdr:colOff>
                    <xdr:row>8</xdr:row>
                    <xdr:rowOff>180975</xdr:rowOff>
                  </from>
                  <to>
                    <xdr:col>3</xdr:col>
                    <xdr:colOff>1095375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1"/>
  <sheetViews>
    <sheetView view="pageBreakPreview" zoomScale="80" zoomScaleNormal="85" zoomScaleSheetLayoutView="80" workbookViewId="0">
      <selection activeCell="K80" sqref="K80"/>
    </sheetView>
  </sheetViews>
  <sheetFormatPr defaultColWidth="9.140625" defaultRowHeight="0" customHeight="1" zeroHeight="1" x14ac:dyDescent="0.25"/>
  <cols>
    <col min="1" max="1" width="0.85546875" style="1" customWidth="1"/>
    <col min="2" max="2" width="4.7109375" style="48" customWidth="1"/>
    <col min="3" max="3" width="2.5703125" style="48" customWidth="1"/>
    <col min="4" max="4" width="15.140625" style="48" customWidth="1"/>
    <col min="5" max="5" width="58.7109375" style="48" customWidth="1"/>
    <col min="6" max="6" width="17" style="48" customWidth="1"/>
    <col min="7" max="7" width="14.28515625" style="97" customWidth="1"/>
    <col min="8" max="8" width="14.140625" style="97" customWidth="1"/>
    <col min="9" max="9" width="21.140625" style="48" customWidth="1"/>
    <col min="10" max="10" width="20.140625" style="48" customWidth="1"/>
    <col min="11" max="11" width="63.5703125" style="1" customWidth="1"/>
    <col min="12" max="19" width="9.140625" style="1" customWidth="1"/>
    <col min="20" max="16383" width="9.140625" style="1"/>
    <col min="16384" max="16384" width="6" style="1" customWidth="1"/>
  </cols>
  <sheetData>
    <row r="1" spans="1:11" s="30" customFormat="1" ht="15" customHeight="1" x14ac:dyDescent="0.25">
      <c r="A1" s="203"/>
      <c r="B1" s="285" t="s">
        <v>222</v>
      </c>
      <c r="C1" s="286"/>
      <c r="D1" s="286"/>
      <c r="E1" s="286"/>
      <c r="F1" s="286"/>
      <c r="G1" s="286"/>
      <c r="H1" s="286"/>
      <c r="I1" s="286"/>
      <c r="J1" s="286"/>
      <c r="K1" s="287"/>
    </row>
    <row r="2" spans="1:11" s="30" customFormat="1" ht="15" customHeight="1" x14ac:dyDescent="0.25">
      <c r="A2" s="33"/>
      <c r="B2" s="288" t="s">
        <v>225</v>
      </c>
      <c r="C2" s="289"/>
      <c r="D2" s="289"/>
      <c r="E2" s="289"/>
      <c r="F2" s="289"/>
      <c r="G2" s="289"/>
      <c r="H2" s="289"/>
      <c r="I2" s="289"/>
      <c r="J2" s="289"/>
      <c r="K2" s="290"/>
    </row>
    <row r="3" spans="1:11" s="30" customFormat="1" ht="15" customHeight="1" x14ac:dyDescent="0.25">
      <c r="A3" s="249"/>
      <c r="B3" s="288" t="s">
        <v>233</v>
      </c>
      <c r="C3" s="289"/>
      <c r="D3" s="289"/>
      <c r="E3" s="289"/>
      <c r="F3" s="289"/>
      <c r="G3" s="289"/>
      <c r="H3" s="289"/>
      <c r="I3" s="289"/>
      <c r="J3" s="289"/>
      <c r="K3" s="290"/>
    </row>
    <row r="4" spans="1:11" s="30" customFormat="1" ht="15" customHeight="1" x14ac:dyDescent="0.25">
      <c r="A4" s="33"/>
      <c r="B4" s="252"/>
      <c r="C4" s="250"/>
      <c r="D4" s="250"/>
      <c r="E4" s="250"/>
      <c r="F4" s="250"/>
      <c r="G4" s="250"/>
      <c r="H4" s="250"/>
      <c r="I4" s="250"/>
      <c r="J4" s="251" t="s">
        <v>216</v>
      </c>
      <c r="K4" s="164"/>
    </row>
    <row r="5" spans="1:11" s="2" customFormat="1" ht="14.45" customHeight="1" x14ac:dyDescent="0.25">
      <c r="A5" s="33"/>
      <c r="B5" s="253"/>
      <c r="C5" s="38"/>
      <c r="D5" s="151"/>
      <c r="E5" s="38"/>
      <c r="F5" s="38"/>
      <c r="G5" s="38"/>
      <c r="H5" s="148"/>
      <c r="I5" s="146"/>
      <c r="J5" s="147" t="s">
        <v>234</v>
      </c>
      <c r="K5" s="50"/>
    </row>
    <row r="6" spans="1:11" s="2" customFormat="1" ht="14.45" customHeight="1" x14ac:dyDescent="0.25">
      <c r="A6" s="33"/>
      <c r="B6" s="253"/>
      <c r="C6" s="38"/>
      <c r="D6" s="39" t="s">
        <v>153</v>
      </c>
      <c r="E6" s="163" t="str">
        <f>'Interim Input'!E2:F2</f>
        <v>Health Science High and Middle School</v>
      </c>
      <c r="F6" s="145"/>
      <c r="G6" s="38"/>
      <c r="H6" s="38"/>
      <c r="I6" s="147"/>
      <c r="J6" s="147" t="s">
        <v>219</v>
      </c>
      <c r="K6" s="254"/>
    </row>
    <row r="7" spans="1:11" s="2" customFormat="1" ht="14.45" customHeight="1" x14ac:dyDescent="0.25">
      <c r="A7" s="33"/>
      <c r="B7" s="253"/>
      <c r="C7" s="38"/>
      <c r="D7" s="39" t="s">
        <v>211</v>
      </c>
      <c r="E7" s="163" t="str">
        <f>'Interim Input'!E3:F3</f>
        <v>37-68338-0114462</v>
      </c>
      <c r="F7" s="145"/>
      <c r="G7" s="38"/>
      <c r="H7" s="38"/>
      <c r="I7" s="147"/>
      <c r="J7" s="147" t="s">
        <v>220</v>
      </c>
      <c r="K7" s="50"/>
    </row>
    <row r="8" spans="1:11" s="2" customFormat="1" ht="14.45" customHeight="1" x14ac:dyDescent="0.25">
      <c r="A8" s="33"/>
      <c r="B8" s="253"/>
      <c r="C8" s="38"/>
      <c r="D8" s="39" t="s">
        <v>212</v>
      </c>
      <c r="E8" s="163" t="str">
        <f>'Interim Input'!E4:F4</f>
        <v>San Diego Unified School District</v>
      </c>
      <c r="F8" s="145"/>
      <c r="G8" s="38"/>
      <c r="H8" s="38"/>
      <c r="I8" s="147"/>
      <c r="J8" s="147" t="s">
        <v>217</v>
      </c>
      <c r="K8" s="254"/>
    </row>
    <row r="9" spans="1:11" s="2" customFormat="1" ht="14.45" customHeight="1" x14ac:dyDescent="0.25">
      <c r="A9" s="33"/>
      <c r="B9" s="253"/>
      <c r="C9" s="38"/>
      <c r="D9" s="39" t="s">
        <v>213</v>
      </c>
      <c r="E9" s="163" t="str">
        <f>'Interim Input'!E5:F5</f>
        <v>San Diego</v>
      </c>
      <c r="F9" s="145"/>
      <c r="G9" s="38"/>
      <c r="H9" s="38"/>
      <c r="I9" s="147"/>
      <c r="J9" s="146" t="s">
        <v>218</v>
      </c>
      <c r="K9" s="254"/>
    </row>
    <row r="10" spans="1:11" s="2" customFormat="1" ht="14.45" customHeight="1" x14ac:dyDescent="0.25">
      <c r="A10" s="33"/>
      <c r="B10" s="253"/>
      <c r="C10" s="38"/>
      <c r="D10" s="39" t="s">
        <v>214</v>
      </c>
      <c r="E10" s="163" t="str">
        <f>'Interim Input'!E6</f>
        <v>0876</v>
      </c>
      <c r="F10" s="145"/>
      <c r="G10" s="146"/>
      <c r="H10" s="146"/>
      <c r="I10" s="41"/>
      <c r="K10" s="164"/>
    </row>
    <row r="11" spans="1:11" s="2" customFormat="1" ht="15" x14ac:dyDescent="0.25">
      <c r="A11" s="33"/>
      <c r="B11" s="253"/>
      <c r="C11" s="38"/>
      <c r="D11" s="39"/>
      <c r="E11" s="172"/>
      <c r="F11" s="172"/>
      <c r="G11" s="38"/>
      <c r="H11" s="40"/>
      <c r="I11" s="281" t="s">
        <v>225</v>
      </c>
      <c r="J11" s="282"/>
      <c r="K11" s="164"/>
    </row>
    <row r="12" spans="1:11" s="152" customFormat="1" ht="13.5" customHeight="1" x14ac:dyDescent="0.25">
      <c r="A12" s="35"/>
      <c r="B12" s="255"/>
      <c r="C12" s="210"/>
      <c r="D12" s="210"/>
      <c r="E12" s="210"/>
      <c r="F12" s="153"/>
      <c r="G12" s="44"/>
      <c r="H12" s="45"/>
      <c r="I12" s="283" t="s">
        <v>186</v>
      </c>
      <c r="J12" s="284"/>
      <c r="K12" s="256"/>
    </row>
    <row r="13" spans="1:11" s="3" customFormat="1" ht="57" x14ac:dyDescent="0.25">
      <c r="A13" s="149"/>
      <c r="B13" s="279" t="s">
        <v>107</v>
      </c>
      <c r="C13" s="280"/>
      <c r="D13" s="280"/>
      <c r="E13" s="43"/>
      <c r="F13" s="150" t="s">
        <v>0</v>
      </c>
      <c r="G13" s="46" t="s">
        <v>224</v>
      </c>
      <c r="H13" s="46" t="s">
        <v>185</v>
      </c>
      <c r="I13" s="168" t="s">
        <v>209</v>
      </c>
      <c r="J13" s="168" t="s">
        <v>210</v>
      </c>
      <c r="K13" s="257" t="s">
        <v>221</v>
      </c>
    </row>
    <row r="14" spans="1:11" ht="15" x14ac:dyDescent="0.25">
      <c r="A14" s="33"/>
      <c r="B14" s="253" t="s">
        <v>78</v>
      </c>
      <c r="C14" s="38"/>
      <c r="D14" s="38"/>
      <c r="E14" s="50"/>
      <c r="F14" s="51"/>
      <c r="G14" s="52"/>
      <c r="H14" s="53"/>
      <c r="I14" s="54"/>
      <c r="J14" s="54"/>
      <c r="K14" s="258"/>
    </row>
    <row r="15" spans="1:11" ht="15" x14ac:dyDescent="0.25">
      <c r="A15" s="33"/>
      <c r="B15" s="253"/>
      <c r="C15" s="38" t="s">
        <v>112</v>
      </c>
      <c r="D15" s="38"/>
      <c r="E15" s="50"/>
      <c r="F15" s="50"/>
      <c r="G15" s="55"/>
      <c r="H15" s="55"/>
      <c r="I15" s="56"/>
      <c r="J15" s="56"/>
      <c r="K15" s="259"/>
    </row>
    <row r="16" spans="1:11" ht="15" x14ac:dyDescent="0.25">
      <c r="A16" s="33"/>
      <c r="B16" s="253"/>
      <c r="C16" s="38"/>
      <c r="D16" s="38" t="s">
        <v>192</v>
      </c>
      <c r="E16" s="50"/>
      <c r="F16" s="57">
        <v>8011</v>
      </c>
      <c r="G16" s="213">
        <v>2893732</v>
      </c>
      <c r="H16" s="58">
        <f>VLOOKUP($D$16:$D$119,'Interim Input'!$D$16:$K$172,8,FALSE)</f>
        <v>2791641</v>
      </c>
      <c r="I16" s="59">
        <f>+H16-G16</f>
        <v>-102091</v>
      </c>
      <c r="J16" s="154">
        <f>IFERROR(+I16/G16,0)</f>
        <v>-3.5280046666380994E-2</v>
      </c>
      <c r="K16" s="259"/>
    </row>
    <row r="17" spans="1:11" ht="15" x14ac:dyDescent="0.25">
      <c r="A17" s="33"/>
      <c r="B17" s="253"/>
      <c r="C17" s="38"/>
      <c r="D17" s="38" t="s">
        <v>193</v>
      </c>
      <c r="E17" s="50"/>
      <c r="F17" s="57">
        <v>8012</v>
      </c>
      <c r="G17" s="240">
        <v>114000</v>
      </c>
      <c r="H17" s="58">
        <f>VLOOKUP($D$16:$D$119,'Interim Input'!$D$16:$K$172,8,FALSE)</f>
        <v>303785</v>
      </c>
      <c r="I17" s="59">
        <f>+H17-G17</f>
        <v>189785</v>
      </c>
      <c r="J17" s="154">
        <f>IFERROR(+I17/G17,0)</f>
        <v>1.6647807017543859</v>
      </c>
      <c r="K17" s="259" t="s">
        <v>239</v>
      </c>
    </row>
    <row r="18" spans="1:11" ht="15" x14ac:dyDescent="0.25">
      <c r="A18" s="33"/>
      <c r="B18" s="253"/>
      <c r="C18" s="38"/>
      <c r="D18" s="38" t="s">
        <v>194</v>
      </c>
      <c r="E18" s="50"/>
      <c r="F18" s="57">
        <v>8019</v>
      </c>
      <c r="G18" s="240"/>
      <c r="H18" s="58">
        <f>VLOOKUP($D$16:$D$119,'Interim Input'!$D$16:$K$172,8,FALSE)</f>
        <v>0</v>
      </c>
      <c r="I18" s="59">
        <f>+H18-G18</f>
        <v>0</v>
      </c>
      <c r="J18" s="154">
        <f t="shared" ref="J18:J20" si="0">IFERROR(+I18/G18,0)</f>
        <v>0</v>
      </c>
      <c r="K18" s="259"/>
    </row>
    <row r="19" spans="1:11" ht="15" x14ac:dyDescent="0.25">
      <c r="A19" s="33"/>
      <c r="B19" s="253"/>
      <c r="C19" s="38"/>
      <c r="D19" s="38" t="s">
        <v>141</v>
      </c>
      <c r="E19" s="50"/>
      <c r="F19" s="57">
        <v>8096</v>
      </c>
      <c r="G19" s="240">
        <v>4007653</v>
      </c>
      <c r="H19" s="58">
        <f>VLOOKUP($D$16:$D$119,'Interim Input'!$D$16:$K$172,8,FALSE)</f>
        <v>3487361</v>
      </c>
      <c r="I19" s="59">
        <f>+H19-G19</f>
        <v>-520292</v>
      </c>
      <c r="J19" s="154">
        <f t="shared" si="0"/>
        <v>-0.12982461305906473</v>
      </c>
      <c r="K19" s="259" t="s">
        <v>238</v>
      </c>
    </row>
    <row r="20" spans="1:11" ht="15" x14ac:dyDescent="0.25">
      <c r="A20" s="33"/>
      <c r="B20" s="253"/>
      <c r="C20" s="38"/>
      <c r="D20" s="38" t="s">
        <v>110</v>
      </c>
      <c r="E20" s="50"/>
      <c r="F20" s="57" t="s">
        <v>111</v>
      </c>
      <c r="G20" s="240"/>
      <c r="H20" s="58">
        <f>VLOOKUP($D$16:$D$119,'Interim Input'!$D$16:$K$172,8,FALSE)</f>
        <v>0</v>
      </c>
      <c r="I20" s="59">
        <f>+H20-G20</f>
        <v>0</v>
      </c>
      <c r="J20" s="154">
        <f t="shared" si="0"/>
        <v>0</v>
      </c>
      <c r="K20" s="259"/>
    </row>
    <row r="21" spans="1:11" s="138" customFormat="1" ht="15" x14ac:dyDescent="0.25">
      <c r="A21" s="136"/>
      <c r="B21" s="260"/>
      <c r="C21" s="139" t="s">
        <v>142</v>
      </c>
      <c r="D21" s="139"/>
      <c r="E21" s="77"/>
      <c r="F21" s="84"/>
      <c r="G21" s="140">
        <f t="shared" ref="G21:H21" si="1">SUM(G16:G20)</f>
        <v>7015385</v>
      </c>
      <c r="H21" s="140">
        <f t="shared" si="1"/>
        <v>6582787</v>
      </c>
      <c r="I21" s="85">
        <f>SUM(I16:I20)</f>
        <v>-432598</v>
      </c>
      <c r="J21" s="155">
        <f>IFERROR(+I21/G21,0)</f>
        <v>-6.1664185215779321E-2</v>
      </c>
      <c r="K21" s="261"/>
    </row>
    <row r="22" spans="1:11" ht="15" x14ac:dyDescent="0.25">
      <c r="A22" s="33"/>
      <c r="B22" s="262"/>
      <c r="C22" s="66" t="s">
        <v>188</v>
      </c>
      <c r="D22" s="66"/>
      <c r="E22" s="51"/>
      <c r="F22" s="67"/>
      <c r="G22" s="80"/>
      <c r="H22" s="69"/>
      <c r="I22" s="70"/>
      <c r="J22" s="70"/>
      <c r="K22" s="258"/>
    </row>
    <row r="23" spans="1:11" ht="15" x14ac:dyDescent="0.25">
      <c r="A23" s="33"/>
      <c r="B23" s="253"/>
      <c r="C23" s="38"/>
      <c r="D23" s="38" t="s">
        <v>143</v>
      </c>
      <c r="E23" s="38"/>
      <c r="F23" s="67">
        <v>8290</v>
      </c>
      <c r="G23" s="240">
        <v>173141</v>
      </c>
      <c r="H23" s="58">
        <f>VLOOKUP($D$16:$D$119,'Interim Input'!$D$16:$K$172,8,FALSE)</f>
        <v>173141</v>
      </c>
      <c r="I23" s="59">
        <f t="shared" ref="I23:I34" si="2">+H23-G23</f>
        <v>0</v>
      </c>
      <c r="J23" s="154">
        <f t="shared" ref="J23:J34" si="3">IFERROR(+I23/G23,0)</f>
        <v>0</v>
      </c>
      <c r="K23" s="259"/>
    </row>
    <row r="24" spans="1:11" ht="15" x14ac:dyDescent="0.25">
      <c r="A24" s="33"/>
      <c r="B24" s="253"/>
      <c r="C24" s="38"/>
      <c r="D24" s="38" t="s">
        <v>144</v>
      </c>
      <c r="E24" s="38"/>
      <c r="F24" s="67">
        <v>8290</v>
      </c>
      <c r="G24" s="240">
        <v>24800</v>
      </c>
      <c r="H24" s="58">
        <f>VLOOKUP($D$16:$D$119,'Interim Input'!$D$16:$K$172,8,FALSE)</f>
        <v>24800</v>
      </c>
      <c r="I24" s="59">
        <f t="shared" si="2"/>
        <v>0</v>
      </c>
      <c r="J24" s="154">
        <f t="shared" si="3"/>
        <v>0</v>
      </c>
      <c r="K24" s="259"/>
    </row>
    <row r="25" spans="1:11" ht="15" x14ac:dyDescent="0.25">
      <c r="A25" s="33"/>
      <c r="B25" s="253"/>
      <c r="C25" s="38"/>
      <c r="D25" s="38" t="s">
        <v>145</v>
      </c>
      <c r="E25" s="38"/>
      <c r="F25" s="67">
        <v>8290</v>
      </c>
      <c r="G25" s="240">
        <v>10294</v>
      </c>
      <c r="H25" s="58">
        <f>VLOOKUP($D$16:$D$119,'Interim Input'!$D$16:$K$172,8,FALSE)</f>
        <v>10294</v>
      </c>
      <c r="I25" s="59">
        <f t="shared" si="2"/>
        <v>0</v>
      </c>
      <c r="J25" s="154">
        <f t="shared" si="3"/>
        <v>0</v>
      </c>
      <c r="K25" s="259"/>
    </row>
    <row r="26" spans="1:11" ht="15" x14ac:dyDescent="0.25">
      <c r="A26" s="33"/>
      <c r="B26" s="253"/>
      <c r="C26" s="38"/>
      <c r="D26" s="38" t="s">
        <v>146</v>
      </c>
      <c r="E26" s="38"/>
      <c r="F26" s="67">
        <v>8290</v>
      </c>
      <c r="G26" s="240"/>
      <c r="H26" s="58">
        <f>VLOOKUP($D$16:$D$119,'Interim Input'!$D$16:$K$172,8,FALSE)</f>
        <v>0</v>
      </c>
      <c r="I26" s="59">
        <f t="shared" si="2"/>
        <v>0</v>
      </c>
      <c r="J26" s="154">
        <f t="shared" si="3"/>
        <v>0</v>
      </c>
      <c r="K26" s="259"/>
    </row>
    <row r="27" spans="1:11" ht="15" x14ac:dyDescent="0.25">
      <c r="A27" s="33"/>
      <c r="B27" s="253"/>
      <c r="C27" s="38"/>
      <c r="D27" s="38" t="s">
        <v>189</v>
      </c>
      <c r="E27" s="38"/>
      <c r="F27" s="67">
        <v>8290</v>
      </c>
      <c r="G27" s="240"/>
      <c r="H27" s="58">
        <f>VLOOKUP($D$16:$D$119,'Interim Input'!$D$16:$K$172,8,FALSE)</f>
        <v>0</v>
      </c>
      <c r="I27" s="59">
        <f t="shared" si="2"/>
        <v>0</v>
      </c>
      <c r="J27" s="154">
        <f t="shared" si="3"/>
        <v>0</v>
      </c>
      <c r="K27" s="259"/>
    </row>
    <row r="28" spans="1:11" ht="15" x14ac:dyDescent="0.25">
      <c r="A28" s="33"/>
      <c r="B28" s="253"/>
      <c r="C28" s="38"/>
      <c r="D28" s="38" t="s">
        <v>190</v>
      </c>
      <c r="E28" s="38"/>
      <c r="F28" s="67">
        <v>8290</v>
      </c>
      <c r="G28" s="240">
        <v>11853</v>
      </c>
      <c r="H28" s="58">
        <f>VLOOKUP($D$16:$D$119,'Interim Input'!$D$16:$K$172,8,FALSE)</f>
        <v>11853</v>
      </c>
      <c r="I28" s="59">
        <f t="shared" si="2"/>
        <v>0</v>
      </c>
      <c r="J28" s="154">
        <f t="shared" si="3"/>
        <v>0</v>
      </c>
      <c r="K28" s="259"/>
    </row>
    <row r="29" spans="1:11" ht="15" x14ac:dyDescent="0.25">
      <c r="A29" s="33"/>
      <c r="B29" s="253"/>
      <c r="C29" s="38"/>
      <c r="D29" s="38" t="s">
        <v>166</v>
      </c>
      <c r="E29" s="38"/>
      <c r="F29" s="67">
        <v>8290</v>
      </c>
      <c r="G29" s="240"/>
      <c r="H29" s="58">
        <f>VLOOKUP($D$16:$D$119,'Interim Input'!$D$16:$K$172,8,FALSE)</f>
        <v>0</v>
      </c>
      <c r="I29" s="59">
        <f t="shared" si="2"/>
        <v>0</v>
      </c>
      <c r="J29" s="154">
        <f t="shared" si="3"/>
        <v>0</v>
      </c>
      <c r="K29" s="259"/>
    </row>
    <row r="30" spans="1:11" ht="15" x14ac:dyDescent="0.25">
      <c r="A30" s="33"/>
      <c r="B30" s="253"/>
      <c r="C30" s="38"/>
      <c r="D30" s="38" t="s">
        <v>180</v>
      </c>
      <c r="E30" s="38"/>
      <c r="F30" s="67">
        <v>8181</v>
      </c>
      <c r="G30" s="240">
        <v>119700</v>
      </c>
      <c r="H30" s="58">
        <f>VLOOKUP($D$16:$D$119,'Interim Input'!$D$16:$K$172,8,FALSE)</f>
        <v>119700</v>
      </c>
      <c r="I30" s="59">
        <f t="shared" si="2"/>
        <v>0</v>
      </c>
      <c r="J30" s="154">
        <f t="shared" si="3"/>
        <v>0</v>
      </c>
      <c r="K30" s="259"/>
    </row>
    <row r="31" spans="1:11" ht="15" x14ac:dyDescent="0.25">
      <c r="A31" s="33"/>
      <c r="B31" s="253"/>
      <c r="C31" s="38"/>
      <c r="D31" s="38" t="s">
        <v>135</v>
      </c>
      <c r="E31" s="38"/>
      <c r="F31" s="67">
        <v>8182</v>
      </c>
      <c r="G31" s="240"/>
      <c r="H31" s="58">
        <f>VLOOKUP($D$16:$D$119,'Interim Input'!$D$16:$K$172,8,FALSE)</f>
        <v>0</v>
      </c>
      <c r="I31" s="59">
        <f t="shared" si="2"/>
        <v>0</v>
      </c>
      <c r="J31" s="154">
        <f t="shared" si="3"/>
        <v>0</v>
      </c>
      <c r="K31" s="259"/>
    </row>
    <row r="32" spans="1:11" ht="15" x14ac:dyDescent="0.25">
      <c r="A32" s="33"/>
      <c r="B32" s="253"/>
      <c r="C32" s="38"/>
      <c r="D32" s="38" t="s">
        <v>131</v>
      </c>
      <c r="E32" s="38"/>
      <c r="F32" s="67">
        <v>8220</v>
      </c>
      <c r="G32" s="240"/>
      <c r="H32" s="58">
        <f>VLOOKUP($D$16:$D$119,'Interim Input'!$D$16:$K$172,8,FALSE)</f>
        <v>0</v>
      </c>
      <c r="I32" s="59">
        <f t="shared" si="2"/>
        <v>0</v>
      </c>
      <c r="J32" s="154">
        <f t="shared" si="3"/>
        <v>0</v>
      </c>
      <c r="K32" s="259"/>
    </row>
    <row r="33" spans="1:11" ht="15" x14ac:dyDescent="0.25">
      <c r="A33" s="33"/>
      <c r="B33" s="253"/>
      <c r="C33" s="38"/>
      <c r="D33" s="38" t="s">
        <v>182</v>
      </c>
      <c r="E33" s="38"/>
      <c r="F33" s="67">
        <v>8110</v>
      </c>
      <c r="G33" s="240"/>
      <c r="H33" s="58">
        <f>VLOOKUP($D$16:$D$119,'Interim Input'!$D$16:$K$172,8,FALSE)</f>
        <v>0</v>
      </c>
      <c r="I33" s="59">
        <f t="shared" si="2"/>
        <v>0</v>
      </c>
      <c r="J33" s="154">
        <f t="shared" si="3"/>
        <v>0</v>
      </c>
      <c r="K33" s="259"/>
    </row>
    <row r="34" spans="1:11" s="2" customFormat="1" ht="15" x14ac:dyDescent="0.25">
      <c r="A34" s="33"/>
      <c r="B34" s="253"/>
      <c r="C34" s="38"/>
      <c r="D34" s="38" t="s">
        <v>195</v>
      </c>
      <c r="E34" s="38"/>
      <c r="F34" s="67" t="s">
        <v>80</v>
      </c>
      <c r="G34" s="240">
        <v>867601</v>
      </c>
      <c r="H34" s="58">
        <f>VLOOKUP($D$16:$D$119,'Interim Input'!$D$16:$K$172,8,FALSE)</f>
        <v>1584013</v>
      </c>
      <c r="I34" s="59">
        <f t="shared" si="2"/>
        <v>716412</v>
      </c>
      <c r="J34" s="154">
        <f t="shared" si="3"/>
        <v>0.82573902058665216</v>
      </c>
      <c r="K34" s="259" t="s">
        <v>240</v>
      </c>
    </row>
    <row r="35" spans="1:11" s="138" customFormat="1" ht="15" x14ac:dyDescent="0.25">
      <c r="A35" s="136"/>
      <c r="B35" s="263"/>
      <c r="C35" s="75" t="s">
        <v>81</v>
      </c>
      <c r="D35" s="75"/>
      <c r="E35" s="75"/>
      <c r="F35" s="137"/>
      <c r="G35" s="140">
        <f>SUM(G23:G34)</f>
        <v>1207389</v>
      </c>
      <c r="H35" s="85">
        <f t="shared" ref="H35" si="4">SUM(H23:H34)</f>
        <v>1923801</v>
      </c>
      <c r="I35" s="85">
        <f>SUM(I23:I34)</f>
        <v>716412</v>
      </c>
      <c r="J35" s="155">
        <f>IFERROR(+I35/G35,0)</f>
        <v>0.5933564079182434</v>
      </c>
      <c r="K35" s="261"/>
    </row>
    <row r="36" spans="1:11" ht="15" x14ac:dyDescent="0.25">
      <c r="A36" s="33"/>
      <c r="B36" s="262"/>
      <c r="C36" s="66" t="s">
        <v>187</v>
      </c>
      <c r="D36" s="66"/>
      <c r="E36" s="51"/>
      <c r="F36" s="50"/>
      <c r="G36" s="80"/>
      <c r="H36" s="69"/>
      <c r="I36" s="70"/>
      <c r="J36" s="70"/>
      <c r="K36" s="258"/>
    </row>
    <row r="37" spans="1:11" ht="15" x14ac:dyDescent="0.25">
      <c r="A37" s="33"/>
      <c r="B37" s="253"/>
      <c r="C37" s="38"/>
      <c r="D37" s="38" t="s">
        <v>130</v>
      </c>
      <c r="E37" s="50"/>
      <c r="F37" s="57">
        <v>8792</v>
      </c>
      <c r="G37" s="240">
        <v>323418</v>
      </c>
      <c r="H37" s="58">
        <f>VLOOKUP($D$16:$D$119,'Interim Input'!$D$16:$K$172,8,FALSE)</f>
        <v>323418</v>
      </c>
      <c r="I37" s="59">
        <f t="shared" ref="I37:I47" si="5">+H37-G37</f>
        <v>0</v>
      </c>
      <c r="J37" s="154">
        <f t="shared" ref="J37:J47" si="6">IFERROR(+I37/G37,0)</f>
        <v>0</v>
      </c>
      <c r="K37" s="259"/>
    </row>
    <row r="38" spans="1:11" ht="15" x14ac:dyDescent="0.25">
      <c r="A38" s="33"/>
      <c r="B38" s="253"/>
      <c r="C38" s="38"/>
      <c r="D38" s="38" t="s">
        <v>139</v>
      </c>
      <c r="E38" s="50"/>
      <c r="F38" s="57">
        <v>8590</v>
      </c>
      <c r="G38" s="240"/>
      <c r="H38" s="58">
        <f>VLOOKUP($D$16:$D$119,'Interim Input'!$D$16:$K$172,8,FALSE)</f>
        <v>0</v>
      </c>
      <c r="I38" s="59">
        <f t="shared" si="5"/>
        <v>0</v>
      </c>
      <c r="J38" s="154">
        <f t="shared" si="6"/>
        <v>0</v>
      </c>
      <c r="K38" s="259"/>
    </row>
    <row r="39" spans="1:11" ht="15" x14ac:dyDescent="0.25">
      <c r="A39" s="33"/>
      <c r="B39" s="253"/>
      <c r="C39" s="38"/>
      <c r="D39" s="38" t="s">
        <v>122</v>
      </c>
      <c r="E39" s="50"/>
      <c r="F39" s="57">
        <v>8550</v>
      </c>
      <c r="G39" s="240">
        <v>27376</v>
      </c>
      <c r="H39" s="58">
        <f>VLOOKUP($D$16:$D$119,'Interim Input'!$D$16:$K$172,8,FALSE)</f>
        <v>27376</v>
      </c>
      <c r="I39" s="59">
        <f t="shared" si="5"/>
        <v>0</v>
      </c>
      <c r="J39" s="154">
        <f t="shared" si="6"/>
        <v>0</v>
      </c>
      <c r="K39" s="259"/>
    </row>
    <row r="40" spans="1:11" ht="15" x14ac:dyDescent="0.25">
      <c r="A40" s="33"/>
      <c r="B40" s="253"/>
      <c r="C40" s="38"/>
      <c r="D40" s="38" t="s">
        <v>121</v>
      </c>
      <c r="E40" s="50"/>
      <c r="F40" s="57" t="s">
        <v>113</v>
      </c>
      <c r="G40" s="240"/>
      <c r="H40" s="58">
        <f>VLOOKUP($D$16:$D$119,'Interim Input'!$D$16:$K$172,8,FALSE)</f>
        <v>0</v>
      </c>
      <c r="I40" s="59">
        <f t="shared" si="5"/>
        <v>0</v>
      </c>
      <c r="J40" s="154">
        <f t="shared" si="6"/>
        <v>0</v>
      </c>
      <c r="K40" s="259"/>
    </row>
    <row r="41" spans="1:11" ht="15" x14ac:dyDescent="0.25">
      <c r="A41" s="33"/>
      <c r="B41" s="253"/>
      <c r="C41" s="38"/>
      <c r="D41" s="38" t="s">
        <v>123</v>
      </c>
      <c r="E41" s="50"/>
      <c r="F41" s="57">
        <v>8590</v>
      </c>
      <c r="G41" s="240"/>
      <c r="H41" s="58">
        <f>VLOOKUP($D$16:$D$119,'Interim Input'!$D$16:$K$172,8,FALSE)</f>
        <v>0</v>
      </c>
      <c r="I41" s="59">
        <f t="shared" si="5"/>
        <v>0</v>
      </c>
      <c r="J41" s="154">
        <f t="shared" si="6"/>
        <v>0</v>
      </c>
      <c r="K41" s="259"/>
    </row>
    <row r="42" spans="1:11" ht="15" x14ac:dyDescent="0.25">
      <c r="A42" s="33"/>
      <c r="B42" s="253"/>
      <c r="C42" s="38"/>
      <c r="D42" s="38" t="s">
        <v>120</v>
      </c>
      <c r="E42" s="50"/>
      <c r="F42" s="57">
        <v>8590</v>
      </c>
      <c r="G42" s="240"/>
      <c r="H42" s="58">
        <f>VLOOKUP($D$16:$D$119,'Interim Input'!$D$16:$K$172,8,FALSE)</f>
        <v>0</v>
      </c>
      <c r="I42" s="59">
        <f t="shared" si="5"/>
        <v>0</v>
      </c>
      <c r="J42" s="154">
        <f t="shared" si="6"/>
        <v>0</v>
      </c>
      <c r="K42" s="259"/>
    </row>
    <row r="43" spans="1:11" ht="15" x14ac:dyDescent="0.25">
      <c r="A43" s="33"/>
      <c r="B43" s="253"/>
      <c r="C43" s="38"/>
      <c r="D43" s="38" t="s">
        <v>191</v>
      </c>
      <c r="E43" s="50"/>
      <c r="F43" s="57">
        <v>8590</v>
      </c>
      <c r="G43" s="240"/>
      <c r="H43" s="58">
        <f>VLOOKUP($D$16:$D$119,'Interim Input'!$D$16:$K$172,8,FALSE)</f>
        <v>0</v>
      </c>
      <c r="I43" s="59">
        <f t="shared" si="5"/>
        <v>0</v>
      </c>
      <c r="J43" s="154">
        <f t="shared" si="6"/>
        <v>0</v>
      </c>
      <c r="K43" s="259"/>
    </row>
    <row r="44" spans="1:11" ht="15" x14ac:dyDescent="0.25">
      <c r="A44" s="33"/>
      <c r="B44" s="253"/>
      <c r="C44" s="38"/>
      <c r="D44" s="38" t="s">
        <v>124</v>
      </c>
      <c r="E44" s="50"/>
      <c r="F44" s="57">
        <v>8560</v>
      </c>
      <c r="G44" s="240">
        <v>92910</v>
      </c>
      <c r="H44" s="58">
        <f>VLOOKUP($D$16:$D$119,'Interim Input'!$D$16:$K$172,8,FALSE)</f>
        <v>80868.374999999985</v>
      </c>
      <c r="I44" s="59">
        <f t="shared" si="5"/>
        <v>-12041.625000000015</v>
      </c>
      <c r="J44" s="154">
        <f t="shared" si="6"/>
        <v>-0.12960526315789489</v>
      </c>
      <c r="K44" s="259" t="s">
        <v>238</v>
      </c>
    </row>
    <row r="45" spans="1:11" ht="15" x14ac:dyDescent="0.25">
      <c r="A45" s="33"/>
      <c r="B45" s="253"/>
      <c r="C45" s="38"/>
      <c r="D45" s="38" t="s">
        <v>165</v>
      </c>
      <c r="E45" s="50"/>
      <c r="F45" s="57">
        <v>8560</v>
      </c>
      <c r="G45" s="240">
        <v>37050</v>
      </c>
      <c r="H45" s="58">
        <f>VLOOKUP($D$16:$D$119,'Interim Input'!$D$16:$K$172,8,FALSE)</f>
        <v>32248.124999999996</v>
      </c>
      <c r="I45" s="59">
        <f t="shared" si="5"/>
        <v>-4801.8750000000036</v>
      </c>
      <c r="J45" s="154">
        <f t="shared" si="6"/>
        <v>-0.12960526315789483</v>
      </c>
      <c r="K45" s="259" t="s">
        <v>238</v>
      </c>
    </row>
    <row r="46" spans="1:11" ht="15" x14ac:dyDescent="0.25">
      <c r="A46" s="33"/>
      <c r="B46" s="253"/>
      <c r="C46" s="38"/>
      <c r="D46" s="38" t="s">
        <v>119</v>
      </c>
      <c r="E46" s="50"/>
      <c r="F46" s="57">
        <v>8590</v>
      </c>
      <c r="G46" s="240"/>
      <c r="H46" s="58">
        <f>VLOOKUP($D$16:$D$119,'Interim Input'!$D$16:$K$172,8,FALSE)</f>
        <v>0</v>
      </c>
      <c r="I46" s="59">
        <f t="shared" si="5"/>
        <v>0</v>
      </c>
      <c r="J46" s="154">
        <f t="shared" si="6"/>
        <v>0</v>
      </c>
      <c r="K46" s="259"/>
    </row>
    <row r="47" spans="1:11" ht="15" x14ac:dyDescent="0.25">
      <c r="A47" s="33"/>
      <c r="B47" s="253"/>
      <c r="C47" s="38"/>
      <c r="D47" s="38" t="s">
        <v>196</v>
      </c>
      <c r="E47" s="50"/>
      <c r="F47" s="57" t="s">
        <v>79</v>
      </c>
      <c r="G47" s="240">
        <v>1137102</v>
      </c>
      <c r="H47" s="58">
        <f>VLOOKUP($D$16:$D$119,'Interim Input'!$D$16:$K$172,8,FALSE)</f>
        <v>1503167</v>
      </c>
      <c r="I47" s="59">
        <f t="shared" si="5"/>
        <v>366065</v>
      </c>
      <c r="J47" s="154">
        <f t="shared" si="6"/>
        <v>0.32192802404709514</v>
      </c>
      <c r="K47" s="259" t="s">
        <v>240</v>
      </c>
    </row>
    <row r="48" spans="1:11" s="138" customFormat="1" ht="15" x14ac:dyDescent="0.25">
      <c r="A48" s="136"/>
      <c r="B48" s="260"/>
      <c r="C48" s="139" t="s">
        <v>82</v>
      </c>
      <c r="D48" s="139"/>
      <c r="E48" s="77"/>
      <c r="F48" s="77"/>
      <c r="G48" s="140">
        <f t="shared" ref="G48:I48" si="7">SUM(G37:G47)</f>
        <v>1617856</v>
      </c>
      <c r="H48" s="141">
        <f t="shared" si="7"/>
        <v>1967077.5</v>
      </c>
      <c r="I48" s="85">
        <f t="shared" si="7"/>
        <v>349221.5</v>
      </c>
      <c r="J48" s="155">
        <f>IFERROR(+I48/G48,0)</f>
        <v>0.21585450126587286</v>
      </c>
      <c r="K48" s="261"/>
    </row>
    <row r="49" spans="1:11" ht="15" x14ac:dyDescent="0.25">
      <c r="A49" s="33"/>
      <c r="B49" s="262"/>
      <c r="C49" s="66" t="s">
        <v>133</v>
      </c>
      <c r="D49" s="66"/>
      <c r="E49" s="51"/>
      <c r="F49" s="50"/>
      <c r="G49" s="161"/>
      <c r="H49" s="69"/>
      <c r="I49" s="70"/>
      <c r="J49" s="70"/>
      <c r="K49" s="258"/>
    </row>
    <row r="50" spans="1:11" ht="15" x14ac:dyDescent="0.25">
      <c r="A50" s="33"/>
      <c r="B50" s="253"/>
      <c r="C50" s="38"/>
      <c r="D50" s="38" t="s">
        <v>134</v>
      </c>
      <c r="E50" s="50"/>
      <c r="F50" s="57" t="s">
        <v>98</v>
      </c>
      <c r="G50" s="240">
        <v>15000</v>
      </c>
      <c r="H50" s="58">
        <f>SUMIF('Interim Input'!$F$13:$F$172,'Budget Variance Analysis'!$F$13:$F$121,'Interim Input'!$K$13:$K$172)</f>
        <v>50456.98</v>
      </c>
      <c r="I50" s="59">
        <f>+H50-G50</f>
        <v>35456.980000000003</v>
      </c>
      <c r="J50" s="154">
        <f t="shared" ref="J50" si="8">IFERROR(+I50/G50,0)</f>
        <v>2.3637986666666668</v>
      </c>
      <c r="K50" s="259" t="s">
        <v>241</v>
      </c>
    </row>
    <row r="51" spans="1:11" s="138" customFormat="1" ht="15" x14ac:dyDescent="0.25">
      <c r="A51" s="136"/>
      <c r="B51" s="263"/>
      <c r="C51" s="75" t="s">
        <v>83</v>
      </c>
      <c r="D51" s="75"/>
      <c r="E51" s="76"/>
      <c r="F51" s="77"/>
      <c r="G51" s="140">
        <f t="shared" ref="G51:H51" si="9">SUM(G50:G50)</f>
        <v>15000</v>
      </c>
      <c r="H51" s="142">
        <f t="shared" si="9"/>
        <v>50456.98</v>
      </c>
      <c r="I51" s="86">
        <f>SUM(I50)</f>
        <v>35456.980000000003</v>
      </c>
      <c r="J51" s="155">
        <f>IFERROR(+I51/G51,0)</f>
        <v>2.3637986666666668</v>
      </c>
      <c r="K51" s="261"/>
    </row>
    <row r="52" spans="1:11" ht="10.5" customHeight="1" x14ac:dyDescent="0.25">
      <c r="A52" s="33"/>
      <c r="B52" s="262"/>
      <c r="C52" s="66"/>
      <c r="D52" s="66"/>
      <c r="E52" s="51"/>
      <c r="F52" s="50"/>
      <c r="G52" s="74"/>
      <c r="H52" s="74"/>
      <c r="I52" s="70"/>
      <c r="J52" s="70"/>
      <c r="K52" s="258"/>
    </row>
    <row r="53" spans="1:11" ht="15" x14ac:dyDescent="0.25">
      <c r="A53" s="36"/>
      <c r="B53" s="263"/>
      <c r="C53" s="75" t="s">
        <v>2</v>
      </c>
      <c r="D53" s="75"/>
      <c r="E53" s="76"/>
      <c r="F53" s="77"/>
      <c r="G53" s="160">
        <f>G21+G48+G35+G51</f>
        <v>9855630</v>
      </c>
      <c r="H53" s="78">
        <f>H21+H48+H35+H51</f>
        <v>10524122.48</v>
      </c>
      <c r="I53" s="78">
        <f>I21+I48+I35+I51</f>
        <v>668492.48</v>
      </c>
      <c r="J53" s="156"/>
      <c r="K53" s="264"/>
    </row>
    <row r="54" spans="1:11" ht="15" x14ac:dyDescent="0.25">
      <c r="A54" s="33"/>
      <c r="B54" s="262" t="s">
        <v>97</v>
      </c>
      <c r="C54" s="66"/>
      <c r="D54" s="66"/>
      <c r="E54" s="51"/>
      <c r="F54" s="50"/>
      <c r="G54" s="73"/>
      <c r="H54" s="58"/>
      <c r="I54" s="70"/>
      <c r="J54" s="70"/>
      <c r="K54" s="258"/>
    </row>
    <row r="55" spans="1:11" ht="15" x14ac:dyDescent="0.25">
      <c r="A55" s="33"/>
      <c r="B55" s="253"/>
      <c r="C55" s="38" t="s">
        <v>3</v>
      </c>
      <c r="D55" s="38"/>
      <c r="E55" s="50"/>
      <c r="F55" s="57"/>
      <c r="G55" s="58"/>
      <c r="H55" s="58"/>
      <c r="I55" s="59"/>
      <c r="J55" s="154"/>
      <c r="K55" s="259"/>
    </row>
    <row r="56" spans="1:11" ht="15" x14ac:dyDescent="0.25">
      <c r="A56" s="33"/>
      <c r="B56" s="253"/>
      <c r="C56" s="38"/>
      <c r="D56" s="38" t="s">
        <v>167</v>
      </c>
      <c r="E56" s="50"/>
      <c r="F56" s="57">
        <v>1100</v>
      </c>
      <c r="G56" s="240">
        <v>2269500</v>
      </c>
      <c r="H56" s="58">
        <f>SUMIF('Interim Input'!$F$13:$F$172,'Budget Variance Analysis'!$F$13:$F$121,'Interim Input'!$K$13:$K$172)</f>
        <v>2207000</v>
      </c>
      <c r="I56" s="59">
        <f>+H56-G56</f>
        <v>-62500</v>
      </c>
      <c r="J56" s="154">
        <f t="shared" ref="J56:J59" si="10">IFERROR(+I56/G56,0)</f>
        <v>-2.7539105529852389E-2</v>
      </c>
      <c r="K56" s="259"/>
    </row>
    <row r="57" spans="1:11" ht="15" x14ac:dyDescent="0.25">
      <c r="A57" s="33"/>
      <c r="B57" s="253"/>
      <c r="C57" s="38"/>
      <c r="D57" s="38" t="s">
        <v>168</v>
      </c>
      <c r="E57" s="50"/>
      <c r="F57" s="57">
        <v>1200</v>
      </c>
      <c r="G57" s="240"/>
      <c r="H57" s="58">
        <f>SUMIF('Interim Input'!$F$13:$F$172,'Budget Variance Analysis'!$F$13:$F$121,'Interim Input'!$K$13:$K$172)</f>
        <v>0</v>
      </c>
      <c r="I57" s="59">
        <f>+H57-G57</f>
        <v>0</v>
      </c>
      <c r="J57" s="154">
        <f t="shared" si="10"/>
        <v>0</v>
      </c>
      <c r="K57" s="259"/>
    </row>
    <row r="58" spans="1:11" ht="15" x14ac:dyDescent="0.25">
      <c r="A58" s="33"/>
      <c r="B58" s="253"/>
      <c r="C58" s="38"/>
      <c r="D58" s="38" t="s">
        <v>169</v>
      </c>
      <c r="E58" s="50"/>
      <c r="F58" s="57">
        <v>1300</v>
      </c>
      <c r="G58" s="240">
        <v>593000</v>
      </c>
      <c r="H58" s="58">
        <f>SUMIF('Interim Input'!$F$13:$F$172,'Budget Variance Analysis'!$F$13:$F$121,'Interim Input'!$K$13:$K$172)</f>
        <v>644625</v>
      </c>
      <c r="I58" s="59">
        <f>+H58-G58</f>
        <v>51625</v>
      </c>
      <c r="J58" s="154">
        <f t="shared" si="10"/>
        <v>8.7057335581787521E-2</v>
      </c>
      <c r="K58" s="259"/>
    </row>
    <row r="59" spans="1:11" ht="15" x14ac:dyDescent="0.25">
      <c r="A59" s="33"/>
      <c r="B59" s="253"/>
      <c r="C59" s="38"/>
      <c r="D59" s="38" t="s">
        <v>55</v>
      </c>
      <c r="E59" s="50"/>
      <c r="F59" s="57">
        <v>1900</v>
      </c>
      <c r="G59" s="240">
        <v>293000</v>
      </c>
      <c r="H59" s="58">
        <f>SUMIF('Interim Input'!$F$13:$F$172,'Budget Variance Analysis'!$F$13:$F$121,'Interim Input'!$K$13:$K$172)</f>
        <v>169000</v>
      </c>
      <c r="I59" s="59">
        <f>+H59-G59</f>
        <v>-124000</v>
      </c>
      <c r="J59" s="154">
        <f t="shared" si="10"/>
        <v>-0.42320819112627989</v>
      </c>
      <c r="K59" s="259" t="s">
        <v>242</v>
      </c>
    </row>
    <row r="60" spans="1:11" s="138" customFormat="1" ht="15" x14ac:dyDescent="0.25">
      <c r="A60" s="136"/>
      <c r="B60" s="260"/>
      <c r="C60" s="139" t="s">
        <v>4</v>
      </c>
      <c r="D60" s="139"/>
      <c r="E60" s="77"/>
      <c r="F60" s="84"/>
      <c r="G60" s="144">
        <f t="shared" ref="G60:I60" si="11">SUM(G56:G59)</f>
        <v>3155500</v>
      </c>
      <c r="H60" s="142">
        <f t="shared" si="11"/>
        <v>3020625</v>
      </c>
      <c r="I60" s="85">
        <f t="shared" si="11"/>
        <v>-134875</v>
      </c>
      <c r="J60" s="155">
        <f>IFERROR(+I60/G60,0)</f>
        <v>-4.2742829979401042E-2</v>
      </c>
      <c r="K60" s="261"/>
    </row>
    <row r="61" spans="1:11" ht="15" x14ac:dyDescent="0.25">
      <c r="A61" s="33"/>
      <c r="B61" s="253"/>
      <c r="C61" s="38" t="s">
        <v>5</v>
      </c>
      <c r="D61" s="38"/>
      <c r="E61" s="38"/>
      <c r="F61" s="67"/>
      <c r="G61" s="73"/>
      <c r="H61" s="69"/>
      <c r="I61" s="70"/>
      <c r="J61" s="70"/>
      <c r="K61" s="258"/>
    </row>
    <row r="62" spans="1:11" ht="15" x14ac:dyDescent="0.25">
      <c r="A62" s="33"/>
      <c r="B62" s="253"/>
      <c r="C62" s="38"/>
      <c r="D62" s="38" t="s">
        <v>170</v>
      </c>
      <c r="E62" s="38"/>
      <c r="F62" s="67">
        <v>2100</v>
      </c>
      <c r="G62" s="240">
        <v>722180</v>
      </c>
      <c r="H62" s="58">
        <f>SUMIF('Interim Input'!$F$13:$F$172,'Budget Variance Analysis'!$F$13:$F$121,'Interim Input'!$K$13:$K$172)</f>
        <v>1303300</v>
      </c>
      <c r="I62" s="59">
        <f>+H62-G62</f>
        <v>581120</v>
      </c>
      <c r="J62" s="154">
        <f t="shared" ref="J62:J66" si="12">IFERROR(+I62/G62,0)</f>
        <v>0.80467473483065166</v>
      </c>
      <c r="K62" s="259" t="s">
        <v>243</v>
      </c>
    </row>
    <row r="63" spans="1:11" ht="15" x14ac:dyDescent="0.25">
      <c r="A63" s="33"/>
      <c r="B63" s="253"/>
      <c r="C63" s="38"/>
      <c r="D63" s="38" t="s">
        <v>171</v>
      </c>
      <c r="E63" s="38"/>
      <c r="F63" s="67">
        <v>2200</v>
      </c>
      <c r="G63" s="240">
        <v>52000</v>
      </c>
      <c r="H63" s="58">
        <f>SUMIF('Interim Input'!$F$13:$F$172,'Budget Variance Analysis'!$F$13:$F$121,'Interim Input'!$K$13:$K$172)</f>
        <v>74050</v>
      </c>
      <c r="I63" s="59">
        <f>+H63-G63</f>
        <v>22050</v>
      </c>
      <c r="J63" s="154">
        <f t="shared" si="12"/>
        <v>0.42403846153846153</v>
      </c>
      <c r="K63" s="259" t="s">
        <v>242</v>
      </c>
    </row>
    <row r="64" spans="1:11" ht="15" x14ac:dyDescent="0.25">
      <c r="A64" s="33"/>
      <c r="B64" s="253"/>
      <c r="C64" s="38"/>
      <c r="D64" s="38" t="s">
        <v>172</v>
      </c>
      <c r="E64" s="38"/>
      <c r="F64" s="67">
        <v>2300</v>
      </c>
      <c r="G64" s="240"/>
      <c r="H64" s="58">
        <f>SUMIF('Interim Input'!$F$13:$F$172,'Budget Variance Analysis'!$F$13:$F$121,'Interim Input'!$K$13:$K$172)</f>
        <v>0</v>
      </c>
      <c r="I64" s="59">
        <f>+H64-G64</f>
        <v>0</v>
      </c>
      <c r="J64" s="154">
        <f t="shared" si="12"/>
        <v>0</v>
      </c>
      <c r="K64" s="259"/>
    </row>
    <row r="65" spans="1:11" ht="15" x14ac:dyDescent="0.25">
      <c r="A65" s="33"/>
      <c r="B65" s="253"/>
      <c r="C65" s="38"/>
      <c r="D65" s="38" t="s">
        <v>56</v>
      </c>
      <c r="E65" s="38"/>
      <c r="F65" s="67">
        <v>2400</v>
      </c>
      <c r="G65" s="240">
        <v>440800</v>
      </c>
      <c r="H65" s="58">
        <f>SUMIF('Interim Input'!$F$13:$F$172,'Budget Variance Analysis'!$F$13:$F$121,'Interim Input'!$K$13:$K$172)</f>
        <v>468000</v>
      </c>
      <c r="I65" s="59">
        <f>+H65-G65</f>
        <v>27200</v>
      </c>
      <c r="J65" s="154">
        <f t="shared" si="12"/>
        <v>6.1705989110707807E-2</v>
      </c>
      <c r="K65" s="259"/>
    </row>
    <row r="66" spans="1:11" ht="15" x14ac:dyDescent="0.25">
      <c r="A66" s="33"/>
      <c r="B66" s="253"/>
      <c r="C66" s="38"/>
      <c r="D66" s="38" t="s">
        <v>57</v>
      </c>
      <c r="E66" s="38"/>
      <c r="F66" s="67">
        <v>2900</v>
      </c>
      <c r="G66" s="240">
        <v>28800</v>
      </c>
      <c r="H66" s="58">
        <f>SUMIF('Interim Input'!$F$13:$F$172,'Budget Variance Analysis'!$F$13:$F$121,'Interim Input'!$K$13:$K$172)</f>
        <v>26000</v>
      </c>
      <c r="I66" s="59">
        <f>+H66-G66</f>
        <v>-2800</v>
      </c>
      <c r="J66" s="154">
        <f t="shared" si="12"/>
        <v>-9.7222222222222224E-2</v>
      </c>
      <c r="K66" s="259"/>
    </row>
    <row r="67" spans="1:11" s="138" customFormat="1" ht="15" x14ac:dyDescent="0.25">
      <c r="A67" s="136"/>
      <c r="B67" s="263"/>
      <c r="C67" s="75" t="s">
        <v>6</v>
      </c>
      <c r="D67" s="75"/>
      <c r="E67" s="75"/>
      <c r="F67" s="143"/>
      <c r="G67" s="144">
        <f t="shared" ref="G67:I67" si="13">SUM(G62:G66)</f>
        <v>1243780</v>
      </c>
      <c r="H67" s="140">
        <f t="shared" si="13"/>
        <v>1871350</v>
      </c>
      <c r="I67" s="85">
        <f t="shared" si="13"/>
        <v>627570</v>
      </c>
      <c r="J67" s="155">
        <f>IFERROR(+I67/G67,0)</f>
        <v>0.50456672401871716</v>
      </c>
      <c r="K67" s="261"/>
    </row>
    <row r="68" spans="1:11" ht="15" x14ac:dyDescent="0.25">
      <c r="A68" s="33"/>
      <c r="B68" s="262"/>
      <c r="C68" s="66" t="s">
        <v>7</v>
      </c>
      <c r="D68" s="66"/>
      <c r="E68" s="51"/>
      <c r="F68" s="81"/>
      <c r="G68" s="161"/>
      <c r="H68" s="58"/>
      <c r="I68" s="82"/>
      <c r="J68" s="82"/>
      <c r="K68" s="258"/>
    </row>
    <row r="69" spans="1:11" ht="15" x14ac:dyDescent="0.25">
      <c r="A69" s="33"/>
      <c r="B69" s="253"/>
      <c r="C69" s="38"/>
      <c r="D69" s="38" t="s">
        <v>58</v>
      </c>
      <c r="E69" s="50"/>
      <c r="F69" s="57" t="s">
        <v>8</v>
      </c>
      <c r="G69" s="240">
        <v>602701</v>
      </c>
      <c r="H69" s="58">
        <f>SUMIF('Interim Input'!$F$13:$F$172,'Budget Variance Analysis'!$F$13:$F$121,'Interim Input'!$K$13:$K$172)</f>
        <v>613420</v>
      </c>
      <c r="I69" s="59">
        <f t="shared" ref="I69:I77" si="14">+H69-G69</f>
        <v>10719</v>
      </c>
      <c r="J69" s="154">
        <f t="shared" ref="J69:J77" si="15">IFERROR(+I69/G69,0)</f>
        <v>1.7784938136820746E-2</v>
      </c>
      <c r="K69" s="259"/>
    </row>
    <row r="70" spans="1:11" ht="15" x14ac:dyDescent="0.25">
      <c r="A70" s="33"/>
      <c r="B70" s="253"/>
      <c r="C70" s="38"/>
      <c r="D70" s="38" t="s">
        <v>59</v>
      </c>
      <c r="E70" s="50"/>
      <c r="F70" s="57" t="s">
        <v>9</v>
      </c>
      <c r="G70" s="240"/>
      <c r="H70" s="58">
        <f>SUMIF('Interim Input'!$F$13:$F$172,'Budget Variance Analysis'!$F$13:$F$121,'Interim Input'!$K$13:$K$172)</f>
        <v>0</v>
      </c>
      <c r="I70" s="59">
        <f t="shared" si="14"/>
        <v>0</v>
      </c>
      <c r="J70" s="154">
        <f t="shared" si="15"/>
        <v>0</v>
      </c>
      <c r="K70" s="259"/>
    </row>
    <row r="71" spans="1:11" ht="15" x14ac:dyDescent="0.25">
      <c r="A71" s="33"/>
      <c r="B71" s="253"/>
      <c r="C71" s="38"/>
      <c r="D71" s="38" t="s">
        <v>137</v>
      </c>
      <c r="E71" s="50"/>
      <c r="F71" s="57" t="s">
        <v>10</v>
      </c>
      <c r="G71" s="240">
        <v>140904</v>
      </c>
      <c r="H71" s="58">
        <f>SUMIF('Interim Input'!$F$13:$F$172,'Budget Variance Analysis'!$F$13:$F$121,'Interim Input'!$K$13:$K$172)</f>
        <v>175115</v>
      </c>
      <c r="I71" s="59">
        <f t="shared" si="14"/>
        <v>34211</v>
      </c>
      <c r="J71" s="154">
        <f t="shared" si="15"/>
        <v>0.2427965139385681</v>
      </c>
      <c r="K71" s="259" t="s">
        <v>244</v>
      </c>
    </row>
    <row r="72" spans="1:11" ht="15" x14ac:dyDescent="0.25">
      <c r="A72" s="33"/>
      <c r="B72" s="253"/>
      <c r="C72" s="38"/>
      <c r="D72" s="38" t="s">
        <v>60</v>
      </c>
      <c r="E72" s="50"/>
      <c r="F72" s="57" t="s">
        <v>11</v>
      </c>
      <c r="G72" s="240">
        <v>572867</v>
      </c>
      <c r="H72" s="58">
        <f>SUMIF('Interim Input'!$F$13:$F$172,'Budget Variance Analysis'!$F$13:$F$121,'Interim Input'!$K$13:$K$172)</f>
        <v>596902.428144</v>
      </c>
      <c r="I72" s="59">
        <f t="shared" si="14"/>
        <v>24035.428144000005</v>
      </c>
      <c r="J72" s="154">
        <f t="shared" si="15"/>
        <v>4.1956384543009116E-2</v>
      </c>
      <c r="K72" s="259"/>
    </row>
    <row r="73" spans="1:11" ht="15" x14ac:dyDescent="0.25">
      <c r="A73" s="33"/>
      <c r="B73" s="253"/>
      <c r="C73" s="38"/>
      <c r="D73" s="38" t="s">
        <v>61</v>
      </c>
      <c r="E73" s="50"/>
      <c r="F73" s="57" t="s">
        <v>12</v>
      </c>
      <c r="G73" s="240">
        <v>28980</v>
      </c>
      <c r="H73" s="58">
        <f>SUMIF('Interim Input'!$F$13:$F$172,'Budget Variance Analysis'!$F$13:$F$121,'Interim Input'!$K$13:$K$172)</f>
        <v>34547.5</v>
      </c>
      <c r="I73" s="59">
        <f t="shared" si="14"/>
        <v>5567.5</v>
      </c>
      <c r="J73" s="154">
        <f t="shared" si="15"/>
        <v>0.19211525189786061</v>
      </c>
      <c r="K73" s="259" t="s">
        <v>244</v>
      </c>
    </row>
    <row r="74" spans="1:11" ht="15" x14ac:dyDescent="0.25">
      <c r="A74" s="33"/>
      <c r="B74" s="253"/>
      <c r="C74" s="38"/>
      <c r="D74" s="38" t="s">
        <v>62</v>
      </c>
      <c r="E74" s="50"/>
      <c r="F74" s="57" t="s">
        <v>13</v>
      </c>
      <c r="G74" s="240">
        <v>48392</v>
      </c>
      <c r="H74" s="58">
        <f>SUMIF('Interim Input'!$F$13:$F$172,'Budget Variance Analysis'!$F$13:$F$121,'Interim Input'!$K$13:$K$172)</f>
        <v>53811.724999999999</v>
      </c>
      <c r="I74" s="59">
        <f t="shared" si="14"/>
        <v>5419.7249999999985</v>
      </c>
      <c r="J74" s="154">
        <f t="shared" si="15"/>
        <v>0.11199630104149443</v>
      </c>
      <c r="K74" s="259" t="s">
        <v>244</v>
      </c>
    </row>
    <row r="75" spans="1:11" ht="15" x14ac:dyDescent="0.25">
      <c r="A75" s="33"/>
      <c r="B75" s="253"/>
      <c r="C75" s="38"/>
      <c r="D75" s="38" t="s">
        <v>125</v>
      </c>
      <c r="E75" s="50"/>
      <c r="F75" s="57" t="s">
        <v>14</v>
      </c>
      <c r="G75" s="240"/>
      <c r="H75" s="58">
        <f>SUMIF('Interim Input'!$F$13:$F$172,'Budget Variance Analysis'!$F$13:$F$121,'Interim Input'!$K$13:$K$172)</f>
        <v>0</v>
      </c>
      <c r="I75" s="59">
        <f t="shared" si="14"/>
        <v>0</v>
      </c>
      <c r="J75" s="154">
        <f t="shared" si="15"/>
        <v>0</v>
      </c>
      <c r="K75" s="259"/>
    </row>
    <row r="76" spans="1:11" ht="15" x14ac:dyDescent="0.25">
      <c r="A76" s="33"/>
      <c r="B76" s="253"/>
      <c r="C76" s="38"/>
      <c r="D76" s="38" t="s">
        <v>126</v>
      </c>
      <c r="E76" s="50"/>
      <c r="F76" s="57" t="s">
        <v>127</v>
      </c>
      <c r="G76" s="240"/>
      <c r="H76" s="58">
        <f>SUMIF('Interim Input'!$F$13:$F$172,'Budget Variance Analysis'!$F$13:$F$121,'Interim Input'!$K$13:$K$172)</f>
        <v>0</v>
      </c>
      <c r="I76" s="59">
        <f t="shared" si="14"/>
        <v>0</v>
      </c>
      <c r="J76" s="154">
        <f t="shared" si="15"/>
        <v>0</v>
      </c>
      <c r="K76" s="259"/>
    </row>
    <row r="77" spans="1:11" ht="15" x14ac:dyDescent="0.25">
      <c r="A77" s="33"/>
      <c r="B77" s="253"/>
      <c r="C77" s="38"/>
      <c r="D77" s="38" t="s">
        <v>128</v>
      </c>
      <c r="E77" s="50"/>
      <c r="F77" s="57" t="s">
        <v>15</v>
      </c>
      <c r="G77" s="240"/>
      <c r="H77" s="58">
        <f>SUMIF('Interim Input'!$F$13:$F$172,'Budget Variance Analysis'!$F$13:$F$121,'Interim Input'!$K$13:$K$172)</f>
        <v>0</v>
      </c>
      <c r="I77" s="59">
        <f t="shared" si="14"/>
        <v>0</v>
      </c>
      <c r="J77" s="154">
        <f t="shared" si="15"/>
        <v>0</v>
      </c>
      <c r="K77" s="259"/>
    </row>
    <row r="78" spans="1:11" s="138" customFormat="1" ht="15" x14ac:dyDescent="0.25">
      <c r="A78" s="136"/>
      <c r="B78" s="263"/>
      <c r="C78" s="139" t="s">
        <v>16</v>
      </c>
      <c r="D78" s="139"/>
      <c r="E78" s="77"/>
      <c r="F78" s="84"/>
      <c r="G78" s="140">
        <f t="shared" ref="G78:I78" si="16">SUM(G69:G77)</f>
        <v>1393844</v>
      </c>
      <c r="H78" s="85">
        <f t="shared" si="16"/>
        <v>1473796.6531440001</v>
      </c>
      <c r="I78" s="85">
        <f t="shared" si="16"/>
        <v>79952.653144000011</v>
      </c>
      <c r="J78" s="155">
        <f>IFERROR(+I78/G78,0)</f>
        <v>5.7361263630650208E-2</v>
      </c>
      <c r="K78" s="261"/>
    </row>
    <row r="79" spans="1:11" ht="15" x14ac:dyDescent="0.25">
      <c r="A79" s="33"/>
      <c r="B79" s="262"/>
      <c r="C79" s="66" t="s">
        <v>17</v>
      </c>
      <c r="D79" s="66"/>
      <c r="E79" s="51"/>
      <c r="F79" s="57"/>
      <c r="G79" s="161"/>
      <c r="H79" s="58"/>
      <c r="I79" s="70"/>
      <c r="J79" s="70"/>
      <c r="K79" s="258"/>
    </row>
    <row r="80" spans="1:11" ht="15" x14ac:dyDescent="0.25">
      <c r="A80" s="33"/>
      <c r="B80" s="253"/>
      <c r="C80" s="38"/>
      <c r="D80" s="38" t="s">
        <v>63</v>
      </c>
      <c r="E80" s="50"/>
      <c r="F80" s="57">
        <v>4100</v>
      </c>
      <c r="G80" s="240">
        <v>25706</v>
      </c>
      <c r="H80" s="58">
        <f>SUMIF('Interim Input'!$F$13:$F$172,'Budget Variance Analysis'!$F$13:$F$121,'Interim Input'!$K$13:$K$172)</f>
        <v>25706</v>
      </c>
      <c r="I80" s="59">
        <f>+H80-G80</f>
        <v>0</v>
      </c>
      <c r="J80" s="154">
        <f t="shared" ref="J80:J84" si="17">IFERROR(+I80/G80,0)</f>
        <v>0</v>
      </c>
      <c r="K80" s="259"/>
    </row>
    <row r="81" spans="1:11" ht="15" x14ac:dyDescent="0.25">
      <c r="A81" s="33"/>
      <c r="B81" s="253"/>
      <c r="C81" s="38"/>
      <c r="D81" s="38" t="s">
        <v>64</v>
      </c>
      <c r="E81" s="50"/>
      <c r="F81" s="57">
        <v>4200</v>
      </c>
      <c r="G81" s="240">
        <v>26000</v>
      </c>
      <c r="H81" s="58">
        <f>SUMIF('Interim Input'!$F$13:$F$172,'Budget Variance Analysis'!$F$13:$F$121,'Interim Input'!$K$13:$K$172)</f>
        <v>26000</v>
      </c>
      <c r="I81" s="59">
        <f>+H81-G81</f>
        <v>0</v>
      </c>
      <c r="J81" s="154">
        <f t="shared" si="17"/>
        <v>0</v>
      </c>
      <c r="K81" s="259"/>
    </row>
    <row r="82" spans="1:11" ht="15" x14ac:dyDescent="0.25">
      <c r="A82" s="33"/>
      <c r="B82" s="253"/>
      <c r="C82" s="38"/>
      <c r="D82" s="38" t="s">
        <v>65</v>
      </c>
      <c r="E82" s="50"/>
      <c r="F82" s="57">
        <v>4300</v>
      </c>
      <c r="G82" s="240">
        <v>234193</v>
      </c>
      <c r="H82" s="58">
        <f>SUMIF('Interim Input'!$F$13:$F$172,'Budget Variance Analysis'!$F$13:$F$121,'Interim Input'!$K$13:$K$172)</f>
        <v>234193</v>
      </c>
      <c r="I82" s="59">
        <f>+H82-G82</f>
        <v>0</v>
      </c>
      <c r="J82" s="154">
        <f t="shared" si="17"/>
        <v>0</v>
      </c>
      <c r="K82" s="259"/>
    </row>
    <row r="83" spans="1:11" ht="15" x14ac:dyDescent="0.25">
      <c r="A83" s="33"/>
      <c r="B83" s="253"/>
      <c r="C83" s="38"/>
      <c r="D83" s="38" t="s">
        <v>66</v>
      </c>
      <c r="E83" s="50"/>
      <c r="F83" s="57">
        <v>4400</v>
      </c>
      <c r="G83" s="240">
        <v>430673</v>
      </c>
      <c r="H83" s="58">
        <f>SUMIF('Interim Input'!$F$13:$F$172,'Budget Variance Analysis'!$F$13:$F$121,'Interim Input'!$K$13:$K$172)</f>
        <v>430673</v>
      </c>
      <c r="I83" s="59">
        <f>+H83-G83</f>
        <v>0</v>
      </c>
      <c r="J83" s="154">
        <f t="shared" si="17"/>
        <v>0</v>
      </c>
      <c r="K83" s="259"/>
    </row>
    <row r="84" spans="1:11" ht="15" x14ac:dyDescent="0.25">
      <c r="A84" s="33"/>
      <c r="B84" s="253"/>
      <c r="C84" s="38"/>
      <c r="D84" s="38" t="s">
        <v>138</v>
      </c>
      <c r="E84" s="50"/>
      <c r="F84" s="57">
        <v>4700</v>
      </c>
      <c r="G84" s="240">
        <v>13500</v>
      </c>
      <c r="H84" s="58">
        <f>SUMIF('Interim Input'!$F$13:$F$172,'Budget Variance Analysis'!$F$13:$F$121,'Interim Input'!$K$13:$K$172)</f>
        <v>13500</v>
      </c>
      <c r="I84" s="59">
        <f>+H84-G84</f>
        <v>0</v>
      </c>
      <c r="J84" s="154">
        <f t="shared" si="17"/>
        <v>0</v>
      </c>
      <c r="K84" s="259"/>
    </row>
    <row r="85" spans="1:11" s="138" customFormat="1" ht="15" x14ac:dyDescent="0.25">
      <c r="A85" s="136"/>
      <c r="B85" s="263"/>
      <c r="C85" s="75" t="s">
        <v>18</v>
      </c>
      <c r="D85" s="75"/>
      <c r="E85" s="76"/>
      <c r="F85" s="84"/>
      <c r="G85" s="140">
        <f t="shared" ref="G85:I85" si="18">SUM(G80:G84)</f>
        <v>730072</v>
      </c>
      <c r="H85" s="85">
        <f t="shared" si="18"/>
        <v>730072</v>
      </c>
      <c r="I85" s="140">
        <f t="shared" si="18"/>
        <v>0</v>
      </c>
      <c r="J85" s="155">
        <f>IFERROR(+I85/G85,0)</f>
        <v>0</v>
      </c>
      <c r="K85" s="261"/>
    </row>
    <row r="86" spans="1:11" ht="15" x14ac:dyDescent="0.25">
      <c r="A86" s="33"/>
      <c r="B86" s="262"/>
      <c r="C86" s="66" t="s">
        <v>19</v>
      </c>
      <c r="D86" s="66"/>
      <c r="E86" s="51"/>
      <c r="F86" s="57"/>
      <c r="G86" s="161"/>
      <c r="H86" s="58"/>
      <c r="I86" s="70"/>
      <c r="J86" s="70"/>
      <c r="K86" s="258"/>
    </row>
    <row r="87" spans="1:11" ht="15" x14ac:dyDescent="0.25">
      <c r="A87" s="33"/>
      <c r="B87" s="253"/>
      <c r="C87" s="38"/>
      <c r="D87" s="38" t="s">
        <v>72</v>
      </c>
      <c r="E87" s="50"/>
      <c r="F87" s="57">
        <v>5100</v>
      </c>
      <c r="G87" s="240"/>
      <c r="H87" s="58">
        <f>SUMIF('Interim Input'!$F$13:$F$172,'Budget Variance Analysis'!$F$13:$F$121,'Interim Input'!$K$13:$K$172)</f>
        <v>0</v>
      </c>
      <c r="I87" s="59">
        <f t="shared" ref="I87:I95" si="19">+H87-G87</f>
        <v>0</v>
      </c>
      <c r="J87" s="154">
        <f t="shared" ref="J87:J95" si="20">IFERROR(+I87/G87,0)</f>
        <v>0</v>
      </c>
      <c r="K87" s="259"/>
    </row>
    <row r="88" spans="1:11" ht="15" x14ac:dyDescent="0.25">
      <c r="A88" s="33"/>
      <c r="B88" s="253"/>
      <c r="C88" s="38"/>
      <c r="D88" s="38" t="s">
        <v>67</v>
      </c>
      <c r="E88" s="50"/>
      <c r="F88" s="57">
        <v>5200</v>
      </c>
      <c r="G88" s="240">
        <v>150000</v>
      </c>
      <c r="H88" s="58">
        <f>SUMIF('Interim Input'!$F$13:$F$172,'Budget Variance Analysis'!$F$13:$F$121,'Interim Input'!$K$13:$K$172)</f>
        <v>150000</v>
      </c>
      <c r="I88" s="59">
        <f t="shared" si="19"/>
        <v>0</v>
      </c>
      <c r="J88" s="154">
        <f t="shared" si="20"/>
        <v>0</v>
      </c>
      <c r="K88" s="259"/>
    </row>
    <row r="89" spans="1:11" ht="15" x14ac:dyDescent="0.25">
      <c r="A89" s="33"/>
      <c r="B89" s="253"/>
      <c r="C89" s="38"/>
      <c r="D89" s="38" t="s">
        <v>68</v>
      </c>
      <c r="E89" s="50"/>
      <c r="F89" s="57">
        <v>5300</v>
      </c>
      <c r="G89" s="240">
        <v>25000</v>
      </c>
      <c r="H89" s="58">
        <f>SUMIF('Interim Input'!$F$13:$F$172,'Budget Variance Analysis'!$F$13:$F$121,'Interim Input'!$K$13:$K$172)</f>
        <v>25000</v>
      </c>
      <c r="I89" s="59">
        <f t="shared" si="19"/>
        <v>0</v>
      </c>
      <c r="J89" s="154">
        <f t="shared" si="20"/>
        <v>0</v>
      </c>
      <c r="K89" s="259"/>
    </row>
    <row r="90" spans="1:11" ht="15" x14ac:dyDescent="0.25">
      <c r="A90" s="33"/>
      <c r="B90" s="253"/>
      <c r="C90" s="38"/>
      <c r="D90" s="38" t="s">
        <v>69</v>
      </c>
      <c r="E90" s="50"/>
      <c r="F90" s="57">
        <v>5400</v>
      </c>
      <c r="G90" s="240">
        <v>45000</v>
      </c>
      <c r="H90" s="58">
        <f>SUMIF('Interim Input'!$F$13:$F$172,'Budget Variance Analysis'!$F$13:$F$121,'Interim Input'!$K$13:$K$172)</f>
        <v>45000</v>
      </c>
      <c r="I90" s="59">
        <f t="shared" si="19"/>
        <v>0</v>
      </c>
      <c r="J90" s="154">
        <f t="shared" si="20"/>
        <v>0</v>
      </c>
      <c r="K90" s="259"/>
    </row>
    <row r="91" spans="1:11" ht="15" x14ac:dyDescent="0.25">
      <c r="A91" s="33"/>
      <c r="B91" s="253"/>
      <c r="C91" s="38"/>
      <c r="D91" s="38" t="s">
        <v>70</v>
      </c>
      <c r="E91" s="50"/>
      <c r="F91" s="57">
        <v>5500</v>
      </c>
      <c r="G91" s="240">
        <v>1100000</v>
      </c>
      <c r="H91" s="58">
        <f>SUMIF('Interim Input'!$F$13:$F$172,'Budget Variance Analysis'!$F$13:$F$121,'Interim Input'!$K$13:$K$172)</f>
        <v>1100000</v>
      </c>
      <c r="I91" s="59">
        <f t="shared" si="19"/>
        <v>0</v>
      </c>
      <c r="J91" s="154">
        <f t="shared" si="20"/>
        <v>0</v>
      </c>
      <c r="K91" s="259"/>
    </row>
    <row r="92" spans="1:11" ht="15" x14ac:dyDescent="0.25">
      <c r="A92" s="33"/>
      <c r="B92" s="253"/>
      <c r="C92" s="38"/>
      <c r="D92" s="38" t="s">
        <v>173</v>
      </c>
      <c r="E92" s="50"/>
      <c r="F92" s="57">
        <v>5600</v>
      </c>
      <c r="G92" s="240">
        <v>119321</v>
      </c>
      <c r="H92" s="58">
        <f>SUMIF('Interim Input'!$F$13:$F$172,'Budget Variance Analysis'!$F$13:$F$121,'Interim Input'!$K$13:$K$172)</f>
        <v>155323</v>
      </c>
      <c r="I92" s="59">
        <f t="shared" si="19"/>
        <v>36002</v>
      </c>
      <c r="J92" s="154">
        <f t="shared" si="20"/>
        <v>0.30172392118738528</v>
      </c>
      <c r="K92" s="259" t="s">
        <v>245</v>
      </c>
    </row>
    <row r="93" spans="1:11" ht="15" x14ac:dyDescent="0.25">
      <c r="A93" s="33"/>
      <c r="B93" s="253"/>
      <c r="C93" s="38"/>
      <c r="D93" s="38" t="s">
        <v>197</v>
      </c>
      <c r="E93" s="50"/>
      <c r="F93" s="57">
        <v>5700</v>
      </c>
      <c r="G93" s="240"/>
      <c r="H93" s="58">
        <f>SUMIF('Interim Input'!$F$13:$F$172,'Budget Variance Analysis'!$F$13:$F$121,'Interim Input'!$K$13:$K$172)</f>
        <v>0</v>
      </c>
      <c r="I93" s="59">
        <f t="shared" si="19"/>
        <v>0</v>
      </c>
      <c r="J93" s="154">
        <f t="shared" si="20"/>
        <v>0</v>
      </c>
      <c r="K93" s="259"/>
    </row>
    <row r="94" spans="1:11" ht="15" x14ac:dyDescent="0.25">
      <c r="A94" s="33"/>
      <c r="B94" s="253"/>
      <c r="C94" s="38"/>
      <c r="D94" s="38" t="s">
        <v>198</v>
      </c>
      <c r="E94" s="50"/>
      <c r="F94" s="57">
        <v>5800</v>
      </c>
      <c r="G94" s="240">
        <v>1492261</v>
      </c>
      <c r="H94" s="58">
        <f>SUMIF('Interim Input'!$F$13:$F$172,'Budget Variance Analysis'!$F$13:$F$121,'Interim Input'!$K$13:$K$172)</f>
        <v>1549982</v>
      </c>
      <c r="I94" s="59">
        <f t="shared" si="19"/>
        <v>57721</v>
      </c>
      <c r="J94" s="154">
        <f t="shared" si="20"/>
        <v>3.8680230871141176E-2</v>
      </c>
      <c r="K94" s="259"/>
    </row>
    <row r="95" spans="1:11" ht="15" x14ac:dyDescent="0.25">
      <c r="A95" s="33"/>
      <c r="B95" s="253"/>
      <c r="C95" s="38"/>
      <c r="D95" s="38" t="s">
        <v>71</v>
      </c>
      <c r="E95" s="50"/>
      <c r="F95" s="57">
        <v>5900</v>
      </c>
      <c r="G95" s="240">
        <v>50000</v>
      </c>
      <c r="H95" s="58">
        <f>SUMIF('Interim Input'!$F$13:$F$172,'Budget Variance Analysis'!$F$13:$F$121,'Interim Input'!$K$13:$K$172)</f>
        <v>50000</v>
      </c>
      <c r="I95" s="59">
        <f t="shared" si="19"/>
        <v>0</v>
      </c>
      <c r="J95" s="154">
        <f t="shared" si="20"/>
        <v>0</v>
      </c>
      <c r="K95" s="259"/>
    </row>
    <row r="96" spans="1:11" s="138" customFormat="1" ht="15" x14ac:dyDescent="0.25">
      <c r="A96" s="136"/>
      <c r="B96" s="263"/>
      <c r="C96" s="75" t="s">
        <v>20</v>
      </c>
      <c r="D96" s="75"/>
      <c r="E96" s="76"/>
      <c r="F96" s="84"/>
      <c r="G96" s="140">
        <f t="shared" ref="G96:I96" si="21">SUM(G86:G95)</f>
        <v>2981582</v>
      </c>
      <c r="H96" s="85">
        <f t="shared" si="21"/>
        <v>3075305</v>
      </c>
      <c r="I96" s="85">
        <f t="shared" si="21"/>
        <v>93723</v>
      </c>
      <c r="J96" s="155">
        <f>IFERROR(+I96/G96,0)</f>
        <v>3.1433983703953138E-2</v>
      </c>
      <c r="K96" s="261"/>
    </row>
    <row r="97" spans="1:11" ht="15" x14ac:dyDescent="0.25">
      <c r="A97" s="33"/>
      <c r="B97" s="262"/>
      <c r="C97" s="66" t="s">
        <v>76</v>
      </c>
      <c r="D97" s="66"/>
      <c r="E97" s="51"/>
      <c r="F97" s="57"/>
      <c r="G97" s="161"/>
      <c r="H97" s="58"/>
      <c r="I97" s="70"/>
      <c r="J97" s="70"/>
      <c r="K97" s="258"/>
    </row>
    <row r="98" spans="1:11" ht="15" x14ac:dyDescent="0.25">
      <c r="A98" s="33"/>
      <c r="B98" s="253"/>
      <c r="C98" s="38"/>
      <c r="D98" s="38" t="s">
        <v>129</v>
      </c>
      <c r="E98" s="50"/>
      <c r="F98" s="57">
        <v>6900</v>
      </c>
      <c r="G98" s="240">
        <v>150000</v>
      </c>
      <c r="H98" s="58">
        <f>SUMIF('Interim Input'!$F$13:$F$172,'Budget Variance Analysis'!$F$13:$F$121,'Interim Input'!$K$13:$K$172)</f>
        <v>150000</v>
      </c>
      <c r="I98" s="59">
        <f>+H98-G98</f>
        <v>0</v>
      </c>
      <c r="J98" s="154">
        <f t="shared" ref="J98" si="22">IFERROR(+I98/G98,0)</f>
        <v>0</v>
      </c>
      <c r="K98" s="259"/>
    </row>
    <row r="99" spans="1:11" s="138" customFormat="1" ht="15" x14ac:dyDescent="0.25">
      <c r="A99" s="136"/>
      <c r="B99" s="263"/>
      <c r="C99" s="75" t="s">
        <v>21</v>
      </c>
      <c r="D99" s="75"/>
      <c r="E99" s="76"/>
      <c r="F99" s="84"/>
      <c r="G99" s="140">
        <f t="shared" ref="G99:I99" si="23">SUM(G98:G98)</f>
        <v>150000</v>
      </c>
      <c r="H99" s="85">
        <f t="shared" si="23"/>
        <v>150000</v>
      </c>
      <c r="I99" s="85">
        <f t="shared" si="23"/>
        <v>0</v>
      </c>
      <c r="J99" s="155">
        <f>IFERROR(+I99/G99,0)</f>
        <v>0</v>
      </c>
      <c r="K99" s="261"/>
    </row>
    <row r="100" spans="1:11" ht="15" x14ac:dyDescent="0.25">
      <c r="A100" s="33"/>
      <c r="B100" s="262"/>
      <c r="C100" s="66" t="s">
        <v>22</v>
      </c>
      <c r="D100" s="66"/>
      <c r="E100" s="51"/>
      <c r="F100" s="81"/>
      <c r="G100" s="161"/>
      <c r="H100" s="58"/>
      <c r="I100" s="82"/>
      <c r="J100" s="82"/>
      <c r="K100" s="258"/>
    </row>
    <row r="101" spans="1:11" ht="15" x14ac:dyDescent="0.25">
      <c r="A101" s="33"/>
      <c r="B101" s="253"/>
      <c r="C101" s="38"/>
      <c r="D101" s="38" t="s">
        <v>199</v>
      </c>
      <c r="E101" s="50"/>
      <c r="F101" s="57" t="s">
        <v>23</v>
      </c>
      <c r="G101" s="240"/>
      <c r="H101" s="58">
        <f>SUMIF('Interim Input'!$F$13:$F$172,'Budget Variance Analysis'!$F$13:$F$121,'Interim Input'!$K$13:$K$172)</f>
        <v>0</v>
      </c>
      <c r="I101" s="59">
        <f t="shared" ref="I101:I107" si="24">+H101-G101</f>
        <v>0</v>
      </c>
      <c r="J101" s="154">
        <f t="shared" ref="J101:J107" si="25">IFERROR(+I101/G101,0)</f>
        <v>0</v>
      </c>
      <c r="K101" s="259"/>
    </row>
    <row r="102" spans="1:11" ht="15" x14ac:dyDescent="0.25">
      <c r="A102" s="33"/>
      <c r="B102" s="253"/>
      <c r="C102" s="38"/>
      <c r="D102" s="38" t="s">
        <v>174</v>
      </c>
      <c r="E102" s="50"/>
      <c r="F102" s="57" t="s">
        <v>24</v>
      </c>
      <c r="G102" s="240"/>
      <c r="H102" s="58">
        <f>SUMIF('Interim Input'!$F$13:$F$172,'Budget Variance Analysis'!$F$13:$F$121,'Interim Input'!$K$13:$K$172)</f>
        <v>0</v>
      </c>
      <c r="I102" s="59">
        <f t="shared" si="24"/>
        <v>0</v>
      </c>
      <c r="J102" s="154">
        <f t="shared" si="25"/>
        <v>0</v>
      </c>
      <c r="K102" s="259"/>
    </row>
    <row r="103" spans="1:11" ht="15" x14ac:dyDescent="0.25">
      <c r="A103" s="33"/>
      <c r="B103" s="253"/>
      <c r="C103" s="38"/>
      <c r="D103" s="38" t="s">
        <v>73</v>
      </c>
      <c r="E103" s="50"/>
      <c r="F103" s="57" t="s">
        <v>25</v>
      </c>
      <c r="G103" s="240"/>
      <c r="H103" s="58">
        <f>SUMIF('Interim Input'!$F$13:$F$172,'Budget Variance Analysis'!$F$13:$F$121,'Interim Input'!$K$13:$K$172)</f>
        <v>0</v>
      </c>
      <c r="I103" s="59">
        <f t="shared" si="24"/>
        <v>0</v>
      </c>
      <c r="J103" s="154">
        <f t="shared" si="25"/>
        <v>0</v>
      </c>
      <c r="K103" s="259"/>
    </row>
    <row r="104" spans="1:11" ht="15" x14ac:dyDescent="0.25">
      <c r="A104" s="33"/>
      <c r="B104" s="253"/>
      <c r="C104" s="38"/>
      <c r="D104" s="38" t="s">
        <v>26</v>
      </c>
      <c r="E104" s="50"/>
      <c r="F104" s="57" t="s">
        <v>27</v>
      </c>
      <c r="G104" s="240"/>
      <c r="H104" s="58">
        <f>SUMIF('Interim Input'!$F$13:$F$172,'Budget Variance Analysis'!$F$13:$F$121,'Interim Input'!$K$13:$K$172)</f>
        <v>0</v>
      </c>
      <c r="I104" s="59">
        <f t="shared" si="24"/>
        <v>0</v>
      </c>
      <c r="J104" s="154">
        <f t="shared" si="25"/>
        <v>0</v>
      </c>
      <c r="K104" s="259"/>
    </row>
    <row r="105" spans="1:11" ht="15" x14ac:dyDescent="0.25">
      <c r="A105" s="33"/>
      <c r="B105" s="253"/>
      <c r="C105" s="38"/>
      <c r="D105" s="38" t="s">
        <v>200</v>
      </c>
      <c r="E105" s="50"/>
      <c r="F105" s="57" t="s">
        <v>183</v>
      </c>
      <c r="G105" s="240"/>
      <c r="H105" s="58">
        <f>SUMIF('Interim Input'!$F$13:$F$172,'Budget Variance Analysis'!$F$13:$F$121,'Interim Input'!$K$13:$K$172)</f>
        <v>0</v>
      </c>
      <c r="I105" s="59">
        <f t="shared" si="24"/>
        <v>0</v>
      </c>
      <c r="J105" s="154">
        <f t="shared" si="25"/>
        <v>0</v>
      </c>
      <c r="K105" s="259"/>
    </row>
    <row r="106" spans="1:11" ht="15" x14ac:dyDescent="0.25">
      <c r="A106" s="33"/>
      <c r="B106" s="253"/>
      <c r="C106" s="38"/>
      <c r="D106" s="38" t="s">
        <v>101</v>
      </c>
      <c r="E106" s="50"/>
      <c r="F106" s="57" t="s">
        <v>184</v>
      </c>
      <c r="G106" s="240"/>
      <c r="H106" s="58">
        <f>SUMIF('Interim Input'!$F$13:$F$172,'Budget Variance Analysis'!$F$13:$F$121,'Interim Input'!$K$13:$K$172)</f>
        <v>0</v>
      </c>
      <c r="I106" s="59">
        <f t="shared" si="24"/>
        <v>0</v>
      </c>
      <c r="J106" s="154">
        <f t="shared" si="25"/>
        <v>0</v>
      </c>
      <c r="K106" s="259"/>
    </row>
    <row r="107" spans="1:11" ht="15" x14ac:dyDescent="0.25">
      <c r="A107" s="33"/>
      <c r="B107" s="253"/>
      <c r="C107" s="38"/>
      <c r="D107" s="38" t="s">
        <v>75</v>
      </c>
      <c r="E107" s="50"/>
      <c r="F107" s="57">
        <v>7439</v>
      </c>
      <c r="G107" s="240"/>
      <c r="H107" s="58">
        <f>SUMIF('Interim Input'!$F$13:$F$172,'Budget Variance Analysis'!$F$13:$F$121,'Interim Input'!$K$13:$K$172)</f>
        <v>0</v>
      </c>
      <c r="I107" s="59">
        <f t="shared" si="24"/>
        <v>0</v>
      </c>
      <c r="J107" s="154">
        <f t="shared" si="25"/>
        <v>0</v>
      </c>
      <c r="K107" s="259"/>
    </row>
    <row r="108" spans="1:11" s="138" customFormat="1" ht="15" x14ac:dyDescent="0.25">
      <c r="A108" s="136"/>
      <c r="B108" s="263"/>
      <c r="C108" s="75" t="s">
        <v>28</v>
      </c>
      <c r="D108" s="75"/>
      <c r="E108" s="76"/>
      <c r="F108" s="84"/>
      <c r="G108" s="162">
        <f>SUM(G101:G107)</f>
        <v>0</v>
      </c>
      <c r="H108" s="140">
        <f>SUM(H101:H107)</f>
        <v>0</v>
      </c>
      <c r="I108" s="85">
        <f>SUM(I101:I107)</f>
        <v>0</v>
      </c>
      <c r="J108" s="155">
        <f>IFERROR(+I108/G108,0)</f>
        <v>0</v>
      </c>
      <c r="K108" s="261"/>
    </row>
    <row r="109" spans="1:11" ht="10.5" customHeight="1" x14ac:dyDescent="0.25">
      <c r="A109" s="33"/>
      <c r="B109" s="262"/>
      <c r="C109" s="66"/>
      <c r="D109" s="66"/>
      <c r="E109" s="51"/>
      <c r="F109" s="57"/>
      <c r="G109" s="68"/>
      <c r="H109" s="68"/>
      <c r="I109" s="70"/>
      <c r="J109" s="70"/>
      <c r="K109" s="265"/>
    </row>
    <row r="110" spans="1:11" ht="15" x14ac:dyDescent="0.25">
      <c r="A110" s="36"/>
      <c r="B110" s="263"/>
      <c r="C110" s="75" t="s">
        <v>29</v>
      </c>
      <c r="D110" s="75"/>
      <c r="E110" s="76"/>
      <c r="F110" s="84"/>
      <c r="G110" s="140">
        <f>+G60+G67+G78+G85+G96+G99+G108</f>
        <v>9654778</v>
      </c>
      <c r="H110" s="86">
        <f>+H60+H67+H78+H85+H96+H99+H108</f>
        <v>10321148.653144</v>
      </c>
      <c r="I110" s="86">
        <f>+I60+I67+I78+I85+I96+I99+I108</f>
        <v>666370.65314399998</v>
      </c>
      <c r="J110" s="157"/>
      <c r="K110" s="261"/>
    </row>
    <row r="111" spans="1:11" ht="15" x14ac:dyDescent="0.25">
      <c r="A111" s="33"/>
      <c r="B111" s="262" t="s">
        <v>30</v>
      </c>
      <c r="C111" s="66"/>
      <c r="D111" s="66"/>
      <c r="E111" s="51"/>
      <c r="F111" s="57"/>
      <c r="G111" s="161"/>
      <c r="H111" s="58"/>
      <c r="I111" s="68"/>
      <c r="J111" s="158"/>
      <c r="K111" s="258"/>
    </row>
    <row r="112" spans="1:11" ht="15" x14ac:dyDescent="0.25">
      <c r="A112" s="33"/>
      <c r="B112" s="253"/>
      <c r="C112" s="38" t="s">
        <v>31</v>
      </c>
      <c r="D112" s="38"/>
      <c r="E112" s="50"/>
      <c r="F112" s="61"/>
      <c r="G112" s="242">
        <f>+G53-G110</f>
        <v>200852</v>
      </c>
      <c r="H112" s="63">
        <f>+H53-H110</f>
        <v>202973.82685600035</v>
      </c>
      <c r="I112" s="63"/>
      <c r="J112" s="158"/>
      <c r="K112" s="259"/>
    </row>
    <row r="113" spans="1:11" s="2" customFormat="1" ht="9" customHeight="1" x14ac:dyDescent="0.25">
      <c r="A113" s="33"/>
      <c r="B113" s="262"/>
      <c r="C113" s="66"/>
      <c r="D113" s="66"/>
      <c r="E113" s="51"/>
      <c r="F113" s="57"/>
      <c r="G113" s="73"/>
      <c r="H113" s="58"/>
      <c r="I113" s="68"/>
      <c r="J113" s="158"/>
      <c r="K113" s="259"/>
    </row>
    <row r="114" spans="1:11" ht="15" x14ac:dyDescent="0.25">
      <c r="A114" s="33"/>
      <c r="B114" s="253" t="s">
        <v>99</v>
      </c>
      <c r="C114" s="38"/>
      <c r="D114" s="38"/>
      <c r="E114" s="50"/>
      <c r="F114" s="57"/>
      <c r="G114" s="68"/>
      <c r="H114" s="68"/>
      <c r="I114" s="68"/>
      <c r="J114" s="158"/>
      <c r="K114" s="259"/>
    </row>
    <row r="115" spans="1:11" ht="15" x14ac:dyDescent="0.25">
      <c r="A115" s="33"/>
      <c r="B115" s="253"/>
      <c r="C115" s="38" t="s">
        <v>84</v>
      </c>
      <c r="D115" s="38"/>
      <c r="E115" s="50"/>
      <c r="F115" s="57" t="s">
        <v>32</v>
      </c>
      <c r="G115" s="240"/>
      <c r="H115" s="58">
        <f>SUMIF('Interim Input'!$F$13:$F$172,'Budget Variance Analysis'!$F$13:$F$121,'Interim Input'!$K$13:$K$172)</f>
        <v>0</v>
      </c>
      <c r="I115" s="58">
        <f t="shared" ref="I115:I117" si="26">+H115-G115</f>
        <v>0</v>
      </c>
      <c r="J115" s="158"/>
      <c r="K115" s="259"/>
    </row>
    <row r="116" spans="1:11" ht="15" x14ac:dyDescent="0.25">
      <c r="A116" s="33"/>
      <c r="B116" s="253"/>
      <c r="C116" s="38" t="s">
        <v>33</v>
      </c>
      <c r="D116" s="38"/>
      <c r="E116" s="50"/>
      <c r="F116" s="57" t="s">
        <v>34</v>
      </c>
      <c r="G116" s="240"/>
      <c r="H116" s="58">
        <f>SUMIF('Interim Input'!$F$13:$F$172,'Budget Variance Analysis'!$F$13:$F$121,'Interim Input'!$K$13:$K$172)</f>
        <v>0</v>
      </c>
      <c r="I116" s="58">
        <f>+H116-G116</f>
        <v>0</v>
      </c>
      <c r="J116" s="158"/>
      <c r="K116" s="259"/>
    </row>
    <row r="117" spans="1:11" ht="15" x14ac:dyDescent="0.25">
      <c r="A117" s="33"/>
      <c r="B117" s="266"/>
      <c r="C117" s="30" t="s">
        <v>201</v>
      </c>
      <c r="D117" s="30"/>
      <c r="E117" s="164"/>
      <c r="F117" s="57" t="s">
        <v>35</v>
      </c>
      <c r="G117" s="218"/>
      <c r="H117" s="167">
        <f>SUMIF('Interim Input'!$F$13:$F$172,'Budget Variance Analysis'!$F$13:$F$121,'Interim Input'!$K$13:$K$172)</f>
        <v>0</v>
      </c>
      <c r="I117" s="58">
        <f t="shared" si="26"/>
        <v>0</v>
      </c>
      <c r="J117" s="158"/>
      <c r="K117" s="259"/>
    </row>
    <row r="118" spans="1:11" s="2" customFormat="1" ht="15" x14ac:dyDescent="0.25">
      <c r="A118" s="33"/>
      <c r="B118" s="253"/>
      <c r="C118" s="38"/>
      <c r="D118" s="87" t="s">
        <v>105</v>
      </c>
      <c r="E118" s="88"/>
      <c r="F118" s="57"/>
      <c r="G118" s="68"/>
      <c r="H118" s="68"/>
      <c r="I118" s="68"/>
      <c r="J118" s="158"/>
      <c r="K118" s="259"/>
    </row>
    <row r="119" spans="1:11" ht="15" x14ac:dyDescent="0.25">
      <c r="A119" s="33"/>
      <c r="B119" s="253"/>
      <c r="C119" s="38" t="s">
        <v>85</v>
      </c>
      <c r="D119" s="38"/>
      <c r="E119" s="50"/>
      <c r="F119" s="61"/>
      <c r="G119" s="241">
        <f>SUM(G115:G117)</f>
        <v>0</v>
      </c>
      <c r="H119" s="63">
        <f>SUM(H115:H117)</f>
        <v>0</v>
      </c>
      <c r="I119" s="63">
        <f>+H119-G119</f>
        <v>0</v>
      </c>
      <c r="J119" s="158"/>
      <c r="K119" s="261"/>
    </row>
    <row r="120" spans="1:11" ht="9" customHeight="1" x14ac:dyDescent="0.25">
      <c r="A120" s="33"/>
      <c r="B120" s="262"/>
      <c r="C120" s="66"/>
      <c r="D120" s="66"/>
      <c r="E120" s="51"/>
      <c r="F120" s="57"/>
      <c r="G120" s="169"/>
      <c r="H120" s="68"/>
      <c r="I120" s="68"/>
      <c r="J120" s="158"/>
      <c r="K120" s="267"/>
    </row>
    <row r="121" spans="1:11" ht="15.75" thickBot="1" x14ac:dyDescent="0.3">
      <c r="A121" s="31"/>
      <c r="B121" s="268" t="s">
        <v>202</v>
      </c>
      <c r="C121" s="49"/>
      <c r="D121" s="49"/>
      <c r="E121" s="60"/>
      <c r="F121" s="61"/>
      <c r="G121" s="242">
        <f>+G112+G119</f>
        <v>200852</v>
      </c>
      <c r="H121" s="63">
        <f t="shared" ref="H121" si="27">+H112+H119</f>
        <v>202973.82685600035</v>
      </c>
      <c r="I121" s="63">
        <f>+I112+I119</f>
        <v>0</v>
      </c>
      <c r="J121" s="269"/>
      <c r="K121" s="264"/>
    </row>
    <row r="122" spans="1:11" s="23" customFormat="1" ht="15" hidden="1" x14ac:dyDescent="0.25">
      <c r="A122" s="13"/>
      <c r="B122" s="90"/>
      <c r="C122" s="90"/>
      <c r="D122" s="91"/>
      <c r="E122" s="91"/>
      <c r="F122" s="91" t="s">
        <v>106</v>
      </c>
      <c r="G122" s="92"/>
      <c r="H122" s="93" t="e">
        <f>+#REF!-#REF!</f>
        <v>#REF!</v>
      </c>
      <c r="I122" s="94"/>
      <c r="J122" s="95"/>
    </row>
    <row r="123" spans="1:11" ht="15" hidden="1" x14ac:dyDescent="0.25">
      <c r="F123" s="96"/>
      <c r="H123" s="98"/>
      <c r="I123" s="97"/>
    </row>
    <row r="124" spans="1:11" ht="15" hidden="1" x14ac:dyDescent="0.25">
      <c r="F124" s="96"/>
      <c r="I124" s="97"/>
    </row>
    <row r="125" spans="1:11" ht="15" hidden="1" x14ac:dyDescent="0.25">
      <c r="F125" s="96"/>
      <c r="I125" s="97"/>
    </row>
    <row r="126" spans="1:11" ht="15" hidden="1" x14ac:dyDescent="0.25">
      <c r="F126" s="96"/>
      <c r="I126" s="98"/>
    </row>
    <row r="127" spans="1:11" ht="15" hidden="1" x14ac:dyDescent="0.25">
      <c r="F127" s="96"/>
      <c r="I127" s="97"/>
    </row>
    <row r="128" spans="1:11" ht="15" hidden="1" x14ac:dyDescent="0.25">
      <c r="F128" s="96"/>
      <c r="I128" s="97"/>
    </row>
    <row r="129" spans="6:9" ht="15" hidden="1" x14ac:dyDescent="0.25">
      <c r="F129" s="96"/>
      <c r="I129" s="97"/>
    </row>
    <row r="130" spans="6:9" ht="15" hidden="1" x14ac:dyDescent="0.25">
      <c r="F130" s="96"/>
      <c r="I130" s="97"/>
    </row>
    <row r="131" spans="6:9" ht="15" hidden="1" x14ac:dyDescent="0.25">
      <c r="F131" s="96"/>
      <c r="I131" s="97"/>
    </row>
    <row r="132" spans="6:9" ht="15" hidden="1" x14ac:dyDescent="0.25">
      <c r="F132" s="96"/>
      <c r="I132" s="97"/>
    </row>
    <row r="133" spans="6:9" ht="15" hidden="1" x14ac:dyDescent="0.25">
      <c r="F133" s="96"/>
      <c r="I133" s="97"/>
    </row>
    <row r="134" spans="6:9" ht="15" hidden="1" x14ac:dyDescent="0.25">
      <c r="F134" s="96"/>
      <c r="I134" s="97"/>
    </row>
    <row r="135" spans="6:9" ht="15" hidden="1" x14ac:dyDescent="0.25">
      <c r="F135" s="96"/>
      <c r="I135" s="97"/>
    </row>
    <row r="136" spans="6:9" ht="15" hidden="1" x14ac:dyDescent="0.25">
      <c r="F136" s="96"/>
      <c r="I136" s="97"/>
    </row>
    <row r="137" spans="6:9" ht="15" hidden="1" x14ac:dyDescent="0.25">
      <c r="F137" s="96"/>
      <c r="I137" s="97"/>
    </row>
    <row r="138" spans="6:9" ht="15" hidden="1" x14ac:dyDescent="0.25">
      <c r="F138" s="96"/>
      <c r="I138" s="97"/>
    </row>
    <row r="139" spans="6:9" ht="15" hidden="1" x14ac:dyDescent="0.25">
      <c r="F139" s="96"/>
      <c r="I139" s="97"/>
    </row>
    <row r="140" spans="6:9" ht="15" hidden="1" x14ac:dyDescent="0.25">
      <c r="F140" s="96"/>
      <c r="I140" s="97"/>
    </row>
    <row r="141" spans="6:9" ht="15" hidden="1" x14ac:dyDescent="0.25">
      <c r="F141" s="96"/>
      <c r="I141" s="97"/>
    </row>
    <row r="142" spans="6:9" ht="15" hidden="1" x14ac:dyDescent="0.25">
      <c r="F142" s="96"/>
      <c r="I142" s="97"/>
    </row>
    <row r="143" spans="6:9" ht="15" hidden="1" x14ac:dyDescent="0.25">
      <c r="F143" s="96"/>
      <c r="I143" s="97"/>
    </row>
    <row r="144" spans="6:9" ht="15" hidden="1" x14ac:dyDescent="0.25">
      <c r="F144" s="96"/>
      <c r="I144" s="97"/>
    </row>
    <row r="145" spans="6:9" ht="15" hidden="1" x14ac:dyDescent="0.25">
      <c r="F145" s="96"/>
      <c r="I145" s="97"/>
    </row>
    <row r="146" spans="6:9" ht="15" hidden="1" x14ac:dyDescent="0.25">
      <c r="F146" s="96"/>
      <c r="I146" s="97"/>
    </row>
    <row r="147" spans="6:9" ht="15" hidden="1" x14ac:dyDescent="0.25">
      <c r="F147" s="96"/>
      <c r="I147" s="97"/>
    </row>
    <row r="148" spans="6:9" ht="15" hidden="1" x14ac:dyDescent="0.25">
      <c r="F148" s="96"/>
      <c r="I148" s="97"/>
    </row>
    <row r="149" spans="6:9" ht="15" hidden="1" x14ac:dyDescent="0.25">
      <c r="F149" s="96"/>
      <c r="I149" s="97"/>
    </row>
    <row r="150" spans="6:9" ht="15" hidden="1" x14ac:dyDescent="0.25">
      <c r="F150" s="96"/>
      <c r="I150" s="97"/>
    </row>
    <row r="151" spans="6:9" ht="15" hidden="1" x14ac:dyDescent="0.25">
      <c r="F151" s="96"/>
      <c r="I151" s="97"/>
    </row>
    <row r="152" spans="6:9" ht="15" hidden="1" x14ac:dyDescent="0.25">
      <c r="F152" s="96"/>
      <c r="I152" s="97"/>
    </row>
    <row r="153" spans="6:9" ht="15" hidden="1" x14ac:dyDescent="0.25">
      <c r="F153" s="96"/>
      <c r="I153" s="97"/>
    </row>
    <row r="154" spans="6:9" ht="15" hidden="1" x14ac:dyDescent="0.25">
      <c r="F154" s="96"/>
      <c r="I154" s="97"/>
    </row>
    <row r="155" spans="6:9" ht="15" hidden="1" x14ac:dyDescent="0.25">
      <c r="F155" s="96"/>
      <c r="I155" s="97"/>
    </row>
    <row r="156" spans="6:9" ht="15" hidden="1" x14ac:dyDescent="0.25">
      <c r="F156" s="96"/>
      <c r="I156" s="97"/>
    </row>
    <row r="157" spans="6:9" ht="15" hidden="1" x14ac:dyDescent="0.25">
      <c r="F157" s="96"/>
      <c r="I157" s="97"/>
    </row>
    <row r="158" spans="6:9" ht="15" hidden="1" x14ac:dyDescent="0.25">
      <c r="F158" s="96"/>
      <c r="I158" s="97"/>
    </row>
    <row r="159" spans="6:9" ht="15" hidden="1" x14ac:dyDescent="0.25">
      <c r="F159" s="96"/>
      <c r="I159" s="97"/>
    </row>
    <row r="160" spans="6:9" ht="15" hidden="1" x14ac:dyDescent="0.25">
      <c r="F160" s="96"/>
      <c r="I160" s="97"/>
    </row>
    <row r="161" spans="6:9" ht="15" hidden="1" x14ac:dyDescent="0.25">
      <c r="F161" s="96"/>
      <c r="I161" s="97"/>
    </row>
    <row r="162" spans="6:9" ht="15" hidden="1" x14ac:dyDescent="0.25">
      <c r="F162" s="96"/>
      <c r="I162" s="97"/>
    </row>
    <row r="163" spans="6:9" ht="15" hidden="1" x14ac:dyDescent="0.25">
      <c r="F163" s="96"/>
      <c r="I163" s="97"/>
    </row>
    <row r="164" spans="6:9" ht="15" hidden="1" x14ac:dyDescent="0.25">
      <c r="F164" s="96"/>
      <c r="I164" s="97"/>
    </row>
    <row r="165" spans="6:9" ht="15" hidden="1" x14ac:dyDescent="0.25">
      <c r="F165" s="96"/>
      <c r="I165" s="97"/>
    </row>
    <row r="166" spans="6:9" ht="15" hidden="1" x14ac:dyDescent="0.25">
      <c r="F166" s="96"/>
      <c r="I166" s="97"/>
    </row>
    <row r="167" spans="6:9" ht="15" hidden="1" x14ac:dyDescent="0.25">
      <c r="F167" s="96"/>
      <c r="I167" s="97"/>
    </row>
    <row r="168" spans="6:9" ht="15" hidden="1" x14ac:dyDescent="0.25">
      <c r="F168" s="96"/>
      <c r="I168" s="97"/>
    </row>
    <row r="169" spans="6:9" ht="15" hidden="1" x14ac:dyDescent="0.25">
      <c r="F169" s="96"/>
      <c r="I169" s="97"/>
    </row>
    <row r="170" spans="6:9" ht="15" hidden="1" x14ac:dyDescent="0.25">
      <c r="F170" s="96"/>
      <c r="I170" s="97"/>
    </row>
    <row r="171" spans="6:9" ht="15" hidden="1" x14ac:dyDescent="0.25">
      <c r="F171" s="96"/>
      <c r="I171" s="97"/>
    </row>
    <row r="172" spans="6:9" ht="15" hidden="1" x14ac:dyDescent="0.25">
      <c r="F172" s="96"/>
      <c r="I172" s="97"/>
    </row>
    <row r="173" spans="6:9" ht="15" hidden="1" x14ac:dyDescent="0.25">
      <c r="F173" s="96"/>
      <c r="I173" s="97"/>
    </row>
    <row r="174" spans="6:9" ht="15" hidden="1" x14ac:dyDescent="0.25">
      <c r="F174" s="96"/>
      <c r="I174" s="97"/>
    </row>
    <row r="175" spans="6:9" ht="15" hidden="1" x14ac:dyDescent="0.25">
      <c r="F175" s="96"/>
      <c r="I175" s="97"/>
    </row>
    <row r="176" spans="6:9" ht="15" hidden="1" x14ac:dyDescent="0.25">
      <c r="F176" s="96"/>
      <c r="I176" s="97"/>
    </row>
    <row r="177" spans="6:9" ht="15" hidden="1" x14ac:dyDescent="0.25">
      <c r="F177" s="96"/>
      <c r="I177" s="97"/>
    </row>
    <row r="178" spans="6:9" ht="15" hidden="1" x14ac:dyDescent="0.25">
      <c r="F178" s="96"/>
      <c r="I178" s="97"/>
    </row>
    <row r="179" spans="6:9" ht="15" hidden="1" x14ac:dyDescent="0.25">
      <c r="F179" s="96"/>
      <c r="I179" s="97"/>
    </row>
    <row r="180" spans="6:9" ht="15" hidden="1" x14ac:dyDescent="0.25">
      <c r="F180" s="96"/>
      <c r="I180" s="97"/>
    </row>
    <row r="181" spans="6:9" ht="15" hidden="1" x14ac:dyDescent="0.25">
      <c r="F181" s="96"/>
      <c r="I181" s="97"/>
    </row>
    <row r="182" spans="6:9" ht="15" hidden="1" x14ac:dyDescent="0.25">
      <c r="F182" s="96"/>
      <c r="I182" s="97"/>
    </row>
    <row r="183" spans="6:9" ht="15" hidden="1" x14ac:dyDescent="0.25">
      <c r="F183" s="96"/>
      <c r="I183" s="97"/>
    </row>
    <row r="184" spans="6:9" ht="15" hidden="1" x14ac:dyDescent="0.25">
      <c r="F184" s="96"/>
      <c r="I184" s="97"/>
    </row>
    <row r="185" spans="6:9" ht="15" hidden="1" x14ac:dyDescent="0.25">
      <c r="F185" s="96"/>
      <c r="I185" s="97"/>
    </row>
    <row r="186" spans="6:9" ht="15" hidden="1" x14ac:dyDescent="0.25">
      <c r="F186" s="96"/>
      <c r="I186" s="97"/>
    </row>
    <row r="187" spans="6:9" ht="15" hidden="1" x14ac:dyDescent="0.25">
      <c r="F187" s="96"/>
      <c r="I187" s="97"/>
    </row>
    <row r="188" spans="6:9" ht="15" hidden="1" x14ac:dyDescent="0.25">
      <c r="F188" s="96"/>
      <c r="I188" s="97"/>
    </row>
    <row r="189" spans="6:9" ht="15" hidden="1" x14ac:dyDescent="0.25">
      <c r="F189" s="96"/>
      <c r="I189" s="97"/>
    </row>
    <row r="190" spans="6:9" ht="15" hidden="1" x14ac:dyDescent="0.25">
      <c r="F190" s="96"/>
      <c r="I190" s="97"/>
    </row>
    <row r="191" spans="6:9" ht="15" hidden="1" x14ac:dyDescent="0.25">
      <c r="F191" s="96"/>
      <c r="I191" s="97"/>
    </row>
    <row r="192" spans="6:9" ht="15" hidden="1" x14ac:dyDescent="0.25">
      <c r="F192" s="96"/>
      <c r="I192" s="97"/>
    </row>
    <row r="193" spans="6:9" ht="15" hidden="1" x14ac:dyDescent="0.25">
      <c r="F193" s="96"/>
      <c r="I193" s="97"/>
    </row>
    <row r="194" spans="6:9" ht="15" hidden="1" x14ac:dyDescent="0.25">
      <c r="F194" s="96"/>
      <c r="I194" s="97"/>
    </row>
    <row r="195" spans="6:9" ht="15" hidden="1" x14ac:dyDescent="0.25">
      <c r="F195" s="96"/>
      <c r="I195" s="97"/>
    </row>
    <row r="196" spans="6:9" ht="15" hidden="1" x14ac:dyDescent="0.25">
      <c r="F196" s="96"/>
      <c r="I196" s="97"/>
    </row>
    <row r="197" spans="6:9" ht="15" hidden="1" x14ac:dyDescent="0.25">
      <c r="F197" s="96"/>
      <c r="I197" s="97"/>
    </row>
    <row r="198" spans="6:9" ht="15" hidden="1" x14ac:dyDescent="0.25">
      <c r="F198" s="96"/>
      <c r="I198" s="97"/>
    </row>
    <row r="199" spans="6:9" ht="15" hidden="1" x14ac:dyDescent="0.25">
      <c r="F199" s="96"/>
      <c r="I199" s="97"/>
    </row>
    <row r="200" spans="6:9" ht="15" hidden="1" x14ac:dyDescent="0.25">
      <c r="F200" s="96"/>
      <c r="I200" s="97"/>
    </row>
    <row r="201" spans="6:9" ht="15" hidden="1" x14ac:dyDescent="0.25">
      <c r="F201" s="96"/>
      <c r="I201" s="97"/>
    </row>
    <row r="202" spans="6:9" ht="15" hidden="1" x14ac:dyDescent="0.25">
      <c r="F202" s="96"/>
      <c r="I202" s="97"/>
    </row>
    <row r="203" spans="6:9" ht="15" hidden="1" x14ac:dyDescent="0.25">
      <c r="F203" s="96"/>
      <c r="I203" s="97"/>
    </row>
    <row r="204" spans="6:9" ht="15" hidden="1" x14ac:dyDescent="0.25">
      <c r="F204" s="96"/>
      <c r="I204" s="97"/>
    </row>
    <row r="205" spans="6:9" ht="15" hidden="1" x14ac:dyDescent="0.25">
      <c r="F205" s="96"/>
      <c r="I205" s="97"/>
    </row>
    <row r="206" spans="6:9" ht="15" hidden="1" x14ac:dyDescent="0.25">
      <c r="F206" s="96"/>
      <c r="I206" s="97"/>
    </row>
    <row r="207" spans="6:9" ht="15" hidden="1" x14ac:dyDescent="0.25">
      <c r="F207" s="96"/>
      <c r="I207" s="97"/>
    </row>
    <row r="208" spans="6:9" ht="15" hidden="1" x14ac:dyDescent="0.25">
      <c r="F208" s="96"/>
      <c r="I208" s="97"/>
    </row>
    <row r="209" spans="6:9" ht="15" hidden="1" x14ac:dyDescent="0.25">
      <c r="F209" s="96"/>
      <c r="I209" s="97"/>
    </row>
    <row r="210" spans="6:9" ht="15" hidden="1" x14ac:dyDescent="0.25">
      <c r="F210" s="96"/>
      <c r="I210" s="97"/>
    </row>
    <row r="211" spans="6:9" ht="15" hidden="1" x14ac:dyDescent="0.25">
      <c r="F211" s="96"/>
      <c r="I211" s="97"/>
    </row>
    <row r="212" spans="6:9" ht="15" hidden="1" x14ac:dyDescent="0.25">
      <c r="F212" s="96"/>
      <c r="I212" s="97"/>
    </row>
    <row r="213" spans="6:9" ht="15" hidden="1" x14ac:dyDescent="0.25">
      <c r="F213" s="96"/>
      <c r="I213" s="97"/>
    </row>
    <row r="214" spans="6:9" ht="15" hidden="1" x14ac:dyDescent="0.25">
      <c r="F214" s="96"/>
      <c r="I214" s="97"/>
    </row>
    <row r="215" spans="6:9" ht="15" hidden="1" x14ac:dyDescent="0.25">
      <c r="F215" s="96"/>
      <c r="I215" s="97"/>
    </row>
    <row r="216" spans="6:9" ht="15" hidden="1" x14ac:dyDescent="0.25">
      <c r="F216" s="96"/>
      <c r="I216" s="97"/>
    </row>
    <row r="217" spans="6:9" ht="15" hidden="1" x14ac:dyDescent="0.25">
      <c r="F217" s="96"/>
      <c r="I217" s="97"/>
    </row>
    <row r="218" spans="6:9" ht="15" hidden="1" x14ac:dyDescent="0.25">
      <c r="F218" s="96"/>
      <c r="I218" s="97"/>
    </row>
    <row r="219" spans="6:9" ht="15" hidden="1" x14ac:dyDescent="0.25">
      <c r="F219" s="96"/>
      <c r="I219" s="97"/>
    </row>
    <row r="220" spans="6:9" ht="15" hidden="1" x14ac:dyDescent="0.25">
      <c r="F220" s="96"/>
      <c r="I220" s="97"/>
    </row>
    <row r="221" spans="6:9" ht="15" hidden="1" x14ac:dyDescent="0.25">
      <c r="F221" s="96"/>
      <c r="I221" s="97"/>
    </row>
    <row r="222" spans="6:9" ht="15" hidden="1" x14ac:dyDescent="0.25">
      <c r="F222" s="96"/>
      <c r="I222" s="97"/>
    </row>
    <row r="223" spans="6:9" ht="15" hidden="1" x14ac:dyDescent="0.25">
      <c r="F223" s="96"/>
      <c r="I223" s="97"/>
    </row>
    <row r="224" spans="6:9" ht="15" hidden="1" x14ac:dyDescent="0.25">
      <c r="F224" s="96"/>
      <c r="I224" s="97"/>
    </row>
    <row r="225" spans="6:9" ht="15" hidden="1" x14ac:dyDescent="0.25">
      <c r="F225" s="96"/>
      <c r="I225" s="97"/>
    </row>
    <row r="226" spans="6:9" ht="15" hidden="1" x14ac:dyDescent="0.25">
      <c r="F226" s="96"/>
      <c r="I226" s="97"/>
    </row>
    <row r="227" spans="6:9" ht="15" hidden="1" x14ac:dyDescent="0.25">
      <c r="F227" s="96"/>
      <c r="I227" s="97"/>
    </row>
    <row r="228" spans="6:9" ht="15" hidden="1" x14ac:dyDescent="0.25">
      <c r="F228" s="96"/>
      <c r="I228" s="97"/>
    </row>
    <row r="229" spans="6:9" ht="15" hidden="1" x14ac:dyDescent="0.25">
      <c r="F229" s="96"/>
      <c r="I229" s="97"/>
    </row>
    <row r="230" spans="6:9" ht="15" hidden="1" x14ac:dyDescent="0.25">
      <c r="F230" s="96"/>
      <c r="I230" s="97"/>
    </row>
    <row r="231" spans="6:9" ht="15" hidden="1" x14ac:dyDescent="0.25">
      <c r="F231" s="96"/>
      <c r="I231" s="97"/>
    </row>
    <row r="232" spans="6:9" ht="15" hidden="1" x14ac:dyDescent="0.25">
      <c r="F232" s="96"/>
      <c r="I232" s="97"/>
    </row>
    <row r="233" spans="6:9" ht="15" hidden="1" x14ac:dyDescent="0.25">
      <c r="F233" s="96"/>
      <c r="I233" s="97"/>
    </row>
    <row r="234" spans="6:9" ht="15" hidden="1" x14ac:dyDescent="0.25">
      <c r="F234" s="96"/>
      <c r="I234" s="97"/>
    </row>
    <row r="235" spans="6:9" ht="15" hidden="1" x14ac:dyDescent="0.25">
      <c r="F235" s="96"/>
    </row>
    <row r="236" spans="6:9" ht="15" hidden="1" x14ac:dyDescent="0.25">
      <c r="F236" s="96"/>
    </row>
    <row r="237" spans="6:9" ht="15" hidden="1" x14ac:dyDescent="0.25">
      <c r="F237" s="96"/>
    </row>
    <row r="238" spans="6:9" ht="15" hidden="1" x14ac:dyDescent="0.25">
      <c r="F238" s="96"/>
    </row>
    <row r="239" spans="6:9" ht="15" hidden="1" x14ac:dyDescent="0.25">
      <c r="F239" s="96"/>
    </row>
    <row r="240" spans="6:9" ht="15" hidden="1" x14ac:dyDescent="0.25">
      <c r="F240" s="96"/>
    </row>
    <row r="241" spans="6:6" ht="15" hidden="1" x14ac:dyDescent="0.25">
      <c r="F241" s="96"/>
    </row>
    <row r="242" spans="6:6" ht="15" hidden="1" x14ac:dyDescent="0.25">
      <c r="F242" s="96"/>
    </row>
    <row r="243" spans="6:6" ht="15" hidden="1" x14ac:dyDescent="0.25">
      <c r="F243" s="96"/>
    </row>
    <row r="244" spans="6:6" ht="15" hidden="1" x14ac:dyDescent="0.25">
      <c r="F244" s="96"/>
    </row>
    <row r="245" spans="6:6" ht="15" hidden="1" x14ac:dyDescent="0.25">
      <c r="F245" s="96"/>
    </row>
    <row r="246" spans="6:6" ht="15" hidden="1" x14ac:dyDescent="0.25">
      <c r="F246" s="96"/>
    </row>
    <row r="247" spans="6:6" ht="15" hidden="1" x14ac:dyDescent="0.25">
      <c r="F247" s="96"/>
    </row>
    <row r="248" spans="6:6" ht="15" hidden="1" x14ac:dyDescent="0.25">
      <c r="F248" s="96"/>
    </row>
    <row r="249" spans="6:6" ht="15" hidden="1" x14ac:dyDescent="0.25">
      <c r="F249" s="96"/>
    </row>
    <row r="250" spans="6:6" ht="15" hidden="1" x14ac:dyDescent="0.25">
      <c r="F250" s="96"/>
    </row>
    <row r="251" spans="6:6" ht="15" hidden="1" x14ac:dyDescent="0.25">
      <c r="F251" s="96"/>
    </row>
    <row r="252" spans="6:6" ht="15" hidden="1" x14ac:dyDescent="0.25">
      <c r="F252" s="96"/>
    </row>
    <row r="253" spans="6:6" ht="15" hidden="1" x14ac:dyDescent="0.25">
      <c r="F253" s="96"/>
    </row>
    <row r="254" spans="6:6" ht="15" hidden="1" x14ac:dyDescent="0.25">
      <c r="F254" s="96"/>
    </row>
    <row r="255" spans="6:6" ht="15" hidden="1" x14ac:dyDescent="0.25">
      <c r="F255" s="96"/>
    </row>
    <row r="256" spans="6:6" ht="15" hidden="1" x14ac:dyDescent="0.25">
      <c r="F256" s="96"/>
    </row>
    <row r="257" spans="6:6" ht="15" hidden="1" x14ac:dyDescent="0.25">
      <c r="F257" s="96"/>
    </row>
    <row r="258" spans="6:6" ht="15" hidden="1" x14ac:dyDescent="0.25">
      <c r="F258" s="96"/>
    </row>
    <row r="259" spans="6:6" ht="15" hidden="1" x14ac:dyDescent="0.25">
      <c r="F259" s="96"/>
    </row>
    <row r="260" spans="6:6" ht="15" hidden="1" x14ac:dyDescent="0.25">
      <c r="F260" s="96"/>
    </row>
    <row r="261" spans="6:6" ht="15" hidden="1" x14ac:dyDescent="0.25">
      <c r="F261" s="96"/>
    </row>
    <row r="262" spans="6:6" ht="15" hidden="1" x14ac:dyDescent="0.25">
      <c r="F262" s="96"/>
    </row>
    <row r="263" spans="6:6" ht="15" hidden="1" x14ac:dyDescent="0.25">
      <c r="F263" s="96"/>
    </row>
    <row r="264" spans="6:6" ht="15" hidden="1" x14ac:dyDescent="0.25">
      <c r="F264" s="96"/>
    </row>
    <row r="265" spans="6:6" ht="15" hidden="1" x14ac:dyDescent="0.25">
      <c r="F265" s="96"/>
    </row>
    <row r="266" spans="6:6" ht="15" hidden="1" x14ac:dyDescent="0.25">
      <c r="F266" s="96"/>
    </row>
    <row r="267" spans="6:6" ht="15" hidden="1" x14ac:dyDescent="0.25">
      <c r="F267" s="96"/>
    </row>
    <row r="268" spans="6:6" ht="15" hidden="1" x14ac:dyDescent="0.25">
      <c r="F268" s="96"/>
    </row>
    <row r="269" spans="6:6" ht="15" hidden="1" x14ac:dyDescent="0.25">
      <c r="F269" s="96"/>
    </row>
    <row r="270" spans="6:6" ht="15" hidden="1" x14ac:dyDescent="0.25">
      <c r="F270" s="96"/>
    </row>
    <row r="271" spans="6:6" ht="15" hidden="1" x14ac:dyDescent="0.25">
      <c r="F271" s="96"/>
    </row>
    <row r="272" spans="6:6" ht="15" hidden="1" x14ac:dyDescent="0.25">
      <c r="F272" s="96"/>
    </row>
    <row r="273" spans="6:6" ht="15" hidden="1" x14ac:dyDescent="0.25">
      <c r="F273" s="96"/>
    </row>
    <row r="274" spans="6:6" ht="15" hidden="1" x14ac:dyDescent="0.25">
      <c r="F274" s="96"/>
    </row>
    <row r="275" spans="6:6" ht="15" hidden="1" x14ac:dyDescent="0.25">
      <c r="F275" s="96"/>
    </row>
    <row r="276" spans="6:6" ht="15" hidden="1" x14ac:dyDescent="0.25">
      <c r="F276" s="96"/>
    </row>
    <row r="277" spans="6:6" ht="15" hidden="1" x14ac:dyDescent="0.25">
      <c r="F277" s="96"/>
    </row>
    <row r="278" spans="6:6" ht="15" hidden="1" x14ac:dyDescent="0.25">
      <c r="F278" s="96"/>
    </row>
    <row r="279" spans="6:6" ht="15" hidden="1" x14ac:dyDescent="0.25">
      <c r="F279" s="96"/>
    </row>
    <row r="280" spans="6:6" ht="15" hidden="1" x14ac:dyDescent="0.25">
      <c r="F280" s="96"/>
    </row>
    <row r="281" spans="6:6" ht="15" hidden="1" x14ac:dyDescent="0.25">
      <c r="F281" s="96"/>
    </row>
    <row r="282" spans="6:6" ht="15" hidden="1" x14ac:dyDescent="0.25">
      <c r="F282" s="96"/>
    </row>
    <row r="283" spans="6:6" ht="15" hidden="1" x14ac:dyDescent="0.25">
      <c r="F283" s="96"/>
    </row>
    <row r="284" spans="6:6" ht="15" hidden="1" x14ac:dyDescent="0.25">
      <c r="F284" s="96"/>
    </row>
    <row r="285" spans="6:6" ht="15" hidden="1" x14ac:dyDescent="0.25">
      <c r="F285" s="96"/>
    </row>
    <row r="286" spans="6:6" ht="15" hidden="1" x14ac:dyDescent="0.25">
      <c r="F286" s="96"/>
    </row>
    <row r="287" spans="6:6" ht="15" hidden="1" x14ac:dyDescent="0.25">
      <c r="F287" s="96"/>
    </row>
    <row r="288" spans="6:6" ht="15" hidden="1" x14ac:dyDescent="0.25">
      <c r="F288" s="96"/>
    </row>
    <row r="289" spans="6:6" ht="15" hidden="1" x14ac:dyDescent="0.25">
      <c r="F289" s="96"/>
    </row>
    <row r="290" spans="6:6" ht="15" hidden="1" x14ac:dyDescent="0.25">
      <c r="F290" s="96"/>
    </row>
    <row r="291" spans="6:6" ht="15" hidden="1" x14ac:dyDescent="0.25">
      <c r="F291" s="96"/>
    </row>
    <row r="292" spans="6:6" ht="15" hidden="1" x14ac:dyDescent="0.25">
      <c r="F292" s="96"/>
    </row>
    <row r="293" spans="6:6" ht="15" hidden="1" x14ac:dyDescent="0.25">
      <c r="F293" s="96"/>
    </row>
    <row r="294" spans="6:6" ht="15" hidden="1" x14ac:dyDescent="0.25">
      <c r="F294" s="96"/>
    </row>
    <row r="295" spans="6:6" ht="15" hidden="1" x14ac:dyDescent="0.25">
      <c r="F295" s="96"/>
    </row>
    <row r="296" spans="6:6" ht="15" hidden="1" x14ac:dyDescent="0.25">
      <c r="F296" s="96"/>
    </row>
    <row r="297" spans="6:6" ht="15" hidden="1" x14ac:dyDescent="0.25">
      <c r="F297" s="96"/>
    </row>
    <row r="298" spans="6:6" ht="15" hidden="1" x14ac:dyDescent="0.25">
      <c r="F298" s="96"/>
    </row>
    <row r="299" spans="6:6" ht="15" hidden="1" x14ac:dyDescent="0.25">
      <c r="F299" s="96"/>
    </row>
    <row r="300" spans="6:6" ht="15" hidden="1" x14ac:dyDescent="0.25">
      <c r="F300" s="96"/>
    </row>
    <row r="301" spans="6:6" ht="15" hidden="1" x14ac:dyDescent="0.25">
      <c r="F301" s="96"/>
    </row>
    <row r="302" spans="6:6" ht="15" hidden="1" x14ac:dyDescent="0.25">
      <c r="F302" s="96"/>
    </row>
    <row r="303" spans="6:6" ht="15" hidden="1" x14ac:dyDescent="0.25">
      <c r="F303" s="96"/>
    </row>
    <row r="304" spans="6:6" ht="15" hidden="1" x14ac:dyDescent="0.25">
      <c r="F304" s="96"/>
    </row>
    <row r="305" spans="6:6" ht="15" hidden="1" x14ac:dyDescent="0.25">
      <c r="F305" s="96"/>
    </row>
    <row r="306" spans="6:6" ht="15" hidden="1" x14ac:dyDescent="0.25">
      <c r="F306" s="96"/>
    </row>
    <row r="307" spans="6:6" ht="15" hidden="1" x14ac:dyDescent="0.25">
      <c r="F307" s="96"/>
    </row>
    <row r="308" spans="6:6" ht="15" hidden="1" x14ac:dyDescent="0.25">
      <c r="F308" s="96"/>
    </row>
    <row r="309" spans="6:6" ht="15" hidden="1" x14ac:dyDescent="0.25">
      <c r="F309" s="96"/>
    </row>
    <row r="310" spans="6:6" ht="15" hidden="1" x14ac:dyDescent="0.25">
      <c r="F310" s="96"/>
    </row>
    <row r="311" spans="6:6" ht="15" hidden="1" x14ac:dyDescent="0.25">
      <c r="F311" s="96"/>
    </row>
    <row r="312" spans="6:6" ht="15" hidden="1" x14ac:dyDescent="0.25">
      <c r="F312" s="96"/>
    </row>
    <row r="313" spans="6:6" ht="15" hidden="1" x14ac:dyDescent="0.25">
      <c r="F313" s="96"/>
    </row>
    <row r="314" spans="6:6" ht="15" hidden="1" x14ac:dyDescent="0.25">
      <c r="F314" s="96"/>
    </row>
    <row r="315" spans="6:6" ht="15" hidden="1" x14ac:dyDescent="0.25">
      <c r="F315" s="96"/>
    </row>
    <row r="316" spans="6:6" ht="15" hidden="1" x14ac:dyDescent="0.25">
      <c r="F316" s="96"/>
    </row>
    <row r="317" spans="6:6" ht="15" hidden="1" x14ac:dyDescent="0.25">
      <c r="F317" s="96"/>
    </row>
    <row r="318" spans="6:6" ht="15" hidden="1" x14ac:dyDescent="0.25">
      <c r="F318" s="96"/>
    </row>
    <row r="319" spans="6:6" ht="15" hidden="1" x14ac:dyDescent="0.25">
      <c r="F319" s="96"/>
    </row>
    <row r="320" spans="6:6" ht="15" hidden="1" x14ac:dyDescent="0.25">
      <c r="F320" s="96"/>
    </row>
    <row r="321" spans="6:6" ht="15" hidden="1" x14ac:dyDescent="0.25">
      <c r="F321" s="96"/>
    </row>
    <row r="322" spans="6:6" ht="15" hidden="1" x14ac:dyDescent="0.25">
      <c r="F322" s="96"/>
    </row>
    <row r="323" spans="6:6" ht="15" hidden="1" x14ac:dyDescent="0.25">
      <c r="F323" s="96"/>
    </row>
    <row r="324" spans="6:6" ht="15" hidden="1" x14ac:dyDescent="0.25">
      <c r="F324" s="96"/>
    </row>
    <row r="325" spans="6:6" ht="15" hidden="1" x14ac:dyDescent="0.25">
      <c r="F325" s="96"/>
    </row>
    <row r="326" spans="6:6" ht="15" hidden="1" x14ac:dyDescent="0.25">
      <c r="F326" s="96"/>
    </row>
    <row r="327" spans="6:6" ht="15" hidden="1" x14ac:dyDescent="0.25">
      <c r="F327" s="96"/>
    </row>
    <row r="328" spans="6:6" ht="15" hidden="1" x14ac:dyDescent="0.25">
      <c r="F328" s="96"/>
    </row>
    <row r="329" spans="6:6" ht="15" hidden="1" x14ac:dyDescent="0.25">
      <c r="F329" s="96"/>
    </row>
    <row r="330" spans="6:6" ht="15" hidden="1" x14ac:dyDescent="0.25">
      <c r="F330" s="96"/>
    </row>
    <row r="331" spans="6:6" ht="15" hidden="1" x14ac:dyDescent="0.25">
      <c r="F331" s="96"/>
    </row>
    <row r="332" spans="6:6" ht="15" hidden="1" x14ac:dyDescent="0.25">
      <c r="F332" s="96"/>
    </row>
    <row r="333" spans="6:6" ht="15" hidden="1" x14ac:dyDescent="0.25">
      <c r="F333" s="96"/>
    </row>
    <row r="334" spans="6:6" ht="15" hidden="1" x14ac:dyDescent="0.25">
      <c r="F334" s="96"/>
    </row>
    <row r="335" spans="6:6" ht="15" hidden="1" x14ac:dyDescent="0.25">
      <c r="F335" s="96"/>
    </row>
    <row r="336" spans="6:6" ht="15" hidden="1" x14ac:dyDescent="0.25">
      <c r="F336" s="96"/>
    </row>
    <row r="337" spans="6:6" ht="15" hidden="1" x14ac:dyDescent="0.25">
      <c r="F337" s="96"/>
    </row>
    <row r="338" spans="6:6" ht="15" hidden="1" x14ac:dyDescent="0.25">
      <c r="F338" s="96"/>
    </row>
    <row r="339" spans="6:6" ht="15" hidden="1" x14ac:dyDescent="0.25">
      <c r="F339" s="96"/>
    </row>
    <row r="340" spans="6:6" ht="15" hidden="1" x14ac:dyDescent="0.25">
      <c r="F340" s="96"/>
    </row>
    <row r="341" spans="6:6" ht="15" hidden="1" x14ac:dyDescent="0.25">
      <c r="F341" s="96"/>
    </row>
    <row r="342" spans="6:6" ht="15" hidden="1" x14ac:dyDescent="0.25">
      <c r="F342" s="96"/>
    </row>
    <row r="343" spans="6:6" ht="15" hidden="1" x14ac:dyDescent="0.25">
      <c r="F343" s="96"/>
    </row>
    <row r="344" spans="6:6" ht="15" hidden="1" x14ac:dyDescent="0.25">
      <c r="F344" s="96"/>
    </row>
    <row r="345" spans="6:6" ht="15" hidden="1" x14ac:dyDescent="0.25">
      <c r="F345" s="96"/>
    </row>
    <row r="346" spans="6:6" ht="15" hidden="1" x14ac:dyDescent="0.25">
      <c r="F346" s="96"/>
    </row>
    <row r="347" spans="6:6" ht="15" hidden="1" x14ac:dyDescent="0.25">
      <c r="F347" s="96"/>
    </row>
    <row r="348" spans="6:6" ht="15" hidden="1" x14ac:dyDescent="0.25">
      <c r="F348" s="96"/>
    </row>
    <row r="349" spans="6:6" ht="15" hidden="1" x14ac:dyDescent="0.25">
      <c r="F349" s="96"/>
    </row>
    <row r="350" spans="6:6" ht="15" hidden="1" x14ac:dyDescent="0.25">
      <c r="F350" s="96"/>
    </row>
    <row r="351" spans="6:6" ht="15" hidden="1" x14ac:dyDescent="0.25">
      <c r="F351" s="96"/>
    </row>
    <row r="352" spans="6:6" ht="15" hidden="1" x14ac:dyDescent="0.25">
      <c r="F352" s="96"/>
    </row>
    <row r="353" spans="6:6" ht="15" hidden="1" x14ac:dyDescent="0.25">
      <c r="F353" s="96"/>
    </row>
    <row r="354" spans="6:6" ht="15" hidden="1" x14ac:dyDescent="0.25">
      <c r="F354" s="96"/>
    </row>
    <row r="355" spans="6:6" ht="15" hidden="1" x14ac:dyDescent="0.25">
      <c r="F355" s="96"/>
    </row>
    <row r="356" spans="6:6" ht="15" hidden="1" x14ac:dyDescent="0.25">
      <c r="F356" s="96"/>
    </row>
    <row r="357" spans="6:6" ht="15" hidden="1" x14ac:dyDescent="0.25">
      <c r="F357" s="96"/>
    </row>
    <row r="358" spans="6:6" ht="15" hidden="1" x14ac:dyDescent="0.25">
      <c r="F358" s="96"/>
    </row>
    <row r="359" spans="6:6" ht="15" hidden="1" x14ac:dyDescent="0.25">
      <c r="F359" s="96"/>
    </row>
    <row r="360" spans="6:6" ht="15" hidden="1" x14ac:dyDescent="0.25">
      <c r="F360" s="96"/>
    </row>
    <row r="361" spans="6:6" ht="15" hidden="1" x14ac:dyDescent="0.25">
      <c r="F361" s="96"/>
    </row>
    <row r="362" spans="6:6" ht="15" hidden="1" x14ac:dyDescent="0.25">
      <c r="F362" s="96"/>
    </row>
    <row r="363" spans="6:6" ht="15" hidden="1" x14ac:dyDescent="0.25">
      <c r="F363" s="96"/>
    </row>
    <row r="364" spans="6:6" ht="15" hidden="1" x14ac:dyDescent="0.25">
      <c r="F364" s="96"/>
    </row>
    <row r="365" spans="6:6" ht="15" hidden="1" x14ac:dyDescent="0.25">
      <c r="F365" s="96"/>
    </row>
    <row r="366" spans="6:6" ht="15" hidden="1" x14ac:dyDescent="0.25">
      <c r="F366" s="96"/>
    </row>
    <row r="367" spans="6:6" ht="15" hidden="1" x14ac:dyDescent="0.25">
      <c r="F367" s="96"/>
    </row>
    <row r="368" spans="6:6" ht="15" hidden="1" x14ac:dyDescent="0.25">
      <c r="F368" s="96"/>
    </row>
    <row r="369" spans="6:6" ht="15" hidden="1" x14ac:dyDescent="0.25">
      <c r="F369" s="96"/>
    </row>
    <row r="370" spans="6:6" ht="15" hidden="1" x14ac:dyDescent="0.25">
      <c r="F370" s="96"/>
    </row>
    <row r="371" spans="6:6" ht="15" hidden="1" x14ac:dyDescent="0.25">
      <c r="F371" s="96"/>
    </row>
    <row r="372" spans="6:6" ht="15" hidden="1" x14ac:dyDescent="0.25">
      <c r="F372" s="96"/>
    </row>
    <row r="373" spans="6:6" ht="15" hidden="1" x14ac:dyDescent="0.25">
      <c r="F373" s="96"/>
    </row>
    <row r="374" spans="6:6" ht="15" hidden="1" x14ac:dyDescent="0.25">
      <c r="F374" s="96"/>
    </row>
    <row r="375" spans="6:6" ht="15" hidden="1" x14ac:dyDescent="0.25">
      <c r="F375" s="96"/>
    </row>
    <row r="376" spans="6:6" ht="15" hidden="1" x14ac:dyDescent="0.25">
      <c r="F376" s="96"/>
    </row>
    <row r="377" spans="6:6" ht="15" hidden="1" x14ac:dyDescent="0.25">
      <c r="F377" s="96"/>
    </row>
    <row r="378" spans="6:6" ht="15" hidden="1" x14ac:dyDescent="0.25">
      <c r="F378" s="96"/>
    </row>
    <row r="379" spans="6:6" ht="15" hidden="1" x14ac:dyDescent="0.25">
      <c r="F379" s="96"/>
    </row>
    <row r="380" spans="6:6" ht="15" hidden="1" x14ac:dyDescent="0.25">
      <c r="F380" s="96"/>
    </row>
    <row r="381" spans="6:6" ht="15" hidden="1" x14ac:dyDescent="0.25">
      <c r="F381" s="96"/>
    </row>
    <row r="382" spans="6:6" ht="15" hidden="1" x14ac:dyDescent="0.25">
      <c r="F382" s="96"/>
    </row>
    <row r="383" spans="6:6" ht="15" hidden="1" x14ac:dyDescent="0.25">
      <c r="F383" s="96"/>
    </row>
    <row r="384" spans="6:6" ht="15" hidden="1" x14ac:dyDescent="0.25">
      <c r="F384" s="96"/>
    </row>
    <row r="385" spans="6:6" ht="15" hidden="1" x14ac:dyDescent="0.25">
      <c r="F385" s="96"/>
    </row>
    <row r="386" spans="6:6" ht="15" hidden="1" x14ac:dyDescent="0.25">
      <c r="F386" s="96"/>
    </row>
    <row r="387" spans="6:6" ht="15" hidden="1" x14ac:dyDescent="0.25">
      <c r="F387" s="96"/>
    </row>
    <row r="388" spans="6:6" ht="15" hidden="1" x14ac:dyDescent="0.25">
      <c r="F388" s="96"/>
    </row>
    <row r="389" spans="6:6" ht="15" hidden="1" x14ac:dyDescent="0.25">
      <c r="F389" s="96"/>
    </row>
    <row r="390" spans="6:6" ht="15" hidden="1" x14ac:dyDescent="0.25">
      <c r="F390" s="96"/>
    </row>
    <row r="391" spans="6:6" ht="15" hidden="1" x14ac:dyDescent="0.25">
      <c r="F391" s="96"/>
    </row>
    <row r="392" spans="6:6" ht="15" hidden="1" x14ac:dyDescent="0.25">
      <c r="F392" s="96"/>
    </row>
    <row r="393" spans="6:6" ht="15" hidden="1" x14ac:dyDescent="0.25">
      <c r="F393" s="96"/>
    </row>
    <row r="394" spans="6:6" ht="15" hidden="1" x14ac:dyDescent="0.25">
      <c r="F394" s="96"/>
    </row>
    <row r="395" spans="6:6" ht="15" hidden="1" x14ac:dyDescent="0.25">
      <c r="F395" s="96"/>
    </row>
    <row r="396" spans="6:6" ht="15" hidden="1" x14ac:dyDescent="0.25">
      <c r="F396" s="96"/>
    </row>
    <row r="397" spans="6:6" ht="15" hidden="1" x14ac:dyDescent="0.25">
      <c r="F397" s="96"/>
    </row>
    <row r="398" spans="6:6" ht="15" hidden="1" x14ac:dyDescent="0.25">
      <c r="F398" s="96"/>
    </row>
    <row r="399" spans="6:6" ht="15" hidden="1" x14ac:dyDescent="0.25">
      <c r="F399" s="96"/>
    </row>
    <row r="400" spans="6:6" ht="15" hidden="1" x14ac:dyDescent="0.25">
      <c r="F400" s="96"/>
    </row>
    <row r="401" spans="6:6" ht="15" hidden="1" x14ac:dyDescent="0.25">
      <c r="F401" s="96"/>
    </row>
    <row r="402" spans="6:6" ht="15" hidden="1" x14ac:dyDescent="0.25">
      <c r="F402" s="96"/>
    </row>
    <row r="403" spans="6:6" ht="15" hidden="1" x14ac:dyDescent="0.25">
      <c r="F403" s="96"/>
    </row>
    <row r="404" spans="6:6" ht="15" hidden="1" x14ac:dyDescent="0.25">
      <c r="F404" s="96"/>
    </row>
    <row r="405" spans="6:6" ht="15" hidden="1" x14ac:dyDescent="0.25">
      <c r="F405" s="96"/>
    </row>
    <row r="406" spans="6:6" ht="15" hidden="1" x14ac:dyDescent="0.25">
      <c r="F406" s="96"/>
    </row>
    <row r="407" spans="6:6" ht="15" hidden="1" x14ac:dyDescent="0.25">
      <c r="F407" s="96"/>
    </row>
    <row r="408" spans="6:6" ht="15" hidden="1" x14ac:dyDescent="0.25">
      <c r="F408" s="96"/>
    </row>
    <row r="409" spans="6:6" ht="15" hidden="1" x14ac:dyDescent="0.25">
      <c r="F409" s="96"/>
    </row>
    <row r="410" spans="6:6" ht="15" hidden="1" x14ac:dyDescent="0.25">
      <c r="F410" s="96"/>
    </row>
    <row r="411" spans="6:6" ht="15" hidden="1" x14ac:dyDescent="0.25">
      <c r="F411" s="96"/>
    </row>
    <row r="412" spans="6:6" ht="15" hidden="1" x14ac:dyDescent="0.25">
      <c r="F412" s="96"/>
    </row>
    <row r="413" spans="6:6" ht="15" hidden="1" x14ac:dyDescent="0.25">
      <c r="F413" s="96"/>
    </row>
    <row r="414" spans="6:6" ht="15" hidden="1" x14ac:dyDescent="0.25">
      <c r="F414" s="96"/>
    </row>
    <row r="415" spans="6:6" ht="15" hidden="1" x14ac:dyDescent="0.25">
      <c r="F415" s="96"/>
    </row>
    <row r="416" spans="6:6" ht="15" hidden="1" x14ac:dyDescent="0.25">
      <c r="F416" s="96"/>
    </row>
    <row r="417" spans="6:6" ht="15" hidden="1" x14ac:dyDescent="0.25">
      <c r="F417" s="96"/>
    </row>
    <row r="418" spans="6:6" ht="15" hidden="1" x14ac:dyDescent="0.25">
      <c r="F418" s="96"/>
    </row>
    <row r="419" spans="6:6" ht="15" hidden="1" x14ac:dyDescent="0.25">
      <c r="F419" s="96"/>
    </row>
    <row r="420" spans="6:6" ht="15" hidden="1" x14ac:dyDescent="0.25">
      <c r="F420" s="96"/>
    </row>
    <row r="421" spans="6:6" ht="15" hidden="1" x14ac:dyDescent="0.25">
      <c r="F421" s="96"/>
    </row>
    <row r="422" spans="6:6" ht="15" hidden="1" x14ac:dyDescent="0.25">
      <c r="F422" s="96"/>
    </row>
    <row r="423" spans="6:6" ht="15" hidden="1" x14ac:dyDescent="0.25">
      <c r="F423" s="96"/>
    </row>
    <row r="424" spans="6:6" ht="15" hidden="1" x14ac:dyDescent="0.25">
      <c r="F424" s="96"/>
    </row>
    <row r="425" spans="6:6" ht="15" hidden="1" x14ac:dyDescent="0.25">
      <c r="F425" s="96"/>
    </row>
    <row r="426" spans="6:6" ht="15" hidden="1" x14ac:dyDescent="0.25">
      <c r="F426" s="96"/>
    </row>
    <row r="427" spans="6:6" ht="15" hidden="1" x14ac:dyDescent="0.25">
      <c r="F427" s="96"/>
    </row>
    <row r="428" spans="6:6" ht="15" hidden="1" x14ac:dyDescent="0.25">
      <c r="F428" s="96"/>
    </row>
    <row r="429" spans="6:6" ht="15" hidden="1" x14ac:dyDescent="0.25">
      <c r="F429" s="96"/>
    </row>
    <row r="430" spans="6:6" ht="15" hidden="1" x14ac:dyDescent="0.25">
      <c r="F430" s="96"/>
    </row>
    <row r="431" spans="6:6" ht="15" hidden="1" x14ac:dyDescent="0.25">
      <c r="F431" s="96"/>
    </row>
    <row r="432" spans="6:6" ht="15" hidden="1" x14ac:dyDescent="0.25">
      <c r="F432" s="96"/>
    </row>
    <row r="433" spans="6:6" ht="15" hidden="1" x14ac:dyDescent="0.25">
      <c r="F433" s="96"/>
    </row>
    <row r="434" spans="6:6" ht="15" hidden="1" x14ac:dyDescent="0.25">
      <c r="F434" s="96"/>
    </row>
    <row r="435" spans="6:6" ht="15" hidden="1" x14ac:dyDescent="0.25">
      <c r="F435" s="96"/>
    </row>
    <row r="436" spans="6:6" ht="15" hidden="1" x14ac:dyDescent="0.25">
      <c r="F436" s="96"/>
    </row>
    <row r="437" spans="6:6" ht="15" hidden="1" x14ac:dyDescent="0.25">
      <c r="F437" s="96"/>
    </row>
    <row r="438" spans="6:6" ht="15" hidden="1" x14ac:dyDescent="0.25">
      <c r="F438" s="96"/>
    </row>
    <row r="439" spans="6:6" ht="15" hidden="1" x14ac:dyDescent="0.25">
      <c r="F439" s="96"/>
    </row>
    <row r="440" spans="6:6" ht="15" hidden="1" x14ac:dyDescent="0.25">
      <c r="F440" s="96"/>
    </row>
    <row r="441" spans="6:6" ht="15" hidden="1" x14ac:dyDescent="0.25">
      <c r="F441" s="96"/>
    </row>
    <row r="442" spans="6:6" ht="15" hidden="1" x14ac:dyDescent="0.25">
      <c r="F442" s="96"/>
    </row>
    <row r="443" spans="6:6" ht="15" hidden="1" x14ac:dyDescent="0.25">
      <c r="F443" s="96"/>
    </row>
    <row r="444" spans="6:6" ht="15" hidden="1" x14ac:dyDescent="0.25">
      <c r="F444" s="96"/>
    </row>
    <row r="445" spans="6:6" ht="15" hidden="1" x14ac:dyDescent="0.25">
      <c r="F445" s="96"/>
    </row>
    <row r="446" spans="6:6" ht="15" hidden="1" x14ac:dyDescent="0.25">
      <c r="F446" s="96"/>
    </row>
    <row r="447" spans="6:6" ht="15" hidden="1" x14ac:dyDescent="0.25">
      <c r="F447" s="96"/>
    </row>
    <row r="448" spans="6:6" ht="15" hidden="1" x14ac:dyDescent="0.25">
      <c r="F448" s="96"/>
    </row>
    <row r="449" spans="6:6" ht="15" hidden="1" x14ac:dyDescent="0.25">
      <c r="F449" s="96"/>
    </row>
    <row r="450" spans="6:6" ht="15" hidden="1" x14ac:dyDescent="0.25">
      <c r="F450" s="96"/>
    </row>
    <row r="451" spans="6:6" ht="15" hidden="1" x14ac:dyDescent="0.25">
      <c r="F451" s="96"/>
    </row>
    <row r="452" spans="6:6" ht="15" hidden="1" x14ac:dyDescent="0.25">
      <c r="F452" s="96"/>
    </row>
    <row r="453" spans="6:6" ht="15" hidden="1" x14ac:dyDescent="0.25">
      <c r="F453" s="96"/>
    </row>
    <row r="454" spans="6:6" ht="15" hidden="1" x14ac:dyDescent="0.25">
      <c r="F454" s="96"/>
    </row>
    <row r="455" spans="6:6" ht="15" hidden="1" x14ac:dyDescent="0.25">
      <c r="F455" s="96"/>
    </row>
    <row r="456" spans="6:6" ht="15" hidden="1" x14ac:dyDescent="0.25">
      <c r="F456" s="96"/>
    </row>
    <row r="457" spans="6:6" ht="15" hidden="1" x14ac:dyDescent="0.25">
      <c r="F457" s="96"/>
    </row>
    <row r="458" spans="6:6" ht="15" hidden="1" x14ac:dyDescent="0.25">
      <c r="F458" s="96"/>
    </row>
    <row r="459" spans="6:6" ht="15" hidden="1" x14ac:dyDescent="0.25">
      <c r="F459" s="96"/>
    </row>
    <row r="460" spans="6:6" ht="15" hidden="1" x14ac:dyDescent="0.25">
      <c r="F460" s="96"/>
    </row>
    <row r="461" spans="6:6" ht="15" hidden="1" x14ac:dyDescent="0.25">
      <c r="F461" s="96"/>
    </row>
    <row r="462" spans="6:6" ht="15" hidden="1" x14ac:dyDescent="0.25">
      <c r="F462" s="96"/>
    </row>
    <row r="463" spans="6:6" ht="15" hidden="1" x14ac:dyDescent="0.25">
      <c r="F463" s="96"/>
    </row>
    <row r="464" spans="6:6" ht="15" hidden="1" x14ac:dyDescent="0.25">
      <c r="F464" s="96"/>
    </row>
    <row r="465" spans="6:6" ht="15" hidden="1" x14ac:dyDescent="0.25">
      <c r="F465" s="96"/>
    </row>
    <row r="466" spans="6:6" ht="15" hidden="1" x14ac:dyDescent="0.25">
      <c r="F466" s="96"/>
    </row>
    <row r="467" spans="6:6" ht="15" hidden="1" x14ac:dyDescent="0.25">
      <c r="F467" s="96"/>
    </row>
    <row r="468" spans="6:6" ht="15" hidden="1" x14ac:dyDescent="0.25">
      <c r="F468" s="96"/>
    </row>
    <row r="469" spans="6:6" ht="15" hidden="1" x14ac:dyDescent="0.25">
      <c r="F469" s="96"/>
    </row>
    <row r="470" spans="6:6" ht="15" hidden="1" x14ac:dyDescent="0.25">
      <c r="F470" s="96"/>
    </row>
    <row r="471" spans="6:6" ht="15" hidden="1" x14ac:dyDescent="0.25">
      <c r="F471" s="96"/>
    </row>
    <row r="472" spans="6:6" ht="15" hidden="1" x14ac:dyDescent="0.25">
      <c r="F472" s="96"/>
    </row>
    <row r="473" spans="6:6" ht="15" hidden="1" x14ac:dyDescent="0.25">
      <c r="F473" s="96"/>
    </row>
    <row r="474" spans="6:6" ht="15" hidden="1" x14ac:dyDescent="0.25">
      <c r="F474" s="96"/>
    </row>
    <row r="475" spans="6:6" ht="15" hidden="1" x14ac:dyDescent="0.25">
      <c r="F475" s="96"/>
    </row>
    <row r="476" spans="6:6" ht="15" hidden="1" x14ac:dyDescent="0.25">
      <c r="F476" s="96"/>
    </row>
    <row r="477" spans="6:6" ht="15" hidden="1" x14ac:dyDescent="0.25">
      <c r="F477" s="96"/>
    </row>
    <row r="478" spans="6:6" ht="15" hidden="1" x14ac:dyDescent="0.25">
      <c r="F478" s="96"/>
    </row>
    <row r="479" spans="6:6" ht="15" hidden="1" x14ac:dyDescent="0.25">
      <c r="F479" s="96"/>
    </row>
    <row r="480" spans="6:6" ht="15" hidden="1" x14ac:dyDescent="0.25">
      <c r="F480" s="96"/>
    </row>
    <row r="481" spans="6:6" ht="15" hidden="1" x14ac:dyDescent="0.25">
      <c r="F481" s="96"/>
    </row>
    <row r="482" spans="6:6" ht="15" hidden="1" x14ac:dyDescent="0.25">
      <c r="F482" s="96"/>
    </row>
    <row r="483" spans="6:6" ht="15" hidden="1" x14ac:dyDescent="0.25">
      <c r="F483" s="96"/>
    </row>
    <row r="484" spans="6:6" ht="15" hidden="1" x14ac:dyDescent="0.25">
      <c r="F484" s="96"/>
    </row>
    <row r="485" spans="6:6" ht="15" hidden="1" x14ac:dyDescent="0.25">
      <c r="F485" s="96"/>
    </row>
    <row r="486" spans="6:6" ht="15" hidden="1" x14ac:dyDescent="0.25">
      <c r="F486" s="96"/>
    </row>
    <row r="487" spans="6:6" ht="15" hidden="1" x14ac:dyDescent="0.25">
      <c r="F487" s="96"/>
    </row>
    <row r="488" spans="6:6" ht="15" hidden="1" x14ac:dyDescent="0.25">
      <c r="F488" s="96"/>
    </row>
    <row r="489" spans="6:6" ht="15" hidden="1" x14ac:dyDescent="0.25">
      <c r="F489" s="96"/>
    </row>
    <row r="490" spans="6:6" ht="15" hidden="1" x14ac:dyDescent="0.25">
      <c r="F490" s="96"/>
    </row>
    <row r="491" spans="6:6" ht="15" hidden="1" x14ac:dyDescent="0.25">
      <c r="F491" s="96"/>
    </row>
    <row r="492" spans="6:6" ht="15" hidden="1" x14ac:dyDescent="0.25">
      <c r="F492" s="96"/>
    </row>
    <row r="493" spans="6:6" ht="15" hidden="1" x14ac:dyDescent="0.25">
      <c r="F493" s="96"/>
    </row>
    <row r="494" spans="6:6" ht="15" hidden="1" x14ac:dyDescent="0.25">
      <c r="F494" s="96"/>
    </row>
    <row r="495" spans="6:6" ht="15" hidden="1" x14ac:dyDescent="0.25">
      <c r="F495" s="96"/>
    </row>
    <row r="496" spans="6:6" ht="15" hidden="1" x14ac:dyDescent="0.25">
      <c r="F496" s="96"/>
    </row>
    <row r="497" spans="6:6" ht="15" hidden="1" x14ac:dyDescent="0.25">
      <c r="F497" s="96"/>
    </row>
    <row r="498" spans="6:6" ht="15" hidden="1" x14ac:dyDescent="0.25">
      <c r="F498" s="96"/>
    </row>
    <row r="499" spans="6:6" ht="15" hidden="1" x14ac:dyDescent="0.25">
      <c r="F499" s="96"/>
    </row>
    <row r="500" spans="6:6" ht="15" hidden="1" x14ac:dyDescent="0.25">
      <c r="F500" s="96"/>
    </row>
    <row r="501" spans="6:6" ht="15" hidden="1" x14ac:dyDescent="0.25">
      <c r="F501" s="96"/>
    </row>
    <row r="502" spans="6:6" ht="15" hidden="1" x14ac:dyDescent="0.25">
      <c r="F502" s="96"/>
    </row>
    <row r="503" spans="6:6" ht="15" hidden="1" x14ac:dyDescent="0.25">
      <c r="F503" s="96"/>
    </row>
    <row r="504" spans="6:6" ht="15" hidden="1" x14ac:dyDescent="0.25">
      <c r="F504" s="96"/>
    </row>
    <row r="505" spans="6:6" ht="15" hidden="1" x14ac:dyDescent="0.25">
      <c r="F505" s="96"/>
    </row>
    <row r="506" spans="6:6" ht="15" hidden="1" x14ac:dyDescent="0.25">
      <c r="F506" s="96"/>
    </row>
    <row r="507" spans="6:6" ht="15" hidden="1" x14ac:dyDescent="0.25">
      <c r="F507" s="96"/>
    </row>
    <row r="508" spans="6:6" ht="15" hidden="1" x14ac:dyDescent="0.25">
      <c r="F508" s="96"/>
    </row>
    <row r="509" spans="6:6" ht="15" hidden="1" x14ac:dyDescent="0.25">
      <c r="F509" s="96"/>
    </row>
    <row r="510" spans="6:6" ht="15" hidden="1" x14ac:dyDescent="0.25">
      <c r="F510" s="96"/>
    </row>
    <row r="511" spans="6:6" ht="15" hidden="1" x14ac:dyDescent="0.25">
      <c r="F511" s="96"/>
    </row>
    <row r="512" spans="6:6" ht="15" hidden="1" x14ac:dyDescent="0.25">
      <c r="F512" s="96"/>
    </row>
    <row r="513" spans="6:6" ht="15" hidden="1" x14ac:dyDescent="0.25">
      <c r="F513" s="96"/>
    </row>
    <row r="514" spans="6:6" ht="15" hidden="1" x14ac:dyDescent="0.25">
      <c r="F514" s="96"/>
    </row>
    <row r="515" spans="6:6" ht="15" hidden="1" x14ac:dyDescent="0.25">
      <c r="F515" s="96"/>
    </row>
    <row r="516" spans="6:6" ht="15" hidden="1" x14ac:dyDescent="0.25">
      <c r="F516" s="96"/>
    </row>
    <row r="517" spans="6:6" ht="15" hidden="1" x14ac:dyDescent="0.25">
      <c r="F517" s="96"/>
    </row>
    <row r="518" spans="6:6" ht="15" hidden="1" x14ac:dyDescent="0.25">
      <c r="F518" s="96"/>
    </row>
    <row r="519" spans="6:6" ht="15" hidden="1" x14ac:dyDescent="0.25">
      <c r="F519" s="96"/>
    </row>
    <row r="520" spans="6:6" ht="15" hidden="1" x14ac:dyDescent="0.25">
      <c r="F520" s="96"/>
    </row>
    <row r="521" spans="6:6" ht="15" hidden="1" x14ac:dyDescent="0.25">
      <c r="F521" s="96"/>
    </row>
    <row r="522" spans="6:6" ht="15" hidden="1" x14ac:dyDescent="0.25">
      <c r="F522" s="96"/>
    </row>
    <row r="523" spans="6:6" ht="15" hidden="1" x14ac:dyDescent="0.25">
      <c r="F523" s="96"/>
    </row>
    <row r="524" spans="6:6" ht="15" hidden="1" x14ac:dyDescent="0.25">
      <c r="F524" s="96"/>
    </row>
    <row r="525" spans="6:6" ht="15" hidden="1" x14ac:dyDescent="0.25">
      <c r="F525" s="96"/>
    </row>
    <row r="526" spans="6:6" ht="15" hidden="1" x14ac:dyDescent="0.25">
      <c r="F526" s="96"/>
    </row>
    <row r="527" spans="6:6" ht="15" hidden="1" x14ac:dyDescent="0.25">
      <c r="F527" s="96"/>
    </row>
    <row r="528" spans="6:6" ht="15" hidden="1" x14ac:dyDescent="0.25">
      <c r="F528" s="96"/>
    </row>
    <row r="529" spans="6:6" ht="15" hidden="1" x14ac:dyDescent="0.25">
      <c r="F529" s="96"/>
    </row>
    <row r="530" spans="6:6" ht="15" hidden="1" x14ac:dyDescent="0.25">
      <c r="F530" s="96"/>
    </row>
    <row r="531" spans="6:6" ht="15" hidden="1" x14ac:dyDescent="0.25">
      <c r="F531" s="96"/>
    </row>
    <row r="532" spans="6:6" ht="15" hidden="1" x14ac:dyDescent="0.25">
      <c r="F532" s="96"/>
    </row>
    <row r="533" spans="6:6" ht="15" hidden="1" x14ac:dyDescent="0.25">
      <c r="F533" s="96"/>
    </row>
    <row r="534" spans="6:6" ht="15" hidden="1" x14ac:dyDescent="0.25">
      <c r="F534" s="96"/>
    </row>
    <row r="535" spans="6:6" ht="15" hidden="1" x14ac:dyDescent="0.25">
      <c r="F535" s="96"/>
    </row>
    <row r="536" spans="6:6" ht="15" hidden="1" x14ac:dyDescent="0.25">
      <c r="F536" s="96"/>
    </row>
    <row r="537" spans="6:6" ht="15" hidden="1" x14ac:dyDescent="0.25">
      <c r="F537" s="96"/>
    </row>
    <row r="538" spans="6:6" ht="15" hidden="1" x14ac:dyDescent="0.25">
      <c r="F538" s="96"/>
    </row>
    <row r="539" spans="6:6" ht="15" hidden="1" x14ac:dyDescent="0.25">
      <c r="F539" s="96"/>
    </row>
    <row r="540" spans="6:6" ht="15" hidden="1" x14ac:dyDescent="0.25">
      <c r="F540" s="96"/>
    </row>
    <row r="541" spans="6:6" ht="15" hidden="1" x14ac:dyDescent="0.25">
      <c r="F541" s="96"/>
    </row>
    <row r="542" spans="6:6" ht="15" hidden="1" x14ac:dyDescent="0.25">
      <c r="F542" s="96"/>
    </row>
    <row r="543" spans="6:6" ht="15" hidden="1" x14ac:dyDescent="0.25">
      <c r="F543" s="96"/>
    </row>
    <row r="544" spans="6:6" ht="15" hidden="1" x14ac:dyDescent="0.25">
      <c r="F544" s="96"/>
    </row>
    <row r="545" spans="6:6" ht="15" hidden="1" x14ac:dyDescent="0.25">
      <c r="F545" s="96"/>
    </row>
    <row r="546" spans="6:6" ht="15" hidden="1" x14ac:dyDescent="0.25">
      <c r="F546" s="96"/>
    </row>
    <row r="547" spans="6:6" ht="15" hidden="1" x14ac:dyDescent="0.25">
      <c r="F547" s="96"/>
    </row>
    <row r="548" spans="6:6" ht="15" hidden="1" x14ac:dyDescent="0.25">
      <c r="F548" s="96"/>
    </row>
    <row r="549" spans="6:6" ht="15" hidden="1" x14ac:dyDescent="0.25">
      <c r="F549" s="96"/>
    </row>
    <row r="550" spans="6:6" ht="15" hidden="1" x14ac:dyDescent="0.25">
      <c r="F550" s="96"/>
    </row>
    <row r="551" spans="6:6" ht="15" hidden="1" x14ac:dyDescent="0.25">
      <c r="F551" s="96"/>
    </row>
    <row r="552" spans="6:6" ht="15" hidden="1" x14ac:dyDescent="0.25">
      <c r="F552" s="96"/>
    </row>
    <row r="553" spans="6:6" ht="15" hidden="1" x14ac:dyDescent="0.25">
      <c r="F553" s="96"/>
    </row>
    <row r="554" spans="6:6" ht="15" hidden="1" x14ac:dyDescent="0.25">
      <c r="F554" s="96"/>
    </row>
    <row r="555" spans="6:6" ht="15" hidden="1" x14ac:dyDescent="0.25">
      <c r="F555" s="96"/>
    </row>
    <row r="556" spans="6:6" ht="15" hidden="1" x14ac:dyDescent="0.25">
      <c r="F556" s="96"/>
    </row>
    <row r="557" spans="6:6" ht="15" hidden="1" x14ac:dyDescent="0.25">
      <c r="F557" s="96"/>
    </row>
    <row r="558" spans="6:6" ht="15" hidden="1" x14ac:dyDescent="0.25">
      <c r="F558" s="96"/>
    </row>
    <row r="559" spans="6:6" ht="15" hidden="1" x14ac:dyDescent="0.25">
      <c r="F559" s="96"/>
    </row>
    <row r="560" spans="6:6" ht="15" hidden="1" x14ac:dyDescent="0.25">
      <c r="F560" s="96"/>
    </row>
    <row r="561" spans="6:6" ht="15" hidden="1" x14ac:dyDescent="0.25">
      <c r="F561" s="96"/>
    </row>
    <row r="562" spans="6:6" ht="15" hidden="1" x14ac:dyDescent="0.25">
      <c r="F562" s="96"/>
    </row>
    <row r="563" spans="6:6" ht="15" hidden="1" x14ac:dyDescent="0.25">
      <c r="F563" s="96"/>
    </row>
    <row r="564" spans="6:6" ht="15" hidden="1" x14ac:dyDescent="0.25">
      <c r="F564" s="96"/>
    </row>
    <row r="565" spans="6:6" ht="15" hidden="1" x14ac:dyDescent="0.25">
      <c r="F565" s="96"/>
    </row>
    <row r="566" spans="6:6" ht="15" hidden="1" x14ac:dyDescent="0.25">
      <c r="F566" s="96"/>
    </row>
    <row r="567" spans="6:6" ht="15" hidden="1" x14ac:dyDescent="0.25">
      <c r="F567" s="96"/>
    </row>
    <row r="568" spans="6:6" ht="15" hidden="1" x14ac:dyDescent="0.25">
      <c r="F568" s="96"/>
    </row>
    <row r="569" spans="6:6" ht="15" hidden="1" x14ac:dyDescent="0.25">
      <c r="F569" s="96"/>
    </row>
    <row r="570" spans="6:6" ht="15" hidden="1" x14ac:dyDescent="0.25">
      <c r="F570" s="96"/>
    </row>
    <row r="571" spans="6:6" ht="15" hidden="1" x14ac:dyDescent="0.25">
      <c r="F571" s="96"/>
    </row>
    <row r="572" spans="6:6" ht="15" hidden="1" x14ac:dyDescent="0.25">
      <c r="F572" s="96"/>
    </row>
    <row r="573" spans="6:6" ht="15" hidden="1" x14ac:dyDescent="0.25">
      <c r="F573" s="96"/>
    </row>
    <row r="574" spans="6:6" ht="15" hidden="1" x14ac:dyDescent="0.25">
      <c r="F574" s="96"/>
    </row>
    <row r="575" spans="6:6" ht="15" hidden="1" x14ac:dyDescent="0.25">
      <c r="F575" s="96"/>
    </row>
    <row r="576" spans="6:6" ht="15" hidden="1" x14ac:dyDescent="0.25">
      <c r="F576" s="96"/>
    </row>
    <row r="577" spans="6:6" ht="15" hidden="1" x14ac:dyDescent="0.25">
      <c r="F577" s="96"/>
    </row>
    <row r="578" spans="6:6" ht="15" hidden="1" x14ac:dyDescent="0.25">
      <c r="F578" s="96"/>
    </row>
    <row r="579" spans="6:6" ht="15" hidden="1" x14ac:dyDescent="0.25">
      <c r="F579" s="96"/>
    </row>
    <row r="580" spans="6:6" ht="15" hidden="1" x14ac:dyDescent="0.25">
      <c r="F580" s="96"/>
    </row>
    <row r="581" spans="6:6" ht="15" hidden="1" x14ac:dyDescent="0.25">
      <c r="F581" s="96"/>
    </row>
    <row r="582" spans="6:6" ht="15" hidden="1" x14ac:dyDescent="0.25">
      <c r="F582" s="96"/>
    </row>
    <row r="583" spans="6:6" ht="15" hidden="1" x14ac:dyDescent="0.25">
      <c r="F583" s="96"/>
    </row>
    <row r="584" spans="6:6" ht="15" hidden="1" x14ac:dyDescent="0.25">
      <c r="F584" s="96"/>
    </row>
    <row r="585" spans="6:6" ht="15" hidden="1" x14ac:dyDescent="0.25">
      <c r="F585" s="96"/>
    </row>
    <row r="586" spans="6:6" ht="15" hidden="1" x14ac:dyDescent="0.25">
      <c r="F586" s="96"/>
    </row>
    <row r="587" spans="6:6" ht="15" hidden="1" x14ac:dyDescent="0.25">
      <c r="F587" s="96"/>
    </row>
    <row r="588" spans="6:6" ht="15" hidden="1" x14ac:dyDescent="0.25">
      <c r="F588" s="96"/>
    </row>
    <row r="589" spans="6:6" ht="15" hidden="1" x14ac:dyDescent="0.25">
      <c r="F589" s="96"/>
    </row>
    <row r="590" spans="6:6" ht="15" hidden="1" x14ac:dyDescent="0.25">
      <c r="F590" s="96"/>
    </row>
    <row r="591" spans="6:6" ht="15" hidden="1" x14ac:dyDescent="0.25">
      <c r="F591" s="96"/>
    </row>
    <row r="592" spans="6:6" ht="15" hidden="1" x14ac:dyDescent="0.25">
      <c r="F592" s="96"/>
    </row>
    <row r="593" spans="6:6" ht="15" hidden="1" x14ac:dyDescent="0.25">
      <c r="F593" s="96"/>
    </row>
    <row r="594" spans="6:6" ht="15" hidden="1" x14ac:dyDescent="0.25">
      <c r="F594" s="96"/>
    </row>
    <row r="595" spans="6:6" ht="15" hidden="1" x14ac:dyDescent="0.25">
      <c r="F595" s="96"/>
    </row>
    <row r="596" spans="6:6" ht="15" hidden="1" x14ac:dyDescent="0.25">
      <c r="F596" s="96"/>
    </row>
    <row r="597" spans="6:6" ht="15" hidden="1" x14ac:dyDescent="0.25">
      <c r="F597" s="96"/>
    </row>
    <row r="598" spans="6:6" ht="15" hidden="1" x14ac:dyDescent="0.25">
      <c r="F598" s="96"/>
    </row>
    <row r="599" spans="6:6" ht="15" hidden="1" x14ac:dyDescent="0.25">
      <c r="F599" s="96"/>
    </row>
    <row r="600" spans="6:6" ht="15" hidden="1" x14ac:dyDescent="0.25">
      <c r="F600" s="96"/>
    </row>
    <row r="601" spans="6:6" ht="15" hidden="1" x14ac:dyDescent="0.25">
      <c r="F601" s="96"/>
    </row>
  </sheetData>
  <sheetProtection algorithmName="SHA-512" hashValue="eFLqY58WG/mu1ToSF5tkif0uCfwxwfa58MGCSX1r9eTn/TRni/Pvur49VhpYNyIc2DLIWtQphN3Et58h8rBwFw==" saltValue="86K5noVrmxs3CSTj1qT1Bg==" spinCount="100000" sheet="1" objects="1" scenarios="1"/>
  <mergeCells count="6">
    <mergeCell ref="B13:D13"/>
    <mergeCell ref="I11:J11"/>
    <mergeCell ref="I12:J12"/>
    <mergeCell ref="B1:K1"/>
    <mergeCell ref="B2:K2"/>
    <mergeCell ref="B3:K3"/>
  </mergeCells>
  <conditionalFormatting sqref="J15:J110">
    <cfRule type="cellIs" dxfId="5" priority="7" operator="greaterThan">
      <formula>0.1</formula>
    </cfRule>
    <cfRule type="cellIs" dxfId="4" priority="8" operator="lessThan">
      <formula>-0.1</formula>
    </cfRule>
  </conditionalFormatting>
  <conditionalFormatting sqref="D117:E117">
    <cfRule type="expression" dxfId="3" priority="6">
      <formula>$G$117+$H$117&lt;&gt;0</formula>
    </cfRule>
  </conditionalFormatting>
  <conditionalFormatting sqref="E117">
    <cfRule type="expression" dxfId="2" priority="5">
      <formula>$G$117+$H$117&lt;&gt;0</formula>
    </cfRule>
  </conditionalFormatting>
  <conditionalFormatting sqref="G117">
    <cfRule type="expression" dxfId="1" priority="4">
      <formula>$G$117+$H$117&lt;&gt;0</formula>
    </cfRule>
  </conditionalFormatting>
  <conditionalFormatting sqref="H117">
    <cfRule type="expression" dxfId="0" priority="1">
      <formula>$G$117+$H$117&lt;&gt;0</formula>
    </cfRule>
  </conditionalFormatting>
  <printOptions horizontalCentered="1"/>
  <pageMargins left="0.1" right="0.1" top="0.1" bottom="0.1" header="0.5" footer="0.5"/>
  <pageSetup scale="58" fitToHeight="0" orientation="landscape" horizontalDpi="300" verticalDpi="300" r:id="rId1"/>
  <headerFooter scaleWithDoc="0" alignWithMargins="0"/>
  <rowBreaks count="1" manualBreakCount="1"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Interim Input</vt:lpstr>
      <vt:lpstr>Budget Variance Analysis</vt:lpstr>
      <vt:lpstr>'Budget Variance Analysis'!Print_Area</vt:lpstr>
      <vt:lpstr>'Interim Input'!Print_Area</vt:lpstr>
      <vt:lpstr>'Budget Variance Analysis'!Print_Titles</vt:lpstr>
      <vt:lpstr>'Interim Input'!Print_Titles</vt:lpstr>
    </vt:vector>
  </TitlesOfParts>
  <Company>San Diego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R. Malloy;Anna Day</dc:creator>
  <cp:lastModifiedBy>Joshua Eng</cp:lastModifiedBy>
  <cp:lastPrinted>2022-11-02T17:23:16Z</cp:lastPrinted>
  <dcterms:created xsi:type="dcterms:W3CDTF">2005-11-09T15:28:18Z</dcterms:created>
  <dcterms:modified xsi:type="dcterms:W3CDTF">2022-11-16T21:53:24Z</dcterms:modified>
</cp:coreProperties>
</file>