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kcun\OneDrive\Documents\RTHS Board\RTHS Board 2024-25\Committees\Finance\"/>
    </mc:Choice>
  </mc:AlternateContent>
  <xr:revisionPtr revIDLastSave="0" documentId="8_{44B238AE-3735-4B0A-ADD8-12756B7FFA64}" xr6:coauthVersionLast="47" xr6:coauthVersionMax="47" xr10:uidLastSave="{00000000-0000-0000-0000-000000000000}"/>
  <bookViews>
    <workbookView xWindow="1114" yWindow="1954" windowWidth="18086" windowHeight="10046" xr2:uid="{540F5D0F-C056-4399-8365-725FDD23EC52}"/>
  </bookViews>
  <sheets>
    <sheet name="FY 24-25 Budget " sheetId="5" r:id="rId1"/>
    <sheet name="FY 23-24 Budget Condensed" sheetId="6" r:id="rId2"/>
    <sheet name="Cap. Assets" sheetId="2" state="hidden" r:id="rId3"/>
  </sheets>
  <definedNames>
    <definedName name="_xlnm.Print_Area" localSheetId="1">'FY 23-24 Budget Condensed'!$A$1:$I$53</definedName>
    <definedName name="_xlnm.Print_Area" localSheetId="0">'FY 24-25 Budget '!$A$1:$AA$165</definedName>
    <definedName name="_xlnm.Print_Titles" localSheetId="1">'FY 23-24 Budget Condensed'!$1:$1</definedName>
    <definedName name="_xlnm.Print_Titles" localSheetId="0">'FY 24-25 Budget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5" l="1"/>
  <c r="H34" i="6" l="1"/>
  <c r="D2" i="6"/>
  <c r="D3" i="6"/>
  <c r="D4" i="6"/>
  <c r="D5" i="6"/>
  <c r="D10" i="6"/>
  <c r="D11" i="6"/>
  <c r="D12" i="6"/>
  <c r="D13" i="6"/>
  <c r="D16" i="6"/>
  <c r="D17" i="6"/>
  <c r="D18" i="6"/>
  <c r="D19" i="6"/>
  <c r="D20" i="6"/>
  <c r="J7" i="5"/>
  <c r="J9" i="5"/>
  <c r="J3" i="5"/>
  <c r="K3" i="5" s="1"/>
  <c r="J138" i="5"/>
  <c r="J66" i="5"/>
  <c r="J16" i="5" l="1"/>
  <c r="L116" i="5"/>
  <c r="L45" i="5"/>
  <c r="L74" i="5"/>
  <c r="L41" i="5"/>
  <c r="L39" i="5"/>
  <c r="Z150" i="5" l="1"/>
  <c r="Z147" i="5"/>
  <c r="J126" i="5"/>
  <c r="J104" i="5"/>
  <c r="J75" i="5"/>
  <c r="J71" i="5"/>
  <c r="J59" i="5"/>
  <c r="J37" i="5"/>
  <c r="J29" i="5"/>
  <c r="G16" i="5"/>
  <c r="G29" i="5"/>
  <c r="G37" i="5"/>
  <c r="G59" i="5"/>
  <c r="G71" i="5"/>
  <c r="G75" i="5"/>
  <c r="G104" i="5"/>
  <c r="G126" i="5"/>
  <c r="G138" i="5"/>
  <c r="H37" i="6"/>
  <c r="G42" i="5" l="1"/>
  <c r="J139" i="5"/>
  <c r="J42" i="5"/>
  <c r="G139" i="5"/>
  <c r="G140" i="5" s="1"/>
  <c r="E13" i="6" l="1"/>
  <c r="Y90" i="5" l="1"/>
  <c r="E3" i="6" l="1"/>
  <c r="E4" i="6"/>
  <c r="E5" i="6"/>
  <c r="E2" i="6"/>
  <c r="L16" i="5" l="1"/>
  <c r="M16" i="5"/>
  <c r="N16" i="5"/>
  <c r="O16" i="5"/>
  <c r="W16" i="5"/>
  <c r="X16" i="5"/>
  <c r="Y15" i="5"/>
  <c r="H36" i="6" l="1"/>
  <c r="D48" i="6" s="1"/>
  <c r="Y48" i="5" l="1"/>
  <c r="Z151" i="5" l="1"/>
  <c r="H39" i="6" s="1"/>
  <c r="V16" i="5"/>
  <c r="D55" i="5" l="1"/>
  <c r="C55" i="5"/>
  <c r="D57" i="5"/>
  <c r="C57" i="5"/>
  <c r="B57" i="5"/>
  <c r="B52" i="5" s="1"/>
  <c r="F56" i="5"/>
  <c r="F55" i="5" s="1"/>
  <c r="F52" i="5" s="1"/>
  <c r="D52" i="5" l="1"/>
  <c r="C52" i="5"/>
  <c r="F77" i="5"/>
  <c r="F107" i="5"/>
  <c r="F134" i="5"/>
  <c r="F82" i="5"/>
  <c r="F121" i="5"/>
  <c r="F131" i="5"/>
  <c r="F96" i="5"/>
  <c r="E96" i="5" l="1"/>
  <c r="E53" i="5"/>
  <c r="E55" i="5"/>
  <c r="D96" i="5"/>
  <c r="C96" i="5"/>
  <c r="B96" i="5"/>
  <c r="E52" i="5" l="1"/>
  <c r="E59" i="5" s="1"/>
  <c r="F59" i="5"/>
  <c r="D59" i="5"/>
  <c r="C59" i="5"/>
  <c r="B59" i="5"/>
  <c r="F71" i="5"/>
  <c r="E71" i="5"/>
  <c r="D71" i="5"/>
  <c r="C71" i="5"/>
  <c r="B71" i="5"/>
  <c r="F75" i="5"/>
  <c r="E75" i="5"/>
  <c r="D75" i="5"/>
  <c r="C75" i="5"/>
  <c r="B75" i="5"/>
  <c r="F104" i="5"/>
  <c r="E104" i="5"/>
  <c r="D104" i="5"/>
  <c r="C104" i="5"/>
  <c r="B104" i="5"/>
  <c r="F126" i="5"/>
  <c r="E126" i="5"/>
  <c r="D126" i="5"/>
  <c r="C126" i="5"/>
  <c r="B126" i="5"/>
  <c r="F138" i="5"/>
  <c r="E138" i="5"/>
  <c r="D138" i="5"/>
  <c r="C138" i="5"/>
  <c r="B138" i="5"/>
  <c r="F37" i="5"/>
  <c r="E37" i="5"/>
  <c r="D37" i="5"/>
  <c r="C37" i="5"/>
  <c r="B37" i="5"/>
  <c r="F29" i="5"/>
  <c r="E29" i="5"/>
  <c r="D29" i="5"/>
  <c r="C29" i="5"/>
  <c r="B29" i="5"/>
  <c r="F16" i="5"/>
  <c r="E16" i="5"/>
  <c r="D16" i="5"/>
  <c r="C16" i="5"/>
  <c r="B14" i="5"/>
  <c r="B16" i="5" s="1"/>
  <c r="B42" i="5" l="1"/>
  <c r="E42" i="5"/>
  <c r="F42" i="5"/>
  <c r="D42" i="5"/>
  <c r="C42" i="5"/>
  <c r="F139" i="5"/>
  <c r="F140" i="5" s="1"/>
  <c r="B139" i="5"/>
  <c r="D139" i="5"/>
  <c r="E139" i="5"/>
  <c r="C139" i="5"/>
  <c r="B140" i="5" l="1"/>
  <c r="B143" i="5" s="1"/>
  <c r="C142" i="5" s="1"/>
  <c r="C140" i="5"/>
  <c r="C143" i="5" s="1"/>
  <c r="D142" i="5" s="1"/>
  <c r="E140" i="5"/>
  <c r="D140" i="5"/>
  <c r="E4" i="5"/>
  <c r="D4" i="5"/>
  <c r="C4" i="5"/>
  <c r="B4" i="5"/>
  <c r="E3" i="5"/>
  <c r="D3" i="5"/>
  <c r="D143" i="5" l="1"/>
  <c r="E142" i="5" s="1"/>
  <c r="E143" i="5" s="1"/>
  <c r="F142" i="5" s="1"/>
  <c r="F143" i="5" s="1"/>
  <c r="G142" i="5" s="1"/>
  <c r="G143" i="5" s="1"/>
  <c r="J142" i="5" l="1"/>
  <c r="Y142" i="5" s="1"/>
  <c r="I142" i="5"/>
  <c r="D30" i="6" s="1"/>
  <c r="U16" i="5"/>
  <c r="T16" i="5" l="1"/>
  <c r="S16" i="5" l="1"/>
  <c r="R16" i="5" l="1"/>
  <c r="Q16" i="5" l="1"/>
  <c r="P16" i="5" l="1"/>
  <c r="K17" i="5"/>
  <c r="K5" i="5"/>
  <c r="K4" i="5"/>
  <c r="K2" i="5"/>
  <c r="K137" i="5"/>
  <c r="K136" i="5"/>
  <c r="K135" i="5"/>
  <c r="K134" i="5"/>
  <c r="K133" i="5"/>
  <c r="K132" i="5"/>
  <c r="K130" i="5"/>
  <c r="K128" i="5"/>
  <c r="K125" i="5"/>
  <c r="K124" i="5"/>
  <c r="K123" i="5"/>
  <c r="K122" i="5"/>
  <c r="K121" i="5"/>
  <c r="K119" i="5"/>
  <c r="K118" i="5"/>
  <c r="K115" i="5"/>
  <c r="K110" i="5"/>
  <c r="K109" i="5"/>
  <c r="K107" i="5"/>
  <c r="K103" i="5"/>
  <c r="K101" i="5"/>
  <c r="K100" i="5"/>
  <c r="K98" i="5"/>
  <c r="K97" i="5"/>
  <c r="K95" i="5"/>
  <c r="K94" i="5"/>
  <c r="K93" i="5"/>
  <c r="K92" i="5"/>
  <c r="K91" i="5"/>
  <c r="K90" i="5"/>
  <c r="K89" i="5"/>
  <c r="K88" i="5"/>
  <c r="K87" i="5"/>
  <c r="K86" i="5"/>
  <c r="K85" i="5"/>
  <c r="K83" i="5"/>
  <c r="K81" i="5"/>
  <c r="K80" i="5"/>
  <c r="K79" i="5"/>
  <c r="K78" i="5"/>
  <c r="K77" i="5"/>
  <c r="K73" i="5"/>
  <c r="K69" i="5"/>
  <c r="K67" i="5"/>
  <c r="K63" i="5"/>
  <c r="K62" i="5"/>
  <c r="K58" i="5"/>
  <c r="K56" i="5"/>
  <c r="K55" i="5"/>
  <c r="K53" i="5"/>
  <c r="K51" i="5"/>
  <c r="K50" i="5"/>
  <c r="K47" i="5"/>
  <c r="K46" i="5"/>
  <c r="K45" i="5"/>
  <c r="K44" i="5"/>
  <c r="K11" i="5"/>
  <c r="K12" i="5"/>
  <c r="K18" i="5"/>
  <c r="K19" i="5"/>
  <c r="K21" i="5"/>
  <c r="K23" i="5"/>
  <c r="K20" i="5"/>
  <c r="K26" i="5"/>
  <c r="K27" i="5"/>
  <c r="K30" i="5"/>
  <c r="K34" i="5"/>
  <c r="K36" i="5"/>
  <c r="K38" i="5"/>
  <c r="K39" i="5"/>
  <c r="K40" i="5"/>
  <c r="H48" i="6" l="1"/>
  <c r="K108" i="5" l="1"/>
  <c r="E30" i="6" l="1"/>
  <c r="E20" i="6"/>
  <c r="E19" i="6"/>
  <c r="D38" i="6" s="1"/>
  <c r="E18" i="6"/>
  <c r="E17" i="6"/>
  <c r="H44" i="6" s="1"/>
  <c r="E16" i="6"/>
  <c r="E12" i="6"/>
  <c r="E11" i="6"/>
  <c r="E10" i="6"/>
  <c r="H40" i="6" l="1"/>
  <c r="D36" i="6"/>
  <c r="D37" i="6"/>
  <c r="H38" i="6"/>
  <c r="M138" i="5"/>
  <c r="N138" i="5"/>
  <c r="O138" i="5"/>
  <c r="P138" i="5"/>
  <c r="Q138" i="5"/>
  <c r="R138" i="5"/>
  <c r="S138" i="5"/>
  <c r="T138" i="5"/>
  <c r="U138" i="5"/>
  <c r="V138" i="5"/>
  <c r="W138" i="5"/>
  <c r="X138" i="5"/>
  <c r="E23" i="6" l="1"/>
  <c r="E26" i="6"/>
  <c r="E21" i="6"/>
  <c r="E25" i="6"/>
  <c r="E24" i="6"/>
  <c r="E22" i="6"/>
  <c r="E27" i="6" l="1"/>
  <c r="D34" i="6" s="1"/>
  <c r="D39" i="6" s="1"/>
  <c r="Z156" i="5" l="1"/>
  <c r="Z152" i="5"/>
  <c r="I160" i="5"/>
  <c r="I150" i="5"/>
  <c r="I149" i="5"/>
  <c r="I148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I146" i="5" l="1"/>
  <c r="E9" i="6"/>
  <c r="E7" i="6"/>
  <c r="E8" i="6"/>
  <c r="J140" i="5"/>
  <c r="Z146" i="5" s="1"/>
  <c r="F1" i="6"/>
  <c r="E14" i="6" l="1"/>
  <c r="E28" i="6" l="1"/>
  <c r="E31" i="6" s="1"/>
  <c r="D46" i="6" s="1"/>
  <c r="J143" i="5"/>
  <c r="I158" i="5" s="1"/>
  <c r="Y13" i="5"/>
  <c r="Y114" i="5"/>
  <c r="Y115" i="5"/>
  <c r="Y120" i="5"/>
  <c r="Y137" i="5"/>
  <c r="Y136" i="5"/>
  <c r="Y135" i="5"/>
  <c r="Y134" i="5"/>
  <c r="Y133" i="5"/>
  <c r="Y132" i="5"/>
  <c r="Y131" i="5"/>
  <c r="Y129" i="5"/>
  <c r="Y128" i="5"/>
  <c r="Y125" i="5"/>
  <c r="Y124" i="5"/>
  <c r="Y123" i="5"/>
  <c r="Y122" i="5"/>
  <c r="Y121" i="5"/>
  <c r="Y119" i="5"/>
  <c r="Y118" i="5"/>
  <c r="Y117" i="5"/>
  <c r="Y113" i="5"/>
  <c r="Y112" i="5"/>
  <c r="Y111" i="5"/>
  <c r="Y110" i="5"/>
  <c r="Y109" i="5"/>
  <c r="Y108" i="5"/>
  <c r="Y107" i="5"/>
  <c r="Y106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89" i="5"/>
  <c r="Y88" i="5"/>
  <c r="Y87" i="5"/>
  <c r="Y86" i="5"/>
  <c r="Y85" i="5"/>
  <c r="Y83" i="5"/>
  <c r="Y82" i="5"/>
  <c r="Y81" i="5"/>
  <c r="Y80" i="5"/>
  <c r="Y79" i="5"/>
  <c r="Y78" i="5"/>
  <c r="Y77" i="5"/>
  <c r="Y73" i="5"/>
  <c r="Y70" i="5"/>
  <c r="Y69" i="5"/>
  <c r="Y68" i="5"/>
  <c r="Y67" i="5"/>
  <c r="Y66" i="5"/>
  <c r="Y65" i="5"/>
  <c r="Y64" i="5"/>
  <c r="Y63" i="5"/>
  <c r="Y62" i="5"/>
  <c r="Y61" i="5"/>
  <c r="Y58" i="5"/>
  <c r="Y57" i="5"/>
  <c r="Y56" i="5"/>
  <c r="Y55" i="5"/>
  <c r="Y54" i="5"/>
  <c r="Y53" i="5"/>
  <c r="Y52" i="5"/>
  <c r="Y51" i="5"/>
  <c r="Y47" i="5"/>
  <c r="Y46" i="5"/>
  <c r="Y44" i="5"/>
  <c r="Y45" i="5"/>
  <c r="Z128" i="5" l="1"/>
  <c r="Z137" i="5"/>
  <c r="Z112" i="5"/>
  <c r="Z44" i="5"/>
  <c r="Z87" i="5"/>
  <c r="Z125" i="5"/>
  <c r="Z56" i="5"/>
  <c r="Z88" i="5"/>
  <c r="Z67" i="5"/>
  <c r="Z107" i="5"/>
  <c r="Z45" i="5"/>
  <c r="Z77" i="5"/>
  <c r="Z135" i="5"/>
  <c r="Z65" i="5"/>
  <c r="Z136" i="5"/>
  <c r="Z66" i="5"/>
  <c r="Z117" i="5"/>
  <c r="Z80" i="5"/>
  <c r="Z118" i="5"/>
  <c r="Z58" i="5"/>
  <c r="Z98" i="5"/>
  <c r="Z119" i="5"/>
  <c r="Z51" i="5"/>
  <c r="Z61" i="5"/>
  <c r="Z69" i="5"/>
  <c r="Z82" i="5"/>
  <c r="Z91" i="5"/>
  <c r="Z109" i="5"/>
  <c r="Z121" i="5"/>
  <c r="Z132" i="5"/>
  <c r="Z64" i="5"/>
  <c r="Z78" i="5"/>
  <c r="Z103" i="5"/>
  <c r="Z57" i="5"/>
  <c r="Z97" i="5"/>
  <c r="Z131" i="5"/>
  <c r="Z62" i="5"/>
  <c r="Z83" i="5"/>
  <c r="Z92" i="5"/>
  <c r="Z100" i="5"/>
  <c r="Z110" i="5"/>
  <c r="Z122" i="5"/>
  <c r="Z133" i="5"/>
  <c r="Z86" i="5"/>
  <c r="Z124" i="5"/>
  <c r="Z55" i="5"/>
  <c r="Z113" i="5"/>
  <c r="Z46" i="5"/>
  <c r="Z79" i="5"/>
  <c r="Z47" i="5"/>
  <c r="Z89" i="5"/>
  <c r="Z68" i="5"/>
  <c r="Z90" i="5"/>
  <c r="Z108" i="5"/>
  <c r="Z115" i="5"/>
  <c r="Z53" i="5"/>
  <c r="Z73" i="5"/>
  <c r="Z85" i="5"/>
  <c r="Z101" i="5"/>
  <c r="Z111" i="5"/>
  <c r="Z123" i="5"/>
  <c r="Z134" i="5"/>
  <c r="Z94" i="5"/>
  <c r="Z95" i="5"/>
  <c r="Z52" i="5"/>
  <c r="Y50" i="5"/>
  <c r="Y74" i="5"/>
  <c r="Y116" i="5"/>
  <c r="Z74" i="5" l="1"/>
  <c r="Z50" i="5"/>
  <c r="Z116" i="5"/>
  <c r="Y130" i="5"/>
  <c r="L138" i="5"/>
  <c r="C30" i="6"/>
  <c r="F30" i="6" s="1"/>
  <c r="F17" i="6"/>
  <c r="F18" i="6"/>
  <c r="F19" i="6"/>
  <c r="F20" i="6"/>
  <c r="F16" i="6"/>
  <c r="G19" i="6" l="1"/>
  <c r="G18" i="6"/>
  <c r="G16" i="6"/>
  <c r="G17" i="6"/>
  <c r="Z130" i="5"/>
  <c r="Y41" i="5"/>
  <c r="Y40" i="5"/>
  <c r="Y39" i="5"/>
  <c r="Y38" i="5"/>
  <c r="Y35" i="5"/>
  <c r="Y36" i="5"/>
  <c r="Y34" i="5"/>
  <c r="Y33" i="5"/>
  <c r="Y32" i="5"/>
  <c r="Y31" i="5"/>
  <c r="Y30" i="5"/>
  <c r="Y18" i="5"/>
  <c r="Y19" i="5"/>
  <c r="Y21" i="5"/>
  <c r="Y22" i="5"/>
  <c r="Y23" i="5"/>
  <c r="Y24" i="5"/>
  <c r="Y20" i="5"/>
  <c r="Y26" i="5"/>
  <c r="Y27" i="5"/>
  <c r="Y28" i="5"/>
  <c r="Y17" i="5"/>
  <c r="Y11" i="5"/>
  <c r="Y8" i="5"/>
  <c r="Y12" i="5"/>
  <c r="Y14" i="5"/>
  <c r="Y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138" i="5"/>
  <c r="Z138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 s="1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 s="1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 s="1"/>
  <c r="Y16" i="5" l="1"/>
  <c r="Z23" i="5"/>
  <c r="X42" i="5"/>
  <c r="O42" i="5"/>
  <c r="Z34" i="5"/>
  <c r="Z12" i="5"/>
  <c r="Z24" i="5"/>
  <c r="Z17" i="5"/>
  <c r="Z21" i="5"/>
  <c r="Z36" i="5"/>
  <c r="Z19" i="5"/>
  <c r="Z27" i="5"/>
  <c r="Z18" i="5"/>
  <c r="Z38" i="5"/>
  <c r="Z26" i="5"/>
  <c r="Z30" i="5"/>
  <c r="Z39" i="5"/>
  <c r="Z20" i="5"/>
  <c r="Z40" i="5"/>
  <c r="W42" i="5"/>
  <c r="V42" i="5"/>
  <c r="M42" i="5"/>
  <c r="U42" i="5"/>
  <c r="L42" i="5"/>
  <c r="Z8" i="5"/>
  <c r="F13" i="6"/>
  <c r="Z11" i="5"/>
  <c r="Z71" i="5"/>
  <c r="Y139" i="5"/>
  <c r="Z139" i="5" s="1"/>
  <c r="Z7" i="5"/>
  <c r="N42" i="5"/>
  <c r="Y29" i="5"/>
  <c r="Z29" i="5" s="1"/>
  <c r="S42" i="5"/>
  <c r="R42" i="5"/>
  <c r="Q42" i="5"/>
  <c r="P42" i="5"/>
  <c r="T42" i="5"/>
  <c r="F22" i="6"/>
  <c r="F26" i="6"/>
  <c r="F21" i="6"/>
  <c r="F10" i="6"/>
  <c r="F24" i="6"/>
  <c r="F11" i="6"/>
  <c r="F12" i="6"/>
  <c r="F23" i="6"/>
  <c r="F25" i="6"/>
  <c r="T139" i="5"/>
  <c r="Y37" i="5"/>
  <c r="Z37" i="5" s="1"/>
  <c r="U139" i="5"/>
  <c r="X139" i="5"/>
  <c r="P139" i="5"/>
  <c r="L139" i="5"/>
  <c r="R139" i="5"/>
  <c r="Q139" i="5"/>
  <c r="M139" i="5"/>
  <c r="W139" i="5"/>
  <c r="O139" i="5"/>
  <c r="S139" i="5"/>
  <c r="V139" i="5"/>
  <c r="N139" i="5"/>
  <c r="F27" i="6" l="1"/>
  <c r="G27" i="6" s="1"/>
  <c r="X140" i="5"/>
  <c r="G22" i="6"/>
  <c r="G23" i="6"/>
  <c r="G11" i="6"/>
  <c r="G26" i="6"/>
  <c r="G25" i="6"/>
  <c r="G24" i="6"/>
  <c r="G12" i="6"/>
  <c r="G10" i="6"/>
  <c r="G21" i="6"/>
  <c r="Z16" i="5"/>
  <c r="P140" i="5"/>
  <c r="V140" i="5"/>
  <c r="F9" i="6"/>
  <c r="T140" i="5"/>
  <c r="F7" i="6"/>
  <c r="O140" i="5"/>
  <c r="F8" i="6"/>
  <c r="S140" i="5"/>
  <c r="U140" i="5"/>
  <c r="W140" i="5"/>
  <c r="N140" i="5"/>
  <c r="Y42" i="5"/>
  <c r="Z42" i="5" s="1"/>
  <c r="R140" i="5"/>
  <c r="L140" i="5"/>
  <c r="L143" i="5" s="1"/>
  <c r="Q140" i="5"/>
  <c r="M140" i="5"/>
  <c r="G9" i="6" l="1"/>
  <c r="G8" i="6"/>
  <c r="G7" i="6"/>
  <c r="F14" i="6"/>
  <c r="G14" i="6" s="1"/>
  <c r="Y140" i="5"/>
  <c r="M143" i="5"/>
  <c r="N143" i="5" s="1"/>
  <c r="O143" i="5" s="1"/>
  <c r="P143" i="5" s="1"/>
  <c r="Q143" i="5" s="1"/>
  <c r="R143" i="5" s="1"/>
  <c r="S143" i="5" s="1"/>
  <c r="T143" i="5" s="1"/>
  <c r="U143" i="5" s="1"/>
  <c r="V143" i="5" s="1"/>
  <c r="W143" i="5" s="1"/>
  <c r="X143" i="5" s="1"/>
  <c r="C17" i="6"/>
  <c r="C18" i="6"/>
  <c r="C19" i="6"/>
  <c r="C20" i="6"/>
  <c r="C16" i="6"/>
  <c r="C11" i="6"/>
  <c r="C12" i="6"/>
  <c r="C13" i="6"/>
  <c r="C10" i="6"/>
  <c r="K8" i="5"/>
  <c r="Z155" i="5" l="1"/>
  <c r="Y143" i="5"/>
  <c r="F28" i="6"/>
  <c r="K111" i="5"/>
  <c r="K74" i="5"/>
  <c r="F31" i="6" l="1"/>
  <c r="K112" i="5"/>
  <c r="K82" i="5"/>
  <c r="K68" i="5"/>
  <c r="K64" i="5"/>
  <c r="K57" i="5"/>
  <c r="I16" i="5" l="1"/>
  <c r="K61" i="5"/>
  <c r="K66" i="5"/>
  <c r="K65" i="5"/>
  <c r="K52" i="5"/>
  <c r="K131" i="5"/>
  <c r="K117" i="5"/>
  <c r="K116" i="5"/>
  <c r="K113" i="5"/>
  <c r="I104" i="5"/>
  <c r="I75" i="5"/>
  <c r="I37" i="5"/>
  <c r="K37" i="5" l="1"/>
  <c r="D9" i="6"/>
  <c r="K75" i="5"/>
  <c r="D23" i="6"/>
  <c r="K104" i="5"/>
  <c r="D24" i="6"/>
  <c r="K16" i="5"/>
  <c r="D7" i="6"/>
  <c r="I59" i="5"/>
  <c r="D21" i="6" s="1"/>
  <c r="C23" i="6"/>
  <c r="C24" i="6"/>
  <c r="I138" i="5"/>
  <c r="C7" i="6"/>
  <c r="C9" i="6"/>
  <c r="I71" i="5"/>
  <c r="I126" i="5"/>
  <c r="D27" i="6" l="1"/>
  <c r="K126" i="5"/>
  <c r="D25" i="6"/>
  <c r="K71" i="5"/>
  <c r="D22" i="6"/>
  <c r="K138" i="5"/>
  <c r="D26" i="6"/>
  <c r="C21" i="6"/>
  <c r="K59" i="5"/>
  <c r="I139" i="5"/>
  <c r="K139" i="5" s="1"/>
  <c r="I151" i="5"/>
  <c r="C25" i="6"/>
  <c r="C26" i="6"/>
  <c r="C22" i="6"/>
  <c r="D47" i="6"/>
  <c r="H46" i="6"/>
  <c r="H45" i="6"/>
  <c r="I159" i="5"/>
  <c r="Z158" i="5"/>
  <c r="Z157" i="5"/>
  <c r="Z159" i="5" l="1"/>
  <c r="C27" i="6"/>
  <c r="I29" i="5"/>
  <c r="K29" i="5" l="1"/>
  <c r="D8" i="6"/>
  <c r="D14" i="6" s="1"/>
  <c r="D28" i="6" s="1"/>
  <c r="D31" i="6" s="1"/>
  <c r="Z162" i="5"/>
  <c r="Z161" i="5"/>
  <c r="C8" i="6"/>
  <c r="I42" i="5"/>
  <c r="K42" i="5" s="1"/>
  <c r="E15" i="2"/>
  <c r="C14" i="6" l="1"/>
  <c r="I140" i="5"/>
  <c r="D41" i="6"/>
  <c r="C28" i="6" l="1"/>
  <c r="H43" i="6" s="1"/>
  <c r="H47" i="6" s="1"/>
  <c r="I143" i="5"/>
  <c r="I153" i="5"/>
  <c r="D50" i="6"/>
  <c r="D43" i="6"/>
  <c r="C31" i="6" l="1"/>
  <c r="D49" i="6" s="1"/>
  <c r="D51" i="6" s="1"/>
  <c r="H49" i="6"/>
  <c r="H50" i="6"/>
  <c r="I161" i="5"/>
  <c r="I162" i="5"/>
  <c r="I155" i="5"/>
  <c r="I16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Mitchell</author>
  </authors>
  <commentList>
    <comment ref="A55" authorId="0" shapeId="0" xr:uid="{5FCDBD58-FD78-4C7D-9C90-4E18CD2A82D5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Triad Total Care</t>
        </r>
      </text>
    </comment>
    <comment ref="A56" authorId="0" shapeId="0" xr:uid="{1C2E3234-052D-453D-865E-2D7A9B0BA21F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Triad Total Care</t>
        </r>
      </text>
    </comment>
    <comment ref="A57" authorId="0" shapeId="0" xr:uid="{C2FA07B8-DA6E-4031-BD90-DD372E15FA7F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CCAC</t>
        </r>
      </text>
    </comment>
    <comment ref="A58" authorId="0" shapeId="0" xr:uid="{548F5793-D39F-4D89-B4DA-498D8C77FD63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A&amp;H Lawncare</t>
        </r>
      </text>
    </comment>
    <comment ref="A97" authorId="0" shapeId="0" xr:uid="{DA0C6439-05D7-4314-AA3D-E12798D56AEC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Invision Services</t>
        </r>
      </text>
    </comment>
    <comment ref="A98" authorId="0" shapeId="0" xr:uid="{E834478F-DCAD-4184-99FA-EDB3FFE24047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Triangle Development Services</t>
        </r>
      </text>
    </comment>
    <comment ref="A99" authorId="0" shapeId="0" xr:uid="{08E26947-3805-423B-B834-328C4D57CB98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Overcomers</t>
        </r>
      </text>
    </comment>
    <comment ref="A100" authorId="0" shapeId="0" xr:uid="{6AA0F791-43C4-4C90-BAF9-8FB2FEF6C9AA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Public Consulting Group</t>
        </r>
      </text>
    </comment>
    <comment ref="A101" authorId="0" shapeId="0" xr:uid="{47AD7B05-5CD4-4D43-A854-59EBF1AF88B5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Apex Occupational Therapy</t>
        </r>
      </text>
    </comment>
    <comment ref="A102" authorId="0" shapeId="0" xr:uid="{E232E103-D052-45B3-B362-389B843F2063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Full Circle Interpreting </t>
        </r>
      </text>
    </comment>
    <comment ref="A103" authorId="0" shapeId="0" xr:uid="{FBC812AF-0EDB-4E3F-A5B6-EB6E16EC5EFD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AHB Center for Behavioral Health &amp; Wellness</t>
        </r>
      </text>
    </comment>
    <comment ref="A110" authorId="0" shapeId="0" xr:uid="{B896440E-8D0E-4AD3-8CCA-E9E2C0855F66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AltHR</t>
        </r>
      </text>
    </comment>
    <comment ref="A111" authorId="0" shapeId="0" xr:uid="{9AF350DD-5C7E-4BD7-9790-DBEE4C377AFC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Northstar New in FY23</t>
        </r>
      </text>
    </comment>
    <comment ref="A112" authorId="0" shapeId="0" xr:uid="{343FECA5-BC52-47AD-AD2A-5DEF955EE7E8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Toshiba</t>
        </r>
      </text>
    </comment>
  </commentList>
</comments>
</file>

<file path=xl/sharedStrings.xml><?xml version="1.0" encoding="utf-8"?>
<sst xmlns="http://schemas.openxmlformats.org/spreadsheetml/2006/main" count="297" uniqueCount="225">
  <si>
    <t>Research Triangle High School</t>
  </si>
  <si>
    <t>Revenue</t>
  </si>
  <si>
    <t>State Funds - Revenue</t>
  </si>
  <si>
    <t xml:space="preserve">State EC Funds </t>
  </si>
  <si>
    <t>State Funds - NCVPS</t>
  </si>
  <si>
    <t>State Funds - Fines &amp; Forfeitures</t>
  </si>
  <si>
    <t>State Funds - COVID-19</t>
  </si>
  <si>
    <t>State Funds - Other Funds (non-recurring)</t>
  </si>
  <si>
    <t>Alamance County Funds</t>
  </si>
  <si>
    <t>Chapel Hill Funds</t>
  </si>
  <si>
    <t>Chatham County Funds</t>
  </si>
  <si>
    <t>Durham County Funds</t>
  </si>
  <si>
    <t xml:space="preserve">Franklin County Funds   </t>
  </si>
  <si>
    <t>Granville County Funds</t>
  </si>
  <si>
    <t>Harnett County Funds</t>
  </si>
  <si>
    <t xml:space="preserve">Orange County Funds </t>
  </si>
  <si>
    <t>Wake County Funds</t>
  </si>
  <si>
    <t>Federal Funds - PRC 060 (EC)</t>
  </si>
  <si>
    <t>Federal Funds - PRC 050</t>
  </si>
  <si>
    <t>Federal Funds - PRC 103</t>
  </si>
  <si>
    <t>Federal Funds - PRC 108</t>
  </si>
  <si>
    <t>Federal Funds - PRC 118</t>
  </si>
  <si>
    <t>Federal Funds - COVID-19</t>
  </si>
  <si>
    <t xml:space="preserve">Grant Funds SRSA </t>
  </si>
  <si>
    <t>Sales &amp; Use Tax Refund</t>
  </si>
  <si>
    <t>Corporate/Board/Private Donations</t>
  </si>
  <si>
    <t>Interest Income</t>
  </si>
  <si>
    <t xml:space="preserve">Other </t>
  </si>
  <si>
    <t>Total Revenue</t>
  </si>
  <si>
    <t>Expenses</t>
  </si>
  <si>
    <t>Principal</t>
  </si>
  <si>
    <t>Interest</t>
  </si>
  <si>
    <t>Bond Costs</t>
  </si>
  <si>
    <t>Repair and Replacement Fund Transfer</t>
  </si>
  <si>
    <t>Capitalized Improvements/Purchases</t>
  </si>
  <si>
    <t>Building Expenses</t>
  </si>
  <si>
    <t xml:space="preserve">Utilities    - elec, water and trash                                  </t>
  </si>
  <si>
    <t xml:space="preserve">   Total Building Expenses</t>
  </si>
  <si>
    <t>Salaries</t>
  </si>
  <si>
    <t>Substitutes</t>
  </si>
  <si>
    <t>Contracted Financial Services</t>
  </si>
  <si>
    <t>Personal Leave</t>
  </si>
  <si>
    <t>Health Insurance - State Plan</t>
  </si>
  <si>
    <t xml:space="preserve">Retirement - State 457 Plan + Match </t>
  </si>
  <si>
    <t xml:space="preserve">Payroll Taxes - 7.65% </t>
  </si>
  <si>
    <t>NC Flex Plan Fees</t>
  </si>
  <si>
    <t>SUTA</t>
  </si>
  <si>
    <t>Workers Comp Insurance</t>
  </si>
  <si>
    <t>Bonus</t>
  </si>
  <si>
    <t>Technology</t>
  </si>
  <si>
    <t>Educational Programs</t>
  </si>
  <si>
    <t>Textbooks/Assessment</t>
  </si>
  <si>
    <t>Digital Resources &amp; SW Licenses</t>
  </si>
  <si>
    <t>Staff Development</t>
  </si>
  <si>
    <t>Furniture &amp; Fixtures</t>
  </si>
  <si>
    <t>Telephone/Communications</t>
  </si>
  <si>
    <t>General Insurance</t>
  </si>
  <si>
    <t>Other Expenses</t>
  </si>
  <si>
    <t>COVID-19 Expenses</t>
  </si>
  <si>
    <t>Board of Director Materials</t>
  </si>
  <si>
    <t>Fundraising/Development</t>
  </si>
  <si>
    <t>LINQ Software Support</t>
  </si>
  <si>
    <t xml:space="preserve">Legal &amp; Consulting </t>
  </si>
  <si>
    <t>Food Services</t>
  </si>
  <si>
    <t xml:space="preserve">Sales Tax </t>
  </si>
  <si>
    <t>Social Service Fund</t>
  </si>
  <si>
    <t>Robotics</t>
  </si>
  <si>
    <t>Transfer to Raptorium</t>
  </si>
  <si>
    <t>Total Expenses</t>
  </si>
  <si>
    <t>Surplus</t>
  </si>
  <si>
    <t>Security Deposit</t>
  </si>
  <si>
    <t>Surplus from Previous Years</t>
  </si>
  <si>
    <t>Ending Cash Balance</t>
  </si>
  <si>
    <t>Liquidity Requirement Calculation:</t>
  </si>
  <si>
    <t>Debt Service Coverage Ratio Calculation:</t>
  </si>
  <si>
    <t>Surplus (cash basis)</t>
  </si>
  <si>
    <t>Clubs, PTSO, Boosters Expenses (projected)</t>
  </si>
  <si>
    <t>Net Income - Raptorium</t>
  </si>
  <si>
    <t>Less: Capitalized Purchases</t>
  </si>
  <si>
    <t>Net Income - Clubs, PTSO, Boosters</t>
  </si>
  <si>
    <t>Less: Principal Payments</t>
  </si>
  <si>
    <t>Net Income - US Bank</t>
  </si>
  <si>
    <t xml:space="preserve">Less: Repair and Replacement Fund Transfer </t>
  </si>
  <si>
    <t>Add: Repair and Replacement Fund Transfer</t>
  </si>
  <si>
    <t>Total Operating Expenses</t>
  </si>
  <si>
    <t>Add: Capitalized Items</t>
  </si>
  <si>
    <t>Divided by 365 days</t>
  </si>
  <si>
    <t>Add: Principal Payments</t>
  </si>
  <si>
    <t>Operating Expense per Day</t>
  </si>
  <si>
    <t>Less: Amortization</t>
  </si>
  <si>
    <t>Multiplied by 45 days</t>
  </si>
  <si>
    <t>Less: Depreciation</t>
  </si>
  <si>
    <t>Minimum balance required for unrestricted cash and cash equivalents</t>
  </si>
  <si>
    <t>Change in Net Assets</t>
  </si>
  <si>
    <t>Add: Interest</t>
  </si>
  <si>
    <t>Add: Amortization</t>
  </si>
  <si>
    <t>Add: Depreciation</t>
  </si>
  <si>
    <t>Raptorium Cash</t>
  </si>
  <si>
    <t>Net Income Available for Debt Service</t>
  </si>
  <si>
    <t>Clubs, PTSO, Boosters Cash</t>
  </si>
  <si>
    <t>Maximum Annual Debt Service</t>
  </si>
  <si>
    <t>Total Unrestricted Cash and Cash Equivalents</t>
  </si>
  <si>
    <t>Projected Debt Service Coverage Ratio</t>
  </si>
  <si>
    <t>Divided by Operating Expense per Day</t>
  </si>
  <si>
    <t>Excess of DSCR Requirement</t>
  </si>
  <si>
    <t>Projected Days Cash on Hand</t>
  </si>
  <si>
    <t>Required DSCR in Covenants</t>
  </si>
  <si>
    <t>Liquidity Requirement for Days Cash on Hand</t>
  </si>
  <si>
    <t>Research Triangle High School - Capitalized Assets</t>
  </si>
  <si>
    <t>Account Code</t>
  </si>
  <si>
    <t>Account Name</t>
  </si>
  <si>
    <t>Date Paid</t>
  </si>
  <si>
    <t>Vendor</t>
  </si>
  <si>
    <t>Amount</t>
  </si>
  <si>
    <t>Totals</t>
  </si>
  <si>
    <t>Safety - Off Duty Officer</t>
  </si>
  <si>
    <t xml:space="preserve">Cumberland County Funds </t>
  </si>
  <si>
    <t>Maintenance &amp; Repair</t>
  </si>
  <si>
    <t>Grounds - Landscaping</t>
  </si>
  <si>
    <t>HVAC</t>
  </si>
  <si>
    <t>Carpet - Tile Cleaning</t>
  </si>
  <si>
    <t>Contracted HR Services</t>
  </si>
  <si>
    <t>Student Information Management Services</t>
  </si>
  <si>
    <t>Contracted Printing Services</t>
  </si>
  <si>
    <t>Contracted Audit Services</t>
  </si>
  <si>
    <t>Custodial - Supplies/Materials</t>
  </si>
  <si>
    <t>Marketing/Advertising</t>
  </si>
  <si>
    <t>Travel &amp; Mileage Reimbursement</t>
  </si>
  <si>
    <t>Staff Dev - PD Meals</t>
  </si>
  <si>
    <t>Edu Materials - Science Dept</t>
  </si>
  <si>
    <t>Edu Materials - Languages Dept</t>
  </si>
  <si>
    <t>Edu Materials - History Dept</t>
  </si>
  <si>
    <t>Edu Materials - Arts Dept</t>
  </si>
  <si>
    <t>Edu Materials - Math Dept</t>
  </si>
  <si>
    <t>Edu Materials - PE Dept</t>
  </si>
  <si>
    <t>Education Materials - EC Dept</t>
  </si>
  <si>
    <t>Staff Development - EC</t>
  </si>
  <si>
    <t>Psychoeducational Assessments</t>
  </si>
  <si>
    <t>Occupational Therapy</t>
  </si>
  <si>
    <t xml:space="preserve">Visually Impared &amp; Orientation </t>
  </si>
  <si>
    <t xml:space="preserve">Speech-Language Therapy </t>
  </si>
  <si>
    <t>Mental Health Service</t>
  </si>
  <si>
    <t>Web-based IEP Service</t>
  </si>
  <si>
    <t>Counseling - Staff Dev</t>
  </si>
  <si>
    <t>Athletics</t>
  </si>
  <si>
    <t>Senior Class Events</t>
  </si>
  <si>
    <t>Graduation</t>
  </si>
  <si>
    <t>Staff Snacks (Joy Room)</t>
  </si>
  <si>
    <t>Daily Bus Services</t>
  </si>
  <si>
    <t>Interpreting and Written Translation Service</t>
  </si>
  <si>
    <t>ADM</t>
  </si>
  <si>
    <t>State Funding per ADM</t>
  </si>
  <si>
    <t>EC ADM</t>
  </si>
  <si>
    <t>State EC Funding per ADM</t>
  </si>
  <si>
    <t>Custodial Services</t>
  </si>
  <si>
    <t>Administrative Expenses</t>
  </si>
  <si>
    <t>Testing (AP/PSAT)</t>
  </si>
  <si>
    <t xml:space="preserve">Counseling/College Dept </t>
  </si>
  <si>
    <t xml:space="preserve">   Total State Funding</t>
  </si>
  <si>
    <t xml:space="preserve">   Total County Funding</t>
  </si>
  <si>
    <t xml:space="preserve">   Total Federal Funding</t>
  </si>
  <si>
    <t xml:space="preserve">Information Technology </t>
  </si>
  <si>
    <t>Facility Contracted Services:</t>
  </si>
  <si>
    <t>Support Services</t>
  </si>
  <si>
    <t>Administration Contracted Services:</t>
  </si>
  <si>
    <t>Transportation Contracted Services:</t>
  </si>
  <si>
    <t>Transportation - Fuel</t>
  </si>
  <si>
    <t>Transportation Maintenance</t>
  </si>
  <si>
    <t xml:space="preserve">   Total Support Services</t>
  </si>
  <si>
    <t>Total State Funding</t>
  </si>
  <si>
    <t>Total County Funding</t>
  </si>
  <si>
    <t>Total Federal Funding</t>
  </si>
  <si>
    <t>Total Information Technology</t>
  </si>
  <si>
    <t>Personnel Costs</t>
  </si>
  <si>
    <t>Information Technology</t>
  </si>
  <si>
    <t>Instructional Services</t>
  </si>
  <si>
    <t xml:space="preserve">   Total Personnel Costs</t>
  </si>
  <si>
    <t xml:space="preserve">   Total Instructional Services</t>
  </si>
  <si>
    <t xml:space="preserve">   Total Other Expenses</t>
  </si>
  <si>
    <t>585</t>
  </si>
  <si>
    <t>Schoolmint</t>
  </si>
  <si>
    <t>Special Event Transportation Services</t>
  </si>
  <si>
    <t>Background Checks</t>
  </si>
  <si>
    <t>44</t>
  </si>
  <si>
    <r>
      <t xml:space="preserve">EC Contracted Services: </t>
    </r>
    <r>
      <rPr>
        <sz val="10"/>
        <color rgb="FF000000"/>
        <rFont val="Calibri"/>
        <family val="2"/>
      </rPr>
      <t>($50,000 FY23)</t>
    </r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</si>
  <si>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</si>
  <si>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</si>
  <si>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</si>
  <si>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</si>
  <si>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</si>
  <si>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</si>
  <si>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</si>
  <si>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</si>
  <si>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</si>
  <si>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</si>
  <si>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</si>
  <si>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</si>
  <si>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A/R &amp; A/P</t>
  </si>
  <si>
    <t>Comments:</t>
  </si>
  <si>
    <t>FY 2023-2024            Approved Budget</t>
  </si>
  <si>
    <t>Mecklenburg County Funds</t>
  </si>
  <si>
    <t>% Received / Expensed to Budget</t>
  </si>
  <si>
    <t>Variance</t>
  </si>
  <si>
    <t>% Received/ Expensed to Budget</t>
  </si>
  <si>
    <t>FY 18-19</t>
  </si>
  <si>
    <t>FY 19-20</t>
  </si>
  <si>
    <t>FY 20-21</t>
  </si>
  <si>
    <t>FY 21-22</t>
  </si>
  <si>
    <t>FY 22-23</t>
  </si>
  <si>
    <t>Johnston County Funds</t>
  </si>
  <si>
    <t>State Funds - Paid Parental Leave Reimbursement</t>
  </si>
  <si>
    <t>Proposed FY 2023 -2024 Amended Budget</t>
  </si>
  <si>
    <t>FY 2023-2024 Approved Budget 6/19/24</t>
  </si>
  <si>
    <t xml:space="preserve">FY 2024-2025           Approved Budget  </t>
  </si>
  <si>
    <t>FY 23-24</t>
  </si>
  <si>
    <t>Edu Materials - English Dept</t>
  </si>
  <si>
    <t>-</t>
  </si>
  <si>
    <t xml:space="preserve">FY 2024-2025           Working Budget  </t>
  </si>
  <si>
    <t>Actuals as of 7.31.24</t>
  </si>
  <si>
    <t>State Funds - LEP Funds</t>
  </si>
  <si>
    <t>State Funds - School Technology</t>
  </si>
  <si>
    <t xml:space="preserve"> ---- Funding for Growth is not guaranteed</t>
  </si>
  <si>
    <t>Actual Salaries - All Positions have been filled</t>
  </si>
  <si>
    <t>Actual Allotment</t>
  </si>
  <si>
    <t>Paid on Prior Year Best of Month 1 or 2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</si>
</sst>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* #,##0&quot; &quot;;&quot; &quot;* \(#,##0\);&quot; &quot;* &quot;-&quot;??&quot; &quot;"/>
    <numFmt numFmtId="165" formatCode="&quot; &quot;* #,##0.00&quot; &quot;;&quot; &quot;* \(#,##0.00\);&quot; &quot;* &quot;-&quot;??&quot; &quot;"/>
    <numFmt numFmtId="166" formatCode="&quot; &quot;&quot;$&quot;* #,##0.00&quot; &quot;;&quot; &quot;&quot;$&quot;* \(#,##0.00\);&quot; &quot;&quot;$&quot;* &quot;-&quot;??&quot; &quot;"/>
    <numFmt numFmtId="167" formatCode="#,##0&quot; &quot;;\(#,##0\)"/>
    <numFmt numFmtId="168" formatCode="#,##0.00&quot; &quot;;\(#,##0.00\)"/>
    <numFmt numFmtId="169" formatCode="_(* #,##0_);_(* \(#,##0\);_(* &quot;-&quot;??_);_(@_)"/>
    <numFmt numFmtId="170" formatCode="_(* #,##0.0000_);_(* \(#,##0.0000\);_(* &quot;-&quot;??_);_(@_)"/>
    <numFmt numFmtId="171" formatCode="_(&quot;$&quot;* #,##0_);_(&quot;$&quot;* \(#,##0\);_(&quot;$&quot;* &quot;-&quot;??_);_(@_)"/>
    <numFmt numFmtId="172" formatCode="0.000%"/>
  </numFmts>
  <fonts count="3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b/>
      <sz val="9"/>
      <color indexed="8"/>
      <name val="Calibri"/>
      <family val="2"/>
    </font>
    <font>
      <sz val="7"/>
      <color rgb="FF5E5E5E"/>
      <name val="Ubuntu Medium"/>
      <family val="2"/>
    </font>
    <font>
      <sz val="9"/>
      <color indexed="81"/>
      <name val="Tahoma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0"/>
      <name val="Calibri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11"/>
      <color rgb="FF000000"/>
      <name val="Calibri"/>
      <family val="2"/>
    </font>
    <font>
      <sz val="8"/>
      <name val="Calibri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9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NumberFormat="1"/>
    <xf numFmtId="0" fontId="5" fillId="3" borderId="2" xfId="0" applyNumberFormat="1" applyFont="1" applyFill="1" applyBorder="1" applyAlignment="1">
      <alignment horizontal="center" vertical="top"/>
    </xf>
    <xf numFmtId="0" fontId="0" fillId="0" borderId="11" xfId="0" applyBorder="1"/>
    <xf numFmtId="49" fontId="3" fillId="3" borderId="18" xfId="0" applyNumberFormat="1" applyFont="1" applyFill="1" applyBorder="1"/>
    <xf numFmtId="164" fontId="4" fillId="3" borderId="18" xfId="0" applyNumberFormat="1" applyFont="1" applyFill="1" applyBorder="1"/>
    <xf numFmtId="164" fontId="3" fillId="3" borderId="18" xfId="0" applyNumberFormat="1" applyFont="1" applyFill="1" applyBorder="1"/>
    <xf numFmtId="0" fontId="2" fillId="3" borderId="11" xfId="0" applyNumberFormat="1" applyFont="1" applyFill="1" applyBorder="1"/>
    <xf numFmtId="164" fontId="7" fillId="3" borderId="11" xfId="0" applyNumberFormat="1" applyFont="1" applyFill="1" applyBorder="1"/>
    <xf numFmtId="0" fontId="7" fillId="0" borderId="11" xfId="0" applyFont="1" applyBorder="1"/>
    <xf numFmtId="0" fontId="7" fillId="3" borderId="8" xfId="0" applyNumberFormat="1" applyFont="1" applyFill="1" applyBorder="1"/>
    <xf numFmtId="164" fontId="7" fillId="3" borderId="8" xfId="0" applyNumberFormat="1" applyFont="1" applyFill="1" applyBorder="1"/>
    <xf numFmtId="0" fontId="7" fillId="0" borderId="18" xfId="0" applyFont="1" applyBorder="1"/>
    <xf numFmtId="49" fontId="12" fillId="6" borderId="6" xfId="0" applyNumberFormat="1" applyFont="1" applyFill="1" applyBorder="1"/>
    <xf numFmtId="164" fontId="12" fillId="6" borderId="7" xfId="0" applyNumberFormat="1" applyFont="1" applyFill="1" applyBorder="1"/>
    <xf numFmtId="49" fontId="12" fillId="6" borderId="6" xfId="0" applyNumberFormat="1" applyFont="1" applyFill="1" applyBorder="1" applyAlignment="1">
      <alignment horizontal="left"/>
    </xf>
    <xf numFmtId="164" fontId="12" fillId="6" borderId="8" xfId="0" applyNumberFormat="1" applyFont="1" applyFill="1" applyBorder="1" applyAlignment="1">
      <alignment horizontal="left"/>
    </xf>
    <xf numFmtId="49" fontId="12" fillId="6" borderId="9" xfId="0" applyNumberFormat="1" applyFont="1" applyFill="1" applyBorder="1"/>
    <xf numFmtId="164" fontId="12" fillId="6" borderId="10" xfId="0" applyNumberFormat="1" applyFont="1" applyFill="1" applyBorder="1"/>
    <xf numFmtId="49" fontId="12" fillId="6" borderId="9" xfId="0" applyNumberFormat="1" applyFont="1" applyFill="1" applyBorder="1" applyAlignment="1">
      <alignment horizontal="left"/>
    </xf>
    <xf numFmtId="164" fontId="12" fillId="6" borderId="11" xfId="0" applyNumberFormat="1" applyFont="1" applyFill="1" applyBorder="1" applyAlignment="1">
      <alignment horizontal="left"/>
    </xf>
    <xf numFmtId="49" fontId="12" fillId="6" borderId="12" xfId="0" applyNumberFormat="1" applyFont="1" applyFill="1" applyBorder="1"/>
    <xf numFmtId="164" fontId="12" fillId="6" borderId="13" xfId="0" applyNumberFormat="1" applyFont="1" applyFill="1" applyBorder="1"/>
    <xf numFmtId="49" fontId="10" fillId="6" borderId="14" xfId="0" applyNumberFormat="1" applyFont="1" applyFill="1" applyBorder="1"/>
    <xf numFmtId="164" fontId="10" fillId="6" borderId="15" xfId="0" applyNumberFormat="1" applyFont="1" applyFill="1" applyBorder="1"/>
    <xf numFmtId="164" fontId="12" fillId="6" borderId="16" xfId="0" applyNumberFormat="1" applyFont="1" applyFill="1" applyBorder="1"/>
    <xf numFmtId="49" fontId="10" fillId="6" borderId="9" xfId="0" applyNumberFormat="1" applyFont="1" applyFill="1" applyBorder="1"/>
    <xf numFmtId="164" fontId="10" fillId="6" borderId="17" xfId="0" applyNumberFormat="1" applyFont="1" applyFill="1" applyBorder="1"/>
    <xf numFmtId="49" fontId="12" fillId="6" borderId="12" xfId="0" applyNumberFormat="1" applyFont="1" applyFill="1" applyBorder="1" applyAlignment="1">
      <alignment horizontal="left"/>
    </xf>
    <xf numFmtId="164" fontId="12" fillId="6" borderId="18" xfId="0" applyNumberFormat="1" applyFont="1" applyFill="1" applyBorder="1" applyAlignment="1">
      <alignment horizontal="left"/>
    </xf>
    <xf numFmtId="49" fontId="10" fillId="6" borderId="14" xfId="0" applyNumberFormat="1" applyFont="1" applyFill="1" applyBorder="1" applyAlignment="1">
      <alignment horizontal="left"/>
    </xf>
    <xf numFmtId="164" fontId="10" fillId="6" borderId="19" xfId="0" applyNumberFormat="1" applyFont="1" applyFill="1" applyBorder="1" applyAlignment="1">
      <alignment horizontal="left"/>
    </xf>
    <xf numFmtId="0" fontId="10" fillId="6" borderId="6" xfId="0" applyNumberFormat="1" applyFont="1" applyFill="1" applyBorder="1"/>
    <xf numFmtId="164" fontId="10" fillId="6" borderId="7" xfId="0" applyNumberFormat="1" applyFont="1" applyFill="1" applyBorder="1"/>
    <xf numFmtId="0" fontId="12" fillId="6" borderId="12" xfId="0" applyNumberFormat="1" applyFont="1" applyFill="1" applyBorder="1"/>
    <xf numFmtId="49" fontId="12" fillId="6" borderId="20" xfId="0" applyNumberFormat="1" applyFont="1" applyFill="1" applyBorder="1" applyAlignment="1">
      <alignment horizontal="left"/>
    </xf>
    <xf numFmtId="164" fontId="12" fillId="6" borderId="21" xfId="0" applyNumberFormat="1" applyFont="1" applyFill="1" applyBorder="1" applyAlignment="1">
      <alignment horizontal="left"/>
    </xf>
    <xf numFmtId="49" fontId="10" fillId="6" borderId="22" xfId="0" applyNumberFormat="1" applyFont="1" applyFill="1" applyBorder="1" applyAlignment="1">
      <alignment horizontal="left"/>
    </xf>
    <xf numFmtId="164" fontId="10" fillId="6" borderId="23" xfId="0" applyNumberFormat="1" applyFont="1" applyFill="1" applyBorder="1" applyAlignment="1">
      <alignment horizontal="left"/>
    </xf>
    <xf numFmtId="168" fontId="10" fillId="6" borderId="24" xfId="0" applyNumberFormat="1" applyFont="1" applyFill="1" applyBorder="1"/>
    <xf numFmtId="49" fontId="12" fillId="6" borderId="20" xfId="0" applyNumberFormat="1" applyFont="1" applyFill="1" applyBorder="1"/>
    <xf numFmtId="49" fontId="10" fillId="6" borderId="22" xfId="0" applyNumberFormat="1" applyFont="1" applyFill="1" applyBorder="1"/>
    <xf numFmtId="164" fontId="10" fillId="6" borderId="24" xfId="0" applyNumberFormat="1" applyFont="1" applyFill="1" applyBorder="1"/>
    <xf numFmtId="164" fontId="10" fillId="3" borderId="8" xfId="0" applyNumberFormat="1" applyFont="1" applyFill="1" applyBorder="1"/>
    <xf numFmtId="0" fontId="7" fillId="3" borderId="11" xfId="0" applyNumberFormat="1" applyFont="1" applyFill="1" applyBorder="1"/>
    <xf numFmtId="49" fontId="10" fillId="3" borderId="11" xfId="0" applyNumberFormat="1" applyFont="1" applyFill="1" applyBorder="1"/>
    <xf numFmtId="164" fontId="10" fillId="3" borderId="11" xfId="0" applyNumberFormat="1" applyFont="1" applyFill="1" applyBorder="1"/>
    <xf numFmtId="165" fontId="10" fillId="3" borderId="11" xfId="0" applyNumberFormat="1" applyFont="1" applyFill="1" applyBorder="1"/>
    <xf numFmtId="49" fontId="13" fillId="3" borderId="8" xfId="0" applyNumberFormat="1" applyFont="1" applyFill="1" applyBorder="1"/>
    <xf numFmtId="164" fontId="13" fillId="3" borderId="8" xfId="0" applyNumberFormat="1" applyFont="1" applyFill="1" applyBorder="1"/>
    <xf numFmtId="49" fontId="10" fillId="6" borderId="14" xfId="0" applyNumberFormat="1" applyFont="1" applyFill="1" applyBorder="1" applyAlignment="1">
      <alignment wrapText="1"/>
    </xf>
    <xf numFmtId="49" fontId="11" fillId="3" borderId="3" xfId="0" applyNumberFormat="1" applyFont="1" applyFill="1" applyBorder="1" applyAlignment="1">
      <alignment horizontal="left" vertical="top" wrapText="1"/>
    </xf>
    <xf numFmtId="49" fontId="12" fillId="3" borderId="4" xfId="0" applyNumberFormat="1" applyFont="1" applyFill="1" applyBorder="1" applyAlignment="1">
      <alignment horizontal="left" vertical="top"/>
    </xf>
    <xf numFmtId="164" fontId="12" fillId="4" borderId="4" xfId="0" applyNumberFormat="1" applyFont="1" applyFill="1" applyBorder="1" applyAlignment="1">
      <alignment horizontal="right" vertical="top"/>
    </xf>
    <xf numFmtId="49" fontId="12" fillId="3" borderId="4" xfId="0" applyNumberFormat="1" applyFont="1" applyFill="1" applyBorder="1" applyAlignment="1">
      <alignment vertical="top"/>
    </xf>
    <xf numFmtId="49" fontId="12" fillId="3" borderId="5" xfId="0" applyNumberFormat="1" applyFont="1" applyFill="1" applyBorder="1" applyAlignment="1">
      <alignment vertical="top"/>
    </xf>
    <xf numFmtId="49" fontId="12" fillId="2" borderId="1" xfId="0" applyNumberFormat="1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vertical="top"/>
    </xf>
    <xf numFmtId="49" fontId="11" fillId="3" borderId="3" xfId="0" applyNumberFormat="1" applyFont="1" applyFill="1" applyBorder="1" applyAlignment="1">
      <alignment horizontal="left" vertical="top"/>
    </xf>
    <xf numFmtId="164" fontId="11" fillId="4" borderId="3" xfId="0" applyNumberFormat="1" applyFont="1" applyFill="1" applyBorder="1" applyAlignment="1">
      <alignment horizontal="center" vertical="top" wrapText="1"/>
    </xf>
    <xf numFmtId="164" fontId="12" fillId="4" borderId="4" xfId="0" applyNumberFormat="1" applyFont="1" applyFill="1" applyBorder="1" applyAlignment="1">
      <alignment vertical="top"/>
    </xf>
    <xf numFmtId="49" fontId="12" fillId="3" borderId="5" xfId="0" applyNumberFormat="1" applyFont="1" applyFill="1" applyBorder="1" applyAlignment="1">
      <alignment horizontal="left" vertical="top"/>
    </xf>
    <xf numFmtId="164" fontId="12" fillId="4" borderId="5" xfId="0" applyNumberFormat="1" applyFont="1" applyFill="1" applyBorder="1" applyAlignment="1">
      <alignment vertical="top"/>
    </xf>
    <xf numFmtId="49" fontId="10" fillId="2" borderId="1" xfId="0" applyNumberFormat="1" applyFont="1" applyFill="1" applyBorder="1" applyAlignment="1">
      <alignment horizontal="left" vertical="top"/>
    </xf>
    <xf numFmtId="49" fontId="12" fillId="5" borderId="1" xfId="0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49" fontId="12" fillId="5" borderId="3" xfId="0" applyNumberFormat="1" applyFont="1" applyFill="1" applyBorder="1" applyAlignment="1">
      <alignment vertical="top"/>
    </xf>
    <xf numFmtId="164" fontId="12" fillId="5" borderId="3" xfId="0" applyNumberFormat="1" applyFont="1" applyFill="1" applyBorder="1" applyAlignment="1">
      <alignment vertical="top"/>
    </xf>
    <xf numFmtId="49" fontId="10" fillId="5" borderId="5" xfId="0" applyNumberFormat="1" applyFont="1" applyFill="1" applyBorder="1" applyAlignment="1">
      <alignment horizontal="left" vertical="top"/>
    </xf>
    <xf numFmtId="164" fontId="10" fillId="4" borderId="5" xfId="0" applyNumberFormat="1" applyFont="1" applyFill="1" applyBorder="1" applyAlignment="1">
      <alignment horizontal="right" vertical="top"/>
    </xf>
    <xf numFmtId="0" fontId="0" fillId="0" borderId="0" xfId="0" applyNumberFormat="1" applyAlignment="1">
      <alignment vertical="top"/>
    </xf>
    <xf numFmtId="0" fontId="0" fillId="0" borderId="0" xfId="0" applyNumberFormat="1" applyAlignment="1">
      <alignment vertical="top" wrapText="1"/>
    </xf>
    <xf numFmtId="49" fontId="0" fillId="3" borderId="2" xfId="0" applyNumberFormat="1" applyFill="1" applyBorder="1" applyAlignment="1">
      <alignment vertical="top"/>
    </xf>
    <xf numFmtId="165" fontId="0" fillId="3" borderId="2" xfId="0" applyNumberFormat="1" applyFill="1" applyBorder="1" applyAlignment="1">
      <alignment vertical="top"/>
    </xf>
    <xf numFmtId="0" fontId="0" fillId="3" borderId="2" xfId="0" applyFill="1" applyBorder="1" applyAlignment="1">
      <alignment vertical="top"/>
    </xf>
    <xf numFmtId="49" fontId="6" fillId="3" borderId="2" xfId="0" applyNumberFormat="1" applyFont="1" applyFill="1" applyBorder="1" applyAlignment="1">
      <alignment vertical="top"/>
    </xf>
    <xf numFmtId="49" fontId="6" fillId="3" borderId="2" xfId="0" applyNumberFormat="1" applyFont="1" applyFill="1" applyBorder="1" applyAlignment="1">
      <alignment horizontal="center" vertical="top"/>
    </xf>
    <xf numFmtId="14" fontId="0" fillId="3" borderId="2" xfId="0" applyNumberFormat="1" applyFill="1" applyBorder="1" applyAlignment="1">
      <alignment vertical="top"/>
    </xf>
    <xf numFmtId="43" fontId="0" fillId="3" borderId="2" xfId="0" applyNumberFormat="1" applyFill="1" applyBorder="1" applyAlignment="1">
      <alignment vertical="top"/>
    </xf>
    <xf numFmtId="166" fontId="0" fillId="3" borderId="2" xfId="0" applyNumberFormat="1" applyFill="1" applyBorder="1" applyAlignment="1">
      <alignment vertical="top"/>
    </xf>
    <xf numFmtId="0" fontId="1" fillId="3" borderId="2" xfId="0" applyNumberFormat="1" applyFont="1" applyFill="1" applyBorder="1" applyAlignment="1">
      <alignment vertical="top"/>
    </xf>
    <xf numFmtId="165" fontId="1" fillId="3" borderId="2" xfId="0" applyNumberFormat="1" applyFont="1" applyFill="1" applyBorder="1" applyAlignment="1">
      <alignment vertical="top"/>
    </xf>
    <xf numFmtId="167" fontId="0" fillId="3" borderId="2" xfId="0" applyNumberFormat="1" applyFill="1" applyBorder="1" applyAlignment="1">
      <alignment vertical="top"/>
    </xf>
    <xf numFmtId="49" fontId="7" fillId="3" borderId="2" xfId="0" applyNumberFormat="1" applyFont="1" applyFill="1" applyBorder="1" applyAlignment="1">
      <alignment vertical="top"/>
    </xf>
    <xf numFmtId="0" fontId="7" fillId="0" borderId="0" xfId="0" applyNumberFormat="1" applyFont="1" applyAlignment="1">
      <alignment vertical="top"/>
    </xf>
    <xf numFmtId="0" fontId="7" fillId="3" borderId="2" xfId="0" applyFont="1" applyFill="1" applyBorder="1" applyAlignment="1">
      <alignment vertical="top"/>
    </xf>
    <xf numFmtId="0" fontId="7" fillId="7" borderId="0" xfId="0" applyNumberFormat="1" applyFont="1" applyFill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49" fontId="14" fillId="7" borderId="1" xfId="0" applyNumberFormat="1" applyFont="1" applyFill="1" applyBorder="1" applyAlignment="1">
      <alignment horizontal="center" wrapText="1"/>
    </xf>
    <xf numFmtId="49" fontId="15" fillId="7" borderId="1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right" vertical="top"/>
    </xf>
    <xf numFmtId="49" fontId="10" fillId="3" borderId="8" xfId="0" applyNumberFormat="1" applyFont="1" applyFill="1" applyBorder="1"/>
    <xf numFmtId="166" fontId="7" fillId="3" borderId="2" xfId="0" applyNumberFormat="1" applyFont="1" applyFill="1" applyBorder="1" applyAlignment="1">
      <alignment vertical="top"/>
    </xf>
    <xf numFmtId="49" fontId="16" fillId="4" borderId="3" xfId="0" applyNumberFormat="1" applyFont="1" applyFill="1" applyBorder="1" applyAlignment="1">
      <alignment horizontal="center" vertical="top" wrapText="1"/>
    </xf>
    <xf numFmtId="4" fontId="17" fillId="0" borderId="0" xfId="0" applyNumberFormat="1" applyFont="1"/>
    <xf numFmtId="49" fontId="10" fillId="3" borderId="4" xfId="0" applyNumberFormat="1" applyFont="1" applyFill="1" applyBorder="1" applyAlignment="1">
      <alignment horizontal="left" vertical="top"/>
    </xf>
    <xf numFmtId="164" fontId="10" fillId="4" borderId="4" xfId="0" applyNumberFormat="1" applyFont="1" applyFill="1" applyBorder="1" applyAlignment="1">
      <alignment vertical="top"/>
    </xf>
    <xf numFmtId="164" fontId="10" fillId="4" borderId="4" xfId="0" applyNumberFormat="1" applyFont="1" applyFill="1" applyBorder="1" applyAlignment="1">
      <alignment horizontal="right" vertical="top"/>
    </xf>
    <xf numFmtId="49" fontId="12" fillId="9" borderId="4" xfId="0" applyNumberFormat="1" applyFont="1" applyFill="1" applyBorder="1" applyAlignment="1">
      <alignment horizontal="left" vertical="top" indent="1"/>
    </xf>
    <xf numFmtId="0" fontId="7" fillId="0" borderId="0" xfId="0" applyNumberFormat="1" applyFont="1"/>
    <xf numFmtId="49" fontId="21" fillId="10" borderId="25" xfId="0" applyNumberFormat="1" applyFont="1" applyFill="1" applyBorder="1" applyAlignment="1">
      <alignment horizontal="left" wrapText="1"/>
    </xf>
    <xf numFmtId="49" fontId="21" fillId="10" borderId="25" xfId="0" applyNumberFormat="1" applyFont="1" applyFill="1" applyBorder="1" applyAlignment="1">
      <alignment horizontal="center" wrapText="1"/>
    </xf>
    <xf numFmtId="44" fontId="21" fillId="10" borderId="25" xfId="3" applyFont="1" applyFill="1" applyBorder="1" applyAlignment="1">
      <alignment horizontal="center" wrapText="1"/>
    </xf>
    <xf numFmtId="49" fontId="12" fillId="6" borderId="8" xfId="0" applyNumberFormat="1" applyFont="1" applyFill="1" applyBorder="1"/>
    <xf numFmtId="49" fontId="12" fillId="6" borderId="11" xfId="0" applyNumberFormat="1" applyFont="1" applyFill="1" applyBorder="1"/>
    <xf numFmtId="49" fontId="12" fillId="6" borderId="18" xfId="0" applyNumberFormat="1" applyFont="1" applyFill="1" applyBorder="1"/>
    <xf numFmtId="49" fontId="10" fillId="6" borderId="19" xfId="0" applyNumberFormat="1" applyFont="1" applyFill="1" applyBorder="1"/>
    <xf numFmtId="49" fontId="10" fillId="6" borderId="11" xfId="0" applyNumberFormat="1" applyFont="1" applyFill="1" applyBorder="1"/>
    <xf numFmtId="49" fontId="10" fillId="6" borderId="19" xfId="0" applyNumberFormat="1" applyFont="1" applyFill="1" applyBorder="1" applyAlignment="1">
      <alignment wrapText="1"/>
    </xf>
    <xf numFmtId="0" fontId="10" fillId="6" borderId="8" xfId="0" applyNumberFormat="1" applyFont="1" applyFill="1" applyBorder="1"/>
    <xf numFmtId="0" fontId="12" fillId="6" borderId="18" xfId="0" applyNumberFormat="1" applyFont="1" applyFill="1" applyBorder="1"/>
    <xf numFmtId="49" fontId="12" fillId="6" borderId="21" xfId="0" applyNumberFormat="1" applyFont="1" applyFill="1" applyBorder="1"/>
    <xf numFmtId="49" fontId="10" fillId="6" borderId="23" xfId="0" applyNumberFormat="1" applyFont="1" applyFill="1" applyBorder="1"/>
    <xf numFmtId="169" fontId="12" fillId="3" borderId="4" xfId="2" applyNumberFormat="1" applyFont="1" applyFill="1" applyBorder="1" applyAlignment="1">
      <alignment horizontal="left" vertical="top"/>
    </xf>
    <xf numFmtId="169" fontId="12" fillId="3" borderId="4" xfId="2" applyNumberFormat="1" applyFont="1" applyFill="1" applyBorder="1" applyAlignment="1">
      <alignment vertical="top"/>
    </xf>
    <xf numFmtId="169" fontId="10" fillId="3" borderId="4" xfId="2" applyNumberFormat="1" applyFont="1" applyFill="1" applyBorder="1" applyAlignment="1">
      <alignment vertical="top"/>
    </xf>
    <xf numFmtId="0" fontId="1" fillId="0" borderId="0" xfId="0" applyNumberFormat="1" applyFont="1"/>
    <xf numFmtId="0" fontId="1" fillId="0" borderId="0" xfId="0" applyFont="1"/>
    <xf numFmtId="49" fontId="10" fillId="3" borderId="4" xfId="0" applyNumberFormat="1" applyFont="1" applyFill="1" applyBorder="1" applyAlignment="1">
      <alignment vertical="top"/>
    </xf>
    <xf numFmtId="0" fontId="0" fillId="0" borderId="11" xfId="0" applyNumberFormat="1" applyBorder="1"/>
    <xf numFmtId="0" fontId="7" fillId="0" borderId="0" xfId="0" applyFont="1"/>
    <xf numFmtId="49" fontId="24" fillId="7" borderId="1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49" fontId="12" fillId="0" borderId="4" xfId="0" applyNumberFormat="1" applyFont="1" applyFill="1" applyBorder="1" applyAlignment="1">
      <alignment horizontal="left" vertical="top"/>
    </xf>
    <xf numFmtId="49" fontId="11" fillId="0" borderId="4" xfId="0" applyNumberFormat="1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left" vertical="top"/>
    </xf>
    <xf numFmtId="49" fontId="11" fillId="0" borderId="4" xfId="0" applyNumberFormat="1" applyFont="1" applyFill="1" applyBorder="1" applyAlignment="1">
      <alignment horizontal="left" vertical="top"/>
    </xf>
    <xf numFmtId="49" fontId="12" fillId="0" borderId="4" xfId="0" applyNumberFormat="1" applyFont="1" applyFill="1" applyBorder="1" applyAlignment="1">
      <alignment horizontal="left" vertical="top" indent="1"/>
    </xf>
    <xf numFmtId="49" fontId="12" fillId="0" borderId="4" xfId="0" applyNumberFormat="1" applyFont="1" applyFill="1" applyBorder="1" applyAlignment="1">
      <alignment horizontal="right" vertical="top"/>
    </xf>
    <xf numFmtId="49" fontId="12" fillId="0" borderId="5" xfId="0" applyNumberFormat="1" applyFont="1" applyFill="1" applyBorder="1" applyAlignment="1">
      <alignment horizontal="left" vertical="top"/>
    </xf>
    <xf numFmtId="169" fontId="0" fillId="0" borderId="11" xfId="0" applyNumberFormat="1" applyFill="1" applyBorder="1"/>
    <xf numFmtId="0" fontId="0" fillId="0" borderId="11" xfId="0" applyFill="1" applyBorder="1"/>
    <xf numFmtId="164" fontId="4" fillId="0" borderId="11" xfId="0" applyNumberFormat="1" applyFont="1" applyFill="1" applyBorder="1"/>
    <xf numFmtId="164" fontId="12" fillId="0" borderId="11" xfId="0" applyNumberFormat="1" applyFont="1" applyFill="1" applyBorder="1"/>
    <xf numFmtId="164" fontId="10" fillId="0" borderId="11" xfId="0" applyNumberFormat="1" applyFont="1" applyFill="1" applyBorder="1"/>
    <xf numFmtId="9" fontId="15" fillId="7" borderId="1" xfId="1" applyFont="1" applyFill="1" applyBorder="1" applyAlignment="1">
      <alignment horizontal="center" wrapText="1"/>
    </xf>
    <xf numFmtId="49" fontId="24" fillId="7" borderId="26" xfId="0" applyNumberFormat="1" applyFont="1" applyFill="1" applyBorder="1" applyAlignment="1">
      <alignment horizontal="center" wrapText="1"/>
    </xf>
    <xf numFmtId="49" fontId="14" fillId="7" borderId="27" xfId="0" applyNumberFormat="1" applyFont="1" applyFill="1" applyBorder="1" applyAlignment="1">
      <alignment horizontal="center" wrapText="1"/>
    </xf>
    <xf numFmtId="49" fontId="15" fillId="7" borderId="27" xfId="0" applyNumberFormat="1" applyFont="1" applyFill="1" applyBorder="1" applyAlignment="1">
      <alignment horizontal="center" wrapText="1"/>
    </xf>
    <xf numFmtId="49" fontId="15" fillId="7" borderId="28" xfId="0" applyNumberFormat="1" applyFont="1" applyFill="1" applyBorder="1" applyAlignment="1">
      <alignment horizontal="center" wrapText="1"/>
    </xf>
    <xf numFmtId="49" fontId="21" fillId="10" borderId="29" xfId="0" applyNumberFormat="1" applyFont="1" applyFill="1" applyBorder="1" applyAlignment="1">
      <alignment horizontal="left" wrapText="1"/>
    </xf>
    <xf numFmtId="49" fontId="11" fillId="3" borderId="30" xfId="0" applyNumberFormat="1" applyFont="1" applyFill="1" applyBorder="1" applyAlignment="1">
      <alignment horizontal="left" vertical="top" wrapText="1"/>
    </xf>
    <xf numFmtId="49" fontId="12" fillId="3" borderId="31" xfId="0" applyNumberFormat="1" applyFont="1" applyFill="1" applyBorder="1" applyAlignment="1">
      <alignment horizontal="left" vertical="top"/>
    </xf>
    <xf numFmtId="49" fontId="12" fillId="3" borderId="31" xfId="0" applyNumberFormat="1" applyFont="1" applyFill="1" applyBorder="1" applyAlignment="1">
      <alignment vertical="top"/>
    </xf>
    <xf numFmtId="49" fontId="10" fillId="3" borderId="31" xfId="0" applyNumberFormat="1" applyFont="1" applyFill="1" applyBorder="1" applyAlignment="1">
      <alignment horizontal="left" vertical="top"/>
    </xf>
    <xf numFmtId="49" fontId="10" fillId="3" borderId="31" xfId="0" applyNumberFormat="1" applyFont="1" applyFill="1" applyBorder="1" applyAlignment="1">
      <alignment vertical="top"/>
    </xf>
    <xf numFmtId="49" fontId="12" fillId="3" borderId="32" xfId="0" applyNumberFormat="1" applyFont="1" applyFill="1" applyBorder="1" applyAlignment="1">
      <alignment vertical="top"/>
    </xf>
    <xf numFmtId="49" fontId="12" fillId="2" borderId="33" xfId="0" applyNumberFormat="1" applyFont="1" applyFill="1" applyBorder="1" applyAlignment="1">
      <alignment horizontal="left" vertical="top"/>
    </xf>
    <xf numFmtId="49" fontId="11" fillId="3" borderId="30" xfId="0" applyNumberFormat="1" applyFont="1" applyFill="1" applyBorder="1" applyAlignment="1">
      <alignment horizontal="left" vertical="top"/>
    </xf>
    <xf numFmtId="49" fontId="11" fillId="3" borderId="31" xfId="0" applyNumberFormat="1" applyFont="1" applyFill="1" applyBorder="1" applyAlignment="1">
      <alignment horizontal="left" vertical="top" wrapText="1"/>
    </xf>
    <xf numFmtId="49" fontId="12" fillId="8" borderId="31" xfId="0" applyNumberFormat="1" applyFont="1" applyFill="1" applyBorder="1" applyAlignment="1">
      <alignment horizontal="right" vertical="top"/>
    </xf>
    <xf numFmtId="49" fontId="11" fillId="3" borderId="31" xfId="0" applyNumberFormat="1" applyFont="1" applyFill="1" applyBorder="1" applyAlignment="1">
      <alignment horizontal="left" vertical="top"/>
    </xf>
    <xf numFmtId="49" fontId="12" fillId="9" borderId="31" xfId="0" applyNumberFormat="1" applyFont="1" applyFill="1" applyBorder="1" applyAlignment="1">
      <alignment horizontal="left" vertical="top" indent="1"/>
    </xf>
    <xf numFmtId="49" fontId="12" fillId="0" borderId="31" xfId="0" applyNumberFormat="1" applyFont="1" applyFill="1" applyBorder="1" applyAlignment="1">
      <alignment horizontal="left" vertical="top"/>
    </xf>
    <xf numFmtId="49" fontId="12" fillId="3" borderId="32" xfId="0" applyNumberFormat="1" applyFont="1" applyFill="1" applyBorder="1" applyAlignment="1">
      <alignment horizontal="left" vertical="top"/>
    </xf>
    <xf numFmtId="49" fontId="10" fillId="2" borderId="33" xfId="0" applyNumberFormat="1" applyFont="1" applyFill="1" applyBorder="1" applyAlignment="1">
      <alignment horizontal="left" vertical="top"/>
    </xf>
    <xf numFmtId="49" fontId="12" fillId="5" borderId="33" xfId="0" applyNumberFormat="1" applyFont="1" applyFill="1" applyBorder="1" applyAlignment="1">
      <alignment vertical="top"/>
    </xf>
    <xf numFmtId="9" fontId="15" fillId="7" borderId="15" xfId="1" applyFont="1" applyFill="1" applyBorder="1" applyAlignment="1">
      <alignment horizontal="center" wrapText="1"/>
    </xf>
    <xf numFmtId="49" fontId="12" fillId="2" borderId="14" xfId="0" applyNumberFormat="1" applyFont="1" applyFill="1" applyBorder="1" applyAlignment="1">
      <alignment horizontal="left" vertical="top"/>
    </xf>
    <xf numFmtId="164" fontId="12" fillId="4" borderId="34" xfId="0" applyNumberFormat="1" applyFont="1" applyFill="1" applyBorder="1" applyAlignment="1">
      <alignment horizontal="right" vertical="top"/>
    </xf>
    <xf numFmtId="164" fontId="11" fillId="4" borderId="35" xfId="0" applyNumberFormat="1" applyFont="1" applyFill="1" applyBorder="1" applyAlignment="1">
      <alignment horizontal="center" vertical="top" wrapText="1"/>
    </xf>
    <xf numFmtId="164" fontId="10" fillId="2" borderId="36" xfId="0" applyNumberFormat="1" applyFont="1" applyFill="1" applyBorder="1" applyAlignment="1">
      <alignment vertical="top"/>
    </xf>
    <xf numFmtId="0" fontId="0" fillId="0" borderId="39" xfId="0" applyNumberFormat="1" applyFill="1" applyBorder="1"/>
    <xf numFmtId="43" fontId="0" fillId="0" borderId="39" xfId="0" applyNumberFormat="1" applyFill="1" applyBorder="1"/>
    <xf numFmtId="0" fontId="0" fillId="0" borderId="39" xfId="0" applyNumberFormat="1" applyBorder="1"/>
    <xf numFmtId="0" fontId="0" fillId="0" borderId="40" xfId="0" applyNumberFormat="1" applyBorder="1"/>
    <xf numFmtId="169" fontId="0" fillId="0" borderId="39" xfId="0" applyNumberFormat="1" applyFill="1" applyBorder="1"/>
    <xf numFmtId="49" fontId="10" fillId="2" borderId="14" xfId="0" applyNumberFormat="1" applyFont="1" applyFill="1" applyBorder="1" applyAlignment="1">
      <alignment horizontal="left" vertical="top"/>
    </xf>
    <xf numFmtId="164" fontId="10" fillId="4" borderId="34" xfId="0" applyNumberFormat="1" applyFont="1" applyFill="1" applyBorder="1" applyAlignment="1">
      <alignment vertical="top"/>
    </xf>
    <xf numFmtId="164" fontId="10" fillId="2" borderId="12" xfId="0" applyNumberFormat="1" applyFont="1" applyFill="1" applyBorder="1" applyAlignment="1">
      <alignment vertical="top"/>
    </xf>
    <xf numFmtId="49" fontId="12" fillId="5" borderId="29" xfId="0" applyNumberFormat="1" applyFont="1" applyFill="1" applyBorder="1" applyAlignment="1">
      <alignment vertical="top"/>
    </xf>
    <xf numFmtId="49" fontId="12" fillId="5" borderId="25" xfId="0" applyNumberFormat="1" applyFont="1" applyFill="1" applyBorder="1" applyAlignment="1">
      <alignment vertical="top"/>
    </xf>
    <xf numFmtId="164" fontId="12" fillId="5" borderId="25" xfId="0" applyNumberFormat="1" applyFont="1" applyFill="1" applyBorder="1" applyAlignment="1">
      <alignment vertical="top"/>
    </xf>
    <xf numFmtId="49" fontId="10" fillId="5" borderId="36" xfId="0" applyNumberFormat="1" applyFont="1" applyFill="1" applyBorder="1" applyAlignment="1">
      <alignment horizontal="left" vertical="top"/>
    </xf>
    <xf numFmtId="49" fontId="10" fillId="5" borderId="43" xfId="0" applyNumberFormat="1" applyFont="1" applyFill="1" applyBorder="1" applyAlignment="1">
      <alignment horizontal="left" vertical="top"/>
    </xf>
    <xf numFmtId="164" fontId="10" fillId="4" borderId="43" xfId="0" applyNumberFormat="1" applyFont="1" applyFill="1" applyBorder="1" applyAlignment="1">
      <alignment horizontal="right" vertical="top"/>
    </xf>
    <xf numFmtId="169" fontId="7" fillId="0" borderId="39" xfId="2" applyNumberFormat="1" applyFont="1" applyFill="1" applyBorder="1"/>
    <xf numFmtId="169" fontId="0" fillId="0" borderId="39" xfId="2" applyNumberFormat="1" applyFont="1" applyFill="1" applyBorder="1"/>
    <xf numFmtId="169" fontId="0" fillId="0" borderId="39" xfId="2" applyNumberFormat="1" applyFont="1" applyBorder="1"/>
    <xf numFmtId="169" fontId="0" fillId="0" borderId="40" xfId="2" applyNumberFormat="1" applyFont="1" applyBorder="1"/>
    <xf numFmtId="169" fontId="22" fillId="0" borderId="39" xfId="2" applyNumberFormat="1" applyFont="1" applyFill="1" applyBorder="1"/>
    <xf numFmtId="169" fontId="10" fillId="0" borderId="39" xfId="2" applyNumberFormat="1" applyFont="1" applyFill="1" applyBorder="1" applyAlignment="1">
      <alignment horizontal="right" vertical="top"/>
    </xf>
    <xf numFmtId="169" fontId="10" fillId="0" borderId="40" xfId="2" applyNumberFormat="1" applyFont="1" applyFill="1" applyBorder="1" applyAlignment="1">
      <alignment horizontal="right" vertical="top"/>
    </xf>
    <xf numFmtId="169" fontId="0" fillId="0" borderId="39" xfId="2" applyNumberFormat="1" applyFont="1" applyFill="1" applyBorder="1" applyAlignment="1"/>
    <xf numFmtId="169" fontId="0" fillId="0" borderId="40" xfId="2" applyNumberFormat="1" applyFont="1" applyFill="1" applyBorder="1"/>
    <xf numFmtId="169" fontId="0" fillId="0" borderId="41" xfId="2" applyNumberFormat="1" applyFont="1" applyFill="1" applyBorder="1"/>
    <xf numFmtId="169" fontId="0" fillId="0" borderId="41" xfId="2" applyNumberFormat="1" applyFont="1" applyBorder="1"/>
    <xf numFmtId="169" fontId="10" fillId="2" borderId="43" xfId="2" applyNumberFormat="1" applyFont="1" applyFill="1" applyBorder="1" applyAlignment="1">
      <alignment vertical="top"/>
    </xf>
    <xf numFmtId="169" fontId="10" fillId="2" borderId="37" xfId="2" applyNumberFormat="1" applyFont="1" applyFill="1" applyBorder="1" applyAlignment="1">
      <alignment vertical="top"/>
    </xf>
    <xf numFmtId="169" fontId="0" fillId="0" borderId="44" xfId="2" applyNumberFormat="1" applyFont="1" applyFill="1" applyBorder="1" applyAlignment="1"/>
    <xf numFmtId="169" fontId="0" fillId="0" borderId="44" xfId="2" applyNumberFormat="1" applyFont="1" applyFill="1" applyBorder="1"/>
    <xf numFmtId="169" fontId="0" fillId="0" borderId="44" xfId="2" applyNumberFormat="1" applyFont="1" applyBorder="1"/>
    <xf numFmtId="169" fontId="0" fillId="0" borderId="45" xfId="2" applyNumberFormat="1" applyFont="1" applyBorder="1"/>
    <xf numFmtId="169" fontId="23" fillId="0" borderId="39" xfId="2" applyNumberFormat="1" applyFont="1" applyFill="1" applyBorder="1"/>
    <xf numFmtId="169" fontId="10" fillId="0" borderId="39" xfId="2" applyNumberFormat="1" applyFont="1" applyFill="1" applyBorder="1" applyAlignment="1">
      <alignment vertical="top"/>
    </xf>
    <xf numFmtId="169" fontId="10" fillId="0" borderId="40" xfId="2" applyNumberFormat="1" applyFont="1" applyFill="1" applyBorder="1" applyAlignment="1">
      <alignment vertical="top"/>
    </xf>
    <xf numFmtId="169" fontId="23" fillId="0" borderId="39" xfId="2" applyNumberFormat="1" applyFont="1" applyFill="1" applyBorder="1" applyAlignment="1">
      <alignment horizontal="left"/>
    </xf>
    <xf numFmtId="169" fontId="23" fillId="0" borderId="39" xfId="2" applyNumberFormat="1" applyFont="1" applyFill="1" applyBorder="1" applyAlignment="1">
      <alignment horizontal="right"/>
    </xf>
    <xf numFmtId="169" fontId="10" fillId="2" borderId="36" xfId="2" applyNumberFormat="1" applyFont="1" applyFill="1" applyBorder="1" applyAlignment="1">
      <alignment vertical="top"/>
    </xf>
    <xf numFmtId="169" fontId="12" fillId="5" borderId="42" xfId="2" applyNumberFormat="1" applyFont="1" applyFill="1" applyBorder="1" applyAlignment="1">
      <alignment vertical="top"/>
    </xf>
    <xf numFmtId="169" fontId="10" fillId="4" borderId="43" xfId="2" applyNumberFormat="1" applyFont="1" applyFill="1" applyBorder="1" applyAlignment="1">
      <alignment horizontal="right" vertical="top"/>
    </xf>
    <xf numFmtId="169" fontId="10" fillId="4" borderId="37" xfId="2" applyNumberFormat="1" applyFont="1" applyFill="1" applyBorder="1" applyAlignment="1">
      <alignment horizontal="right" vertical="top"/>
    </xf>
    <xf numFmtId="169" fontId="10" fillId="0" borderId="42" xfId="2" applyNumberFormat="1" applyFont="1" applyFill="1" applyBorder="1" applyAlignment="1">
      <alignment vertical="top"/>
    </xf>
    <xf numFmtId="49" fontId="16" fillId="0" borderId="3" xfId="0" applyNumberFormat="1" applyFont="1" applyFill="1" applyBorder="1" applyAlignment="1">
      <alignment horizontal="center" vertical="top" wrapText="1"/>
    </xf>
    <xf numFmtId="164" fontId="12" fillId="0" borderId="4" xfId="0" applyNumberFormat="1" applyFont="1" applyFill="1" applyBorder="1" applyAlignment="1">
      <alignment horizontal="right" vertical="top"/>
    </xf>
    <xf numFmtId="164" fontId="11" fillId="0" borderId="3" xfId="0" applyNumberFormat="1" applyFont="1" applyFill="1" applyBorder="1" applyAlignment="1">
      <alignment horizontal="center" vertical="top" wrapText="1"/>
    </xf>
    <xf numFmtId="164" fontId="12" fillId="0" borderId="4" xfId="0" applyNumberFormat="1" applyFont="1" applyFill="1" applyBorder="1" applyAlignment="1">
      <alignment vertical="top"/>
    </xf>
    <xf numFmtId="164" fontId="12" fillId="0" borderId="5" xfId="0" applyNumberFormat="1" applyFont="1" applyFill="1" applyBorder="1" applyAlignment="1">
      <alignment vertical="top"/>
    </xf>
    <xf numFmtId="44" fontId="21" fillId="10" borderId="38" xfId="3" applyFont="1" applyFill="1" applyBorder="1" applyAlignment="1">
      <alignment horizontal="center" wrapText="1"/>
    </xf>
    <xf numFmtId="49" fontId="21" fillId="10" borderId="38" xfId="0" applyNumberFormat="1" applyFont="1" applyFill="1" applyBorder="1" applyAlignment="1">
      <alignment horizontal="center" wrapText="1"/>
    </xf>
    <xf numFmtId="44" fontId="21" fillId="10" borderId="44" xfId="3" applyFont="1" applyFill="1" applyBorder="1" applyAlignment="1">
      <alignment horizontal="center" wrapText="1"/>
    </xf>
    <xf numFmtId="9" fontId="0" fillId="0" borderId="11" xfId="1" applyFont="1" applyBorder="1"/>
    <xf numFmtId="9" fontId="1" fillId="0" borderId="0" xfId="1" applyFont="1"/>
    <xf numFmtId="43" fontId="0" fillId="0" borderId="0" xfId="0" applyNumberFormat="1"/>
    <xf numFmtId="169" fontId="15" fillId="7" borderId="27" xfId="0" applyNumberFormat="1" applyFont="1" applyFill="1" applyBorder="1" applyAlignment="1">
      <alignment horizontal="center" wrapText="1"/>
    </xf>
    <xf numFmtId="169" fontId="21" fillId="10" borderId="25" xfId="0" applyNumberFormat="1" applyFont="1" applyFill="1" applyBorder="1" applyAlignment="1">
      <alignment horizontal="center" wrapText="1"/>
    </xf>
    <xf numFmtId="169" fontId="21" fillId="10" borderId="38" xfId="3" applyNumberFormat="1" applyFont="1" applyFill="1" applyBorder="1" applyAlignment="1">
      <alignment horizontal="center" wrapText="1"/>
    </xf>
    <xf numFmtId="169" fontId="21" fillId="10" borderId="38" xfId="0" applyNumberFormat="1" applyFont="1" applyFill="1" applyBorder="1" applyAlignment="1">
      <alignment horizontal="center" wrapText="1"/>
    </xf>
    <xf numFmtId="169" fontId="21" fillId="10" borderId="44" xfId="3" applyNumberFormat="1" applyFont="1" applyFill="1" applyBorder="1" applyAlignment="1">
      <alignment horizontal="center" wrapText="1"/>
    </xf>
    <xf numFmtId="169" fontId="7" fillId="3" borderId="11" xfId="0" applyNumberFormat="1" applyFont="1" applyFill="1" applyBorder="1"/>
    <xf numFmtId="169" fontId="4" fillId="0" borderId="11" xfId="0" applyNumberFormat="1" applyFont="1" applyFill="1" applyBorder="1"/>
    <xf numFmtId="169" fontId="12" fillId="0" borderId="11" xfId="0" applyNumberFormat="1" applyFont="1" applyFill="1" applyBorder="1"/>
    <xf numFmtId="169" fontId="10" fillId="0" borderId="11" xfId="0" applyNumberFormat="1" applyFont="1" applyFill="1" applyBorder="1"/>
    <xf numFmtId="169" fontId="0" fillId="0" borderId="0" xfId="0" applyNumberFormat="1" applyFill="1"/>
    <xf numFmtId="169" fontId="0" fillId="0" borderId="0" xfId="0" applyNumberFormat="1"/>
    <xf numFmtId="164" fontId="0" fillId="0" borderId="0" xfId="0" applyNumberFormat="1"/>
    <xf numFmtId="164" fontId="7" fillId="0" borderId="8" xfId="0" applyNumberFormat="1" applyFont="1" applyFill="1" applyBorder="1"/>
    <xf numFmtId="0" fontId="21" fillId="10" borderId="25" xfId="0" applyNumberFormat="1" applyFont="1" applyFill="1" applyBorder="1" applyAlignment="1">
      <alignment horizontal="center" wrapText="1"/>
    </xf>
    <xf numFmtId="164" fontId="10" fillId="0" borderId="34" xfId="0" applyNumberFormat="1" applyFont="1" applyFill="1" applyBorder="1" applyAlignment="1">
      <alignment vertical="top"/>
    </xf>
    <xf numFmtId="43" fontId="0" fillId="0" borderId="11" xfId="0" applyNumberFormat="1" applyBorder="1"/>
    <xf numFmtId="170" fontId="0" fillId="0" borderId="0" xfId="0" applyNumberFormat="1"/>
    <xf numFmtId="44" fontId="0" fillId="0" borderId="0" xfId="3" applyFont="1"/>
    <xf numFmtId="169" fontId="7" fillId="0" borderId="0" xfId="0" applyNumberFormat="1" applyFont="1"/>
    <xf numFmtId="164" fontId="7" fillId="0" borderId="0" xfId="0" applyNumberFormat="1" applyFont="1"/>
    <xf numFmtId="9" fontId="12" fillId="4" borderId="4" xfId="1" applyFont="1" applyFill="1" applyBorder="1" applyAlignment="1">
      <alignment horizontal="right" vertical="top"/>
    </xf>
    <xf numFmtId="9" fontId="10" fillId="2" borderId="36" xfId="1" applyFont="1" applyFill="1" applyBorder="1" applyAlignment="1">
      <alignment vertical="top"/>
    </xf>
    <xf numFmtId="9" fontId="21" fillId="10" borderId="25" xfId="1" applyFont="1" applyFill="1" applyBorder="1" applyAlignment="1">
      <alignment horizontal="right" wrapText="1"/>
    </xf>
    <xf numFmtId="164" fontId="0" fillId="0" borderId="11" xfId="0" applyNumberFormat="1" applyBorder="1"/>
    <xf numFmtId="169" fontId="25" fillId="0" borderId="39" xfId="2" applyNumberFormat="1" applyFont="1" applyFill="1" applyBorder="1" applyAlignment="1">
      <alignment vertical="top"/>
    </xf>
    <xf numFmtId="169" fontId="25" fillId="0" borderId="39" xfId="2" applyNumberFormat="1" applyFont="1" applyFill="1" applyBorder="1" applyAlignment="1">
      <alignment horizontal="right" vertical="top"/>
    </xf>
    <xf numFmtId="164" fontId="25" fillId="0" borderId="34" xfId="0" applyNumberFormat="1" applyFont="1" applyFill="1" applyBorder="1" applyAlignment="1">
      <alignment vertical="top"/>
    </xf>
    <xf numFmtId="43" fontId="7" fillId="0" borderId="0" xfId="2" applyFont="1"/>
    <xf numFmtId="43" fontId="7" fillId="0" borderId="0" xfId="0" applyNumberFormat="1" applyFont="1"/>
    <xf numFmtId="9" fontId="0" fillId="0" borderId="11" xfId="1" applyFont="1" applyFill="1" applyBorder="1"/>
    <xf numFmtId="169" fontId="10" fillId="0" borderId="4" xfId="2" applyNumberFormat="1" applyFont="1" applyFill="1" applyBorder="1" applyAlignment="1">
      <alignment vertical="top"/>
    </xf>
    <xf numFmtId="43" fontId="7" fillId="0" borderId="0" xfId="2" applyFont="1" applyFill="1"/>
    <xf numFmtId="9" fontId="23" fillId="0" borderId="11" xfId="1" applyFont="1" applyFill="1" applyBorder="1"/>
    <xf numFmtId="170" fontId="7" fillId="0" borderId="0" xfId="0" applyNumberFormat="1" applyFont="1"/>
    <xf numFmtId="43" fontId="23" fillId="0" borderId="0" xfId="0" applyNumberFormat="1" applyFont="1"/>
    <xf numFmtId="0" fontId="23" fillId="0" borderId="0" xfId="0" applyNumberFormat="1" applyFont="1"/>
    <xf numFmtId="169" fontId="27" fillId="12" borderId="46" xfId="2" applyNumberFormat="1" applyFont="1" applyFill="1" applyBorder="1" applyAlignment="1">
      <alignment horizontal="center" wrapText="1"/>
    </xf>
    <xf numFmtId="169" fontId="28" fillId="0" borderId="48" xfId="2" applyNumberFormat="1" applyFont="1" applyBorder="1"/>
    <xf numFmtId="169" fontId="28" fillId="0" borderId="47" xfId="2" applyNumberFormat="1" applyFont="1" applyBorder="1"/>
    <xf numFmtId="169" fontId="29" fillId="0" borderId="47" xfId="2" applyNumberFormat="1" applyFont="1" applyFill="1" applyBorder="1" applyAlignment="1">
      <alignment horizontal="right"/>
    </xf>
    <xf numFmtId="0" fontId="28" fillId="13" borderId="49" xfId="2" applyNumberFormat="1" applyFont="1" applyFill="1" applyBorder="1" applyAlignment="1">
      <alignment horizontal="center"/>
    </xf>
    <xf numFmtId="0" fontId="28" fillId="13" borderId="50" xfId="2" applyNumberFormat="1" applyFont="1" applyFill="1" applyBorder="1" applyAlignment="1">
      <alignment horizontal="center"/>
    </xf>
    <xf numFmtId="0" fontId="28" fillId="13" borderId="51" xfId="2" applyNumberFormat="1" applyFont="1" applyFill="1" applyBorder="1" applyAlignment="1">
      <alignment horizontal="center"/>
    </xf>
    <xf numFmtId="171" fontId="29" fillId="13" borderId="52" xfId="3" applyNumberFormat="1" applyFont="1" applyFill="1" applyBorder="1" applyAlignment="1">
      <alignment horizontal="center"/>
    </xf>
    <xf numFmtId="171" fontId="29" fillId="13" borderId="53" xfId="3" applyNumberFormat="1" applyFont="1" applyFill="1" applyBorder="1" applyAlignment="1">
      <alignment horizontal="center"/>
    </xf>
    <xf numFmtId="169" fontId="29" fillId="13" borderId="53" xfId="2" applyNumberFormat="1" applyFont="1" applyFill="1" applyBorder="1" applyAlignment="1">
      <alignment horizontal="center"/>
    </xf>
    <xf numFmtId="171" fontId="29" fillId="13" borderId="54" xfId="3" applyNumberFormat="1" applyFont="1" applyFill="1" applyBorder="1" applyAlignment="1">
      <alignment horizontal="center"/>
    </xf>
    <xf numFmtId="0" fontId="28" fillId="13" borderId="52" xfId="2" applyNumberFormat="1" applyFont="1" applyFill="1" applyBorder="1" applyAlignment="1">
      <alignment horizontal="center"/>
    </xf>
    <xf numFmtId="0" fontId="28" fillId="13" borderId="53" xfId="2" applyNumberFormat="1" applyFont="1" applyFill="1" applyBorder="1" applyAlignment="1">
      <alignment horizontal="center"/>
    </xf>
    <xf numFmtId="0" fontId="28" fillId="13" borderId="54" xfId="2" applyNumberFormat="1" applyFont="1" applyFill="1" applyBorder="1" applyAlignment="1">
      <alignment horizontal="center"/>
    </xf>
    <xf numFmtId="171" fontId="29" fillId="13" borderId="55" xfId="3" applyNumberFormat="1" applyFont="1" applyFill="1" applyBorder="1" applyAlignment="1">
      <alignment horizontal="center"/>
    </xf>
    <xf numFmtId="171" fontId="29" fillId="13" borderId="56" xfId="3" applyNumberFormat="1" applyFont="1" applyFill="1" applyBorder="1" applyAlignment="1">
      <alignment horizontal="center"/>
    </xf>
    <xf numFmtId="169" fontId="29" fillId="13" borderId="56" xfId="2" applyNumberFormat="1" applyFont="1" applyFill="1" applyBorder="1" applyAlignment="1">
      <alignment horizontal="center"/>
    </xf>
    <xf numFmtId="171" fontId="29" fillId="13" borderId="57" xfId="3" applyNumberFormat="1" applyFont="1" applyFill="1" applyBorder="1" applyAlignment="1">
      <alignment horizontal="center"/>
    </xf>
    <xf numFmtId="43" fontId="7" fillId="0" borderId="11" xfId="0" applyNumberFormat="1" applyFont="1" applyBorder="1"/>
    <xf numFmtId="169" fontId="0" fillId="0" borderId="58" xfId="2" applyNumberFormat="1" applyFont="1" applyBorder="1"/>
    <xf numFmtId="164" fontId="10" fillId="0" borderId="4" xfId="0" applyNumberFormat="1" applyFont="1" applyFill="1" applyBorder="1" applyAlignment="1">
      <alignment horizontal="right" vertical="top"/>
    </xf>
    <xf numFmtId="43" fontId="7" fillId="0" borderId="11" xfId="0" applyNumberFormat="1" applyFont="1" applyFill="1" applyBorder="1"/>
    <xf numFmtId="0" fontId="31" fillId="0" borderId="0" xfId="0" applyNumberFormat="1" applyFont="1"/>
    <xf numFmtId="0" fontId="7" fillId="0" borderId="11" xfId="0" applyFont="1" applyFill="1" applyBorder="1"/>
    <xf numFmtId="164" fontId="0" fillId="0" borderId="11" xfId="0" applyNumberFormat="1" applyFill="1" applyBorder="1"/>
    <xf numFmtId="164" fontId="7" fillId="0" borderId="11" xfId="0" applyNumberFormat="1" applyFont="1" applyFill="1" applyBorder="1" applyAlignment="1">
      <alignment horizontal="right"/>
    </xf>
    <xf numFmtId="164" fontId="4" fillId="3" borderId="11" xfId="0" applyNumberFormat="1" applyFont="1" applyFill="1" applyBorder="1"/>
    <xf numFmtId="164" fontId="30" fillId="6" borderId="59" xfId="0" applyNumberFormat="1" applyFont="1" applyFill="1" applyBorder="1"/>
    <xf numFmtId="164" fontId="12" fillId="6" borderId="59" xfId="0" applyNumberFormat="1" applyFont="1" applyFill="1" applyBorder="1"/>
    <xf numFmtId="49" fontId="15" fillId="7" borderId="1" xfId="0" applyNumberFormat="1" applyFont="1" applyFill="1" applyBorder="1" applyAlignment="1">
      <alignment horizontal="center"/>
    </xf>
    <xf numFmtId="164" fontId="12" fillId="11" borderId="4" xfId="0" applyNumberFormat="1" applyFont="1" applyFill="1" applyBorder="1" applyAlignment="1">
      <alignment horizontal="right" vertical="top"/>
    </xf>
    <xf numFmtId="172" fontId="0" fillId="0" borderId="0" xfId="1" applyNumberFormat="1" applyFont="1" applyAlignment="1"/>
    <xf numFmtId="172" fontId="0" fillId="0" borderId="0" xfId="1" applyNumberFormat="1" applyFont="1"/>
    <xf numFmtId="172" fontId="1" fillId="0" borderId="0" xfId="1" applyNumberFormat="1" applyFont="1"/>
    <xf numFmtId="172" fontId="26" fillId="0" borderId="0" xfId="1" applyNumberFormat="1" applyFont="1"/>
    <xf numFmtId="172" fontId="7" fillId="0" borderId="0" xfId="1" applyNumberFormat="1" applyFont="1"/>
    <xf numFmtId="172" fontId="23" fillId="0" borderId="0" xfId="1" applyNumberFormat="1" applyFont="1"/>
    <xf numFmtId="169" fontId="28" fillId="0" borderId="60" xfId="2" applyNumberFormat="1" applyFont="1" applyBorder="1"/>
    <xf numFmtId="0" fontId="21" fillId="11" borderId="25" xfId="0" applyNumberFormat="1" applyFont="1" applyFill="1" applyBorder="1" applyAlignment="1">
      <alignment horizontal="center" wrapText="1"/>
    </xf>
    <xf numFmtId="44" fontId="21" fillId="11" borderId="25" xfId="3" applyFont="1" applyFill="1" applyBorder="1" applyAlignment="1">
      <alignment horizontal="center" wrapText="1"/>
    </xf>
    <xf numFmtId="49" fontId="7" fillId="0" borderId="0" xfId="0" applyNumberFormat="1" applyFont="1"/>
    <xf numFmtId="165" fontId="7" fillId="0" borderId="0" xfId="0" applyNumberFormat="1" applyFont="1"/>
    <xf numFmtId="44" fontId="0" fillId="0" borderId="0" xfId="0" applyNumberFormat="1"/>
    <xf numFmtId="43" fontId="0" fillId="0" borderId="0" xfId="2" applyFont="1"/>
    <xf numFmtId="49" fontId="14" fillId="7" borderId="2" xfId="0" applyNumberFormat="1" applyFont="1" applyFill="1" applyBorder="1" applyAlignment="1">
      <alignment horizontal="center" vertical="center" wrapText="1"/>
    </xf>
    <xf numFmtId="0" fontId="15" fillId="7" borderId="2" xfId="0" applyNumberFormat="1" applyFont="1" applyFill="1" applyBorder="1" applyAlignment="1">
      <alignment horizontal="center" vertical="center" wrapText="1"/>
    </xf>
    <xf numFmtId="0" fontId="14" fillId="7" borderId="2" xfId="0" applyNumberFormat="1" applyFont="1" applyFill="1" applyBorder="1" applyAlignment="1">
      <alignment horizontal="center"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FF0000"/>
      <rgbColor rgb="FFBFBFBF"/>
      <rgbColor rgb="FFFFFFFF"/>
      <rgbColor rgb="FFAAAAAA"/>
      <rgbColor rgb="FFF7CAAC"/>
      <rgbColor rgb="FFFEFB00"/>
      <rgbColor rgb="FFF2F2F2"/>
      <rgbColor rgb="FFFBE4D5"/>
      <rgbColor rgb="FFFFFF0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99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0754-EAE6-4BC9-B162-1216C07730E8}">
  <sheetPr>
    <pageSetUpPr fitToPage="1"/>
  </sheetPr>
  <dimension ref="A1:IQ180"/>
  <sheetViews>
    <sheetView tabSelected="1" zoomScale="90" zoomScaleNormal="90" workbookViewId="0">
      <pane xSplit="1" topLeftCell="I1" activePane="topRight" state="frozen"/>
      <selection pane="topRight" activeCell="A164" sqref="A1:AA164"/>
    </sheetView>
  </sheetViews>
  <sheetFormatPr defaultColWidth="8.84375" defaultRowHeight="14.5" customHeight="1" x14ac:dyDescent="0.4"/>
  <cols>
    <col min="1" max="1" width="46.53515625" style="1" customWidth="1"/>
    <col min="2" max="7" width="11.3046875" style="1" hidden="1" customWidth="1"/>
    <col min="8" max="8" width="4.53515625" style="1" hidden="1" customWidth="1"/>
    <col min="9" max="9" width="17" style="1" bestFit="1" customWidth="1"/>
    <col min="10" max="10" width="17.15234375" style="1" customWidth="1"/>
    <col min="11" max="11" width="9.15234375" style="1" customWidth="1"/>
    <col min="12" max="12" width="10.84375" style="224" hidden="1" customWidth="1"/>
    <col min="13" max="13" width="10.84375" style="1" hidden="1" customWidth="1"/>
    <col min="14" max="14" width="10.69140625" style="1" hidden="1" customWidth="1"/>
    <col min="15" max="15" width="9.3828125" style="1" hidden="1" customWidth="1"/>
    <col min="16" max="16" width="10.3046875" style="1" hidden="1" customWidth="1"/>
    <col min="17" max="17" width="10.15234375" style="1" hidden="1" customWidth="1"/>
    <col min="18" max="21" width="9.3828125" style="1" hidden="1" customWidth="1"/>
    <col min="22" max="22" width="10" style="1" hidden="1" customWidth="1"/>
    <col min="23" max="23" width="10.84375" style="1" hidden="1" customWidth="1"/>
    <col min="24" max="24" width="10.53515625" style="1" hidden="1" customWidth="1"/>
    <col min="25" max="25" width="15.3828125" style="1" customWidth="1"/>
    <col min="26" max="26" width="12.53515625" style="1" bestFit="1" customWidth="1"/>
    <col min="27" max="27" width="49.15234375" style="1" customWidth="1"/>
    <col min="28" max="28" width="8.84375" style="282" customWidth="1"/>
    <col min="29" max="29" width="16.3828125" style="282" bestFit="1" customWidth="1"/>
    <col min="30" max="33" width="8.84375" style="282" customWidth="1"/>
    <col min="34" max="241" width="8.84375" style="1" customWidth="1"/>
  </cols>
  <sheetData>
    <row r="1" spans="1:241" ht="50.25" customHeight="1" thickBot="1" x14ac:dyDescent="0.55000000000000004">
      <c r="A1" s="136" t="s">
        <v>0</v>
      </c>
      <c r="B1" s="250" t="s">
        <v>204</v>
      </c>
      <c r="C1" s="250" t="s">
        <v>205</v>
      </c>
      <c r="D1" s="250" t="s">
        <v>206</v>
      </c>
      <c r="E1" s="250" t="s">
        <v>207</v>
      </c>
      <c r="F1" s="250" t="s">
        <v>208</v>
      </c>
      <c r="G1" s="250" t="s">
        <v>214</v>
      </c>
      <c r="H1" s="137"/>
      <c r="I1" s="138" t="s">
        <v>213</v>
      </c>
      <c r="J1" s="138" t="s">
        <v>217</v>
      </c>
      <c r="K1" s="138" t="s">
        <v>202</v>
      </c>
      <c r="L1" s="214" t="s">
        <v>185</v>
      </c>
      <c r="M1" s="138" t="s">
        <v>186</v>
      </c>
      <c r="N1" s="138" t="s">
        <v>187</v>
      </c>
      <c r="O1" s="138" t="s">
        <v>188</v>
      </c>
      <c r="P1" s="138" t="s">
        <v>189</v>
      </c>
      <c r="Q1" s="138" t="s">
        <v>190</v>
      </c>
      <c r="R1" s="138" t="s">
        <v>191</v>
      </c>
      <c r="S1" s="138" t="s">
        <v>192</v>
      </c>
      <c r="T1" s="138" t="s">
        <v>193</v>
      </c>
      <c r="U1" s="138" t="s">
        <v>194</v>
      </c>
      <c r="V1" s="138" t="s">
        <v>195</v>
      </c>
      <c r="W1" s="138" t="s">
        <v>196</v>
      </c>
      <c r="X1" s="138" t="s">
        <v>197</v>
      </c>
      <c r="Y1" s="139" t="s">
        <v>218</v>
      </c>
      <c r="Z1" s="157" t="s">
        <v>203</v>
      </c>
      <c r="AA1" s="279" t="s">
        <v>198</v>
      </c>
      <c r="AB1" s="281"/>
      <c r="AC1" s="281"/>
      <c r="HX1"/>
      <c r="HY1"/>
      <c r="HZ1"/>
      <c r="IA1"/>
      <c r="IB1"/>
      <c r="IC1"/>
      <c r="ID1"/>
      <c r="IE1"/>
      <c r="IF1"/>
      <c r="IG1"/>
    </row>
    <row r="2" spans="1:241" ht="15" thickBot="1" x14ac:dyDescent="0.45">
      <c r="A2" s="140" t="s">
        <v>150</v>
      </c>
      <c r="B2" s="254">
        <v>557</v>
      </c>
      <c r="C2" s="255">
        <v>557</v>
      </c>
      <c r="D2" s="255">
        <v>588</v>
      </c>
      <c r="E2" s="255">
        <v>585</v>
      </c>
      <c r="F2" s="256">
        <v>572</v>
      </c>
      <c r="G2" s="256">
        <v>562</v>
      </c>
      <c r="H2" s="100"/>
      <c r="I2" s="227">
        <v>575</v>
      </c>
      <c r="J2" s="288">
        <v>564</v>
      </c>
      <c r="K2" s="236">
        <f>(J2-I2)/I2</f>
        <v>-1.9130434782608695E-2</v>
      </c>
      <c r="L2" s="215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19"/>
      <c r="AA2" s="241" t="s">
        <v>224</v>
      </c>
      <c r="HX2"/>
      <c r="HY2"/>
      <c r="HZ2"/>
      <c r="IA2"/>
      <c r="IB2"/>
      <c r="IC2"/>
      <c r="ID2"/>
      <c r="IE2"/>
      <c r="IF2"/>
      <c r="IG2"/>
    </row>
    <row r="3" spans="1:241" ht="15" thickBot="1" x14ac:dyDescent="0.45">
      <c r="A3" s="140" t="s">
        <v>151</v>
      </c>
      <c r="B3" s="257">
        <v>5506.61</v>
      </c>
      <c r="C3" s="258">
        <v>5681.23</v>
      </c>
      <c r="D3" s="259">
        <f>5796.55-24.22</f>
        <v>5772.33</v>
      </c>
      <c r="E3" s="258">
        <f>6076.39-21.18</f>
        <v>6055.21</v>
      </c>
      <c r="F3" s="260">
        <v>6337.2</v>
      </c>
      <c r="G3" s="260">
        <v>6581.22</v>
      </c>
      <c r="H3" s="100"/>
      <c r="I3" s="102">
        <v>6581.22</v>
      </c>
      <c r="J3" s="289">
        <f>6576.91+111.47</f>
        <v>6688.38</v>
      </c>
      <c r="K3" s="236">
        <f>(J3-I3)/I3</f>
        <v>1.6282695305733563E-2</v>
      </c>
      <c r="L3" s="216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119"/>
      <c r="AA3" s="290" t="s">
        <v>221</v>
      </c>
      <c r="HX3"/>
      <c r="HY3"/>
      <c r="HZ3"/>
      <c r="IA3"/>
      <c r="IB3"/>
      <c r="IC3"/>
      <c r="ID3"/>
      <c r="IE3"/>
      <c r="IF3"/>
      <c r="IG3"/>
    </row>
    <row r="4" spans="1:241" ht="15" thickBot="1" x14ac:dyDescent="0.45">
      <c r="A4" s="140" t="s">
        <v>152</v>
      </c>
      <c r="B4" s="261">
        <f>45+4</f>
        <v>49</v>
      </c>
      <c r="C4" s="262">
        <f>44+13</f>
        <v>57</v>
      </c>
      <c r="D4" s="262">
        <f>44+17</f>
        <v>61</v>
      </c>
      <c r="E4" s="262">
        <f>46+5</f>
        <v>51</v>
      </c>
      <c r="F4" s="263">
        <v>36</v>
      </c>
      <c r="G4" s="263">
        <v>29</v>
      </c>
      <c r="H4" s="100"/>
      <c r="I4" s="227">
        <v>29</v>
      </c>
      <c r="J4" s="227">
        <v>29</v>
      </c>
      <c r="K4" s="236">
        <f>(J4-I4)/I4</f>
        <v>0</v>
      </c>
      <c r="L4" s="217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119"/>
      <c r="AA4" s="99"/>
      <c r="HX4"/>
      <c r="HY4"/>
      <c r="HZ4"/>
      <c r="IA4"/>
      <c r="IB4"/>
      <c r="IC4"/>
      <c r="ID4"/>
      <c r="IE4"/>
      <c r="IF4"/>
      <c r="IG4"/>
    </row>
    <row r="5" spans="1:241" ht="15" thickBot="1" x14ac:dyDescent="0.45">
      <c r="A5" s="140" t="s">
        <v>153</v>
      </c>
      <c r="B5" s="264">
        <v>4338.4399999999996</v>
      </c>
      <c r="C5" s="265">
        <v>4233.51</v>
      </c>
      <c r="D5" s="266">
        <v>4302.34</v>
      </c>
      <c r="E5" s="265">
        <v>4800.62</v>
      </c>
      <c r="F5" s="267">
        <v>5275.72</v>
      </c>
      <c r="G5" s="267">
        <v>5249.28</v>
      </c>
      <c r="H5" s="100"/>
      <c r="I5" s="102">
        <v>5249.28</v>
      </c>
      <c r="J5" s="102">
        <v>5249.28</v>
      </c>
      <c r="K5" s="236">
        <f>(J5-I5)/I5</f>
        <v>0</v>
      </c>
      <c r="L5" s="218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119"/>
      <c r="AA5" s="99"/>
      <c r="HX5"/>
      <c r="HY5"/>
      <c r="HZ5"/>
      <c r="IA5"/>
      <c r="IB5"/>
      <c r="IC5"/>
      <c r="ID5"/>
      <c r="IE5"/>
      <c r="IF5"/>
      <c r="IG5"/>
    </row>
    <row r="6" spans="1:241" ht="24" customHeight="1" x14ac:dyDescent="0.4">
      <c r="A6" s="141" t="s">
        <v>1</v>
      </c>
      <c r="B6" s="165"/>
      <c r="C6" s="165"/>
      <c r="D6" s="165"/>
      <c r="E6" s="165"/>
      <c r="F6" s="165"/>
      <c r="G6" s="165"/>
      <c r="H6" s="51"/>
      <c r="I6" s="93"/>
      <c r="J6" s="93"/>
      <c r="K6" s="93"/>
      <c r="L6" s="166"/>
      <c r="M6" s="163"/>
      <c r="N6" s="162"/>
      <c r="O6" s="162"/>
      <c r="P6" s="162"/>
      <c r="Q6" s="162"/>
      <c r="R6" s="164"/>
      <c r="S6" s="164"/>
      <c r="T6" s="164"/>
      <c r="U6" s="164"/>
      <c r="V6" s="164"/>
      <c r="W6" s="164"/>
      <c r="X6" s="164"/>
      <c r="Y6" s="165"/>
      <c r="Z6" s="119"/>
      <c r="HX6"/>
      <c r="HY6"/>
      <c r="HZ6"/>
      <c r="IA6"/>
      <c r="IB6"/>
      <c r="IC6"/>
      <c r="ID6"/>
      <c r="IE6"/>
      <c r="IF6"/>
      <c r="IG6"/>
    </row>
    <row r="7" spans="1:241" ht="15" customHeight="1" x14ac:dyDescent="0.4">
      <c r="A7" s="142" t="s">
        <v>2</v>
      </c>
      <c r="B7" s="251">
        <v>3067182.2</v>
      </c>
      <c r="C7" s="251">
        <v>3164444.56</v>
      </c>
      <c r="D7" s="251">
        <v>3393672.6399999997</v>
      </c>
      <c r="E7" s="251">
        <v>3541369.6999999997</v>
      </c>
      <c r="F7" s="251">
        <v>3624878.0000000005</v>
      </c>
      <c r="G7" s="251">
        <v>3698646.000909091</v>
      </c>
      <c r="H7" s="52"/>
      <c r="I7" s="53">
        <v>3784201.5</v>
      </c>
      <c r="J7" s="280">
        <f>3580024+129353+63941-1072</f>
        <v>3772246</v>
      </c>
      <c r="K7" s="234">
        <f t="shared" ref="K7:K40" si="0">(J7-I7)/I7</f>
        <v>-3.1593190795997515E-3</v>
      </c>
      <c r="L7" s="176">
        <v>322090.07</v>
      </c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8"/>
      <c r="X7" s="178"/>
      <c r="Y7" s="179">
        <f t="shared" ref="Y7:Y15" si="1">SUM(L7:X7)</f>
        <v>322090.07</v>
      </c>
      <c r="Z7" s="211">
        <f>Y7/J7</f>
        <v>8.5384163705124222E-2</v>
      </c>
      <c r="AA7" s="225" t="s">
        <v>223</v>
      </c>
      <c r="HX7"/>
      <c r="HY7"/>
      <c r="HZ7"/>
      <c r="IA7"/>
      <c r="IB7"/>
      <c r="IC7"/>
      <c r="ID7"/>
      <c r="IE7"/>
      <c r="IF7"/>
      <c r="IG7"/>
    </row>
    <row r="8" spans="1:241" ht="15" customHeight="1" x14ac:dyDescent="0.4">
      <c r="A8" s="143" t="s">
        <v>3</v>
      </c>
      <c r="B8" s="252">
        <v>265776.8</v>
      </c>
      <c r="C8" s="252">
        <v>243791.44</v>
      </c>
      <c r="D8" s="252">
        <v>265413</v>
      </c>
      <c r="E8" s="252">
        <v>244832</v>
      </c>
      <c r="F8" s="252">
        <v>189926</v>
      </c>
      <c r="G8" s="252">
        <v>157538.00181818183</v>
      </c>
      <c r="H8" s="54"/>
      <c r="I8" s="53">
        <v>152229.12</v>
      </c>
      <c r="J8" s="280">
        <v>184781</v>
      </c>
      <c r="K8" s="234">
        <f t="shared" si="0"/>
        <v>0.21383477747227342</v>
      </c>
      <c r="L8" s="180"/>
      <c r="M8" s="177"/>
      <c r="N8" s="177"/>
      <c r="O8" s="177"/>
      <c r="P8" s="177"/>
      <c r="Q8" s="177"/>
      <c r="R8" s="178"/>
      <c r="S8" s="178"/>
      <c r="T8" s="178"/>
      <c r="U8" s="178"/>
      <c r="V8" s="178"/>
      <c r="W8" s="178"/>
      <c r="X8" s="178"/>
      <c r="Y8" s="179">
        <f t="shared" si="1"/>
        <v>0</v>
      </c>
      <c r="Z8" s="211">
        <f t="shared" ref="Z8:Z75" si="2">Y8/J8</f>
        <v>0</v>
      </c>
      <c r="AA8" s="225" t="s">
        <v>223</v>
      </c>
      <c r="AC8" s="293"/>
      <c r="HX8"/>
      <c r="HY8"/>
      <c r="HZ8"/>
      <c r="IA8"/>
      <c r="IB8"/>
      <c r="IC8"/>
      <c r="ID8"/>
      <c r="IE8"/>
      <c r="IF8"/>
      <c r="IG8"/>
    </row>
    <row r="9" spans="1:241" ht="15" customHeight="1" x14ac:dyDescent="0.4">
      <c r="A9" s="143" t="s">
        <v>219</v>
      </c>
      <c r="B9" s="252"/>
      <c r="C9" s="287"/>
      <c r="D9" s="287"/>
      <c r="E9" s="287"/>
      <c r="F9" s="287"/>
      <c r="G9" s="287"/>
      <c r="H9" s="54"/>
      <c r="I9" s="53"/>
      <c r="J9" s="280">
        <f>58356+1072</f>
        <v>59428</v>
      </c>
      <c r="K9" s="234"/>
      <c r="L9" s="180"/>
      <c r="M9" s="177"/>
      <c r="N9" s="177"/>
      <c r="O9" s="177"/>
      <c r="P9" s="177"/>
      <c r="Q9" s="177"/>
      <c r="R9" s="178"/>
      <c r="S9" s="178"/>
      <c r="T9" s="178"/>
      <c r="U9" s="178"/>
      <c r="V9" s="178"/>
      <c r="W9" s="178"/>
      <c r="X9" s="178"/>
      <c r="Y9" s="179"/>
      <c r="Z9" s="211"/>
      <c r="AA9" s="225" t="s">
        <v>223</v>
      </c>
      <c r="HX9"/>
      <c r="HY9"/>
      <c r="HZ9"/>
      <c r="IA9"/>
      <c r="IB9"/>
      <c r="IC9"/>
      <c r="ID9"/>
      <c r="IE9"/>
      <c r="IF9"/>
      <c r="IG9"/>
    </row>
    <row r="10" spans="1:241" ht="15" customHeight="1" x14ac:dyDescent="0.4">
      <c r="A10" s="143" t="s">
        <v>220</v>
      </c>
      <c r="B10" s="252"/>
      <c r="C10" s="287"/>
      <c r="D10" s="287"/>
      <c r="E10" s="287"/>
      <c r="F10" s="287"/>
      <c r="G10" s="287"/>
      <c r="H10" s="54"/>
      <c r="I10" s="53"/>
      <c r="J10" s="280">
        <v>6674</v>
      </c>
      <c r="K10" s="234"/>
      <c r="L10" s="180"/>
      <c r="M10" s="177"/>
      <c r="N10" s="177"/>
      <c r="O10" s="177"/>
      <c r="P10" s="177"/>
      <c r="Q10" s="177"/>
      <c r="R10" s="178"/>
      <c r="S10" s="178"/>
      <c r="T10" s="178"/>
      <c r="U10" s="178"/>
      <c r="V10" s="178"/>
      <c r="W10" s="178"/>
      <c r="X10" s="178"/>
      <c r="Y10" s="179"/>
      <c r="Z10" s="211"/>
      <c r="AA10" s="225" t="s">
        <v>223</v>
      </c>
      <c r="HX10"/>
      <c r="HY10"/>
      <c r="HZ10"/>
      <c r="IA10"/>
      <c r="IB10"/>
      <c r="IC10"/>
      <c r="ID10"/>
      <c r="IE10"/>
      <c r="IF10"/>
      <c r="IG10"/>
    </row>
    <row r="11" spans="1:241" ht="15" customHeight="1" x14ac:dyDescent="0.4">
      <c r="A11" s="142" t="s">
        <v>4</v>
      </c>
      <c r="B11" s="253">
        <v>-8347</v>
      </c>
      <c r="C11" s="179"/>
      <c r="D11" s="179"/>
      <c r="E11" s="179"/>
      <c r="F11" s="179"/>
      <c r="G11" s="179">
        <v>-7639.0027272727275</v>
      </c>
      <c r="H11" s="52"/>
      <c r="I11" s="53">
        <v>-9470</v>
      </c>
      <c r="J11" s="280">
        <v>-9271</v>
      </c>
      <c r="K11" s="234">
        <f t="shared" si="0"/>
        <v>-2.1013727560718058E-2</v>
      </c>
      <c r="L11" s="177"/>
      <c r="M11" s="177"/>
      <c r="N11" s="177"/>
      <c r="O11" s="177"/>
      <c r="P11" s="177"/>
      <c r="Q11" s="177"/>
      <c r="R11" s="178"/>
      <c r="S11" s="178"/>
      <c r="T11" s="178"/>
      <c r="U11" s="178"/>
      <c r="V11" s="178"/>
      <c r="W11" s="178"/>
      <c r="X11" s="178"/>
      <c r="Y11" s="179">
        <f t="shared" si="1"/>
        <v>0</v>
      </c>
      <c r="Z11" s="211">
        <f t="shared" si="2"/>
        <v>0</v>
      </c>
      <c r="AA11" s="225" t="s">
        <v>223</v>
      </c>
      <c r="HX11"/>
      <c r="HY11"/>
      <c r="HZ11"/>
      <c r="IA11"/>
      <c r="IB11"/>
      <c r="IC11"/>
      <c r="ID11"/>
      <c r="IE11"/>
      <c r="IF11"/>
      <c r="IG11"/>
    </row>
    <row r="12" spans="1:241" ht="15" customHeight="1" x14ac:dyDescent="0.4">
      <c r="A12" s="142" t="s">
        <v>5</v>
      </c>
      <c r="B12" s="179"/>
      <c r="C12" s="179"/>
      <c r="D12" s="179"/>
      <c r="E12" s="179"/>
      <c r="F12" s="179"/>
      <c r="G12" s="179">
        <v>6571</v>
      </c>
      <c r="H12" s="52"/>
      <c r="I12" s="53">
        <v>6700</v>
      </c>
      <c r="J12" s="53">
        <v>6700</v>
      </c>
      <c r="K12" s="234">
        <f t="shared" si="0"/>
        <v>0</v>
      </c>
      <c r="L12" s="177"/>
      <c r="M12" s="177"/>
      <c r="N12" s="177"/>
      <c r="O12" s="177"/>
      <c r="P12" s="177"/>
      <c r="Q12" s="177"/>
      <c r="R12" s="178"/>
      <c r="S12" s="178"/>
      <c r="T12" s="178"/>
      <c r="U12" s="178"/>
      <c r="V12" s="178"/>
      <c r="W12" s="178"/>
      <c r="X12" s="178"/>
      <c r="Y12" s="179">
        <f t="shared" si="1"/>
        <v>0</v>
      </c>
      <c r="Z12" s="211">
        <f t="shared" si="2"/>
        <v>0</v>
      </c>
      <c r="AA12" s="213"/>
      <c r="HX12"/>
      <c r="HY12"/>
      <c r="HZ12"/>
      <c r="IA12"/>
      <c r="IB12"/>
      <c r="IC12"/>
      <c r="ID12"/>
      <c r="IE12"/>
      <c r="IF12"/>
      <c r="IG12"/>
    </row>
    <row r="13" spans="1:241" ht="15" customHeight="1" x14ac:dyDescent="0.4">
      <c r="A13" s="142" t="s">
        <v>6</v>
      </c>
      <c r="B13" s="179"/>
      <c r="C13" s="179"/>
      <c r="D13" s="179"/>
      <c r="E13" s="179"/>
      <c r="F13" s="179"/>
      <c r="G13" s="179">
        <v>0</v>
      </c>
      <c r="H13" s="52"/>
      <c r="I13" s="53">
        <v>0</v>
      </c>
      <c r="J13" s="53">
        <v>0</v>
      </c>
      <c r="K13" s="234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9">
        <f t="shared" si="1"/>
        <v>0</v>
      </c>
      <c r="Z13" s="211"/>
      <c r="AA13" s="292"/>
      <c r="HX13"/>
      <c r="HY13"/>
      <c r="HZ13"/>
      <c r="IA13"/>
      <c r="IB13"/>
      <c r="IC13"/>
      <c r="ID13"/>
      <c r="IE13"/>
      <c r="IF13"/>
      <c r="IG13"/>
    </row>
    <row r="14" spans="1:241" ht="15" customHeight="1" x14ac:dyDescent="0.4">
      <c r="A14" s="142" t="s">
        <v>7</v>
      </c>
      <c r="B14" s="179">
        <f>38231.73-B11</f>
        <v>46578.73</v>
      </c>
      <c r="C14" s="179">
        <v>29980.51</v>
      </c>
      <c r="D14" s="179">
        <v>9022.36</v>
      </c>
      <c r="E14" s="179">
        <v>160723.31999999998</v>
      </c>
      <c r="F14" s="179">
        <v>51594.95</v>
      </c>
      <c r="G14" s="179">
        <v>52090.17</v>
      </c>
      <c r="H14" s="52"/>
      <c r="I14" s="53">
        <v>0</v>
      </c>
      <c r="J14" s="53">
        <v>0</v>
      </c>
      <c r="K14" s="234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9">
        <f t="shared" si="1"/>
        <v>0</v>
      </c>
      <c r="Z14" s="211"/>
      <c r="AA14" s="233"/>
      <c r="HX14"/>
      <c r="HY14"/>
      <c r="HZ14"/>
      <c r="IA14"/>
      <c r="IB14"/>
      <c r="IC14"/>
      <c r="ID14"/>
      <c r="IE14"/>
      <c r="IF14"/>
      <c r="IG14"/>
    </row>
    <row r="15" spans="1:241" ht="15" customHeight="1" x14ac:dyDescent="0.4">
      <c r="A15" s="142" t="s">
        <v>210</v>
      </c>
      <c r="B15" s="269"/>
      <c r="C15" s="269"/>
      <c r="D15" s="269"/>
      <c r="E15" s="269"/>
      <c r="F15" s="269"/>
      <c r="G15" s="269">
        <v>4704</v>
      </c>
      <c r="H15" s="52"/>
      <c r="I15" s="53"/>
      <c r="J15" s="53"/>
      <c r="K15" s="234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9">
        <f t="shared" si="1"/>
        <v>0</v>
      </c>
      <c r="Z15" s="211"/>
      <c r="AA15" s="291"/>
      <c r="HX15"/>
      <c r="HY15"/>
      <c r="HZ15"/>
      <c r="IA15"/>
      <c r="IB15"/>
      <c r="IC15"/>
      <c r="ID15"/>
      <c r="IE15"/>
      <c r="IF15"/>
      <c r="IG15"/>
    </row>
    <row r="16" spans="1:241" s="117" customFormat="1" ht="15" customHeight="1" x14ac:dyDescent="0.4">
      <c r="A16" s="144" t="s">
        <v>158</v>
      </c>
      <c r="B16" s="181">
        <f t="shared" ref="B16:F16" si="3">SUM(B7:B14)</f>
        <v>3371190.73</v>
      </c>
      <c r="C16" s="181">
        <f t="shared" si="3"/>
        <v>3438216.51</v>
      </c>
      <c r="D16" s="181">
        <f t="shared" si="3"/>
        <v>3668107.9999999995</v>
      </c>
      <c r="E16" s="181">
        <f t="shared" si="3"/>
        <v>3946925.0199999996</v>
      </c>
      <c r="F16" s="181">
        <f t="shared" si="3"/>
        <v>3866398.9500000007</v>
      </c>
      <c r="G16" s="181">
        <f>SUM(G7:G15)</f>
        <v>3911910.17</v>
      </c>
      <c r="H16" s="95"/>
      <c r="I16" s="97">
        <f>SUM(I7:I15)</f>
        <v>3933660.62</v>
      </c>
      <c r="J16" s="97">
        <f>SUM(J7:J15)</f>
        <v>4020558</v>
      </c>
      <c r="K16" s="234">
        <f t="shared" si="0"/>
        <v>2.2090716102498919E-2</v>
      </c>
      <c r="L16" s="270">
        <f t="shared" ref="L16" si="4">SUM(L7:L15)</f>
        <v>322090.07</v>
      </c>
      <c r="M16" s="270">
        <f t="shared" ref="M16" si="5">SUM(M7:M15)</f>
        <v>0</v>
      </c>
      <c r="N16" s="270">
        <f t="shared" ref="N16" si="6">SUM(N7:N15)</f>
        <v>0</v>
      </c>
      <c r="O16" s="270">
        <f t="shared" ref="O16" si="7">SUM(O7:O15)</f>
        <v>0</v>
      </c>
      <c r="P16" s="270">
        <f t="shared" ref="P16" si="8">SUM(P7:P15)</f>
        <v>0</v>
      </c>
      <c r="Q16" s="270">
        <f t="shared" ref="Q16" si="9">SUM(Q7:Q15)</f>
        <v>0</v>
      </c>
      <c r="R16" s="270">
        <f t="shared" ref="R16" si="10">SUM(R7:R15)</f>
        <v>0</v>
      </c>
      <c r="S16" s="270">
        <f t="shared" ref="S16" si="11">SUM(S7:S15)</f>
        <v>0</v>
      </c>
      <c r="T16" s="270">
        <f t="shared" ref="T16" si="12">SUM(T7:T15)</f>
        <v>0</v>
      </c>
      <c r="U16" s="270">
        <f t="shared" ref="U16" si="13">SUM(U7:U15)</f>
        <v>0</v>
      </c>
      <c r="V16" s="270">
        <f t="shared" ref="V16" si="14">SUM(V7:V15)</f>
        <v>0</v>
      </c>
      <c r="W16" s="270">
        <f t="shared" ref="W16" si="15">SUM(W7:W15)</f>
        <v>0</v>
      </c>
      <c r="X16" s="270">
        <f t="shared" ref="X16" si="16">SUM(X7:X15)</f>
        <v>0</v>
      </c>
      <c r="Y16" s="270">
        <f t="shared" ref="Y16" si="17">SUM(Y7:Y15)</f>
        <v>322090.07</v>
      </c>
      <c r="Z16" s="211">
        <f t="shared" si="2"/>
        <v>8.0110788104536729E-2</v>
      </c>
      <c r="AA16" s="225"/>
      <c r="AB16" s="283"/>
      <c r="AC16" s="283"/>
      <c r="AD16" s="283"/>
      <c r="AE16" s="283"/>
      <c r="AF16" s="283"/>
      <c r="AG16" s="283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</row>
    <row r="17" spans="1:241" ht="15" customHeight="1" x14ac:dyDescent="0.4">
      <c r="A17" s="142" t="s">
        <v>8</v>
      </c>
      <c r="B17" s="252">
        <v>2115.56</v>
      </c>
      <c r="C17" s="252">
        <v>0</v>
      </c>
      <c r="D17" s="252">
        <v>1697.61</v>
      </c>
      <c r="E17" s="252">
        <v>1758.9700000000003</v>
      </c>
      <c r="F17" s="252">
        <v>1903.0500000000002</v>
      </c>
      <c r="G17" s="252">
        <v>1968.57</v>
      </c>
      <c r="H17" s="113"/>
      <c r="I17" s="53">
        <v>2007.9413999999999</v>
      </c>
      <c r="J17" s="53">
        <v>2007.9413999999999</v>
      </c>
      <c r="K17" s="234">
        <f>(J17-I17)/I17</f>
        <v>0</v>
      </c>
      <c r="L17" s="176"/>
      <c r="M17" s="183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84">
        <f>SUM(L17:X17)</f>
        <v>0</v>
      </c>
      <c r="Z17" s="243">
        <f t="shared" si="2"/>
        <v>0</v>
      </c>
      <c r="AA17" s="241"/>
      <c r="HX17"/>
      <c r="HY17"/>
      <c r="HZ17"/>
      <c r="IA17"/>
      <c r="IB17"/>
      <c r="IC17"/>
      <c r="ID17"/>
      <c r="IE17"/>
      <c r="IF17"/>
      <c r="IG17"/>
    </row>
    <row r="18" spans="1:241" ht="15" customHeight="1" x14ac:dyDescent="0.4">
      <c r="A18" s="142" t="s">
        <v>9</v>
      </c>
      <c r="B18" s="184">
        <v>33308</v>
      </c>
      <c r="C18" s="184">
        <v>25758</v>
      </c>
      <c r="D18" s="184">
        <v>25812</v>
      </c>
      <c r="E18" s="184">
        <v>43290</v>
      </c>
      <c r="F18" s="184">
        <v>48670</v>
      </c>
      <c r="G18" s="184">
        <v>46342</v>
      </c>
      <c r="H18" s="113"/>
      <c r="I18" s="53">
        <v>45572.641199999998</v>
      </c>
      <c r="J18" s="53">
        <v>45572.641199999998</v>
      </c>
      <c r="K18" s="234">
        <f t="shared" si="0"/>
        <v>0</v>
      </c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84">
        <f t="shared" ref="Y18:Y36" si="18">SUM(L18:X18)</f>
        <v>0</v>
      </c>
      <c r="Z18" s="211">
        <f t="shared" si="2"/>
        <v>0</v>
      </c>
      <c r="AA18" s="245"/>
      <c r="HX18"/>
      <c r="HY18"/>
      <c r="HZ18"/>
      <c r="IA18"/>
      <c r="IB18"/>
      <c r="IC18"/>
      <c r="ID18"/>
      <c r="IE18"/>
      <c r="IF18"/>
      <c r="IG18"/>
    </row>
    <row r="19" spans="1:241" ht="15" customHeight="1" x14ac:dyDescent="0.4">
      <c r="A19" s="142" t="s">
        <v>10</v>
      </c>
      <c r="B19" s="184">
        <v>32282.959999999999</v>
      </c>
      <c r="C19" s="184">
        <v>49936.01</v>
      </c>
      <c r="D19" s="184">
        <v>58390.93</v>
      </c>
      <c r="E19" s="184">
        <v>57721.86</v>
      </c>
      <c r="F19" s="184">
        <v>34884.769999999997</v>
      </c>
      <c r="G19" s="184">
        <v>26282.210000000003</v>
      </c>
      <c r="H19" s="113"/>
      <c r="I19" s="53">
        <v>23350.571136000002</v>
      </c>
      <c r="J19" s="53">
        <v>23350.571136000002</v>
      </c>
      <c r="K19" s="234">
        <f t="shared" si="0"/>
        <v>0</v>
      </c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84">
        <f t="shared" si="18"/>
        <v>0</v>
      </c>
      <c r="Z19" s="211">
        <f t="shared" si="2"/>
        <v>0</v>
      </c>
      <c r="AA19" s="245"/>
      <c r="HX19"/>
      <c r="HY19"/>
      <c r="HZ19"/>
      <c r="IA19"/>
      <c r="IB19"/>
      <c r="IC19"/>
      <c r="ID19"/>
      <c r="IE19"/>
      <c r="IF19"/>
      <c r="IG19"/>
    </row>
    <row r="20" spans="1:241" ht="15" customHeight="1" x14ac:dyDescent="0.4">
      <c r="A20" s="143" t="s">
        <v>116</v>
      </c>
      <c r="B20" s="184">
        <v>0</v>
      </c>
      <c r="C20" s="184">
        <v>0</v>
      </c>
      <c r="D20" s="184">
        <v>0</v>
      </c>
      <c r="E20" s="184">
        <v>0</v>
      </c>
      <c r="F20" s="184">
        <v>1701.7</v>
      </c>
      <c r="G20" s="184">
        <v>1761.38</v>
      </c>
      <c r="H20" s="114"/>
      <c r="I20" s="53">
        <v>1704.1752000000001</v>
      </c>
      <c r="J20" s="53">
        <v>1704.1752000000001</v>
      </c>
      <c r="K20" s="234">
        <f>(J20-I20)/I20</f>
        <v>0</v>
      </c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84">
        <f>SUM(L20:X20)</f>
        <v>0</v>
      </c>
      <c r="Z20" s="211">
        <f>Y20/J20</f>
        <v>0</v>
      </c>
      <c r="AA20" s="241"/>
      <c r="HX20"/>
      <c r="HY20"/>
      <c r="HZ20"/>
      <c r="IA20"/>
      <c r="IB20"/>
      <c r="IC20"/>
      <c r="ID20"/>
      <c r="IE20"/>
      <c r="IF20"/>
      <c r="IG20"/>
    </row>
    <row r="21" spans="1:241" ht="15" customHeight="1" x14ac:dyDescent="0.4">
      <c r="A21" s="142" t="s">
        <v>11</v>
      </c>
      <c r="B21" s="184">
        <v>825942.96</v>
      </c>
      <c r="C21" s="184">
        <v>787545</v>
      </c>
      <c r="D21" s="184">
        <v>978618.88</v>
      </c>
      <c r="E21" s="184">
        <v>1038647.8300000001</v>
      </c>
      <c r="F21" s="184">
        <v>1359843.5999999996</v>
      </c>
      <c r="G21" s="184">
        <v>1218740.08</v>
      </c>
      <c r="H21" s="113"/>
      <c r="I21" s="53">
        <v>1377918</v>
      </c>
      <c r="J21" s="53">
        <v>1377918</v>
      </c>
      <c r="K21" s="234">
        <f t="shared" si="0"/>
        <v>0</v>
      </c>
      <c r="L21" s="176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84">
        <f t="shared" si="18"/>
        <v>0</v>
      </c>
      <c r="Z21" s="211">
        <f t="shared" si="2"/>
        <v>0</v>
      </c>
      <c r="AA21" s="245"/>
      <c r="HX21"/>
      <c r="HY21"/>
      <c r="HZ21"/>
      <c r="IA21"/>
      <c r="IB21"/>
      <c r="IC21"/>
      <c r="ID21"/>
      <c r="IE21"/>
      <c r="IF21"/>
      <c r="IG21"/>
    </row>
    <row r="22" spans="1:241" ht="15" customHeight="1" x14ac:dyDescent="0.4">
      <c r="A22" s="142" t="s">
        <v>12</v>
      </c>
      <c r="B22" s="184">
        <v>1770.68</v>
      </c>
      <c r="C22" s="184">
        <v>2102.08</v>
      </c>
      <c r="D22" s="184">
        <v>2220.46</v>
      </c>
      <c r="E22" s="184">
        <v>4341.9800000000005</v>
      </c>
      <c r="F22" s="184">
        <v>2122.38</v>
      </c>
      <c r="G22" s="184">
        <v>0</v>
      </c>
      <c r="H22" s="113"/>
      <c r="I22" s="53">
        <v>0</v>
      </c>
      <c r="J22" s="53">
        <v>0</v>
      </c>
      <c r="K22" s="234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84">
        <f t="shared" si="18"/>
        <v>0</v>
      </c>
      <c r="Z22" s="211"/>
      <c r="AA22" s="241"/>
      <c r="HX22"/>
      <c r="HY22"/>
      <c r="HZ22"/>
      <c r="IA22"/>
      <c r="IB22"/>
      <c r="IC22"/>
      <c r="ID22"/>
      <c r="IE22"/>
      <c r="IF22"/>
      <c r="IG22"/>
    </row>
    <row r="23" spans="1:241" ht="15" customHeight="1" x14ac:dyDescent="0.4">
      <c r="A23" s="142" t="s">
        <v>13</v>
      </c>
      <c r="B23" s="184">
        <v>8725.5</v>
      </c>
      <c r="C23" s="184">
        <v>9305.5</v>
      </c>
      <c r="D23" s="184">
        <v>9644</v>
      </c>
      <c r="E23" s="184">
        <v>14426.449999999999</v>
      </c>
      <c r="F23" s="184">
        <v>6406.41</v>
      </c>
      <c r="G23" s="184">
        <v>3414.7700000000004</v>
      </c>
      <c r="H23" s="113"/>
      <c r="I23" s="53">
        <v>4369.68</v>
      </c>
      <c r="J23" s="53">
        <v>4369.68</v>
      </c>
      <c r="K23" s="234">
        <f t="shared" si="0"/>
        <v>0</v>
      </c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84">
        <f t="shared" si="18"/>
        <v>0</v>
      </c>
      <c r="Z23" s="211">
        <f t="shared" si="2"/>
        <v>0</v>
      </c>
      <c r="AA23" s="241"/>
      <c r="HX23"/>
      <c r="HY23"/>
      <c r="HZ23"/>
      <c r="IA23"/>
      <c r="IB23"/>
      <c r="IC23"/>
      <c r="ID23"/>
      <c r="IE23"/>
      <c r="IF23"/>
      <c r="IG23"/>
    </row>
    <row r="24" spans="1:241" ht="15" customHeight="1" x14ac:dyDescent="0.4">
      <c r="A24" s="142" t="s">
        <v>14</v>
      </c>
      <c r="B24" s="184">
        <v>1151.26</v>
      </c>
      <c r="C24" s="184">
        <v>1194.92</v>
      </c>
      <c r="D24" s="184">
        <v>1224.98</v>
      </c>
      <c r="E24" s="184">
        <v>1202.26</v>
      </c>
      <c r="F24" s="184">
        <v>0</v>
      </c>
      <c r="G24" s="184">
        <v>1328.51</v>
      </c>
      <c r="H24" s="113"/>
      <c r="I24" s="53">
        <v>1354.6007999999999</v>
      </c>
      <c r="J24" s="53">
        <v>1354.6007999999999</v>
      </c>
      <c r="K24" s="234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84">
        <f t="shared" si="18"/>
        <v>0</v>
      </c>
      <c r="Z24" s="211">
        <f t="shared" si="2"/>
        <v>0</v>
      </c>
      <c r="HX24"/>
      <c r="HY24"/>
      <c r="HZ24"/>
      <c r="IA24"/>
      <c r="IB24"/>
      <c r="IC24"/>
      <c r="ID24"/>
      <c r="IE24"/>
      <c r="IF24"/>
      <c r="IG24"/>
    </row>
    <row r="25" spans="1:241" ht="15" customHeight="1" x14ac:dyDescent="0.4">
      <c r="A25" s="142" t="s">
        <v>209</v>
      </c>
      <c r="B25" s="184">
        <v>4936.6499999999996</v>
      </c>
      <c r="C25" s="184">
        <v>1957.55</v>
      </c>
      <c r="D25" s="184">
        <v>0</v>
      </c>
      <c r="E25" s="184">
        <v>450.75</v>
      </c>
      <c r="F25" s="184">
        <v>0</v>
      </c>
      <c r="G25" s="184"/>
      <c r="H25" s="113"/>
      <c r="I25" s="53"/>
      <c r="J25" s="53"/>
      <c r="K25" s="234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84"/>
      <c r="Z25" s="211"/>
      <c r="HX25"/>
      <c r="HY25"/>
      <c r="HZ25"/>
      <c r="IA25"/>
      <c r="IB25"/>
      <c r="IC25"/>
      <c r="ID25"/>
      <c r="IE25"/>
      <c r="IF25"/>
      <c r="IG25"/>
    </row>
    <row r="26" spans="1:241" ht="15" customHeight="1" x14ac:dyDescent="0.4">
      <c r="A26" s="143" t="s">
        <v>15</v>
      </c>
      <c r="B26" s="184">
        <v>57385.35</v>
      </c>
      <c r="C26" s="184">
        <v>34402.32</v>
      </c>
      <c r="D26" s="184">
        <v>38757.360000000001</v>
      </c>
      <c r="E26" s="184">
        <v>64646.63</v>
      </c>
      <c r="F26" s="184">
        <v>61503.16</v>
      </c>
      <c r="G26" s="184">
        <v>58774.13</v>
      </c>
      <c r="H26" s="114"/>
      <c r="I26" s="53">
        <v>69933.240000000005</v>
      </c>
      <c r="J26" s="53">
        <v>69933.240000000005</v>
      </c>
      <c r="K26" s="234">
        <f t="shared" si="0"/>
        <v>0</v>
      </c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84">
        <f t="shared" si="18"/>
        <v>0</v>
      </c>
      <c r="Z26" s="211">
        <f t="shared" si="2"/>
        <v>0</v>
      </c>
      <c r="AA26" s="241"/>
      <c r="HX26"/>
      <c r="HY26"/>
      <c r="HZ26"/>
      <c r="IA26"/>
      <c r="IB26"/>
      <c r="IC26"/>
      <c r="ID26"/>
      <c r="IE26"/>
      <c r="IF26"/>
      <c r="IG26"/>
    </row>
    <row r="27" spans="1:241" ht="15" customHeight="1" x14ac:dyDescent="0.4">
      <c r="A27" s="143" t="s">
        <v>16</v>
      </c>
      <c r="B27" s="184">
        <v>756894.6</v>
      </c>
      <c r="C27" s="184">
        <v>875249.65</v>
      </c>
      <c r="D27" s="184">
        <v>899572.07</v>
      </c>
      <c r="E27" s="184">
        <v>851832.89000000013</v>
      </c>
      <c r="F27" s="184">
        <v>901213.77999999991</v>
      </c>
      <c r="G27" s="184">
        <v>911273.82999999984</v>
      </c>
      <c r="H27" s="114"/>
      <c r="I27" s="53">
        <v>937033.20000000007</v>
      </c>
      <c r="J27" s="53">
        <v>937033.20000000007</v>
      </c>
      <c r="K27" s="234">
        <f t="shared" si="0"/>
        <v>0</v>
      </c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84">
        <f t="shared" si="18"/>
        <v>0</v>
      </c>
      <c r="Z27" s="211">
        <f t="shared" si="2"/>
        <v>0</v>
      </c>
      <c r="AA27" s="241"/>
      <c r="HX27"/>
      <c r="HY27"/>
      <c r="HZ27"/>
      <c r="IA27"/>
      <c r="IB27"/>
      <c r="IC27"/>
      <c r="ID27"/>
      <c r="IE27"/>
      <c r="IF27"/>
      <c r="IG27"/>
    </row>
    <row r="28" spans="1:241" ht="15" customHeight="1" x14ac:dyDescent="0.4">
      <c r="A28" s="143" t="s">
        <v>200</v>
      </c>
      <c r="B28" s="184"/>
      <c r="C28" s="184"/>
      <c r="D28" s="184"/>
      <c r="E28" s="184"/>
      <c r="F28" s="184"/>
      <c r="G28" s="184">
        <v>0</v>
      </c>
      <c r="H28" s="114"/>
      <c r="I28" s="53">
        <v>0</v>
      </c>
      <c r="J28" s="53">
        <v>0</v>
      </c>
      <c r="K28" s="234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84">
        <f t="shared" si="18"/>
        <v>0</v>
      </c>
      <c r="Z28" s="211"/>
      <c r="AA28" s="268"/>
      <c r="HX28"/>
      <c r="HY28"/>
      <c r="HZ28"/>
      <c r="IA28"/>
      <c r="IB28"/>
      <c r="IC28"/>
      <c r="ID28"/>
      <c r="IE28"/>
      <c r="IF28"/>
      <c r="IG28"/>
    </row>
    <row r="29" spans="1:241" s="117" customFormat="1" ht="15" customHeight="1" x14ac:dyDescent="0.4">
      <c r="A29" s="145" t="s">
        <v>159</v>
      </c>
      <c r="B29" s="181">
        <f t="shared" ref="B29:E29" si="19">SUM(B17:B28)</f>
        <v>1724513.52</v>
      </c>
      <c r="C29" s="181">
        <f t="shared" si="19"/>
        <v>1787451.03</v>
      </c>
      <c r="D29" s="181">
        <f t="shared" si="19"/>
        <v>2015938.29</v>
      </c>
      <c r="E29" s="181">
        <f t="shared" si="19"/>
        <v>2078319.62</v>
      </c>
      <c r="F29" s="181">
        <f>SUM(F17:F28)</f>
        <v>2418248.8499999992</v>
      </c>
      <c r="G29" s="181">
        <f>SUM(G17:G28)</f>
        <v>2269885.4799999995</v>
      </c>
      <c r="H29" s="244"/>
      <c r="I29" s="97">
        <f>SUM(I17:I28)</f>
        <v>2463244.0497359997</v>
      </c>
      <c r="J29" s="97">
        <f>SUM(J17:J28)</f>
        <v>2463244.0497359997</v>
      </c>
      <c r="K29" s="234">
        <f t="shared" si="0"/>
        <v>0</v>
      </c>
      <c r="L29" s="181">
        <f t="shared" ref="L29:Y29" si="20">SUM(L17:L28)</f>
        <v>0</v>
      </c>
      <c r="M29" s="181">
        <f t="shared" si="20"/>
        <v>0</v>
      </c>
      <c r="N29" s="181">
        <f t="shared" si="20"/>
        <v>0</v>
      </c>
      <c r="O29" s="181">
        <f t="shared" si="20"/>
        <v>0</v>
      </c>
      <c r="P29" s="181">
        <f t="shared" si="20"/>
        <v>0</v>
      </c>
      <c r="Q29" s="181">
        <f t="shared" si="20"/>
        <v>0</v>
      </c>
      <c r="R29" s="181">
        <f t="shared" si="20"/>
        <v>0</v>
      </c>
      <c r="S29" s="181">
        <f t="shared" si="20"/>
        <v>0</v>
      </c>
      <c r="T29" s="181">
        <f t="shared" si="20"/>
        <v>0</v>
      </c>
      <c r="U29" s="181">
        <f t="shared" si="20"/>
        <v>0</v>
      </c>
      <c r="V29" s="181">
        <f t="shared" si="20"/>
        <v>0</v>
      </c>
      <c r="W29" s="181">
        <f t="shared" si="20"/>
        <v>0</v>
      </c>
      <c r="X29" s="181">
        <f t="shared" si="20"/>
        <v>0</v>
      </c>
      <c r="Y29" s="181">
        <f t="shared" si="20"/>
        <v>0</v>
      </c>
      <c r="Z29" s="211">
        <f t="shared" si="2"/>
        <v>0</v>
      </c>
      <c r="AA29" s="271"/>
      <c r="AB29" s="283"/>
      <c r="AC29" s="283"/>
      <c r="AD29" s="283"/>
      <c r="AE29" s="283"/>
      <c r="AF29" s="283"/>
      <c r="AG29" s="283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</row>
    <row r="30" spans="1:241" ht="15" customHeight="1" x14ac:dyDescent="0.4">
      <c r="A30" s="143" t="s">
        <v>17</v>
      </c>
      <c r="B30" s="184">
        <v>101664.56</v>
      </c>
      <c r="C30" s="184">
        <v>99750</v>
      </c>
      <c r="D30" s="184">
        <v>108110</v>
      </c>
      <c r="E30" s="184">
        <v>95506.85</v>
      </c>
      <c r="F30" s="184">
        <v>100772.15</v>
      </c>
      <c r="G30" s="184">
        <v>115955</v>
      </c>
      <c r="H30" s="115"/>
      <c r="I30" s="53">
        <v>110428</v>
      </c>
      <c r="J30" s="53">
        <v>110428</v>
      </c>
      <c r="K30" s="234">
        <f t="shared" si="0"/>
        <v>0</v>
      </c>
      <c r="L30" s="176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84">
        <f t="shared" si="18"/>
        <v>0</v>
      </c>
      <c r="Z30" s="211">
        <f t="shared" si="2"/>
        <v>0</v>
      </c>
      <c r="AA30" s="99"/>
      <c r="HX30"/>
      <c r="HY30"/>
      <c r="HZ30"/>
      <c r="IA30"/>
      <c r="IB30"/>
      <c r="IC30"/>
      <c r="ID30"/>
      <c r="IE30"/>
      <c r="IF30"/>
      <c r="IG30"/>
    </row>
    <row r="31" spans="1:241" ht="15" customHeight="1" x14ac:dyDescent="0.4">
      <c r="A31" s="143" t="s">
        <v>18</v>
      </c>
      <c r="B31" s="184">
        <v>6611</v>
      </c>
      <c r="C31" s="184">
        <v>8657</v>
      </c>
      <c r="D31" s="184"/>
      <c r="E31" s="184"/>
      <c r="F31" s="184"/>
      <c r="G31" s="184">
        <v>0</v>
      </c>
      <c r="H31" s="54"/>
      <c r="I31" s="53">
        <v>0</v>
      </c>
      <c r="J31" s="53">
        <v>0</v>
      </c>
      <c r="K31" s="234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84">
        <f t="shared" si="18"/>
        <v>0</v>
      </c>
      <c r="Z31" s="211"/>
      <c r="HX31"/>
      <c r="HY31"/>
      <c r="HZ31"/>
      <c r="IA31"/>
      <c r="IB31"/>
      <c r="IC31"/>
      <c r="ID31"/>
      <c r="IE31"/>
      <c r="IF31"/>
      <c r="IG31"/>
    </row>
    <row r="32" spans="1:241" ht="15" customHeight="1" x14ac:dyDescent="0.4">
      <c r="A32" s="143" t="s">
        <v>19</v>
      </c>
      <c r="B32" s="184">
        <v>4511</v>
      </c>
      <c r="C32" s="184">
        <v>5236</v>
      </c>
      <c r="D32" s="184">
        <v>5082</v>
      </c>
      <c r="E32" s="184">
        <v>5714</v>
      </c>
      <c r="F32" s="184">
        <v>6103</v>
      </c>
      <c r="G32" s="184">
        <v>0</v>
      </c>
      <c r="H32" s="54"/>
      <c r="I32" s="53">
        <v>10044</v>
      </c>
      <c r="J32" s="53">
        <v>10044</v>
      </c>
      <c r="K32" s="234"/>
      <c r="L32" s="176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84">
        <f t="shared" si="18"/>
        <v>0</v>
      </c>
      <c r="Z32" s="211"/>
      <c r="AA32" s="99"/>
      <c r="HX32"/>
      <c r="HY32"/>
      <c r="HZ32"/>
      <c r="IA32"/>
      <c r="IB32"/>
      <c r="IC32"/>
      <c r="ID32"/>
      <c r="IE32"/>
      <c r="IF32"/>
      <c r="IG32"/>
    </row>
    <row r="33" spans="1:241" ht="15" customHeight="1" x14ac:dyDescent="0.4">
      <c r="A33" s="143" t="s">
        <v>20</v>
      </c>
      <c r="B33" s="184"/>
      <c r="C33" s="184">
        <v>10000</v>
      </c>
      <c r="D33" s="184">
        <v>10000</v>
      </c>
      <c r="E33" s="184"/>
      <c r="F33" s="184"/>
      <c r="G33" s="184">
        <v>0</v>
      </c>
      <c r="H33" s="54"/>
      <c r="I33" s="53"/>
      <c r="J33" s="53"/>
      <c r="K33" s="234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84">
        <f t="shared" si="18"/>
        <v>0</v>
      </c>
      <c r="Z33" s="211"/>
      <c r="HX33"/>
      <c r="HY33"/>
      <c r="HZ33"/>
      <c r="IA33"/>
      <c r="IB33"/>
      <c r="IC33"/>
      <c r="ID33"/>
      <c r="IE33"/>
      <c r="IF33"/>
      <c r="IG33"/>
    </row>
    <row r="34" spans="1:241" ht="15" customHeight="1" x14ac:dyDescent="0.4">
      <c r="A34" s="143" t="s">
        <v>21</v>
      </c>
      <c r="B34" s="184">
        <v>0</v>
      </c>
      <c r="C34" s="184">
        <v>1617.63</v>
      </c>
      <c r="D34" s="184"/>
      <c r="E34" s="184">
        <v>842.97</v>
      </c>
      <c r="F34" s="184"/>
      <c r="G34" s="184">
        <v>2273.33</v>
      </c>
      <c r="H34" s="54"/>
      <c r="I34" s="53">
        <v>1100</v>
      </c>
      <c r="J34" s="53">
        <v>1100</v>
      </c>
      <c r="K34" s="234">
        <f t="shared" si="0"/>
        <v>0</v>
      </c>
      <c r="L34" s="176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84">
        <f t="shared" si="18"/>
        <v>0</v>
      </c>
      <c r="Z34" s="211">
        <f t="shared" si="2"/>
        <v>0</v>
      </c>
      <c r="HX34"/>
      <c r="HY34"/>
      <c r="HZ34"/>
      <c r="IA34"/>
      <c r="IB34"/>
      <c r="IC34"/>
      <c r="ID34"/>
      <c r="IE34"/>
      <c r="IF34"/>
      <c r="IG34"/>
    </row>
    <row r="35" spans="1:241" ht="15" customHeight="1" x14ac:dyDescent="0.4">
      <c r="A35" s="143" t="s">
        <v>22</v>
      </c>
      <c r="B35" s="184"/>
      <c r="C35" s="184">
        <v>6452.77</v>
      </c>
      <c r="D35" s="184">
        <v>59589</v>
      </c>
      <c r="E35" s="184">
        <v>329594.81</v>
      </c>
      <c r="F35" s="184">
        <v>114387.42</v>
      </c>
      <c r="G35" s="184">
        <v>0</v>
      </c>
      <c r="H35" s="54"/>
      <c r="I35" s="53"/>
      <c r="J35" s="53"/>
      <c r="K35" s="234"/>
      <c r="L35" s="176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84">
        <f>SUM(L35:X35)</f>
        <v>0</v>
      </c>
      <c r="Z35" s="211"/>
      <c r="HX35"/>
      <c r="HY35"/>
      <c r="HZ35"/>
      <c r="IA35"/>
      <c r="IB35"/>
      <c r="IC35"/>
      <c r="ID35"/>
      <c r="IE35"/>
      <c r="IF35"/>
      <c r="IG35"/>
    </row>
    <row r="36" spans="1:241" ht="15" customHeight="1" x14ac:dyDescent="0.4">
      <c r="A36" s="143" t="s">
        <v>23</v>
      </c>
      <c r="B36" s="184">
        <v>51294</v>
      </c>
      <c r="C36" s="184">
        <v>56711</v>
      </c>
      <c r="D36" s="184">
        <v>60202</v>
      </c>
      <c r="E36" s="184">
        <v>49471</v>
      </c>
      <c r="F36" s="184">
        <v>53000</v>
      </c>
      <c r="G36" s="184">
        <v>71629</v>
      </c>
      <c r="H36" s="54"/>
      <c r="I36" s="53">
        <v>53897</v>
      </c>
      <c r="J36" s="53">
        <v>53897</v>
      </c>
      <c r="K36" s="234">
        <f t="shared" si="0"/>
        <v>0</v>
      </c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84">
        <f t="shared" si="18"/>
        <v>0</v>
      </c>
      <c r="Z36" s="211">
        <f t="shared" si="2"/>
        <v>0</v>
      </c>
      <c r="AA36" s="249"/>
      <c r="HX36"/>
      <c r="HY36"/>
      <c r="HZ36"/>
      <c r="IA36"/>
      <c r="IB36"/>
      <c r="IC36"/>
      <c r="ID36"/>
      <c r="IE36"/>
      <c r="IF36"/>
      <c r="IG36"/>
    </row>
    <row r="37" spans="1:241" s="117" customFormat="1" ht="15" customHeight="1" x14ac:dyDescent="0.4">
      <c r="A37" s="145" t="s">
        <v>160</v>
      </c>
      <c r="B37" s="181">
        <f t="shared" ref="B37:E37" si="21">SUM(B30:B36)</f>
        <v>164080.56</v>
      </c>
      <c r="C37" s="181">
        <f t="shared" si="21"/>
        <v>188424.4</v>
      </c>
      <c r="D37" s="181">
        <f t="shared" si="21"/>
        <v>242983</v>
      </c>
      <c r="E37" s="181">
        <f t="shared" si="21"/>
        <v>481129.63</v>
      </c>
      <c r="F37" s="181">
        <f>SUM(F30:F36)</f>
        <v>274262.57</v>
      </c>
      <c r="G37" s="181">
        <f>SUM(G30:G36)</f>
        <v>189857.33000000002</v>
      </c>
      <c r="H37" s="118"/>
      <c r="I37" s="97">
        <f>SUM(I30:I36)</f>
        <v>175469</v>
      </c>
      <c r="J37" s="97">
        <f>SUM(J30:J36)</f>
        <v>175469</v>
      </c>
      <c r="K37" s="234">
        <f t="shared" si="0"/>
        <v>0</v>
      </c>
      <c r="L37" s="181">
        <f t="shared" ref="L37:Y37" si="22">SUM(L30:L36)</f>
        <v>0</v>
      </c>
      <c r="M37" s="181">
        <f t="shared" si="22"/>
        <v>0</v>
      </c>
      <c r="N37" s="181">
        <f t="shared" si="22"/>
        <v>0</v>
      </c>
      <c r="O37" s="181">
        <f t="shared" si="22"/>
        <v>0</v>
      </c>
      <c r="P37" s="181">
        <f t="shared" si="22"/>
        <v>0</v>
      </c>
      <c r="Q37" s="181">
        <f t="shared" si="22"/>
        <v>0</v>
      </c>
      <c r="R37" s="181">
        <f t="shared" si="22"/>
        <v>0</v>
      </c>
      <c r="S37" s="181">
        <f t="shared" si="22"/>
        <v>0</v>
      </c>
      <c r="T37" s="181">
        <f t="shared" si="22"/>
        <v>0</v>
      </c>
      <c r="U37" s="181">
        <f t="shared" si="22"/>
        <v>0</v>
      </c>
      <c r="V37" s="181">
        <f t="shared" si="22"/>
        <v>0</v>
      </c>
      <c r="W37" s="181">
        <f t="shared" si="22"/>
        <v>0</v>
      </c>
      <c r="X37" s="181">
        <f t="shared" si="22"/>
        <v>0</v>
      </c>
      <c r="Y37" s="181">
        <f t="shared" si="22"/>
        <v>0</v>
      </c>
      <c r="Z37" s="211">
        <f t="shared" si="2"/>
        <v>0</v>
      </c>
      <c r="AA37" s="1"/>
      <c r="AB37" s="283"/>
      <c r="AC37" s="283"/>
      <c r="AD37" s="283"/>
      <c r="AE37" s="283"/>
      <c r="AF37" s="283"/>
      <c r="AG37" s="283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</row>
    <row r="38" spans="1:241" ht="14.6" x14ac:dyDescent="0.4">
      <c r="A38" s="143" t="s">
        <v>24</v>
      </c>
      <c r="B38" s="184">
        <v>18880.669999999998</v>
      </c>
      <c r="C38" s="184">
        <v>17479.900000000001</v>
      </c>
      <c r="D38" s="184">
        <v>29483.64</v>
      </c>
      <c r="E38" s="184">
        <v>30933.43</v>
      </c>
      <c r="F38" s="184">
        <v>24051.55</v>
      </c>
      <c r="G38" s="184">
        <v>13560.22</v>
      </c>
      <c r="H38" s="54"/>
      <c r="I38" s="53">
        <v>25000</v>
      </c>
      <c r="J38" s="53">
        <v>25000</v>
      </c>
      <c r="K38" s="234">
        <f t="shared" si="0"/>
        <v>0</v>
      </c>
      <c r="L38" s="176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84">
        <f>SUM(L38:X38)</f>
        <v>0</v>
      </c>
      <c r="Z38" s="211">
        <f t="shared" si="2"/>
        <v>0</v>
      </c>
      <c r="AA38" s="99"/>
      <c r="HX38"/>
      <c r="HY38"/>
      <c r="HZ38"/>
      <c r="IA38"/>
      <c r="IB38"/>
      <c r="IC38"/>
      <c r="ID38"/>
      <c r="IE38"/>
      <c r="IF38"/>
      <c r="IG38"/>
    </row>
    <row r="39" spans="1:241" ht="15" customHeight="1" x14ac:dyDescent="0.4">
      <c r="A39" s="143" t="s">
        <v>25</v>
      </c>
      <c r="B39" s="184">
        <v>73175.179999999993</v>
      </c>
      <c r="C39" s="184">
        <v>54411.31</v>
      </c>
      <c r="D39" s="184">
        <v>91054.04</v>
      </c>
      <c r="E39" s="184">
        <v>47921.30000000001</v>
      </c>
      <c r="F39" s="184">
        <v>21621.930000000004</v>
      </c>
      <c r="G39" s="184">
        <v>12393.43</v>
      </c>
      <c r="H39" s="54"/>
      <c r="I39" s="53">
        <v>50000</v>
      </c>
      <c r="J39" s="53">
        <v>50000</v>
      </c>
      <c r="K39" s="234">
        <f t="shared" si="0"/>
        <v>0</v>
      </c>
      <c r="L39" s="177">
        <f>96.85+155.88</f>
        <v>252.73</v>
      </c>
      <c r="M39" s="177"/>
      <c r="N39" s="177"/>
      <c r="O39" s="177"/>
      <c r="P39" s="177"/>
      <c r="Q39" s="177"/>
      <c r="R39" s="177"/>
      <c r="S39" s="177"/>
      <c r="T39" s="177"/>
      <c r="U39" s="177"/>
      <c r="V39" s="193"/>
      <c r="W39" s="193"/>
      <c r="X39" s="177"/>
      <c r="Y39" s="184">
        <f>SUM(L39:X39)</f>
        <v>252.73</v>
      </c>
      <c r="Z39" s="211">
        <f t="shared" si="2"/>
        <v>5.0545999999999994E-3</v>
      </c>
      <c r="AA39" s="99"/>
      <c r="HX39"/>
      <c r="HY39"/>
      <c r="HZ39"/>
      <c r="IA39"/>
      <c r="IB39"/>
      <c r="IC39"/>
      <c r="ID39"/>
      <c r="IE39"/>
      <c r="IF39"/>
      <c r="IG39"/>
    </row>
    <row r="40" spans="1:241" ht="15" customHeight="1" x14ac:dyDescent="0.4">
      <c r="A40" s="143" t="s">
        <v>26</v>
      </c>
      <c r="B40" s="184">
        <v>7324.44</v>
      </c>
      <c r="C40" s="184">
        <v>6378.74</v>
      </c>
      <c r="D40" s="184">
        <v>1969.06</v>
      </c>
      <c r="E40" s="184">
        <v>1973.54</v>
      </c>
      <c r="F40" s="184">
        <v>2138.1</v>
      </c>
      <c r="G40" s="184">
        <v>2210.6400000000003</v>
      </c>
      <c r="H40" s="54"/>
      <c r="I40" s="53">
        <v>2000</v>
      </c>
      <c r="J40" s="53">
        <v>2000</v>
      </c>
      <c r="K40" s="234">
        <f t="shared" si="0"/>
        <v>0</v>
      </c>
      <c r="L40" s="177">
        <v>180.04</v>
      </c>
      <c r="M40" s="177"/>
      <c r="N40" s="177"/>
      <c r="O40" s="177"/>
      <c r="P40" s="177"/>
      <c r="Q40" s="177"/>
      <c r="R40" s="178"/>
      <c r="S40" s="178"/>
      <c r="T40" s="178"/>
      <c r="U40" s="178"/>
      <c r="V40" s="178"/>
      <c r="W40" s="178"/>
      <c r="X40" s="178"/>
      <c r="Y40" s="184">
        <f>SUM(L40:X40)</f>
        <v>180.04</v>
      </c>
      <c r="Z40" s="211">
        <f t="shared" si="2"/>
        <v>9.0020000000000003E-2</v>
      </c>
      <c r="AA40" s="99"/>
      <c r="HX40"/>
      <c r="HY40"/>
      <c r="HZ40"/>
      <c r="IA40"/>
      <c r="IB40"/>
      <c r="IC40"/>
      <c r="ID40"/>
      <c r="IE40"/>
      <c r="IF40"/>
      <c r="IG40"/>
    </row>
    <row r="41" spans="1:241" ht="15" customHeight="1" thickBot="1" x14ac:dyDescent="0.45">
      <c r="A41" s="146" t="s">
        <v>27</v>
      </c>
      <c r="B41" s="184">
        <v>6900</v>
      </c>
      <c r="C41" s="184">
        <v>5395</v>
      </c>
      <c r="D41" s="184">
        <v>0</v>
      </c>
      <c r="E41" s="184">
        <v>13949.94</v>
      </c>
      <c r="F41" s="184">
        <v>7866.74</v>
      </c>
      <c r="G41" s="184">
        <v>4170</v>
      </c>
      <c r="H41" s="55"/>
      <c r="I41" s="159">
        <v>0</v>
      </c>
      <c r="J41" s="159">
        <v>0</v>
      </c>
      <c r="K41" s="234"/>
      <c r="L41" s="185">
        <f>3100+750</f>
        <v>3850</v>
      </c>
      <c r="M41" s="185"/>
      <c r="N41" s="185"/>
      <c r="O41" s="185"/>
      <c r="P41" s="185"/>
      <c r="Q41" s="185"/>
      <c r="R41" s="186"/>
      <c r="S41" s="186"/>
      <c r="T41" s="186"/>
      <c r="U41" s="186"/>
      <c r="V41" s="186"/>
      <c r="W41" s="186"/>
      <c r="X41" s="186"/>
      <c r="Y41" s="184">
        <f>SUM(L41:X41)</f>
        <v>3850</v>
      </c>
      <c r="Z41" s="211"/>
      <c r="AA41" s="99"/>
      <c r="HW41"/>
      <c r="HX41"/>
      <c r="HY41"/>
      <c r="HZ41"/>
      <c r="IA41"/>
      <c r="IB41"/>
      <c r="IC41"/>
      <c r="ID41"/>
      <c r="IE41"/>
      <c r="IF41"/>
      <c r="IG41"/>
    </row>
    <row r="42" spans="1:241" ht="15" customHeight="1" thickBot="1" x14ac:dyDescent="0.45">
      <c r="A42" s="147" t="s">
        <v>28</v>
      </c>
      <c r="B42" s="161">
        <f t="shared" ref="B42:G42" si="23">B16+B29+B37+B38+B39+B40+B41</f>
        <v>5366065.0999999996</v>
      </c>
      <c r="C42" s="161">
        <f t="shared" si="23"/>
        <v>5497756.8900000006</v>
      </c>
      <c r="D42" s="161">
        <f t="shared" si="23"/>
        <v>6049536.0299999984</v>
      </c>
      <c r="E42" s="161">
        <f t="shared" si="23"/>
        <v>6601152.4799999995</v>
      </c>
      <c r="F42" s="161">
        <f t="shared" si="23"/>
        <v>6614588.6899999995</v>
      </c>
      <c r="G42" s="161">
        <f t="shared" si="23"/>
        <v>6403987.2699999986</v>
      </c>
      <c r="H42" s="158"/>
      <c r="I42" s="161">
        <f>I16+I29+I37+I38+I39+I40+I41</f>
        <v>6649373.6697359998</v>
      </c>
      <c r="J42" s="161">
        <f>J16+J29+J37+J38+J39+J40+J41</f>
        <v>6736271.0497359997</v>
      </c>
      <c r="K42" s="235">
        <f>(J42-I42)/I42</f>
        <v>1.3068506045239292E-2</v>
      </c>
      <c r="L42" s="161">
        <f t="shared" ref="L42:Y42" si="24">L16+L29+L37+L38+L39+L40+L41</f>
        <v>326372.83999999997</v>
      </c>
      <c r="M42" s="161">
        <f t="shared" si="24"/>
        <v>0</v>
      </c>
      <c r="N42" s="161">
        <f t="shared" si="24"/>
        <v>0</v>
      </c>
      <c r="O42" s="161">
        <f t="shared" si="24"/>
        <v>0</v>
      </c>
      <c r="P42" s="161">
        <f t="shared" si="24"/>
        <v>0</v>
      </c>
      <c r="Q42" s="161">
        <f t="shared" si="24"/>
        <v>0</v>
      </c>
      <c r="R42" s="161">
        <f t="shared" si="24"/>
        <v>0</v>
      </c>
      <c r="S42" s="161">
        <f t="shared" si="24"/>
        <v>0</v>
      </c>
      <c r="T42" s="161">
        <f t="shared" si="24"/>
        <v>0</v>
      </c>
      <c r="U42" s="161">
        <f t="shared" si="24"/>
        <v>0</v>
      </c>
      <c r="V42" s="161">
        <f t="shared" si="24"/>
        <v>0</v>
      </c>
      <c r="W42" s="161">
        <f t="shared" si="24"/>
        <v>0</v>
      </c>
      <c r="X42" s="161">
        <f t="shared" si="24"/>
        <v>0</v>
      </c>
      <c r="Y42" s="187">
        <f t="shared" si="24"/>
        <v>326372.83999999997</v>
      </c>
      <c r="Z42" s="211">
        <f t="shared" si="2"/>
        <v>4.8450075359243568E-2</v>
      </c>
      <c r="AA42" s="225"/>
      <c r="HW42"/>
      <c r="HX42"/>
      <c r="HY42"/>
      <c r="HZ42"/>
      <c r="IA42"/>
      <c r="IB42"/>
      <c r="IC42"/>
      <c r="ID42"/>
      <c r="IE42"/>
      <c r="IF42"/>
      <c r="IG42"/>
    </row>
    <row r="43" spans="1:241" ht="21.75" customHeight="1" x14ac:dyDescent="0.4">
      <c r="A43" s="148" t="s">
        <v>29</v>
      </c>
      <c r="B43" s="192"/>
      <c r="C43" s="192"/>
      <c r="D43" s="192"/>
      <c r="E43" s="192"/>
      <c r="F43" s="192"/>
      <c r="G43" s="192"/>
      <c r="H43" s="58"/>
      <c r="I43" s="160"/>
      <c r="J43" s="160"/>
      <c r="K43" s="160"/>
      <c r="L43" s="189"/>
      <c r="M43" s="190"/>
      <c r="N43" s="190"/>
      <c r="O43" s="190"/>
      <c r="P43" s="190"/>
      <c r="Q43" s="190"/>
      <c r="R43" s="191"/>
      <c r="S43" s="191"/>
      <c r="T43" s="191"/>
      <c r="U43" s="191"/>
      <c r="V43" s="191"/>
      <c r="W43" s="191"/>
      <c r="X43" s="191"/>
      <c r="Y43" s="192"/>
      <c r="Z43" s="211"/>
      <c r="HW43"/>
      <c r="HX43"/>
      <c r="HY43"/>
      <c r="HZ43"/>
      <c r="IA43"/>
      <c r="IB43"/>
      <c r="IC43"/>
      <c r="ID43"/>
      <c r="IE43"/>
      <c r="IF43"/>
      <c r="IG43"/>
    </row>
    <row r="44" spans="1:241" ht="14.25" customHeight="1" x14ac:dyDescent="0.4">
      <c r="A44" s="142" t="s">
        <v>30</v>
      </c>
      <c r="B44" s="184">
        <v>195000</v>
      </c>
      <c r="C44" s="184">
        <v>204999.96</v>
      </c>
      <c r="D44" s="184">
        <v>214973.1</v>
      </c>
      <c r="E44" s="184">
        <v>220001.96000000008</v>
      </c>
      <c r="F44" s="184">
        <v>230000.03999999992</v>
      </c>
      <c r="G44" s="184">
        <v>240000</v>
      </c>
      <c r="H44" s="123"/>
      <c r="I44" s="53">
        <v>250000</v>
      </c>
      <c r="J44" s="53">
        <v>250000</v>
      </c>
      <c r="K44" s="234">
        <f t="shared" ref="K44:K108" si="25">(J44-I44)/I44</f>
        <v>0</v>
      </c>
      <c r="L44" s="177">
        <v>20833.37</v>
      </c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8"/>
      <c r="Y44" s="184">
        <f t="shared" ref="Y44:Y58" si="26">SUM(L44:X44)</f>
        <v>20833.37</v>
      </c>
      <c r="Z44" s="211">
        <f t="shared" si="2"/>
        <v>8.3333480000000001E-2</v>
      </c>
      <c r="AA44" s="213"/>
      <c r="HW44"/>
      <c r="HX44"/>
      <c r="HY44"/>
      <c r="HZ44"/>
      <c r="IA44"/>
      <c r="IB44"/>
      <c r="IC44"/>
      <c r="ID44"/>
      <c r="IE44"/>
      <c r="IF44"/>
      <c r="IG44"/>
    </row>
    <row r="45" spans="1:241" ht="15" customHeight="1" x14ac:dyDescent="0.4">
      <c r="A45" s="142" t="s">
        <v>31</v>
      </c>
      <c r="B45" s="184">
        <v>574311.18999999994</v>
      </c>
      <c r="C45" s="184">
        <v>564463.23</v>
      </c>
      <c r="D45" s="184">
        <v>555927.5</v>
      </c>
      <c r="E45" s="184">
        <v>547027.19999999995</v>
      </c>
      <c r="F45" s="184">
        <v>537432.94000000018</v>
      </c>
      <c r="G45" s="184">
        <v>520247.73999999987</v>
      </c>
      <c r="H45" s="123"/>
      <c r="I45" s="53">
        <v>522144</v>
      </c>
      <c r="J45" s="53">
        <v>522144</v>
      </c>
      <c r="K45" s="234">
        <f t="shared" si="25"/>
        <v>0</v>
      </c>
      <c r="L45" s="177">
        <f>54068.16-L44-L47</f>
        <v>26084.790000000008</v>
      </c>
      <c r="M45" s="177"/>
      <c r="N45" s="177"/>
      <c r="O45" s="177"/>
      <c r="P45" s="193"/>
      <c r="Q45" s="193"/>
      <c r="R45" s="193"/>
      <c r="S45" s="193"/>
      <c r="T45" s="193"/>
      <c r="U45" s="193"/>
      <c r="V45" s="193"/>
      <c r="W45" s="193"/>
      <c r="X45" s="178"/>
      <c r="Y45" s="184">
        <f t="shared" si="26"/>
        <v>26084.790000000008</v>
      </c>
      <c r="Z45" s="211">
        <f t="shared" si="2"/>
        <v>4.9957080805295109E-2</v>
      </c>
      <c r="HW45"/>
      <c r="HX45"/>
      <c r="HY45"/>
      <c r="HZ45"/>
      <c r="IA45"/>
      <c r="IB45"/>
      <c r="IC45"/>
      <c r="ID45"/>
      <c r="IE45"/>
      <c r="IF45"/>
      <c r="IG45"/>
    </row>
    <row r="46" spans="1:241" ht="15" customHeight="1" x14ac:dyDescent="0.4">
      <c r="A46" s="142" t="s">
        <v>32</v>
      </c>
      <c r="B46" s="184">
        <v>7998.25</v>
      </c>
      <c r="C46" s="184">
        <v>8375.1200000000008</v>
      </c>
      <c r="D46" s="184">
        <v>8552.75</v>
      </c>
      <c r="E46" s="184">
        <v>6942.5</v>
      </c>
      <c r="F46" s="184">
        <v>7270</v>
      </c>
      <c r="G46" s="184">
        <v>5274.5</v>
      </c>
      <c r="H46" s="123"/>
      <c r="I46" s="60">
        <v>8600</v>
      </c>
      <c r="J46" s="60">
        <v>8600</v>
      </c>
      <c r="K46" s="234">
        <f t="shared" si="25"/>
        <v>0</v>
      </c>
      <c r="L46" s="177"/>
      <c r="M46" s="177"/>
      <c r="N46" s="177"/>
      <c r="O46" s="177"/>
      <c r="P46" s="193"/>
      <c r="Q46" s="193"/>
      <c r="R46" s="178"/>
      <c r="S46" s="178"/>
      <c r="T46" s="178"/>
      <c r="U46" s="178"/>
      <c r="V46" s="178"/>
      <c r="W46" s="178"/>
      <c r="X46" s="178"/>
      <c r="Y46" s="184">
        <f t="shared" si="26"/>
        <v>0</v>
      </c>
      <c r="Z46" s="211">
        <f t="shared" si="2"/>
        <v>0</v>
      </c>
      <c r="HW46"/>
      <c r="HX46"/>
      <c r="HY46"/>
      <c r="HZ46"/>
      <c r="IA46"/>
      <c r="IB46"/>
      <c r="IC46"/>
      <c r="ID46"/>
      <c r="IE46"/>
      <c r="IF46"/>
      <c r="IG46"/>
    </row>
    <row r="47" spans="1:241" ht="15" customHeight="1" x14ac:dyDescent="0.4">
      <c r="A47" s="142" t="s">
        <v>33</v>
      </c>
      <c r="B47" s="184">
        <v>71500</v>
      </c>
      <c r="C47" s="184">
        <v>85800</v>
      </c>
      <c r="D47" s="184">
        <v>85800</v>
      </c>
      <c r="E47" s="184">
        <v>85800</v>
      </c>
      <c r="F47" s="184">
        <v>85800</v>
      </c>
      <c r="G47" s="184">
        <v>78650</v>
      </c>
      <c r="H47" s="123"/>
      <c r="I47" s="60">
        <v>85800</v>
      </c>
      <c r="J47" s="60">
        <v>85800</v>
      </c>
      <c r="K47" s="234">
        <f t="shared" si="25"/>
        <v>0</v>
      </c>
      <c r="L47" s="177">
        <v>7150</v>
      </c>
      <c r="M47" s="177"/>
      <c r="N47" s="177"/>
      <c r="O47" s="177"/>
      <c r="P47" s="193"/>
      <c r="Q47" s="193"/>
      <c r="R47" s="178"/>
      <c r="S47" s="178"/>
      <c r="T47" s="178"/>
      <c r="U47" s="178"/>
      <c r="V47" s="178"/>
      <c r="W47" s="178"/>
      <c r="X47" s="178"/>
      <c r="Y47" s="184">
        <f>SUM(L47:X47)</f>
        <v>7150</v>
      </c>
      <c r="Z47" s="211">
        <f t="shared" si="2"/>
        <v>8.3333333333333329E-2</v>
      </c>
      <c r="AA47" s="99"/>
      <c r="HW47"/>
      <c r="HX47"/>
      <c r="HY47"/>
      <c r="HZ47"/>
      <c r="IA47"/>
      <c r="IB47"/>
      <c r="IC47"/>
      <c r="ID47"/>
      <c r="IE47"/>
      <c r="IF47"/>
      <c r="IG47"/>
    </row>
    <row r="48" spans="1:241" ht="15" customHeight="1" x14ac:dyDescent="0.4">
      <c r="A48" s="142" t="s">
        <v>34</v>
      </c>
      <c r="B48" s="184">
        <v>189658.41</v>
      </c>
      <c r="C48" s="184">
        <v>22258.989999999998</v>
      </c>
      <c r="D48" s="184">
        <v>640716.71</v>
      </c>
      <c r="E48" s="184">
        <v>61039.42</v>
      </c>
      <c r="F48" s="184">
        <v>30862</v>
      </c>
      <c r="G48" s="184">
        <v>7450</v>
      </c>
      <c r="H48" s="123"/>
      <c r="I48" s="60">
        <v>0</v>
      </c>
      <c r="J48" s="60">
        <v>0</v>
      </c>
      <c r="K48" s="234"/>
      <c r="L48" s="177"/>
      <c r="M48" s="177"/>
      <c r="N48" s="177"/>
      <c r="O48" s="177"/>
      <c r="P48" s="193"/>
      <c r="Q48" s="193"/>
      <c r="R48" s="178"/>
      <c r="S48" s="178"/>
      <c r="T48" s="178"/>
      <c r="U48" s="178"/>
      <c r="V48" s="178"/>
      <c r="W48" s="178"/>
      <c r="X48" s="178"/>
      <c r="Y48" s="184">
        <f t="shared" si="26"/>
        <v>0</v>
      </c>
      <c r="Z48" s="211"/>
      <c r="AA48" s="99"/>
      <c r="HW48"/>
      <c r="HX48"/>
      <c r="HY48"/>
      <c r="HZ48"/>
      <c r="IA48"/>
      <c r="IB48"/>
      <c r="IC48"/>
      <c r="ID48"/>
      <c r="IE48"/>
      <c r="IF48"/>
      <c r="IG48"/>
    </row>
    <row r="49" spans="1:241" ht="15" customHeight="1" x14ac:dyDescent="0.4">
      <c r="A49" s="149" t="s">
        <v>35</v>
      </c>
      <c r="B49" s="184"/>
      <c r="C49" s="184"/>
      <c r="D49" s="184"/>
      <c r="E49" s="184"/>
      <c r="F49" s="184"/>
      <c r="G49" s="184"/>
      <c r="H49" s="123"/>
      <c r="I49" s="60"/>
      <c r="J49" s="60"/>
      <c r="K49" s="234"/>
      <c r="L49" s="177"/>
      <c r="M49" s="177"/>
      <c r="N49" s="177"/>
      <c r="O49" s="177"/>
      <c r="P49" s="193"/>
      <c r="Q49" s="193"/>
      <c r="R49" s="178"/>
      <c r="S49" s="178"/>
      <c r="T49" s="178"/>
      <c r="U49" s="178"/>
      <c r="V49" s="178"/>
      <c r="W49" s="178"/>
      <c r="X49" s="178"/>
      <c r="Y49" s="184"/>
      <c r="Z49" s="211"/>
      <c r="HW49"/>
      <c r="HX49"/>
      <c r="HY49"/>
      <c r="HZ49"/>
      <c r="IA49"/>
      <c r="IB49"/>
      <c r="IC49"/>
      <c r="ID49"/>
      <c r="IE49"/>
      <c r="IF49"/>
      <c r="IG49"/>
    </row>
    <row r="50" spans="1:241" ht="15" customHeight="1" x14ac:dyDescent="0.4">
      <c r="A50" s="142" t="s">
        <v>36</v>
      </c>
      <c r="B50" s="184">
        <v>80316.12</v>
      </c>
      <c r="C50" s="184">
        <v>71366.210000000006</v>
      </c>
      <c r="D50" s="184">
        <v>63724.43</v>
      </c>
      <c r="E50" s="184">
        <v>72348.959999999992</v>
      </c>
      <c r="F50" s="184">
        <v>89458.73000000001</v>
      </c>
      <c r="G50" s="184">
        <v>100443.86000000002</v>
      </c>
      <c r="H50" s="123"/>
      <c r="I50" s="53">
        <v>90000</v>
      </c>
      <c r="J50" s="53">
        <v>90000</v>
      </c>
      <c r="K50" s="234">
        <f t="shared" si="25"/>
        <v>0</v>
      </c>
      <c r="L50" s="176">
        <v>6505.01</v>
      </c>
      <c r="M50" s="193"/>
      <c r="N50" s="177"/>
      <c r="O50" s="177"/>
      <c r="P50" s="193"/>
      <c r="Q50" s="193"/>
      <c r="R50" s="178"/>
      <c r="S50" s="178"/>
      <c r="T50" s="178"/>
      <c r="U50" s="178"/>
      <c r="V50" s="178"/>
      <c r="W50" s="178"/>
      <c r="X50" s="178"/>
      <c r="Y50" s="184">
        <f t="shared" si="26"/>
        <v>6505.01</v>
      </c>
      <c r="Z50" s="211">
        <f t="shared" si="2"/>
        <v>7.2277888888888892E-2</v>
      </c>
      <c r="AA50" s="99"/>
      <c r="HW50"/>
      <c r="HX50"/>
      <c r="HY50"/>
      <c r="HZ50"/>
      <c r="IA50"/>
      <c r="IB50"/>
      <c r="IC50"/>
      <c r="ID50"/>
      <c r="IE50"/>
      <c r="IF50"/>
      <c r="IG50"/>
    </row>
    <row r="51" spans="1:241" ht="15" customHeight="1" x14ac:dyDescent="0.4">
      <c r="A51" s="142" t="s">
        <v>55</v>
      </c>
      <c r="B51" s="184">
        <v>2396.5300000000002</v>
      </c>
      <c r="C51" s="184">
        <v>2543.75</v>
      </c>
      <c r="D51" s="184">
        <v>2708.31</v>
      </c>
      <c r="E51" s="184">
        <v>4806.1899999999987</v>
      </c>
      <c r="F51" s="184">
        <v>3168.2400000000002</v>
      </c>
      <c r="G51" s="184">
        <v>3500.02</v>
      </c>
      <c r="H51" s="123"/>
      <c r="I51" s="53">
        <v>4010.88</v>
      </c>
      <c r="J51" s="53">
        <v>4010.88</v>
      </c>
      <c r="K51" s="234">
        <f t="shared" si="25"/>
        <v>0</v>
      </c>
      <c r="L51" s="177">
        <v>90.48</v>
      </c>
      <c r="M51" s="177"/>
      <c r="N51" s="177"/>
      <c r="O51" s="177"/>
      <c r="P51" s="193"/>
      <c r="Q51" s="193"/>
      <c r="R51" s="178"/>
      <c r="S51" s="178"/>
      <c r="T51" s="178"/>
      <c r="U51" s="178"/>
      <c r="V51" s="178"/>
      <c r="W51" s="178"/>
      <c r="X51" s="178"/>
      <c r="Y51" s="184">
        <f t="shared" si="26"/>
        <v>90.48</v>
      </c>
      <c r="Z51" s="211">
        <f t="shared" si="2"/>
        <v>2.255864049784586E-2</v>
      </c>
      <c r="HW51"/>
      <c r="HX51"/>
      <c r="HY51"/>
      <c r="HZ51"/>
      <c r="IA51"/>
      <c r="IB51"/>
      <c r="IC51"/>
      <c r="ID51"/>
      <c r="IE51"/>
      <c r="IF51"/>
      <c r="IG51"/>
    </row>
    <row r="52" spans="1:241" ht="15" customHeight="1" x14ac:dyDescent="0.4">
      <c r="A52" s="142" t="s">
        <v>117</v>
      </c>
      <c r="B52" s="184">
        <f>141017.65-B53-B55-B56-B57-B58</f>
        <v>62732.239999999976</v>
      </c>
      <c r="C52" s="184">
        <f>161590.83-C53-C55-C56-C57-C58</f>
        <v>50490.789999999994</v>
      </c>
      <c r="D52" s="184">
        <f>111671.9-D53-D55-D56-D57-D58</f>
        <v>38330.709999999977</v>
      </c>
      <c r="E52" s="184">
        <f>238698.98-E53-E55-E56-E57-E58</f>
        <v>107172.44000000003</v>
      </c>
      <c r="F52" s="184">
        <f>265948.33-F53-F55-F56-F57-F58</f>
        <v>135488.13000000003</v>
      </c>
      <c r="G52" s="184">
        <v>44988.119999999995</v>
      </c>
      <c r="H52" s="123"/>
      <c r="I52" s="53">
        <v>53000</v>
      </c>
      <c r="J52" s="53">
        <v>53000</v>
      </c>
      <c r="K52" s="234">
        <f t="shared" si="25"/>
        <v>0</v>
      </c>
      <c r="L52" s="176">
        <v>308</v>
      </c>
      <c r="M52" s="177"/>
      <c r="N52" s="177"/>
      <c r="O52" s="177"/>
      <c r="P52" s="193"/>
      <c r="Q52" s="193"/>
      <c r="R52" s="178"/>
      <c r="S52" s="178"/>
      <c r="T52" s="178"/>
      <c r="U52" s="178"/>
      <c r="V52" s="178"/>
      <c r="W52" s="178"/>
      <c r="X52" s="178"/>
      <c r="Y52" s="184">
        <f t="shared" si="26"/>
        <v>308</v>
      </c>
      <c r="Z52" s="211">
        <f t="shared" si="2"/>
        <v>5.8113207547169808E-3</v>
      </c>
      <c r="HW52"/>
      <c r="HX52"/>
      <c r="HY52"/>
      <c r="HZ52"/>
      <c r="IA52"/>
      <c r="IB52"/>
      <c r="IC52"/>
      <c r="ID52"/>
      <c r="IE52"/>
      <c r="IF52"/>
      <c r="IG52"/>
    </row>
    <row r="53" spans="1:241" ht="15" customHeight="1" x14ac:dyDescent="0.4">
      <c r="A53" s="142" t="s">
        <v>125</v>
      </c>
      <c r="B53" s="184">
        <v>9869.11</v>
      </c>
      <c r="C53" s="184">
        <v>7344.57</v>
      </c>
      <c r="D53" s="184">
        <v>968.72</v>
      </c>
      <c r="E53" s="184">
        <f>1316.72+17432.11</f>
        <v>18748.830000000002</v>
      </c>
      <c r="F53" s="184">
        <v>23954.37</v>
      </c>
      <c r="G53" s="184">
        <v>16859.140000000003</v>
      </c>
      <c r="H53" s="123"/>
      <c r="I53" s="53">
        <v>24000</v>
      </c>
      <c r="J53" s="53">
        <v>24000</v>
      </c>
      <c r="K53" s="234">
        <f t="shared" si="25"/>
        <v>0</v>
      </c>
      <c r="L53" s="176">
        <v>505.86</v>
      </c>
      <c r="M53" s="177"/>
      <c r="N53" s="177"/>
      <c r="O53" s="177"/>
      <c r="P53" s="193"/>
      <c r="Q53" s="193"/>
      <c r="R53" s="178"/>
      <c r="S53" s="178"/>
      <c r="T53" s="178"/>
      <c r="U53" s="178"/>
      <c r="V53" s="178"/>
      <c r="W53" s="178"/>
      <c r="X53" s="178"/>
      <c r="Y53" s="184">
        <f t="shared" si="26"/>
        <v>505.86</v>
      </c>
      <c r="Z53" s="211">
        <f t="shared" si="2"/>
        <v>2.1077499999999999E-2</v>
      </c>
      <c r="HW53"/>
      <c r="HX53"/>
      <c r="HY53"/>
      <c r="HZ53"/>
      <c r="IA53"/>
      <c r="IB53"/>
      <c r="IC53"/>
      <c r="ID53"/>
      <c r="IE53"/>
      <c r="IF53"/>
      <c r="IG53"/>
    </row>
    <row r="54" spans="1:241" ht="15" customHeight="1" x14ac:dyDescent="0.4">
      <c r="A54" s="142" t="s">
        <v>162</v>
      </c>
      <c r="B54" s="184"/>
      <c r="C54" s="184"/>
      <c r="D54" s="184"/>
      <c r="E54" s="184"/>
      <c r="F54" s="184"/>
      <c r="G54" s="184">
        <v>0</v>
      </c>
      <c r="H54" s="123"/>
      <c r="I54" s="60"/>
      <c r="J54" s="60"/>
      <c r="K54" s="234"/>
      <c r="L54" s="177"/>
      <c r="M54" s="177"/>
      <c r="N54" s="177"/>
      <c r="O54" s="177"/>
      <c r="P54" s="193"/>
      <c r="Q54" s="193"/>
      <c r="R54" s="178"/>
      <c r="S54" s="178"/>
      <c r="T54" s="178"/>
      <c r="U54" s="178"/>
      <c r="V54" s="178"/>
      <c r="W54" s="178"/>
      <c r="X54" s="178"/>
      <c r="Y54" s="184">
        <f t="shared" si="26"/>
        <v>0</v>
      </c>
      <c r="Z54" s="211"/>
      <c r="HW54"/>
      <c r="HX54"/>
      <c r="HY54"/>
      <c r="HZ54"/>
      <c r="IA54"/>
      <c r="IB54"/>
      <c r="IC54"/>
      <c r="ID54"/>
      <c r="IE54"/>
      <c r="IF54"/>
      <c r="IG54"/>
    </row>
    <row r="55" spans="1:241" ht="15" customHeight="1" x14ac:dyDescent="0.4">
      <c r="A55" s="150" t="s">
        <v>154</v>
      </c>
      <c r="B55" s="184">
        <v>32000</v>
      </c>
      <c r="C55" s="184">
        <f>65547-C56</f>
        <v>50489.49</v>
      </c>
      <c r="D55" s="184">
        <f>47931+4660-D56</f>
        <v>51800</v>
      </c>
      <c r="E55" s="184">
        <f>62820.33+27400</f>
        <v>90220.33</v>
      </c>
      <c r="F55" s="184">
        <f>76546.83-F56</f>
        <v>66579.03</v>
      </c>
      <c r="G55" s="184">
        <v>88772.04</v>
      </c>
      <c r="H55" s="123"/>
      <c r="I55" s="60">
        <v>88772</v>
      </c>
      <c r="J55" s="60">
        <v>88772</v>
      </c>
      <c r="K55" s="234">
        <f t="shared" si="25"/>
        <v>0</v>
      </c>
      <c r="L55" s="176"/>
      <c r="M55" s="177"/>
      <c r="N55" s="177"/>
      <c r="O55" s="177"/>
      <c r="P55" s="193"/>
      <c r="Q55" s="193"/>
      <c r="R55" s="178"/>
      <c r="S55" s="178"/>
      <c r="T55" s="178"/>
      <c r="U55" s="178"/>
      <c r="V55" s="178"/>
      <c r="W55" s="178"/>
      <c r="X55" s="178"/>
      <c r="Y55" s="184">
        <f t="shared" si="26"/>
        <v>0</v>
      </c>
      <c r="Z55" s="211">
        <f t="shared" si="2"/>
        <v>0</v>
      </c>
      <c r="AA55" s="99"/>
      <c r="HW55"/>
      <c r="HX55"/>
      <c r="HY55"/>
      <c r="HZ55"/>
      <c r="IA55"/>
      <c r="IB55"/>
      <c r="IC55"/>
      <c r="ID55"/>
      <c r="IE55"/>
      <c r="IF55"/>
      <c r="IG55"/>
    </row>
    <row r="56" spans="1:241" ht="15" customHeight="1" x14ac:dyDescent="0.4">
      <c r="A56" s="150" t="s">
        <v>120</v>
      </c>
      <c r="B56" s="184">
        <v>4622.5</v>
      </c>
      <c r="C56" s="184">
        <v>15057.51</v>
      </c>
      <c r="D56" s="184">
        <v>791</v>
      </c>
      <c r="E56" s="184"/>
      <c r="F56" s="184">
        <f>2483.6+3742.2+3742</f>
        <v>9967.7999999999993</v>
      </c>
      <c r="G56" s="184">
        <v>6225.8</v>
      </c>
      <c r="H56" s="123"/>
      <c r="I56" s="60">
        <v>12450</v>
      </c>
      <c r="J56" s="60">
        <v>12450</v>
      </c>
      <c r="K56" s="234">
        <f t="shared" si="25"/>
        <v>0</v>
      </c>
      <c r="L56" s="177"/>
      <c r="M56" s="177"/>
      <c r="N56" s="177"/>
      <c r="O56" s="177"/>
      <c r="P56" s="193"/>
      <c r="Q56" s="193"/>
      <c r="R56" s="178"/>
      <c r="S56" s="178"/>
      <c r="T56" s="178"/>
      <c r="U56" s="178"/>
      <c r="V56" s="178"/>
      <c r="W56" s="178"/>
      <c r="X56" s="178"/>
      <c r="Y56" s="184">
        <f t="shared" si="26"/>
        <v>0</v>
      </c>
      <c r="Z56" s="211">
        <f t="shared" si="2"/>
        <v>0</v>
      </c>
      <c r="HW56"/>
      <c r="HX56"/>
      <c r="HY56"/>
      <c r="HZ56"/>
      <c r="IA56"/>
      <c r="IB56"/>
      <c r="IC56"/>
      <c r="ID56"/>
      <c r="IE56"/>
      <c r="IF56"/>
      <c r="IG56"/>
    </row>
    <row r="57" spans="1:241" ht="15" customHeight="1" x14ac:dyDescent="0.4">
      <c r="A57" s="150" t="s">
        <v>119</v>
      </c>
      <c r="B57" s="184">
        <f>22873.54-647.5-2002.6</f>
        <v>20223.440000000002</v>
      </c>
      <c r="C57" s="184">
        <f>47013.63-19000</f>
        <v>28013.629999999997</v>
      </c>
      <c r="D57" s="184">
        <f>217012.95-79551-124704</f>
        <v>12757.950000000012</v>
      </c>
      <c r="E57" s="184">
        <v>14170.23</v>
      </c>
      <c r="F57" s="184">
        <v>18659</v>
      </c>
      <c r="G57" s="184">
        <v>25135.910000000003</v>
      </c>
      <c r="H57" s="123"/>
      <c r="I57" s="60">
        <v>9856</v>
      </c>
      <c r="J57" s="60">
        <v>9856</v>
      </c>
      <c r="K57" s="234">
        <f t="shared" si="25"/>
        <v>0</v>
      </c>
      <c r="L57" s="176">
        <v>2464</v>
      </c>
      <c r="M57" s="177"/>
      <c r="N57" s="177"/>
      <c r="O57" s="176"/>
      <c r="P57" s="193"/>
      <c r="Q57" s="193"/>
      <c r="R57" s="178"/>
      <c r="S57" s="178"/>
      <c r="T57" s="178"/>
      <c r="U57" s="178"/>
      <c r="V57" s="178"/>
      <c r="W57" s="178"/>
      <c r="X57" s="178"/>
      <c r="Y57" s="184">
        <f t="shared" si="26"/>
        <v>2464</v>
      </c>
      <c r="Z57" s="211">
        <f t="shared" si="2"/>
        <v>0.25</v>
      </c>
      <c r="HW57"/>
      <c r="HX57"/>
      <c r="HY57"/>
      <c r="HZ57"/>
      <c r="IA57"/>
      <c r="IB57"/>
      <c r="IC57"/>
      <c r="ID57"/>
      <c r="IE57"/>
      <c r="IF57"/>
      <c r="IG57"/>
    </row>
    <row r="58" spans="1:241" ht="15" customHeight="1" x14ac:dyDescent="0.4">
      <c r="A58" s="150" t="s">
        <v>118</v>
      </c>
      <c r="B58" s="184">
        <v>11570.36</v>
      </c>
      <c r="C58" s="184">
        <v>10194.84</v>
      </c>
      <c r="D58" s="184">
        <v>7023.52</v>
      </c>
      <c r="E58" s="184">
        <v>8387.15</v>
      </c>
      <c r="F58" s="184">
        <v>11300</v>
      </c>
      <c r="G58" s="184">
        <v>15610</v>
      </c>
      <c r="H58" s="123"/>
      <c r="I58" s="60">
        <v>12000</v>
      </c>
      <c r="J58" s="60">
        <v>12000</v>
      </c>
      <c r="K58" s="234">
        <f t="shared" si="25"/>
        <v>0</v>
      </c>
      <c r="L58" s="176"/>
      <c r="M58" s="177"/>
      <c r="N58" s="177"/>
      <c r="O58" s="177"/>
      <c r="P58" s="193"/>
      <c r="Q58" s="193"/>
      <c r="R58" s="177"/>
      <c r="S58" s="177"/>
      <c r="T58" s="177"/>
      <c r="U58" s="177"/>
      <c r="V58" s="177"/>
      <c r="W58" s="177"/>
      <c r="X58" s="177"/>
      <c r="Y58" s="184">
        <f t="shared" si="26"/>
        <v>0</v>
      </c>
      <c r="Z58" s="243">
        <f t="shared" si="2"/>
        <v>0</v>
      </c>
      <c r="AA58" s="99"/>
      <c r="AB58" s="284"/>
      <c r="HW58"/>
      <c r="HX58"/>
      <c r="HY58"/>
      <c r="HZ58"/>
      <c r="IA58"/>
      <c r="IB58"/>
      <c r="IC58"/>
      <c r="ID58"/>
      <c r="IE58"/>
      <c r="IF58"/>
      <c r="IG58"/>
    </row>
    <row r="59" spans="1:241" ht="15" customHeight="1" x14ac:dyDescent="0.4">
      <c r="A59" s="142" t="s">
        <v>37</v>
      </c>
      <c r="B59" s="194">
        <f t="shared" ref="B59:G59" si="27">SUM(B50:B58)</f>
        <v>223730.29999999993</v>
      </c>
      <c r="C59" s="194">
        <f t="shared" si="27"/>
        <v>235500.79</v>
      </c>
      <c r="D59" s="194">
        <f t="shared" si="27"/>
        <v>178104.63999999998</v>
      </c>
      <c r="E59" s="194">
        <f t="shared" si="27"/>
        <v>315854.13000000006</v>
      </c>
      <c r="F59" s="194">
        <f t="shared" si="27"/>
        <v>358575.3</v>
      </c>
      <c r="G59" s="194">
        <f t="shared" si="27"/>
        <v>301534.89</v>
      </c>
      <c r="H59" s="123"/>
      <c r="I59" s="96">
        <f>SUM(I50:I58)</f>
        <v>294088.88</v>
      </c>
      <c r="J59" s="96">
        <f>SUM(J50:J58)</f>
        <v>294088.88</v>
      </c>
      <c r="K59" s="234">
        <f t="shared" si="25"/>
        <v>0</v>
      </c>
      <c r="L59" s="194">
        <f t="shared" ref="L59:Y59" si="28">SUM(L50:L58)</f>
        <v>9873.3499999999985</v>
      </c>
      <c r="M59" s="194">
        <f t="shared" si="28"/>
        <v>0</v>
      </c>
      <c r="N59" s="194">
        <f t="shared" si="28"/>
        <v>0</v>
      </c>
      <c r="O59" s="194">
        <f t="shared" si="28"/>
        <v>0</v>
      </c>
      <c r="P59" s="238">
        <f t="shared" si="28"/>
        <v>0</v>
      </c>
      <c r="Q59" s="238">
        <f t="shared" si="28"/>
        <v>0</v>
      </c>
      <c r="R59" s="194">
        <f t="shared" si="28"/>
        <v>0</v>
      </c>
      <c r="S59" s="194">
        <f t="shared" si="28"/>
        <v>0</v>
      </c>
      <c r="T59" s="194">
        <f t="shared" si="28"/>
        <v>0</v>
      </c>
      <c r="U59" s="194">
        <f t="shared" si="28"/>
        <v>0</v>
      </c>
      <c r="V59" s="194">
        <f t="shared" si="28"/>
        <v>0</v>
      </c>
      <c r="W59" s="194">
        <f t="shared" si="28"/>
        <v>0</v>
      </c>
      <c r="X59" s="194">
        <f t="shared" si="28"/>
        <v>0</v>
      </c>
      <c r="Y59" s="195">
        <f t="shared" si="28"/>
        <v>9873.3499999999985</v>
      </c>
      <c r="Z59" s="211">
        <f t="shared" si="2"/>
        <v>3.3572673676066901E-2</v>
      </c>
      <c r="HW59"/>
      <c r="HX59"/>
      <c r="HY59"/>
      <c r="HZ59"/>
      <c r="IA59"/>
      <c r="IB59"/>
      <c r="IC59"/>
      <c r="ID59"/>
      <c r="IE59"/>
      <c r="IF59"/>
      <c r="IG59"/>
    </row>
    <row r="60" spans="1:241" ht="15" customHeight="1" x14ac:dyDescent="0.4">
      <c r="A60" s="149" t="s">
        <v>173</v>
      </c>
      <c r="B60" s="184"/>
      <c r="C60" s="184"/>
      <c r="D60" s="184"/>
      <c r="E60" s="184"/>
      <c r="F60" s="184"/>
      <c r="G60" s="184"/>
      <c r="H60" s="124"/>
      <c r="I60" s="60"/>
      <c r="J60" s="60"/>
      <c r="K60" s="234"/>
      <c r="L60" s="177"/>
      <c r="M60" s="177"/>
      <c r="N60" s="177"/>
      <c r="O60" s="177"/>
      <c r="P60" s="193"/>
      <c r="Q60" s="193"/>
      <c r="R60" s="177"/>
      <c r="S60" s="177"/>
      <c r="T60" s="177"/>
      <c r="U60" s="177"/>
      <c r="V60" s="177"/>
      <c r="W60" s="177"/>
      <c r="X60" s="177"/>
      <c r="Y60" s="184"/>
      <c r="Z60" s="211"/>
      <c r="HW60"/>
      <c r="HX60"/>
      <c r="HY60"/>
      <c r="HZ60"/>
      <c r="IA60"/>
      <c r="IB60"/>
      <c r="IC60"/>
      <c r="ID60"/>
      <c r="IE60"/>
      <c r="IF60"/>
      <c r="IG60"/>
    </row>
    <row r="61" spans="1:241" ht="14.5" customHeight="1" x14ac:dyDescent="0.4">
      <c r="A61" s="142" t="s">
        <v>38</v>
      </c>
      <c r="B61" s="184">
        <v>2731289.85</v>
      </c>
      <c r="C61" s="184">
        <v>2933320.2</v>
      </c>
      <c r="D61" s="184">
        <v>2926511.41</v>
      </c>
      <c r="E61" s="184">
        <v>3279036.3100000005</v>
      </c>
      <c r="F61" s="184">
        <v>3361910.5199999996</v>
      </c>
      <c r="G61" s="184">
        <v>3539748.8400000003</v>
      </c>
      <c r="H61" s="123"/>
      <c r="I61" s="53">
        <v>3718865</v>
      </c>
      <c r="J61" s="280">
        <v>3687056.54</v>
      </c>
      <c r="K61" s="234">
        <f t="shared" si="25"/>
        <v>-8.5532709576712149E-3</v>
      </c>
      <c r="L61" s="176">
        <v>267989.34999999998</v>
      </c>
      <c r="M61" s="177"/>
      <c r="N61" s="177"/>
      <c r="O61" s="177"/>
      <c r="P61" s="193"/>
      <c r="Q61" s="193"/>
      <c r="R61" s="177"/>
      <c r="S61" s="177"/>
      <c r="T61" s="177"/>
      <c r="U61" s="177"/>
      <c r="V61" s="177"/>
      <c r="W61" s="177"/>
      <c r="X61" s="177"/>
      <c r="Y61" s="184">
        <f t="shared" ref="Y61:Y70" si="29">SUM(L61:X61)</f>
        <v>267989.34999999998</v>
      </c>
      <c r="Z61" s="211">
        <f t="shared" si="2"/>
        <v>7.2683818946806811E-2</v>
      </c>
      <c r="AA61" s="225" t="s">
        <v>222</v>
      </c>
      <c r="HW61"/>
      <c r="HX61"/>
      <c r="HY61"/>
      <c r="HZ61"/>
      <c r="IA61"/>
      <c r="IB61"/>
      <c r="IC61"/>
      <c r="ID61"/>
      <c r="IE61"/>
      <c r="IF61"/>
      <c r="IG61"/>
    </row>
    <row r="62" spans="1:241" ht="14.5" customHeight="1" x14ac:dyDescent="0.4">
      <c r="A62" s="142" t="s">
        <v>39</v>
      </c>
      <c r="B62" s="184">
        <v>83281.350000000006</v>
      </c>
      <c r="C62" s="184">
        <v>55930</v>
      </c>
      <c r="D62" s="184">
        <v>56292.800000000003</v>
      </c>
      <c r="E62" s="184">
        <v>121090</v>
      </c>
      <c r="F62" s="184">
        <v>88380</v>
      </c>
      <c r="G62" s="184">
        <v>122410</v>
      </c>
      <c r="H62" s="123"/>
      <c r="I62" s="53">
        <v>75000</v>
      </c>
      <c r="J62" s="53">
        <v>75000</v>
      </c>
      <c r="K62" s="234">
        <f t="shared" si="25"/>
        <v>0</v>
      </c>
      <c r="L62" s="176"/>
      <c r="M62" s="177"/>
      <c r="N62" s="177"/>
      <c r="O62" s="177"/>
      <c r="P62" s="193"/>
      <c r="Q62" s="193"/>
      <c r="R62" s="177"/>
      <c r="S62" s="177"/>
      <c r="T62" s="177"/>
      <c r="U62" s="177"/>
      <c r="V62" s="177"/>
      <c r="W62" s="177"/>
      <c r="X62" s="177"/>
      <c r="Y62" s="184">
        <f t="shared" si="29"/>
        <v>0</v>
      </c>
      <c r="Z62" s="243">
        <f t="shared" si="2"/>
        <v>0</v>
      </c>
      <c r="AA62" s="248"/>
      <c r="HW62"/>
      <c r="HX62"/>
      <c r="HY62"/>
      <c r="HZ62"/>
      <c r="IA62"/>
      <c r="IB62"/>
      <c r="IC62"/>
      <c r="ID62"/>
      <c r="IE62"/>
      <c r="IF62"/>
      <c r="IG62"/>
    </row>
    <row r="63" spans="1:241" ht="15" customHeight="1" x14ac:dyDescent="0.4">
      <c r="A63" s="142" t="s">
        <v>41</v>
      </c>
      <c r="B63" s="184">
        <v>2984.5</v>
      </c>
      <c r="C63" s="184">
        <v>5123.5</v>
      </c>
      <c r="D63" s="184">
        <v>8241</v>
      </c>
      <c r="E63" s="184">
        <v>2497</v>
      </c>
      <c r="F63" s="184">
        <v>0</v>
      </c>
      <c r="G63" s="184">
        <v>0</v>
      </c>
      <c r="H63" s="123"/>
      <c r="I63" s="60">
        <v>5400</v>
      </c>
      <c r="J63" s="60">
        <v>5400</v>
      </c>
      <c r="K63" s="234">
        <f t="shared" si="25"/>
        <v>0</v>
      </c>
      <c r="L63" s="177"/>
      <c r="M63" s="177"/>
      <c r="N63" s="177"/>
      <c r="O63" s="177"/>
      <c r="P63" s="193"/>
      <c r="Q63" s="193"/>
      <c r="R63" s="177"/>
      <c r="S63" s="177"/>
      <c r="T63" s="177"/>
      <c r="U63" s="177"/>
      <c r="V63" s="177"/>
      <c r="W63" s="177"/>
      <c r="X63" s="177"/>
      <c r="Y63" s="184">
        <f t="shared" si="29"/>
        <v>0</v>
      </c>
      <c r="Z63" s="211"/>
      <c r="AA63" s="242"/>
      <c r="AB63" s="284"/>
      <c r="AC63" s="284"/>
      <c r="AD63" s="284"/>
      <c r="HW63"/>
      <c r="HX63"/>
      <c r="HY63"/>
      <c r="HZ63"/>
      <c r="IA63"/>
      <c r="IB63"/>
      <c r="IC63"/>
      <c r="ID63"/>
      <c r="IE63"/>
      <c r="IF63"/>
      <c r="IG63"/>
    </row>
    <row r="64" spans="1:241" ht="15" customHeight="1" x14ac:dyDescent="0.4">
      <c r="A64" s="142" t="s">
        <v>42</v>
      </c>
      <c r="B64" s="184">
        <v>251998.25</v>
      </c>
      <c r="C64" s="184">
        <v>261890.76</v>
      </c>
      <c r="D64" s="184">
        <v>259994.68999999997</v>
      </c>
      <c r="E64" s="184">
        <v>317760.71000000002</v>
      </c>
      <c r="F64" s="184">
        <v>327317.78999999998</v>
      </c>
      <c r="G64" s="184">
        <v>374542.62</v>
      </c>
      <c r="H64" s="123"/>
      <c r="I64" s="53">
        <v>422513.64341999998</v>
      </c>
      <c r="J64" s="53">
        <v>422513.64341999998</v>
      </c>
      <c r="K64" s="234">
        <f t="shared" si="25"/>
        <v>0</v>
      </c>
      <c r="L64" s="176">
        <v>35020.18</v>
      </c>
      <c r="M64" s="177"/>
      <c r="N64" s="177"/>
      <c r="O64" s="176"/>
      <c r="P64" s="193"/>
      <c r="Q64" s="193"/>
      <c r="R64" s="177"/>
      <c r="S64" s="177"/>
      <c r="T64" s="177"/>
      <c r="U64" s="177"/>
      <c r="V64" s="177"/>
      <c r="W64" s="177"/>
      <c r="X64" s="177"/>
      <c r="Y64" s="184">
        <f t="shared" si="29"/>
        <v>35020.18</v>
      </c>
      <c r="Z64" s="211">
        <f t="shared" si="2"/>
        <v>8.2885323457326007E-2</v>
      </c>
      <c r="AA64" s="247"/>
      <c r="HW64"/>
      <c r="HX64"/>
      <c r="HY64"/>
      <c r="HZ64"/>
      <c r="IA64"/>
      <c r="IB64"/>
      <c r="IC64"/>
      <c r="ID64"/>
      <c r="IE64"/>
      <c r="IF64"/>
      <c r="IG64"/>
    </row>
    <row r="65" spans="1:241" ht="15" customHeight="1" x14ac:dyDescent="0.4">
      <c r="A65" s="142" t="s">
        <v>43</v>
      </c>
      <c r="B65" s="184">
        <v>74022.78</v>
      </c>
      <c r="C65" s="184">
        <v>70871.360000000001</v>
      </c>
      <c r="D65" s="184">
        <v>62706.33</v>
      </c>
      <c r="E65" s="184">
        <v>60694.369999999988</v>
      </c>
      <c r="F65" s="184">
        <v>50494.31</v>
      </c>
      <c r="G65" s="184">
        <v>56791.780000000006</v>
      </c>
      <c r="H65" s="123"/>
      <c r="I65" s="53">
        <v>72517.867500000008</v>
      </c>
      <c r="J65" s="53">
        <v>72517.867500000008</v>
      </c>
      <c r="K65" s="234">
        <f t="shared" si="25"/>
        <v>0</v>
      </c>
      <c r="L65" s="176">
        <v>4642.01</v>
      </c>
      <c r="M65" s="177"/>
      <c r="N65" s="177"/>
      <c r="O65" s="177"/>
      <c r="P65" s="193"/>
      <c r="Q65" s="193"/>
      <c r="R65" s="177"/>
      <c r="S65" s="177"/>
      <c r="T65" s="177"/>
      <c r="U65" s="177"/>
      <c r="V65" s="177"/>
      <c r="W65" s="177"/>
      <c r="X65" s="177"/>
      <c r="Y65" s="184">
        <f t="shared" si="29"/>
        <v>4642.01</v>
      </c>
      <c r="Z65" s="211">
        <f>Y65/J65</f>
        <v>6.4011948503587754E-2</v>
      </c>
      <c r="AA65" s="224"/>
      <c r="HW65"/>
      <c r="HX65"/>
      <c r="HY65"/>
      <c r="HZ65"/>
      <c r="IA65"/>
      <c r="IB65"/>
      <c r="IC65"/>
      <c r="ID65"/>
      <c r="IE65"/>
      <c r="IF65"/>
      <c r="IG65"/>
    </row>
    <row r="66" spans="1:241" ht="15" customHeight="1" x14ac:dyDescent="0.4">
      <c r="A66" s="142" t="s">
        <v>44</v>
      </c>
      <c r="B66" s="184">
        <v>221645.64</v>
      </c>
      <c r="C66" s="184">
        <v>223003.15</v>
      </c>
      <c r="D66" s="184">
        <v>222140.75000000003</v>
      </c>
      <c r="E66" s="184">
        <v>252584.79500000004</v>
      </c>
      <c r="F66" s="184">
        <v>282705.36</v>
      </c>
      <c r="G66" s="184">
        <v>275281.70999999996</v>
      </c>
      <c r="H66" s="123"/>
      <c r="I66" s="53">
        <v>284493.17249999999</v>
      </c>
      <c r="J66" s="280">
        <f>(J61+J62)*0.0752</f>
        <v>282906.651808</v>
      </c>
      <c r="K66" s="234">
        <f t="shared" si="25"/>
        <v>-5.5766564731882665E-3</v>
      </c>
      <c r="L66" s="193">
        <v>20120.75</v>
      </c>
      <c r="M66" s="177"/>
      <c r="N66" s="177"/>
      <c r="O66" s="177"/>
      <c r="P66" s="193"/>
      <c r="Q66" s="193"/>
      <c r="R66" s="177"/>
      <c r="S66" s="177"/>
      <c r="T66" s="177"/>
      <c r="U66" s="177"/>
      <c r="V66" s="177"/>
      <c r="W66" s="177"/>
      <c r="X66" s="177"/>
      <c r="Y66" s="184">
        <f t="shared" si="29"/>
        <v>20120.75</v>
      </c>
      <c r="Z66" s="211">
        <f t="shared" si="2"/>
        <v>7.1121516130540935E-2</v>
      </c>
      <c r="AA66" s="225"/>
      <c r="AB66" s="285"/>
      <c r="AC66" s="285"/>
      <c r="AD66" s="285"/>
      <c r="AE66" s="285"/>
      <c r="AF66" s="285"/>
      <c r="AG66" s="285"/>
      <c r="AH66" s="285"/>
      <c r="AI66" s="285"/>
      <c r="AJ66" s="285"/>
      <c r="HW66"/>
      <c r="HX66"/>
      <c r="HY66"/>
      <c r="HZ66"/>
      <c r="IA66"/>
      <c r="IB66"/>
      <c r="IC66"/>
      <c r="ID66"/>
      <c r="IE66"/>
      <c r="IF66"/>
      <c r="IG66"/>
    </row>
    <row r="67" spans="1:241" ht="15" customHeight="1" x14ac:dyDescent="0.4">
      <c r="A67" s="142" t="s">
        <v>45</v>
      </c>
      <c r="B67" s="184">
        <v>2942</v>
      </c>
      <c r="C67" s="184">
        <v>3414</v>
      </c>
      <c r="D67" s="184">
        <v>4427</v>
      </c>
      <c r="E67" s="184">
        <v>4947</v>
      </c>
      <c r="F67" s="184">
        <v>4487</v>
      </c>
      <c r="G67" s="184">
        <v>4446</v>
      </c>
      <c r="H67" s="123"/>
      <c r="I67" s="53">
        <v>6000</v>
      </c>
      <c r="J67" s="53">
        <v>6000</v>
      </c>
      <c r="K67" s="234">
        <f t="shared" si="25"/>
        <v>0</v>
      </c>
      <c r="L67" s="193">
        <v>407</v>
      </c>
      <c r="M67" s="177"/>
      <c r="N67" s="177"/>
      <c r="O67" s="177"/>
      <c r="P67" s="193"/>
      <c r="Q67" s="193"/>
      <c r="R67" s="177"/>
      <c r="S67" s="177"/>
      <c r="T67" s="177"/>
      <c r="U67" s="177"/>
      <c r="V67" s="177"/>
      <c r="W67" s="177"/>
      <c r="X67" s="177"/>
      <c r="Y67" s="184">
        <f t="shared" si="29"/>
        <v>407</v>
      </c>
      <c r="Z67" s="211">
        <f t="shared" si="2"/>
        <v>6.7833333333333329E-2</v>
      </c>
      <c r="AA67" s="232"/>
      <c r="HW67"/>
      <c r="HX67"/>
      <c r="HY67"/>
      <c r="HZ67"/>
      <c r="IA67"/>
      <c r="IB67"/>
      <c r="IC67"/>
      <c r="ID67"/>
      <c r="IE67"/>
      <c r="IF67"/>
      <c r="IG67"/>
    </row>
    <row r="68" spans="1:241" ht="15" customHeight="1" x14ac:dyDescent="0.4">
      <c r="A68" s="142" t="s">
        <v>46</v>
      </c>
      <c r="B68" s="184">
        <v>6775.52</v>
      </c>
      <c r="C68" s="184">
        <v>3830.29</v>
      </c>
      <c r="D68" s="184">
        <v>8037.29</v>
      </c>
      <c r="E68" s="184">
        <v>9552.59</v>
      </c>
      <c r="F68" s="184">
        <v>9341.2899999999991</v>
      </c>
      <c r="G68" s="184">
        <v>12173.699999999999</v>
      </c>
      <c r="H68" s="123"/>
      <c r="I68" s="53">
        <v>11428.614000000003</v>
      </c>
      <c r="J68" s="53">
        <v>11428.614000000003</v>
      </c>
      <c r="K68" s="234">
        <f t="shared" si="25"/>
        <v>0</v>
      </c>
      <c r="L68" s="193"/>
      <c r="M68" s="177"/>
      <c r="N68" s="177"/>
      <c r="O68" s="177"/>
      <c r="P68" s="193"/>
      <c r="Q68" s="193"/>
      <c r="R68" s="177"/>
      <c r="S68" s="177"/>
      <c r="T68" s="177"/>
      <c r="U68" s="177"/>
      <c r="V68" s="177"/>
      <c r="W68" s="177"/>
      <c r="X68" s="177"/>
      <c r="Y68" s="184">
        <f t="shared" si="29"/>
        <v>0</v>
      </c>
      <c r="Z68" s="211">
        <f t="shared" si="2"/>
        <v>0</v>
      </c>
      <c r="AA68" s="233"/>
      <c r="AI68" s="213"/>
      <c r="HW68"/>
      <c r="HX68"/>
      <c r="HY68"/>
      <c r="HZ68"/>
      <c r="IA68"/>
      <c r="IB68"/>
      <c r="IC68"/>
      <c r="ID68"/>
      <c r="IE68"/>
      <c r="IF68"/>
      <c r="IG68"/>
    </row>
    <row r="69" spans="1:241" ht="15" customHeight="1" x14ac:dyDescent="0.4">
      <c r="A69" s="142" t="s">
        <v>47</v>
      </c>
      <c r="B69" s="184">
        <v>9802.61</v>
      </c>
      <c r="C69" s="184">
        <v>9770</v>
      </c>
      <c r="D69" s="184">
        <v>13720.85</v>
      </c>
      <c r="E69" s="184">
        <v>11476.56</v>
      </c>
      <c r="F69" s="184">
        <v>16759</v>
      </c>
      <c r="G69" s="184">
        <v>9662</v>
      </c>
      <c r="H69" s="123"/>
      <c r="I69" s="53">
        <v>14000</v>
      </c>
      <c r="J69" s="53">
        <v>14000</v>
      </c>
      <c r="K69" s="234">
        <f t="shared" si="25"/>
        <v>0</v>
      </c>
      <c r="L69" s="193"/>
      <c r="M69" s="177"/>
      <c r="N69" s="177"/>
      <c r="O69" s="177"/>
      <c r="P69" s="193"/>
      <c r="Q69" s="193"/>
      <c r="R69" s="177"/>
      <c r="S69" s="177"/>
      <c r="T69" s="177"/>
      <c r="U69" s="177"/>
      <c r="V69" s="177"/>
      <c r="W69" s="177"/>
      <c r="X69" s="177"/>
      <c r="Y69" s="184">
        <f t="shared" si="29"/>
        <v>0</v>
      </c>
      <c r="Z69" s="211">
        <f t="shared" si="2"/>
        <v>0</v>
      </c>
      <c r="AA69" s="99"/>
      <c r="AI69" s="230"/>
      <c r="HW69"/>
      <c r="HX69"/>
      <c r="HY69"/>
      <c r="HZ69"/>
      <c r="IA69"/>
      <c r="IB69"/>
      <c r="IC69"/>
      <c r="ID69"/>
      <c r="IE69"/>
      <c r="IF69"/>
      <c r="IG69"/>
    </row>
    <row r="70" spans="1:241" ht="15" customHeight="1" x14ac:dyDescent="0.4">
      <c r="A70" s="142" t="s">
        <v>48</v>
      </c>
      <c r="B70" s="184">
        <v>171246.73</v>
      </c>
      <c r="C70" s="184">
        <v>120823.798</v>
      </c>
      <c r="D70" s="184">
        <v>93494.22</v>
      </c>
      <c r="E70" s="184">
        <v>267265.45500000002</v>
      </c>
      <c r="F70" s="184">
        <v>217147.40999999997</v>
      </c>
      <c r="G70" s="184">
        <v>32908.17</v>
      </c>
      <c r="H70" s="123"/>
      <c r="I70" s="53"/>
      <c r="J70" s="53"/>
      <c r="K70" s="234"/>
      <c r="L70" s="193"/>
      <c r="M70" s="177"/>
      <c r="N70" s="177"/>
      <c r="O70" s="177"/>
      <c r="P70" s="193"/>
      <c r="Q70" s="193"/>
      <c r="R70" s="177"/>
      <c r="S70" s="177"/>
      <c r="T70" s="177"/>
      <c r="U70" s="177"/>
      <c r="V70" s="177"/>
      <c r="W70" s="177"/>
      <c r="X70" s="177"/>
      <c r="Y70" s="184">
        <f t="shared" si="29"/>
        <v>0</v>
      </c>
      <c r="Z70" s="211"/>
      <c r="AA70" s="232"/>
      <c r="HW70"/>
      <c r="HX70"/>
      <c r="HY70"/>
      <c r="HZ70"/>
      <c r="IA70"/>
      <c r="IB70"/>
      <c r="IC70"/>
      <c r="ID70"/>
      <c r="IE70"/>
      <c r="IF70"/>
      <c r="IG70"/>
    </row>
    <row r="71" spans="1:241" ht="15" customHeight="1" x14ac:dyDescent="0.4">
      <c r="A71" s="142" t="s">
        <v>176</v>
      </c>
      <c r="B71" s="181">
        <f t="shared" ref="B71:G71" si="30">SUM(B61:B70)</f>
        <v>3555989.23</v>
      </c>
      <c r="C71" s="181">
        <f t="shared" si="30"/>
        <v>3687977.0579999997</v>
      </c>
      <c r="D71" s="181">
        <f t="shared" si="30"/>
        <v>3655566.3400000003</v>
      </c>
      <c r="E71" s="181">
        <f t="shared" si="30"/>
        <v>4326904.79</v>
      </c>
      <c r="F71" s="181">
        <f t="shared" si="30"/>
        <v>4358542.68</v>
      </c>
      <c r="G71" s="181">
        <f t="shared" si="30"/>
        <v>4427964.82</v>
      </c>
      <c r="H71" s="123"/>
      <c r="I71" s="97">
        <f>SUM(I61:I70)</f>
        <v>4610218.2974199997</v>
      </c>
      <c r="J71" s="97">
        <f>SUM(J61:J70)</f>
        <v>4576823.3167280005</v>
      </c>
      <c r="K71" s="234">
        <f t="shared" si="25"/>
        <v>-7.2436875083958414E-3</v>
      </c>
      <c r="L71" s="181">
        <f t="shared" ref="L71:Y71" si="31">SUM(L61:L70)</f>
        <v>328179.28999999998</v>
      </c>
      <c r="M71" s="181">
        <f t="shared" si="31"/>
        <v>0</v>
      </c>
      <c r="N71" s="181">
        <f t="shared" si="31"/>
        <v>0</v>
      </c>
      <c r="O71" s="181">
        <f t="shared" si="31"/>
        <v>0</v>
      </c>
      <c r="P71" s="239">
        <f t="shared" si="31"/>
        <v>0</v>
      </c>
      <c r="Q71" s="239">
        <f t="shared" si="31"/>
        <v>0</v>
      </c>
      <c r="R71" s="181">
        <f t="shared" si="31"/>
        <v>0</v>
      </c>
      <c r="S71" s="181">
        <f t="shared" si="31"/>
        <v>0</v>
      </c>
      <c r="T71" s="181">
        <f t="shared" si="31"/>
        <v>0</v>
      </c>
      <c r="U71" s="181">
        <f t="shared" si="31"/>
        <v>0</v>
      </c>
      <c r="V71" s="181">
        <f t="shared" si="31"/>
        <v>0</v>
      </c>
      <c r="W71" s="181">
        <f t="shared" si="31"/>
        <v>0</v>
      </c>
      <c r="X71" s="181">
        <f t="shared" si="31"/>
        <v>0</v>
      </c>
      <c r="Y71" s="182">
        <f t="shared" si="31"/>
        <v>328179.28999999998</v>
      </c>
      <c r="Z71" s="211">
        <f t="shared" si="2"/>
        <v>7.1704601049493291E-2</v>
      </c>
      <c r="AA71" s="225"/>
      <c r="AB71" s="285"/>
      <c r="HW71"/>
      <c r="HX71"/>
      <c r="HY71"/>
      <c r="HZ71"/>
      <c r="IA71"/>
      <c r="IB71"/>
      <c r="IC71"/>
      <c r="ID71"/>
      <c r="IE71"/>
      <c r="IF71"/>
      <c r="IG71"/>
    </row>
    <row r="72" spans="1:241" ht="15" customHeight="1" x14ac:dyDescent="0.4">
      <c r="A72" s="151" t="s">
        <v>161</v>
      </c>
      <c r="B72" s="184"/>
      <c r="C72" s="184"/>
      <c r="D72" s="184"/>
      <c r="E72" s="184"/>
      <c r="F72" s="184"/>
      <c r="G72" s="184"/>
      <c r="H72" s="126"/>
      <c r="I72" s="53"/>
      <c r="J72" s="53"/>
      <c r="K72" s="234"/>
      <c r="L72" s="193"/>
      <c r="M72" s="177"/>
      <c r="N72" s="177"/>
      <c r="O72" s="177"/>
      <c r="P72" s="193"/>
      <c r="Q72" s="193"/>
      <c r="R72" s="177"/>
      <c r="S72" s="177"/>
      <c r="T72" s="177"/>
      <c r="U72" s="177"/>
      <c r="V72" s="177"/>
      <c r="W72" s="177"/>
      <c r="X72" s="177"/>
      <c r="Y72" s="184"/>
      <c r="Z72" s="211"/>
      <c r="AA72" s="224"/>
      <c r="HW72"/>
      <c r="HX72"/>
      <c r="HY72"/>
      <c r="HZ72"/>
      <c r="IA72"/>
      <c r="IB72"/>
      <c r="IC72"/>
      <c r="ID72"/>
      <c r="IE72"/>
      <c r="IF72"/>
      <c r="IG72"/>
    </row>
    <row r="73" spans="1:241" ht="15" customHeight="1" x14ac:dyDescent="0.4">
      <c r="A73" s="142" t="s">
        <v>49</v>
      </c>
      <c r="B73" s="184">
        <v>21154.5</v>
      </c>
      <c r="C73" s="184">
        <v>41015.89</v>
      </c>
      <c r="D73" s="184">
        <v>27779.279999999999</v>
      </c>
      <c r="E73" s="184">
        <v>52877.239999999991</v>
      </c>
      <c r="F73" s="184">
        <v>126544.65999999999</v>
      </c>
      <c r="G73" s="184">
        <v>70506.920000000013</v>
      </c>
      <c r="H73" s="123"/>
      <c r="I73" s="53">
        <v>45000</v>
      </c>
      <c r="J73" s="53">
        <v>45000</v>
      </c>
      <c r="K73" s="234">
        <f t="shared" si="25"/>
        <v>0</v>
      </c>
      <c r="L73" s="193"/>
      <c r="M73" s="177"/>
      <c r="N73" s="177"/>
      <c r="O73" s="177"/>
      <c r="P73" s="193"/>
      <c r="Q73" s="193"/>
      <c r="R73" s="177"/>
      <c r="S73" s="177"/>
      <c r="T73" s="177"/>
      <c r="U73" s="177"/>
      <c r="V73" s="177"/>
      <c r="W73" s="177"/>
      <c r="X73" s="177"/>
      <c r="Y73" s="184">
        <f>SUM(L73:X73)</f>
        <v>0</v>
      </c>
      <c r="Z73" s="243">
        <f t="shared" si="2"/>
        <v>0</v>
      </c>
      <c r="AA73" s="249"/>
      <c r="HW73"/>
      <c r="HX73"/>
      <c r="HY73"/>
      <c r="HZ73"/>
      <c r="IA73"/>
      <c r="IB73"/>
      <c r="IC73"/>
      <c r="ID73"/>
      <c r="IE73"/>
      <c r="IF73"/>
      <c r="IG73"/>
    </row>
    <row r="74" spans="1:241" ht="15" customHeight="1" x14ac:dyDescent="0.4">
      <c r="A74" s="142" t="s">
        <v>52</v>
      </c>
      <c r="B74" s="184">
        <v>37722.82</v>
      </c>
      <c r="C74" s="184">
        <v>30895.119999999999</v>
      </c>
      <c r="D74" s="184">
        <v>45610.409999999996</v>
      </c>
      <c r="E74" s="184">
        <v>53088.380000000005</v>
      </c>
      <c r="F74" s="184">
        <v>44228.09</v>
      </c>
      <c r="G74" s="184">
        <v>40909.26999999999</v>
      </c>
      <c r="H74" s="123"/>
      <c r="I74" s="53">
        <v>58394</v>
      </c>
      <c r="J74" s="53">
        <v>58394</v>
      </c>
      <c r="K74" s="234">
        <f t="shared" si="25"/>
        <v>0</v>
      </c>
      <c r="L74" s="193">
        <f>15002</f>
        <v>15002</v>
      </c>
      <c r="M74" s="177"/>
      <c r="N74" s="177"/>
      <c r="O74" s="177"/>
      <c r="P74" s="193"/>
      <c r="Q74" s="193"/>
      <c r="R74" s="177"/>
      <c r="S74" s="177"/>
      <c r="T74" s="177"/>
      <c r="U74" s="177"/>
      <c r="V74" s="177"/>
      <c r="W74" s="177"/>
      <c r="X74" s="177"/>
      <c r="Y74" s="184">
        <f>SUM(L74:X74)</f>
        <v>15002</v>
      </c>
      <c r="Z74" s="211">
        <f t="shared" si="2"/>
        <v>0.25690995650238035</v>
      </c>
      <c r="AA74" s="99"/>
      <c r="HW74"/>
      <c r="HX74"/>
      <c r="HY74"/>
      <c r="HZ74"/>
      <c r="IA74"/>
      <c r="IB74"/>
      <c r="IC74"/>
      <c r="ID74"/>
      <c r="IE74"/>
      <c r="IF74"/>
      <c r="IG74"/>
    </row>
    <row r="75" spans="1:241" ht="15" customHeight="1" x14ac:dyDescent="0.4">
      <c r="A75" s="152" t="s">
        <v>172</v>
      </c>
      <c r="B75" s="181">
        <f t="shared" ref="B75:G75" si="32">SUM(B73:B74)</f>
        <v>58877.32</v>
      </c>
      <c r="C75" s="181">
        <f t="shared" si="32"/>
        <v>71911.009999999995</v>
      </c>
      <c r="D75" s="181">
        <f t="shared" si="32"/>
        <v>73389.69</v>
      </c>
      <c r="E75" s="181">
        <f t="shared" si="32"/>
        <v>105965.62</v>
      </c>
      <c r="F75" s="181">
        <f t="shared" si="32"/>
        <v>170772.75</v>
      </c>
      <c r="G75" s="181">
        <f t="shared" si="32"/>
        <v>111416.19</v>
      </c>
      <c r="H75" s="127"/>
      <c r="I75" s="97">
        <f>SUM(I73:I74)</f>
        <v>103394</v>
      </c>
      <c r="J75" s="97">
        <f>SUM(J73:J74)</f>
        <v>103394</v>
      </c>
      <c r="K75" s="234">
        <f t="shared" si="25"/>
        <v>0</v>
      </c>
      <c r="L75" s="181">
        <f t="shared" ref="L75:Y75" si="33">SUM(L73:L74)</f>
        <v>15002</v>
      </c>
      <c r="M75" s="181">
        <f t="shared" si="33"/>
        <v>0</v>
      </c>
      <c r="N75" s="181">
        <f t="shared" si="33"/>
        <v>0</v>
      </c>
      <c r="O75" s="181">
        <f t="shared" si="33"/>
        <v>0</v>
      </c>
      <c r="P75" s="239">
        <f t="shared" si="33"/>
        <v>0</v>
      </c>
      <c r="Q75" s="239">
        <f t="shared" si="33"/>
        <v>0</v>
      </c>
      <c r="R75" s="181">
        <f t="shared" si="33"/>
        <v>0</v>
      </c>
      <c r="S75" s="181">
        <f t="shared" si="33"/>
        <v>0</v>
      </c>
      <c r="T75" s="181">
        <f t="shared" si="33"/>
        <v>0</v>
      </c>
      <c r="U75" s="181">
        <f t="shared" si="33"/>
        <v>0</v>
      </c>
      <c r="V75" s="181">
        <f t="shared" si="33"/>
        <v>0</v>
      </c>
      <c r="W75" s="181">
        <f t="shared" si="33"/>
        <v>0</v>
      </c>
      <c r="X75" s="181">
        <f t="shared" si="33"/>
        <v>0</v>
      </c>
      <c r="Y75" s="182">
        <f t="shared" si="33"/>
        <v>15002</v>
      </c>
      <c r="Z75" s="211">
        <f t="shared" si="2"/>
        <v>0.14509546008472446</v>
      </c>
      <c r="HW75"/>
      <c r="HX75"/>
      <c r="HY75"/>
      <c r="HZ75"/>
      <c r="IA75"/>
      <c r="IB75"/>
      <c r="IC75"/>
      <c r="ID75"/>
      <c r="IE75"/>
      <c r="IF75"/>
      <c r="IG75"/>
    </row>
    <row r="76" spans="1:241" ht="15" customHeight="1" x14ac:dyDescent="0.4">
      <c r="A76" s="151" t="s">
        <v>175</v>
      </c>
      <c r="B76" s="184"/>
      <c r="C76" s="184"/>
      <c r="D76" s="184"/>
      <c r="E76" s="184"/>
      <c r="F76" s="184"/>
      <c r="G76" s="184"/>
      <c r="H76" s="126"/>
      <c r="I76" s="53"/>
      <c r="J76" s="53"/>
      <c r="K76" s="234"/>
      <c r="L76" s="193"/>
      <c r="M76" s="177"/>
      <c r="N76" s="177"/>
      <c r="O76" s="177"/>
      <c r="P76" s="193"/>
      <c r="Q76" s="193"/>
      <c r="R76" s="177"/>
      <c r="S76" s="177"/>
      <c r="T76" s="177"/>
      <c r="U76" s="177"/>
      <c r="V76" s="177"/>
      <c r="W76" s="177"/>
      <c r="X76" s="177"/>
      <c r="Y76" s="184"/>
      <c r="Z76" s="211"/>
      <c r="HW76"/>
      <c r="HX76"/>
      <c r="HY76"/>
      <c r="HZ76"/>
      <c r="IA76"/>
      <c r="IB76"/>
      <c r="IC76"/>
      <c r="ID76"/>
      <c r="IE76"/>
      <c r="IF76"/>
      <c r="IG76"/>
    </row>
    <row r="77" spans="1:241" ht="15" customHeight="1" x14ac:dyDescent="0.4">
      <c r="A77" s="142" t="s">
        <v>53</v>
      </c>
      <c r="B77" s="184">
        <v>29164.25</v>
      </c>
      <c r="C77" s="184">
        <v>36153.800000000003</v>
      </c>
      <c r="D77" s="184">
        <v>19358.04</v>
      </c>
      <c r="E77" s="184">
        <v>35479.919999999998</v>
      </c>
      <c r="F77" s="184">
        <f>33156.92-F81-F78</f>
        <v>30253.91</v>
      </c>
      <c r="G77" s="184">
        <v>11907.989999999998</v>
      </c>
      <c r="H77" s="123"/>
      <c r="I77" s="53">
        <v>25000</v>
      </c>
      <c r="J77" s="53">
        <v>25000</v>
      </c>
      <c r="K77" s="234">
        <f t="shared" si="25"/>
        <v>0</v>
      </c>
      <c r="L77" s="176">
        <v>720.93</v>
      </c>
      <c r="M77" s="177"/>
      <c r="N77" s="177"/>
      <c r="O77" s="177"/>
      <c r="P77" s="193"/>
      <c r="Q77" s="193"/>
      <c r="R77" s="177"/>
      <c r="S77" s="177"/>
      <c r="T77" s="177"/>
      <c r="U77" s="177"/>
      <c r="V77" s="177"/>
      <c r="W77" s="177"/>
      <c r="X77" s="177"/>
      <c r="Y77" s="184">
        <f t="shared" ref="Y77:Y103" si="34">SUM(L77:X77)</f>
        <v>720.93</v>
      </c>
      <c r="Z77" s="211">
        <f t="shared" ref="Z77:Z139" si="35">Y77/J77</f>
        <v>2.8837199999999997E-2</v>
      </c>
      <c r="AA77" s="99"/>
      <c r="HW77"/>
      <c r="HX77"/>
      <c r="HY77"/>
      <c r="HZ77"/>
      <c r="IA77"/>
      <c r="IB77"/>
      <c r="IC77"/>
      <c r="ID77"/>
      <c r="IE77"/>
      <c r="IF77"/>
      <c r="IG77"/>
    </row>
    <row r="78" spans="1:241" ht="15" customHeight="1" x14ac:dyDescent="0.4">
      <c r="A78" s="142" t="s">
        <v>143</v>
      </c>
      <c r="B78" s="184"/>
      <c r="C78" s="184"/>
      <c r="D78" s="184"/>
      <c r="E78" s="184"/>
      <c r="F78" s="184">
        <v>1195.44</v>
      </c>
      <c r="G78" s="184">
        <v>144</v>
      </c>
      <c r="H78" s="123"/>
      <c r="I78" s="53">
        <v>1000</v>
      </c>
      <c r="J78" s="53">
        <v>1000</v>
      </c>
      <c r="K78" s="234">
        <f t="shared" si="25"/>
        <v>0</v>
      </c>
      <c r="L78" s="177"/>
      <c r="M78" s="177"/>
      <c r="N78" s="177"/>
      <c r="O78" s="177"/>
      <c r="P78" s="193"/>
      <c r="Q78" s="193"/>
      <c r="R78" s="177"/>
      <c r="S78" s="177"/>
      <c r="T78" s="177"/>
      <c r="U78" s="177"/>
      <c r="V78" s="177"/>
      <c r="W78" s="177"/>
      <c r="X78" s="177"/>
      <c r="Y78" s="184">
        <f t="shared" si="34"/>
        <v>0</v>
      </c>
      <c r="Z78" s="211">
        <f t="shared" si="35"/>
        <v>0</v>
      </c>
      <c r="AA78" s="99"/>
      <c r="HW78"/>
      <c r="HX78"/>
      <c r="HY78"/>
      <c r="HZ78"/>
      <c r="IA78"/>
      <c r="IB78"/>
      <c r="IC78"/>
      <c r="ID78"/>
      <c r="IE78"/>
      <c r="IF78"/>
      <c r="IG78"/>
    </row>
    <row r="79" spans="1:241" ht="15" customHeight="1" x14ac:dyDescent="0.4">
      <c r="A79" s="142" t="s">
        <v>127</v>
      </c>
      <c r="B79" s="184"/>
      <c r="C79" s="184"/>
      <c r="D79" s="184"/>
      <c r="E79" s="184"/>
      <c r="F79" s="184"/>
      <c r="G79" s="184">
        <v>773.85</v>
      </c>
      <c r="H79" s="123"/>
      <c r="I79" s="53">
        <v>5000</v>
      </c>
      <c r="J79" s="53">
        <v>5000</v>
      </c>
      <c r="K79" s="234">
        <f t="shared" si="25"/>
        <v>0</v>
      </c>
      <c r="L79" s="177"/>
      <c r="M79" s="177"/>
      <c r="N79" s="177"/>
      <c r="O79" s="177"/>
      <c r="P79" s="193"/>
      <c r="Q79" s="193"/>
      <c r="R79" s="177"/>
      <c r="S79" s="177"/>
      <c r="T79" s="177"/>
      <c r="U79" s="177"/>
      <c r="V79" s="177"/>
      <c r="W79" s="177"/>
      <c r="X79" s="177"/>
      <c r="Y79" s="184">
        <f t="shared" si="34"/>
        <v>0</v>
      </c>
      <c r="Z79" s="211">
        <f t="shared" si="35"/>
        <v>0</v>
      </c>
      <c r="AA79" s="99"/>
      <c r="HW79"/>
      <c r="HX79"/>
      <c r="HY79"/>
      <c r="HZ79"/>
      <c r="IA79"/>
      <c r="IB79"/>
      <c r="IC79"/>
      <c r="ID79"/>
      <c r="IE79"/>
      <c r="IF79"/>
      <c r="IG79"/>
    </row>
    <row r="80" spans="1:241" ht="15" customHeight="1" x14ac:dyDescent="0.4">
      <c r="A80" s="142" t="s">
        <v>128</v>
      </c>
      <c r="B80" s="184"/>
      <c r="C80" s="184"/>
      <c r="D80" s="184"/>
      <c r="E80" s="184"/>
      <c r="F80" s="184">
        <v>6380.48</v>
      </c>
      <c r="G80" s="184">
        <v>11537.84</v>
      </c>
      <c r="H80" s="123"/>
      <c r="I80" s="53">
        <v>10000</v>
      </c>
      <c r="J80" s="53">
        <v>10000</v>
      </c>
      <c r="K80" s="234">
        <f t="shared" si="25"/>
        <v>0</v>
      </c>
      <c r="L80" s="177"/>
      <c r="M80" s="177"/>
      <c r="N80" s="177"/>
      <c r="O80" s="177"/>
      <c r="P80" s="193"/>
      <c r="Q80" s="193"/>
      <c r="R80" s="177"/>
      <c r="S80" s="177"/>
      <c r="T80" s="177"/>
      <c r="U80" s="177"/>
      <c r="V80" s="177"/>
      <c r="W80" s="177"/>
      <c r="X80" s="177"/>
      <c r="Y80" s="184">
        <f t="shared" si="34"/>
        <v>0</v>
      </c>
      <c r="Z80" s="211">
        <f t="shared" si="35"/>
        <v>0</v>
      </c>
      <c r="AA80" s="99"/>
      <c r="HW80"/>
      <c r="HX80"/>
      <c r="HY80"/>
      <c r="HZ80"/>
      <c r="IA80"/>
      <c r="IB80"/>
      <c r="IC80"/>
      <c r="ID80"/>
      <c r="IE80"/>
      <c r="IF80"/>
      <c r="IG80"/>
    </row>
    <row r="81" spans="1:241" ht="15" customHeight="1" x14ac:dyDescent="0.4">
      <c r="A81" s="142" t="s">
        <v>136</v>
      </c>
      <c r="B81" s="184"/>
      <c r="C81" s="184"/>
      <c r="D81" s="184"/>
      <c r="E81" s="184"/>
      <c r="F81" s="184">
        <v>1707.57</v>
      </c>
      <c r="G81" s="184">
        <v>0</v>
      </c>
      <c r="H81" s="128"/>
      <c r="I81" s="53">
        <v>2000</v>
      </c>
      <c r="J81" s="53">
        <v>2000</v>
      </c>
      <c r="K81" s="234">
        <f t="shared" si="25"/>
        <v>0</v>
      </c>
      <c r="L81" s="177"/>
      <c r="M81" s="177"/>
      <c r="N81" s="177"/>
      <c r="O81" s="177"/>
      <c r="P81" s="193"/>
      <c r="Q81" s="193"/>
      <c r="R81" s="177"/>
      <c r="S81" s="177"/>
      <c r="T81" s="177"/>
      <c r="U81" s="177"/>
      <c r="V81" s="177"/>
      <c r="W81" s="177"/>
      <c r="X81" s="177"/>
      <c r="Y81" s="184">
        <f t="shared" si="34"/>
        <v>0</v>
      </c>
      <c r="Z81" s="211"/>
      <c r="AA81" s="233"/>
      <c r="HW81"/>
      <c r="HX81"/>
      <c r="HY81"/>
      <c r="HZ81"/>
      <c r="IA81"/>
      <c r="IB81"/>
      <c r="IC81"/>
      <c r="ID81"/>
      <c r="IE81"/>
      <c r="IF81"/>
      <c r="IG81"/>
    </row>
    <row r="82" spans="1:241" ht="15" customHeight="1" x14ac:dyDescent="0.4">
      <c r="A82" s="142" t="s">
        <v>50</v>
      </c>
      <c r="B82" s="184">
        <v>33690.21</v>
      </c>
      <c r="C82" s="184">
        <v>46596.73</v>
      </c>
      <c r="D82" s="184">
        <v>19178.38</v>
      </c>
      <c r="E82" s="184">
        <v>66819.13</v>
      </c>
      <c r="F82" s="184">
        <f>39567.53-F83-F85-F86-F87-F88-F89-F90-F91</f>
        <v>31043.810000000005</v>
      </c>
      <c r="G82" s="184">
        <v>12676.12</v>
      </c>
      <c r="H82" s="123"/>
      <c r="I82" s="53">
        <v>17000</v>
      </c>
      <c r="J82" s="53">
        <v>17000</v>
      </c>
      <c r="K82" s="234">
        <f t="shared" si="25"/>
        <v>0</v>
      </c>
      <c r="L82" s="177"/>
      <c r="M82" s="177"/>
      <c r="N82" s="177"/>
      <c r="O82" s="177"/>
      <c r="P82" s="193"/>
      <c r="Q82" s="193"/>
      <c r="R82" s="177"/>
      <c r="S82" s="177"/>
      <c r="T82" s="177"/>
      <c r="U82" s="177"/>
      <c r="V82" s="177"/>
      <c r="W82" s="177"/>
      <c r="X82" s="177"/>
      <c r="Y82" s="184">
        <f t="shared" si="34"/>
        <v>0</v>
      </c>
      <c r="Z82" s="211">
        <f>Y82/J82</f>
        <v>0</v>
      </c>
      <c r="AA82" s="233"/>
      <c r="HW82"/>
      <c r="HX82"/>
      <c r="HY82"/>
      <c r="HZ82"/>
      <c r="IA82"/>
      <c r="IB82"/>
      <c r="IC82"/>
      <c r="ID82"/>
      <c r="IE82"/>
      <c r="IF82"/>
      <c r="IG82"/>
    </row>
    <row r="83" spans="1:241" ht="15" customHeight="1" x14ac:dyDescent="0.4">
      <c r="A83" s="142" t="s">
        <v>129</v>
      </c>
      <c r="B83" s="184"/>
      <c r="C83" s="184"/>
      <c r="D83" s="184"/>
      <c r="E83" s="184"/>
      <c r="F83" s="184">
        <v>4832.99</v>
      </c>
      <c r="G83" s="184">
        <v>6682.8000000000011</v>
      </c>
      <c r="H83" s="123"/>
      <c r="I83" s="53">
        <v>7000</v>
      </c>
      <c r="J83" s="53">
        <v>7000</v>
      </c>
      <c r="K83" s="234">
        <f t="shared" si="25"/>
        <v>0</v>
      </c>
      <c r="L83" s="177"/>
      <c r="M83" s="177"/>
      <c r="N83" s="177"/>
      <c r="O83" s="177"/>
      <c r="P83" s="193"/>
      <c r="Q83" s="193"/>
      <c r="R83" s="177"/>
      <c r="S83" s="177"/>
      <c r="T83" s="177"/>
      <c r="U83" s="177"/>
      <c r="V83" s="177"/>
      <c r="W83" s="177"/>
      <c r="X83" s="177"/>
      <c r="Y83" s="184">
        <f t="shared" si="34"/>
        <v>0</v>
      </c>
      <c r="Z83" s="211">
        <f t="shared" si="35"/>
        <v>0</v>
      </c>
      <c r="AA83" s="225"/>
      <c r="HW83"/>
      <c r="HX83"/>
      <c r="HY83"/>
      <c r="HZ83"/>
      <c r="IA83"/>
      <c r="IB83"/>
      <c r="IC83"/>
      <c r="ID83"/>
      <c r="IE83"/>
      <c r="IF83"/>
      <c r="IG83"/>
    </row>
    <row r="84" spans="1:241" ht="15" customHeight="1" x14ac:dyDescent="0.4">
      <c r="A84" s="142" t="s">
        <v>215</v>
      </c>
      <c r="B84" s="184"/>
      <c r="C84" s="184"/>
      <c r="D84" s="184"/>
      <c r="E84" s="184"/>
      <c r="F84" s="184"/>
      <c r="G84" s="184"/>
      <c r="H84" s="123"/>
      <c r="I84" s="53">
        <v>4000</v>
      </c>
      <c r="J84" s="53">
        <v>4000</v>
      </c>
      <c r="K84" s="234"/>
      <c r="L84" s="177"/>
      <c r="M84" s="177"/>
      <c r="N84" s="177"/>
      <c r="O84" s="177"/>
      <c r="P84" s="193"/>
      <c r="Q84" s="193"/>
      <c r="R84" s="177"/>
      <c r="S84" s="177"/>
      <c r="T84" s="177"/>
      <c r="U84" s="177"/>
      <c r="V84" s="177"/>
      <c r="W84" s="177"/>
      <c r="X84" s="177"/>
      <c r="Y84" s="184"/>
      <c r="Z84" s="211"/>
      <c r="AA84" s="225"/>
      <c r="HW84"/>
      <c r="HX84"/>
      <c r="HY84"/>
      <c r="HZ84"/>
      <c r="IA84"/>
      <c r="IB84"/>
      <c r="IC84"/>
      <c r="ID84"/>
      <c r="IE84"/>
      <c r="IF84"/>
      <c r="IG84"/>
    </row>
    <row r="85" spans="1:241" ht="15" customHeight="1" x14ac:dyDescent="0.4">
      <c r="A85" s="142" t="s">
        <v>130</v>
      </c>
      <c r="B85" s="184"/>
      <c r="C85" s="184"/>
      <c r="D85" s="184"/>
      <c r="E85" s="184"/>
      <c r="F85" s="184">
        <v>2685.53</v>
      </c>
      <c r="G85" s="184">
        <v>7945.86</v>
      </c>
      <c r="H85" s="123"/>
      <c r="I85" s="53">
        <v>3000</v>
      </c>
      <c r="J85" s="53">
        <v>3000</v>
      </c>
      <c r="K85" s="234">
        <f t="shared" si="25"/>
        <v>0</v>
      </c>
      <c r="L85" s="177"/>
      <c r="M85" s="177"/>
      <c r="N85" s="177"/>
      <c r="O85" s="177"/>
      <c r="P85" s="193"/>
      <c r="Q85" s="193"/>
      <c r="R85" s="177"/>
      <c r="S85" s="177"/>
      <c r="T85" s="177"/>
      <c r="U85" s="177"/>
      <c r="V85" s="177"/>
      <c r="W85" s="177"/>
      <c r="X85" s="177"/>
      <c r="Y85" s="184">
        <f t="shared" si="34"/>
        <v>0</v>
      </c>
      <c r="Z85" s="211">
        <f t="shared" si="35"/>
        <v>0</v>
      </c>
      <c r="AA85" s="225"/>
      <c r="HW85"/>
      <c r="HX85"/>
      <c r="HY85"/>
      <c r="HZ85"/>
      <c r="IA85"/>
      <c r="IB85"/>
      <c r="IC85"/>
      <c r="ID85"/>
      <c r="IE85"/>
      <c r="IF85"/>
      <c r="IG85"/>
    </row>
    <row r="86" spans="1:241" ht="15" customHeight="1" x14ac:dyDescent="0.4">
      <c r="A86" s="142" t="s">
        <v>131</v>
      </c>
      <c r="B86" s="184"/>
      <c r="C86" s="184"/>
      <c r="D86" s="184"/>
      <c r="E86" s="184"/>
      <c r="F86" s="184">
        <v>168.25</v>
      </c>
      <c r="G86" s="184">
        <v>5220.63</v>
      </c>
      <c r="H86" s="123"/>
      <c r="I86" s="53">
        <v>4000</v>
      </c>
      <c r="J86" s="53">
        <v>4000</v>
      </c>
      <c r="K86" s="234">
        <f t="shared" si="25"/>
        <v>0</v>
      </c>
      <c r="L86" s="177"/>
      <c r="M86" s="177"/>
      <c r="N86" s="177"/>
      <c r="O86" s="176"/>
      <c r="P86" s="193"/>
      <c r="Q86" s="193"/>
      <c r="R86" s="177"/>
      <c r="S86" s="177"/>
      <c r="T86" s="177"/>
      <c r="U86" s="177"/>
      <c r="V86" s="177"/>
      <c r="W86" s="177"/>
      <c r="X86" s="177"/>
      <c r="Y86" s="184">
        <f t="shared" si="34"/>
        <v>0</v>
      </c>
      <c r="Z86" s="211">
        <f t="shared" si="35"/>
        <v>0</v>
      </c>
      <c r="AA86" s="225"/>
      <c r="HW86"/>
      <c r="HX86"/>
      <c r="HY86"/>
      <c r="HZ86"/>
      <c r="IA86"/>
      <c r="IB86"/>
      <c r="IC86"/>
      <c r="ID86"/>
      <c r="IE86"/>
      <c r="IF86"/>
      <c r="IG86"/>
    </row>
    <row r="87" spans="1:241" ht="15" customHeight="1" x14ac:dyDescent="0.4">
      <c r="A87" s="142" t="s">
        <v>132</v>
      </c>
      <c r="B87" s="184"/>
      <c r="C87" s="184"/>
      <c r="D87" s="184"/>
      <c r="E87" s="184"/>
      <c r="F87" s="184">
        <v>6293.96</v>
      </c>
      <c r="G87" s="184">
        <v>6442.4500000000007</v>
      </c>
      <c r="H87" s="123"/>
      <c r="I87" s="53">
        <v>5000</v>
      </c>
      <c r="J87" s="53">
        <v>5000</v>
      </c>
      <c r="K87" s="234">
        <f t="shared" si="25"/>
        <v>0</v>
      </c>
      <c r="L87" s="177"/>
      <c r="M87" s="177"/>
      <c r="N87" s="177"/>
      <c r="O87" s="177"/>
      <c r="P87" s="193"/>
      <c r="Q87" s="193"/>
      <c r="R87" s="177"/>
      <c r="S87" s="177"/>
      <c r="T87" s="177"/>
      <c r="U87" s="177"/>
      <c r="V87" s="177"/>
      <c r="W87" s="177"/>
      <c r="X87" s="177"/>
      <c r="Y87" s="184">
        <f t="shared" si="34"/>
        <v>0</v>
      </c>
      <c r="Z87" s="211">
        <f t="shared" si="35"/>
        <v>0</v>
      </c>
      <c r="HW87"/>
      <c r="HX87"/>
      <c r="HY87"/>
      <c r="HZ87"/>
      <c r="IA87"/>
      <c r="IB87"/>
      <c r="IC87"/>
      <c r="ID87"/>
      <c r="IE87"/>
      <c r="IF87"/>
      <c r="IG87"/>
    </row>
    <row r="88" spans="1:241" ht="15" customHeight="1" x14ac:dyDescent="0.4">
      <c r="A88" s="142" t="s">
        <v>133</v>
      </c>
      <c r="B88" s="184"/>
      <c r="C88" s="184"/>
      <c r="D88" s="184"/>
      <c r="E88" s="184"/>
      <c r="F88" s="184">
        <v>441.35</v>
      </c>
      <c r="G88" s="184">
        <v>2336.06</v>
      </c>
      <c r="H88" s="123"/>
      <c r="I88" s="53">
        <v>4000</v>
      </c>
      <c r="J88" s="53">
        <v>4000</v>
      </c>
      <c r="K88" s="234">
        <f t="shared" si="25"/>
        <v>0</v>
      </c>
      <c r="L88" s="177"/>
      <c r="M88" s="177"/>
      <c r="N88" s="177"/>
      <c r="O88" s="177"/>
      <c r="P88" s="193"/>
      <c r="Q88" s="193"/>
      <c r="R88" s="177"/>
      <c r="S88" s="177"/>
      <c r="T88" s="177"/>
      <c r="U88" s="177"/>
      <c r="V88" s="177"/>
      <c r="W88" s="177"/>
      <c r="X88" s="177"/>
      <c r="Y88" s="184">
        <f t="shared" si="34"/>
        <v>0</v>
      </c>
      <c r="Z88" s="211">
        <f t="shared" si="35"/>
        <v>0</v>
      </c>
      <c r="HW88"/>
      <c r="HX88"/>
      <c r="HY88"/>
      <c r="HZ88"/>
      <c r="IA88"/>
      <c r="IB88"/>
      <c r="IC88"/>
      <c r="ID88"/>
      <c r="IE88"/>
      <c r="IF88"/>
      <c r="IG88"/>
    </row>
    <row r="89" spans="1:241" ht="15" customHeight="1" x14ac:dyDescent="0.4">
      <c r="A89" s="142" t="s">
        <v>134</v>
      </c>
      <c r="B89" s="184"/>
      <c r="C89" s="184"/>
      <c r="D89" s="184"/>
      <c r="E89" s="184"/>
      <c r="F89" s="184">
        <v>426.1</v>
      </c>
      <c r="G89" s="184">
        <v>7416.4500000000016</v>
      </c>
      <c r="H89" s="123"/>
      <c r="I89" s="53">
        <v>3000</v>
      </c>
      <c r="J89" s="53">
        <v>3000</v>
      </c>
      <c r="K89" s="234">
        <f t="shared" si="25"/>
        <v>0</v>
      </c>
      <c r="L89" s="177"/>
      <c r="M89" s="177"/>
      <c r="N89" s="177"/>
      <c r="O89" s="177"/>
      <c r="P89" s="193"/>
      <c r="Q89" s="193"/>
      <c r="R89" s="177"/>
      <c r="S89" s="177"/>
      <c r="T89" s="177"/>
      <c r="U89" s="177"/>
      <c r="V89" s="177"/>
      <c r="W89" s="177"/>
      <c r="X89" s="177"/>
      <c r="Y89" s="184">
        <f t="shared" si="34"/>
        <v>0</v>
      </c>
      <c r="Z89" s="211">
        <f t="shared" si="35"/>
        <v>0</v>
      </c>
      <c r="HW89"/>
      <c r="HX89"/>
      <c r="HY89"/>
      <c r="HZ89"/>
      <c r="IA89"/>
      <c r="IB89"/>
      <c r="IC89"/>
      <c r="ID89"/>
      <c r="IE89"/>
      <c r="IF89"/>
      <c r="IG89"/>
    </row>
    <row r="90" spans="1:241" ht="15" customHeight="1" x14ac:dyDescent="0.4">
      <c r="A90" s="142" t="s">
        <v>135</v>
      </c>
      <c r="B90" s="184"/>
      <c r="C90" s="184"/>
      <c r="D90" s="184"/>
      <c r="E90" s="184"/>
      <c r="F90" s="184">
        <v>59.54</v>
      </c>
      <c r="G90" s="184">
        <v>3700.2799999999997</v>
      </c>
      <c r="H90" s="123"/>
      <c r="I90" s="53">
        <v>3000</v>
      </c>
      <c r="J90" s="53">
        <v>3000</v>
      </c>
      <c r="K90" s="234">
        <f t="shared" si="25"/>
        <v>0</v>
      </c>
      <c r="L90" s="193"/>
      <c r="M90" s="193"/>
      <c r="N90" s="193"/>
      <c r="O90" s="193"/>
      <c r="P90" s="193"/>
      <c r="Q90" s="193"/>
      <c r="R90" s="177"/>
      <c r="S90" s="177"/>
      <c r="T90" s="177"/>
      <c r="U90" s="177"/>
      <c r="V90" s="177"/>
      <c r="W90" s="177"/>
      <c r="X90" s="177"/>
      <c r="Y90" s="184">
        <f>SUM(L90:X90)</f>
        <v>0</v>
      </c>
      <c r="Z90" s="211">
        <f t="shared" si="35"/>
        <v>0</v>
      </c>
      <c r="HW90"/>
      <c r="HX90"/>
      <c r="HY90"/>
      <c r="HZ90"/>
      <c r="IA90"/>
      <c r="IB90"/>
      <c r="IC90"/>
      <c r="ID90"/>
      <c r="IE90"/>
      <c r="IF90"/>
      <c r="IG90"/>
    </row>
    <row r="91" spans="1:241" ht="15" customHeight="1" x14ac:dyDescent="0.4">
      <c r="A91" s="153" t="s">
        <v>156</v>
      </c>
      <c r="B91" s="184"/>
      <c r="C91" s="184"/>
      <c r="D91" s="184"/>
      <c r="E91" s="184"/>
      <c r="F91" s="184">
        <v>-6384</v>
      </c>
      <c r="G91" s="184">
        <v>8385.16</v>
      </c>
      <c r="H91" s="123"/>
      <c r="I91" s="53">
        <v>7566</v>
      </c>
      <c r="J91" s="53">
        <v>7566</v>
      </c>
      <c r="K91" s="234">
        <f t="shared" si="25"/>
        <v>0</v>
      </c>
      <c r="L91" s="193"/>
      <c r="M91" s="193"/>
      <c r="N91" s="193"/>
      <c r="O91" s="193"/>
      <c r="P91" s="193"/>
      <c r="Q91" s="193"/>
      <c r="R91" s="177"/>
      <c r="S91" s="177"/>
      <c r="T91" s="177"/>
      <c r="U91" s="177"/>
      <c r="V91" s="177"/>
      <c r="W91" s="177"/>
      <c r="X91" s="177"/>
      <c r="Y91" s="184">
        <f t="shared" si="34"/>
        <v>0</v>
      </c>
      <c r="Z91" s="211">
        <f t="shared" si="35"/>
        <v>0</v>
      </c>
      <c r="AA91" s="99"/>
      <c r="HW91"/>
      <c r="HX91"/>
      <c r="HY91"/>
      <c r="HZ91"/>
      <c r="IA91"/>
      <c r="IB91"/>
      <c r="IC91"/>
      <c r="ID91"/>
      <c r="IE91"/>
      <c r="IF91"/>
      <c r="IG91"/>
    </row>
    <row r="92" spans="1:241" ht="15" customHeight="1" x14ac:dyDescent="0.4">
      <c r="A92" s="153" t="s">
        <v>51</v>
      </c>
      <c r="B92" s="184">
        <v>7907.19</v>
      </c>
      <c r="C92" s="184">
        <v>6066.65</v>
      </c>
      <c r="D92" s="184">
        <v>25140.51</v>
      </c>
      <c r="E92" s="184">
        <v>10333.699999999999</v>
      </c>
      <c r="F92" s="184">
        <v>4713.87</v>
      </c>
      <c r="G92" s="184">
        <v>4322.88</v>
      </c>
      <c r="H92" s="123"/>
      <c r="I92" s="53">
        <v>5000</v>
      </c>
      <c r="J92" s="53">
        <v>5000</v>
      </c>
      <c r="K92" s="234">
        <f t="shared" si="25"/>
        <v>0</v>
      </c>
      <c r="L92" s="193"/>
      <c r="M92" s="193"/>
      <c r="N92" s="193"/>
      <c r="O92" s="193"/>
      <c r="P92" s="193"/>
      <c r="Q92" s="193"/>
      <c r="R92" s="177"/>
      <c r="S92" s="177"/>
      <c r="T92" s="177"/>
      <c r="U92" s="177"/>
      <c r="V92" s="177"/>
      <c r="W92" s="177"/>
      <c r="X92" s="177"/>
      <c r="Y92" s="184">
        <f t="shared" si="34"/>
        <v>0</v>
      </c>
      <c r="Z92" s="211">
        <f t="shared" si="35"/>
        <v>0</v>
      </c>
      <c r="HW92"/>
      <c r="HX92"/>
      <c r="HY92"/>
      <c r="HZ92"/>
      <c r="IA92"/>
      <c r="IB92"/>
      <c r="IC92"/>
      <c r="ID92"/>
      <c r="IE92"/>
      <c r="IF92"/>
      <c r="IG92"/>
    </row>
    <row r="93" spans="1:241" ht="15" customHeight="1" x14ac:dyDescent="0.4">
      <c r="A93" s="153" t="s">
        <v>65</v>
      </c>
      <c r="B93" s="184"/>
      <c r="C93" s="184">
        <v>38</v>
      </c>
      <c r="D93" s="184"/>
      <c r="E93" s="184">
        <v>300</v>
      </c>
      <c r="F93" s="184"/>
      <c r="G93" s="184">
        <v>0</v>
      </c>
      <c r="H93" s="123"/>
      <c r="I93" s="60">
        <v>500</v>
      </c>
      <c r="J93" s="60">
        <v>500</v>
      </c>
      <c r="K93" s="234">
        <f t="shared" si="25"/>
        <v>0</v>
      </c>
      <c r="L93" s="193"/>
      <c r="M93" s="193"/>
      <c r="N93" s="193"/>
      <c r="O93" s="193"/>
      <c r="P93" s="193"/>
      <c r="Q93" s="193"/>
      <c r="R93" s="177"/>
      <c r="S93" s="177"/>
      <c r="T93" s="177"/>
      <c r="U93" s="177"/>
      <c r="V93" s="177"/>
      <c r="W93" s="177"/>
      <c r="X93" s="177"/>
      <c r="Y93" s="184">
        <f t="shared" si="34"/>
        <v>0</v>
      </c>
      <c r="Z93" s="211"/>
      <c r="AA93" s="99"/>
      <c r="HW93"/>
      <c r="HX93"/>
      <c r="HY93"/>
      <c r="HZ93"/>
      <c r="IA93"/>
      <c r="IB93"/>
      <c r="IC93"/>
      <c r="ID93"/>
      <c r="IE93"/>
      <c r="IF93"/>
      <c r="IG93"/>
    </row>
    <row r="94" spans="1:241" ht="15" customHeight="1" x14ac:dyDescent="0.4">
      <c r="A94" s="153" t="s">
        <v>54</v>
      </c>
      <c r="B94" s="184">
        <v>5987.27</v>
      </c>
      <c r="C94" s="184">
        <v>44172.65</v>
      </c>
      <c r="D94" s="184">
        <v>11540.52</v>
      </c>
      <c r="E94" s="184">
        <v>44411.969999999994</v>
      </c>
      <c r="F94" s="184">
        <v>27872.879999999997</v>
      </c>
      <c r="G94" s="184">
        <v>3445.7700000000004</v>
      </c>
      <c r="H94" s="123"/>
      <c r="I94" s="53">
        <v>5000</v>
      </c>
      <c r="J94" s="53">
        <v>5000</v>
      </c>
      <c r="K94" s="234">
        <f t="shared" si="25"/>
        <v>0</v>
      </c>
      <c r="L94" s="193">
        <v>546.29</v>
      </c>
      <c r="M94" s="193"/>
      <c r="N94" s="193"/>
      <c r="O94" s="193"/>
      <c r="P94" s="193"/>
      <c r="Q94" s="193"/>
      <c r="R94" s="177"/>
      <c r="S94" s="177"/>
      <c r="T94" s="177"/>
      <c r="U94" s="177"/>
      <c r="V94" s="177"/>
      <c r="W94" s="177"/>
      <c r="X94" s="177"/>
      <c r="Y94" s="184">
        <f t="shared" si="34"/>
        <v>546.29</v>
      </c>
      <c r="Z94" s="211">
        <f t="shared" si="35"/>
        <v>0.10925799999999999</v>
      </c>
      <c r="AA94" s="99"/>
      <c r="HW94"/>
      <c r="HX94"/>
      <c r="HY94"/>
      <c r="HZ94"/>
      <c r="IA94"/>
      <c r="IB94"/>
      <c r="IC94"/>
      <c r="ID94"/>
      <c r="IE94"/>
      <c r="IF94"/>
      <c r="IG94"/>
    </row>
    <row r="95" spans="1:241" ht="15" customHeight="1" x14ac:dyDescent="0.4">
      <c r="A95" s="153" t="s">
        <v>155</v>
      </c>
      <c r="B95" s="184">
        <v>13923.84</v>
      </c>
      <c r="C95" s="184">
        <v>9736.1200000000008</v>
      </c>
      <c r="D95" s="184">
        <v>9762.49</v>
      </c>
      <c r="E95" s="184">
        <v>16450.8</v>
      </c>
      <c r="F95" s="184">
        <v>14512.32</v>
      </c>
      <c r="G95" s="184">
        <v>12555.15</v>
      </c>
      <c r="H95" s="123"/>
      <c r="I95" s="53">
        <v>9000</v>
      </c>
      <c r="J95" s="53">
        <v>9000</v>
      </c>
      <c r="K95" s="234">
        <f t="shared" si="25"/>
        <v>0</v>
      </c>
      <c r="L95" s="193">
        <v>43.69</v>
      </c>
      <c r="M95" s="193"/>
      <c r="N95" s="193"/>
      <c r="O95" s="193"/>
      <c r="P95" s="193"/>
      <c r="Q95" s="193"/>
      <c r="R95" s="177"/>
      <c r="S95" s="177"/>
      <c r="T95" s="177"/>
      <c r="U95" s="177"/>
      <c r="V95" s="177"/>
      <c r="W95" s="177"/>
      <c r="X95" s="177"/>
      <c r="Y95" s="184">
        <f t="shared" si="34"/>
        <v>43.69</v>
      </c>
      <c r="Z95" s="243">
        <f t="shared" si="35"/>
        <v>4.8544444444444442E-3</v>
      </c>
      <c r="AA95" s="99"/>
      <c r="HW95"/>
      <c r="HX95"/>
      <c r="HY95"/>
      <c r="HZ95"/>
      <c r="IA95"/>
      <c r="IB95"/>
      <c r="IC95"/>
      <c r="ID95"/>
      <c r="IE95"/>
      <c r="IF95"/>
      <c r="IG95"/>
    </row>
    <row r="96" spans="1:241" ht="15" customHeight="1" x14ac:dyDescent="0.4">
      <c r="A96" s="142" t="s">
        <v>184</v>
      </c>
      <c r="B96" s="184">
        <f>20403.71-B97-B98-B99-B100-B101-B102-B103</f>
        <v>5603.3399999999983</v>
      </c>
      <c r="C96" s="184">
        <f>22446.73-C98-C101-C103-C97-C100-C99-C102</f>
        <v>1629.989999999998</v>
      </c>
      <c r="D96" s="184">
        <f>38197.44-D97-D98-D99-D100-D101-D102-D103</f>
        <v>290</v>
      </c>
      <c r="E96" s="184">
        <f>31696.43-E97-E98-E99-E100-E101-E102-E103</f>
        <v>6776.1100000000006</v>
      </c>
      <c r="F96" s="184">
        <f>52593.41-F97-F98-F99-F100-F101-F102-F103-F111</f>
        <v>16527.500000000007</v>
      </c>
      <c r="G96" s="184">
        <v>0</v>
      </c>
      <c r="H96" s="125"/>
      <c r="I96" s="53">
        <v>0</v>
      </c>
      <c r="J96" s="53">
        <v>0</v>
      </c>
      <c r="K96" s="234"/>
      <c r="L96" s="193"/>
      <c r="M96" s="193"/>
      <c r="N96" s="193"/>
      <c r="O96" s="193"/>
      <c r="P96" s="193"/>
      <c r="Q96" s="193"/>
      <c r="R96" s="177"/>
      <c r="S96" s="177"/>
      <c r="T96" s="177"/>
      <c r="U96" s="177"/>
      <c r="V96" s="177"/>
      <c r="W96" s="177"/>
      <c r="X96" s="177"/>
      <c r="Y96" s="184">
        <f t="shared" si="34"/>
        <v>0</v>
      </c>
      <c r="Z96" s="211"/>
      <c r="HW96"/>
      <c r="HX96"/>
      <c r="HY96"/>
      <c r="HZ96"/>
      <c r="IA96"/>
      <c r="IB96"/>
      <c r="IC96"/>
      <c r="ID96"/>
      <c r="IE96"/>
      <c r="IF96"/>
      <c r="IG96"/>
    </row>
    <row r="97" spans="1:241" ht="15" customHeight="1" x14ac:dyDescent="0.4">
      <c r="A97" s="150" t="s">
        <v>139</v>
      </c>
      <c r="B97" s="184"/>
      <c r="C97" s="184"/>
      <c r="D97" s="184"/>
      <c r="E97" s="184"/>
      <c r="F97" s="184"/>
      <c r="G97" s="184">
        <v>10557.5</v>
      </c>
      <c r="H97" s="128"/>
      <c r="I97" s="53">
        <v>8500</v>
      </c>
      <c r="J97" s="53">
        <v>8500</v>
      </c>
      <c r="K97" s="234">
        <f t="shared" si="25"/>
        <v>0</v>
      </c>
      <c r="L97" s="193"/>
      <c r="M97" s="193"/>
      <c r="N97" s="193"/>
      <c r="O97" s="193"/>
      <c r="P97" s="193"/>
      <c r="Q97" s="193"/>
      <c r="R97" s="177"/>
      <c r="S97" s="177"/>
      <c r="T97" s="177"/>
      <c r="U97" s="177"/>
      <c r="V97" s="177"/>
      <c r="W97" s="177"/>
      <c r="X97" s="177"/>
      <c r="Y97" s="184">
        <f t="shared" si="34"/>
        <v>0</v>
      </c>
      <c r="Z97" s="211">
        <f t="shared" si="35"/>
        <v>0</v>
      </c>
      <c r="AA97" s="99"/>
      <c r="AB97" s="284"/>
      <c r="HW97"/>
      <c r="HX97"/>
      <c r="HY97"/>
      <c r="HZ97"/>
      <c r="IA97"/>
      <c r="IB97"/>
      <c r="IC97"/>
      <c r="ID97"/>
      <c r="IE97"/>
      <c r="IF97"/>
      <c r="IG97"/>
    </row>
    <row r="98" spans="1:241" ht="15" customHeight="1" x14ac:dyDescent="0.4">
      <c r="A98" s="150" t="s">
        <v>140</v>
      </c>
      <c r="B98" s="184">
        <v>8295.3700000000008</v>
      </c>
      <c r="C98" s="184">
        <v>18256.740000000002</v>
      </c>
      <c r="D98" s="184">
        <v>35057.440000000002</v>
      </c>
      <c r="E98" s="184">
        <v>21410.32</v>
      </c>
      <c r="F98" s="184">
        <v>15889.84</v>
      </c>
      <c r="G98" s="184">
        <v>18555.980000000003</v>
      </c>
      <c r="H98" s="128"/>
      <c r="I98" s="53">
        <v>20000</v>
      </c>
      <c r="J98" s="53">
        <v>20000</v>
      </c>
      <c r="K98" s="234">
        <f t="shared" si="25"/>
        <v>0</v>
      </c>
      <c r="L98" s="193"/>
      <c r="M98" s="193"/>
      <c r="N98" s="193"/>
      <c r="O98" s="193"/>
      <c r="P98" s="193"/>
      <c r="Q98" s="193"/>
      <c r="R98" s="177"/>
      <c r="S98" s="177"/>
      <c r="T98" s="177"/>
      <c r="U98" s="177"/>
      <c r="V98" s="177"/>
      <c r="W98" s="177"/>
      <c r="X98" s="177"/>
      <c r="Y98" s="184">
        <f t="shared" si="34"/>
        <v>0</v>
      </c>
      <c r="Z98" s="211">
        <f t="shared" si="35"/>
        <v>0</v>
      </c>
      <c r="AA98" s="99"/>
      <c r="AB98" s="284"/>
      <c r="HW98"/>
      <c r="HX98"/>
      <c r="HY98"/>
      <c r="HZ98"/>
      <c r="IA98"/>
      <c r="IB98"/>
      <c r="IC98"/>
      <c r="ID98"/>
      <c r="IE98"/>
      <c r="IF98"/>
      <c r="IG98"/>
    </row>
    <row r="99" spans="1:241" ht="15" customHeight="1" x14ac:dyDescent="0.4">
      <c r="A99" s="150" t="s">
        <v>141</v>
      </c>
      <c r="B99" s="184"/>
      <c r="C99" s="184"/>
      <c r="D99" s="184"/>
      <c r="E99" s="184"/>
      <c r="F99" s="184">
        <v>4475.16</v>
      </c>
      <c r="G99" s="184">
        <v>0</v>
      </c>
      <c r="H99" s="128"/>
      <c r="I99" s="53"/>
      <c r="J99" s="53"/>
      <c r="K99" s="234"/>
      <c r="L99" s="193"/>
      <c r="M99" s="193"/>
      <c r="N99" s="193"/>
      <c r="O99" s="193"/>
      <c r="P99" s="193"/>
      <c r="Q99" s="193"/>
      <c r="R99" s="177"/>
      <c r="S99" s="177"/>
      <c r="T99" s="177"/>
      <c r="U99" s="177"/>
      <c r="V99" s="177"/>
      <c r="W99" s="177"/>
      <c r="X99" s="177"/>
      <c r="Y99" s="184">
        <f t="shared" si="34"/>
        <v>0</v>
      </c>
      <c r="Z99" s="243"/>
      <c r="AB99" s="284"/>
      <c r="HW99"/>
      <c r="HX99"/>
      <c r="HY99"/>
      <c r="HZ99"/>
      <c r="IA99"/>
      <c r="IB99"/>
      <c r="IC99"/>
      <c r="ID99"/>
      <c r="IE99"/>
      <c r="IF99"/>
      <c r="IG99"/>
    </row>
    <row r="100" spans="1:241" ht="15" customHeight="1" x14ac:dyDescent="0.4">
      <c r="A100" s="150" t="s">
        <v>142</v>
      </c>
      <c r="B100" s="184"/>
      <c r="C100" s="184"/>
      <c r="D100" s="184"/>
      <c r="E100" s="184"/>
      <c r="F100" s="184"/>
      <c r="G100" s="184">
        <v>3825</v>
      </c>
      <c r="H100" s="128"/>
      <c r="I100" s="53">
        <v>3825</v>
      </c>
      <c r="J100" s="53">
        <v>3825</v>
      </c>
      <c r="K100" s="234">
        <f t="shared" si="25"/>
        <v>0</v>
      </c>
      <c r="L100" s="193"/>
      <c r="M100" s="193"/>
      <c r="N100" s="193"/>
      <c r="O100" s="193"/>
      <c r="P100" s="193"/>
      <c r="Q100" s="193"/>
      <c r="R100" s="177"/>
      <c r="S100" s="177"/>
      <c r="T100" s="177"/>
      <c r="U100" s="177"/>
      <c r="V100" s="177"/>
      <c r="W100" s="177"/>
      <c r="X100" s="177"/>
      <c r="Y100" s="184">
        <f t="shared" si="34"/>
        <v>0</v>
      </c>
      <c r="Z100" s="211">
        <f>Y100/J100</f>
        <v>0</v>
      </c>
      <c r="AB100" s="284"/>
      <c r="HW100"/>
      <c r="HX100"/>
      <c r="HY100"/>
      <c r="HZ100"/>
      <c r="IA100"/>
      <c r="IB100"/>
      <c r="IC100"/>
      <c r="ID100"/>
      <c r="IE100"/>
      <c r="IF100"/>
      <c r="IG100"/>
    </row>
    <row r="101" spans="1:241" ht="15" customHeight="1" x14ac:dyDescent="0.4">
      <c r="A101" s="150" t="s">
        <v>138</v>
      </c>
      <c r="B101" s="184">
        <v>3030</v>
      </c>
      <c r="C101" s="184">
        <v>1560</v>
      </c>
      <c r="D101" s="184">
        <v>1350</v>
      </c>
      <c r="E101" s="184">
        <v>210</v>
      </c>
      <c r="F101" s="184">
        <v>1015</v>
      </c>
      <c r="G101" s="184">
        <v>2240</v>
      </c>
      <c r="H101" s="128"/>
      <c r="I101" s="53">
        <v>500</v>
      </c>
      <c r="J101" s="53">
        <v>500</v>
      </c>
      <c r="K101" s="234">
        <f t="shared" si="25"/>
        <v>0</v>
      </c>
      <c r="L101" s="193"/>
      <c r="M101" s="193"/>
      <c r="N101" s="193"/>
      <c r="O101" s="193"/>
      <c r="P101" s="193"/>
      <c r="Q101" s="193"/>
      <c r="R101" s="177"/>
      <c r="S101" s="177"/>
      <c r="T101" s="177"/>
      <c r="U101" s="177"/>
      <c r="V101" s="177"/>
      <c r="W101" s="177"/>
      <c r="X101" s="177"/>
      <c r="Y101" s="184">
        <f t="shared" si="34"/>
        <v>0</v>
      </c>
      <c r="Z101" s="211">
        <f t="shared" si="35"/>
        <v>0</v>
      </c>
      <c r="AA101" s="99"/>
      <c r="AB101" s="284"/>
      <c r="HW101"/>
      <c r="HX101"/>
      <c r="HY101"/>
      <c r="HZ101"/>
      <c r="IA101"/>
      <c r="IB101"/>
      <c r="IC101"/>
      <c r="ID101"/>
      <c r="IE101"/>
      <c r="IF101"/>
      <c r="IG101"/>
    </row>
    <row r="102" spans="1:241" ht="15" customHeight="1" x14ac:dyDescent="0.4">
      <c r="A102" s="150" t="s">
        <v>149</v>
      </c>
      <c r="B102" s="184"/>
      <c r="C102" s="184"/>
      <c r="D102" s="184"/>
      <c r="E102" s="184"/>
      <c r="F102" s="184"/>
      <c r="G102" s="184">
        <v>0</v>
      </c>
      <c r="H102" s="128"/>
      <c r="I102" s="53"/>
      <c r="J102" s="53"/>
      <c r="K102" s="234"/>
      <c r="L102" s="193"/>
      <c r="M102" s="193"/>
      <c r="N102" s="193"/>
      <c r="O102" s="193"/>
      <c r="P102" s="193"/>
      <c r="Q102" s="193"/>
      <c r="R102" s="177"/>
      <c r="S102" s="177"/>
      <c r="T102" s="177"/>
      <c r="U102" s="177"/>
      <c r="V102" s="177"/>
      <c r="W102" s="177"/>
      <c r="X102" s="177"/>
      <c r="Y102" s="184">
        <f t="shared" si="34"/>
        <v>0</v>
      </c>
      <c r="Z102" s="211"/>
      <c r="AB102" s="284"/>
      <c r="HW102"/>
      <c r="HX102"/>
      <c r="HY102"/>
      <c r="HZ102"/>
      <c r="IA102"/>
      <c r="IB102"/>
      <c r="IC102"/>
      <c r="ID102"/>
      <c r="IE102"/>
      <c r="IF102"/>
      <c r="IG102"/>
    </row>
    <row r="103" spans="1:241" ht="15" customHeight="1" x14ac:dyDescent="0.4">
      <c r="A103" s="150" t="s">
        <v>137</v>
      </c>
      <c r="B103" s="184">
        <v>3475</v>
      </c>
      <c r="C103" s="184">
        <v>1000</v>
      </c>
      <c r="D103" s="184">
        <v>1500</v>
      </c>
      <c r="E103" s="184">
        <v>3300</v>
      </c>
      <c r="F103" s="184">
        <v>1000</v>
      </c>
      <c r="G103" s="184">
        <v>19000</v>
      </c>
      <c r="H103" s="128"/>
      <c r="I103" s="53">
        <v>6300</v>
      </c>
      <c r="J103" s="53">
        <v>6300</v>
      </c>
      <c r="K103" s="234">
        <f t="shared" si="25"/>
        <v>0</v>
      </c>
      <c r="L103" s="193"/>
      <c r="M103" s="193"/>
      <c r="N103" s="193"/>
      <c r="O103" s="193"/>
      <c r="P103" s="193"/>
      <c r="Q103" s="193"/>
      <c r="R103" s="177"/>
      <c r="S103" s="177"/>
      <c r="T103" s="177"/>
      <c r="U103" s="177"/>
      <c r="V103" s="177"/>
      <c r="W103" s="177"/>
      <c r="X103" s="177"/>
      <c r="Y103" s="184">
        <f t="shared" si="34"/>
        <v>0</v>
      </c>
      <c r="Z103" s="243">
        <f t="shared" si="35"/>
        <v>0</v>
      </c>
      <c r="AA103" s="99"/>
      <c r="AB103" s="284"/>
      <c r="HW103"/>
      <c r="HX103"/>
      <c r="HY103"/>
      <c r="HZ103"/>
      <c r="IA103"/>
      <c r="IB103"/>
      <c r="IC103"/>
      <c r="ID103"/>
      <c r="IE103"/>
      <c r="IF103"/>
      <c r="IG103"/>
    </row>
    <row r="104" spans="1:241" ht="15" customHeight="1" x14ac:dyDescent="0.4">
      <c r="A104" s="142" t="s">
        <v>177</v>
      </c>
      <c r="B104" s="181">
        <f t="shared" ref="B104:G104" si="36">SUM(B77:B103)</f>
        <v>111076.46999999999</v>
      </c>
      <c r="C104" s="181">
        <f t="shared" si="36"/>
        <v>165210.67999999996</v>
      </c>
      <c r="D104" s="181">
        <f t="shared" si="36"/>
        <v>123177.38</v>
      </c>
      <c r="E104" s="181">
        <f t="shared" si="36"/>
        <v>205491.95</v>
      </c>
      <c r="F104" s="181">
        <f t="shared" si="36"/>
        <v>165111.50000000003</v>
      </c>
      <c r="G104" s="181">
        <f t="shared" si="36"/>
        <v>159671.77000000002</v>
      </c>
      <c r="H104" s="123"/>
      <c r="I104" s="97">
        <f>SUM(I77:I103)</f>
        <v>159191</v>
      </c>
      <c r="J104" s="97">
        <f>SUM(J77:J103)</f>
        <v>159191</v>
      </c>
      <c r="K104" s="234">
        <f t="shared" si="25"/>
        <v>0</v>
      </c>
      <c r="L104" s="181">
        <f t="shared" ref="L104:Y104" si="37">SUM(L77:L103)</f>
        <v>1310.9099999999999</v>
      </c>
      <c r="M104" s="181">
        <f t="shared" si="37"/>
        <v>0</v>
      </c>
      <c r="N104" s="181">
        <f t="shared" si="37"/>
        <v>0</v>
      </c>
      <c r="O104" s="181">
        <f t="shared" si="37"/>
        <v>0</v>
      </c>
      <c r="P104" s="239">
        <f t="shared" si="37"/>
        <v>0</v>
      </c>
      <c r="Q104" s="239">
        <f t="shared" si="37"/>
        <v>0</v>
      </c>
      <c r="R104" s="181">
        <f t="shared" si="37"/>
        <v>0</v>
      </c>
      <c r="S104" s="181">
        <f t="shared" si="37"/>
        <v>0</v>
      </c>
      <c r="T104" s="181">
        <f t="shared" si="37"/>
        <v>0</v>
      </c>
      <c r="U104" s="181">
        <f t="shared" si="37"/>
        <v>0</v>
      </c>
      <c r="V104" s="181">
        <f t="shared" si="37"/>
        <v>0</v>
      </c>
      <c r="W104" s="181">
        <f t="shared" si="37"/>
        <v>0</v>
      </c>
      <c r="X104" s="181">
        <f t="shared" si="37"/>
        <v>0</v>
      </c>
      <c r="Y104" s="182">
        <f t="shared" si="37"/>
        <v>1310.9099999999999</v>
      </c>
      <c r="Z104" s="211">
        <f t="shared" si="35"/>
        <v>8.2348248330621696E-3</v>
      </c>
      <c r="HW104"/>
      <c r="HX104"/>
      <c r="HY104"/>
      <c r="HZ104"/>
      <c r="IA104"/>
      <c r="IB104"/>
      <c r="IC104"/>
      <c r="ID104"/>
      <c r="IE104"/>
      <c r="IF104"/>
      <c r="IG104"/>
    </row>
    <row r="105" spans="1:241" ht="15" customHeight="1" x14ac:dyDescent="0.4">
      <c r="A105" s="151" t="s">
        <v>163</v>
      </c>
      <c r="B105" s="184"/>
      <c r="C105" s="184"/>
      <c r="D105" s="184"/>
      <c r="E105" s="184"/>
      <c r="F105" s="184"/>
      <c r="G105" s="184"/>
      <c r="H105" s="126"/>
      <c r="I105" s="53"/>
      <c r="J105" s="53"/>
      <c r="K105" s="234"/>
      <c r="L105" s="193"/>
      <c r="M105" s="193"/>
      <c r="N105" s="193"/>
      <c r="O105" s="193"/>
      <c r="P105" s="193"/>
      <c r="Q105" s="193"/>
      <c r="R105" s="177"/>
      <c r="S105" s="177"/>
      <c r="T105" s="177"/>
      <c r="U105" s="177"/>
      <c r="V105" s="177"/>
      <c r="W105" s="177"/>
      <c r="X105" s="177"/>
      <c r="Y105" s="184"/>
      <c r="Z105" s="211"/>
      <c r="HW105"/>
      <c r="HX105"/>
      <c r="HY105"/>
      <c r="HZ105"/>
      <c r="IA105"/>
      <c r="IB105"/>
      <c r="IC105"/>
      <c r="ID105"/>
      <c r="IE105"/>
      <c r="IF105"/>
      <c r="IG105"/>
    </row>
    <row r="106" spans="1:241" ht="15" customHeight="1" x14ac:dyDescent="0.4">
      <c r="A106" s="142" t="s">
        <v>164</v>
      </c>
      <c r="B106" s="184"/>
      <c r="C106" s="184"/>
      <c r="D106" s="184"/>
      <c r="E106" s="184"/>
      <c r="F106" s="184"/>
      <c r="G106" s="184">
        <v>0</v>
      </c>
      <c r="H106" s="125"/>
      <c r="I106" s="53"/>
      <c r="J106" s="53"/>
      <c r="K106" s="234"/>
      <c r="L106" s="193"/>
      <c r="M106" s="193"/>
      <c r="N106" s="193"/>
      <c r="O106" s="193"/>
      <c r="P106" s="193"/>
      <c r="Q106" s="193"/>
      <c r="R106" s="177"/>
      <c r="S106" s="177"/>
      <c r="T106" s="177"/>
      <c r="U106" s="177"/>
      <c r="V106" s="177"/>
      <c r="W106" s="177"/>
      <c r="X106" s="177"/>
      <c r="Y106" s="184">
        <f t="shared" ref="Y106:Y125" si="38">SUM(L106:X106)</f>
        <v>0</v>
      </c>
      <c r="Z106" s="211"/>
      <c r="HW106"/>
      <c r="HX106"/>
      <c r="HY106"/>
      <c r="HZ106"/>
      <c r="IA106"/>
      <c r="IB106"/>
      <c r="IC106"/>
      <c r="ID106"/>
      <c r="IE106"/>
      <c r="IF106"/>
      <c r="IG106"/>
    </row>
    <row r="107" spans="1:241" ht="15.75" customHeight="1" x14ac:dyDescent="0.4">
      <c r="A107" s="150" t="s">
        <v>62</v>
      </c>
      <c r="B107" s="184">
        <v>28790.84</v>
      </c>
      <c r="C107" s="184">
        <v>36477.78</v>
      </c>
      <c r="D107" s="184">
        <v>26367.31</v>
      </c>
      <c r="E107" s="184">
        <v>89842.64</v>
      </c>
      <c r="F107" s="184">
        <f>159465.52-F110</f>
        <v>139567.78999999998</v>
      </c>
      <c r="G107" s="184">
        <v>55511.86</v>
      </c>
      <c r="H107" s="123"/>
      <c r="I107" s="60">
        <v>50000</v>
      </c>
      <c r="J107" s="60">
        <v>50000</v>
      </c>
      <c r="K107" s="234">
        <f t="shared" si="25"/>
        <v>0</v>
      </c>
      <c r="L107" s="193"/>
      <c r="M107" s="193"/>
      <c r="N107" s="193"/>
      <c r="O107" s="193"/>
      <c r="P107" s="193"/>
      <c r="Q107" s="193"/>
      <c r="R107" s="177"/>
      <c r="S107" s="177"/>
      <c r="T107" s="177"/>
      <c r="U107" s="177"/>
      <c r="V107" s="177"/>
      <c r="W107" s="177"/>
      <c r="X107" s="177"/>
      <c r="Y107" s="184">
        <f t="shared" si="38"/>
        <v>0</v>
      </c>
      <c r="Z107" s="243">
        <f t="shared" si="35"/>
        <v>0</v>
      </c>
      <c r="HW107"/>
      <c r="HX107"/>
      <c r="HY107"/>
      <c r="HZ107"/>
      <c r="IA107"/>
      <c r="IB107"/>
      <c r="IC107"/>
      <c r="ID107"/>
      <c r="IE107"/>
      <c r="IF107"/>
      <c r="IG107"/>
    </row>
    <row r="108" spans="1:241" ht="15" customHeight="1" x14ac:dyDescent="0.4">
      <c r="A108" s="150" t="s">
        <v>40</v>
      </c>
      <c r="B108" s="184">
        <v>38745</v>
      </c>
      <c r="C108" s="184">
        <v>42000</v>
      </c>
      <c r="D108" s="184">
        <v>42999.960000000014</v>
      </c>
      <c r="E108" s="184">
        <v>44750.039999999986</v>
      </c>
      <c r="F108" s="184">
        <v>45099.960000000014</v>
      </c>
      <c r="G108" s="184">
        <v>54855</v>
      </c>
      <c r="H108" s="123"/>
      <c r="I108" s="60">
        <v>54855</v>
      </c>
      <c r="J108" s="60">
        <v>54855</v>
      </c>
      <c r="K108" s="234">
        <f t="shared" si="25"/>
        <v>0</v>
      </c>
      <c r="L108" s="193"/>
      <c r="M108" s="193"/>
      <c r="N108" s="193"/>
      <c r="O108" s="193"/>
      <c r="P108" s="193"/>
      <c r="Q108" s="193"/>
      <c r="R108" s="177"/>
      <c r="S108" s="177"/>
      <c r="T108" s="177"/>
      <c r="U108" s="177"/>
      <c r="V108" s="177"/>
      <c r="W108" s="177"/>
      <c r="X108" s="177"/>
      <c r="Y108" s="184">
        <f t="shared" si="38"/>
        <v>0</v>
      </c>
      <c r="Z108" s="211">
        <f t="shared" si="35"/>
        <v>0</v>
      </c>
      <c r="HW108"/>
      <c r="HX108"/>
      <c r="HY108"/>
      <c r="HZ108"/>
      <c r="IA108"/>
      <c r="IB108"/>
      <c r="IC108"/>
      <c r="ID108"/>
      <c r="IE108"/>
      <c r="IF108"/>
      <c r="IG108"/>
    </row>
    <row r="109" spans="1:241" ht="15" customHeight="1" x14ac:dyDescent="0.4">
      <c r="A109" s="150" t="s">
        <v>61</v>
      </c>
      <c r="B109" s="184">
        <v>3180</v>
      </c>
      <c r="C109" s="184">
        <v>4995</v>
      </c>
      <c r="D109" s="184">
        <v>4995</v>
      </c>
      <c r="E109" s="184">
        <v>4995</v>
      </c>
      <c r="F109" s="184">
        <v>4995</v>
      </c>
      <c r="G109" s="184">
        <v>5494.5</v>
      </c>
      <c r="H109" s="123"/>
      <c r="I109" s="60">
        <v>5494.5</v>
      </c>
      <c r="J109" s="60">
        <v>5494.5</v>
      </c>
      <c r="K109" s="234">
        <f t="shared" ref="K109:K139" si="39">(J109-I109)/I109</f>
        <v>0</v>
      </c>
      <c r="L109" s="193"/>
      <c r="M109" s="193"/>
      <c r="N109" s="193"/>
      <c r="O109" s="193"/>
      <c r="P109" s="193"/>
      <c r="Q109" s="193"/>
      <c r="R109" s="177"/>
      <c r="S109" s="177"/>
      <c r="T109" s="177"/>
      <c r="U109" s="177"/>
      <c r="V109" s="177"/>
      <c r="W109" s="177"/>
      <c r="X109" s="177"/>
      <c r="Y109" s="184">
        <f t="shared" si="38"/>
        <v>0</v>
      </c>
      <c r="Z109" s="211">
        <f t="shared" si="35"/>
        <v>0</v>
      </c>
      <c r="AA109" s="225"/>
      <c r="HW109"/>
      <c r="HX109"/>
      <c r="HY109"/>
      <c r="HZ109"/>
      <c r="IA109"/>
      <c r="IB109"/>
      <c r="IC109"/>
      <c r="ID109"/>
      <c r="IE109"/>
      <c r="IF109"/>
      <c r="IG109"/>
    </row>
    <row r="110" spans="1:241" ht="15" customHeight="1" x14ac:dyDescent="0.4">
      <c r="A110" s="150" t="s">
        <v>121</v>
      </c>
      <c r="B110" s="184"/>
      <c r="C110" s="184"/>
      <c r="D110" s="184"/>
      <c r="E110" s="184"/>
      <c r="F110" s="184">
        <v>19897.73</v>
      </c>
      <c r="G110" s="184">
        <v>23390</v>
      </c>
      <c r="H110" s="123"/>
      <c r="I110" s="60">
        <v>26880</v>
      </c>
      <c r="J110" s="60">
        <v>26880</v>
      </c>
      <c r="K110" s="234">
        <f t="shared" si="39"/>
        <v>0</v>
      </c>
      <c r="L110" s="193">
        <v>1650</v>
      </c>
      <c r="M110" s="193"/>
      <c r="N110" s="193"/>
      <c r="O110" s="193"/>
      <c r="P110" s="193"/>
      <c r="Q110" s="193"/>
      <c r="R110" s="177"/>
      <c r="S110" s="177"/>
      <c r="T110" s="177"/>
      <c r="U110" s="177"/>
      <c r="V110" s="177"/>
      <c r="W110" s="177"/>
      <c r="X110" s="177"/>
      <c r="Y110" s="184">
        <f t="shared" si="38"/>
        <v>1650</v>
      </c>
      <c r="Z110" s="211">
        <f t="shared" si="35"/>
        <v>6.1383928571428568E-2</v>
      </c>
      <c r="AA110" s="233"/>
      <c r="AB110" s="285"/>
      <c r="HW110"/>
      <c r="HX110"/>
      <c r="HY110"/>
      <c r="HZ110"/>
      <c r="IA110"/>
      <c r="IB110"/>
      <c r="IC110"/>
      <c r="ID110"/>
      <c r="IE110"/>
      <c r="IF110"/>
      <c r="IG110"/>
    </row>
    <row r="111" spans="1:241" ht="15" customHeight="1" x14ac:dyDescent="0.4">
      <c r="A111" s="150" t="s">
        <v>122</v>
      </c>
      <c r="B111" s="184"/>
      <c r="C111" s="184"/>
      <c r="D111" s="184"/>
      <c r="E111" s="184"/>
      <c r="F111" s="184">
        <v>13685.91</v>
      </c>
      <c r="G111" s="184">
        <v>24979.09</v>
      </c>
      <c r="H111" s="123"/>
      <c r="I111" s="53">
        <v>27475</v>
      </c>
      <c r="J111" s="53">
        <v>27475</v>
      </c>
      <c r="K111" s="234">
        <f t="shared" si="39"/>
        <v>0</v>
      </c>
      <c r="L111" s="193">
        <v>1639.17</v>
      </c>
      <c r="M111" s="193"/>
      <c r="N111" s="193"/>
      <c r="O111" s="193"/>
      <c r="P111" s="193"/>
      <c r="Q111" s="193"/>
      <c r="R111" s="177"/>
      <c r="S111" s="177"/>
      <c r="T111" s="177"/>
      <c r="U111" s="177"/>
      <c r="V111" s="177"/>
      <c r="W111" s="177"/>
      <c r="X111" s="177"/>
      <c r="Y111" s="184">
        <f t="shared" si="38"/>
        <v>1639.17</v>
      </c>
      <c r="Z111" s="211">
        <f t="shared" si="35"/>
        <v>5.9660418562329391E-2</v>
      </c>
      <c r="AA111" s="233"/>
      <c r="AB111" s="284"/>
      <c r="HW111"/>
      <c r="HX111"/>
      <c r="HY111"/>
      <c r="HZ111"/>
      <c r="IA111"/>
      <c r="IB111"/>
      <c r="IC111"/>
      <c r="ID111"/>
      <c r="IE111"/>
      <c r="IF111"/>
      <c r="IG111"/>
    </row>
    <row r="112" spans="1:241" ht="15" customHeight="1" x14ac:dyDescent="0.4">
      <c r="A112" s="150" t="s">
        <v>123</v>
      </c>
      <c r="B112" s="184">
        <v>15933</v>
      </c>
      <c r="C112" s="184">
        <v>15448.03</v>
      </c>
      <c r="D112" s="184">
        <v>15612.789999999997</v>
      </c>
      <c r="E112" s="184">
        <v>17693.480000000003</v>
      </c>
      <c r="F112" s="184">
        <v>34400.58</v>
      </c>
      <c r="G112" s="184">
        <v>37016.78</v>
      </c>
      <c r="H112" s="123"/>
      <c r="I112" s="53">
        <v>35182.720000000001</v>
      </c>
      <c r="J112" s="53">
        <v>35182.720000000001</v>
      </c>
      <c r="K112" s="234">
        <f t="shared" si="39"/>
        <v>0</v>
      </c>
      <c r="L112" s="193">
        <v>2171.2800000000002</v>
      </c>
      <c r="M112" s="193"/>
      <c r="N112" s="193"/>
      <c r="O112" s="193"/>
      <c r="P112" s="193"/>
      <c r="Q112" s="193"/>
      <c r="R112" s="177"/>
      <c r="S112" s="177"/>
      <c r="T112" s="177"/>
      <c r="U112" s="177"/>
      <c r="V112" s="177"/>
      <c r="W112" s="177"/>
      <c r="X112" s="177"/>
      <c r="Y112" s="184">
        <f t="shared" si="38"/>
        <v>2171.2800000000002</v>
      </c>
      <c r="Z112" s="211">
        <f t="shared" si="35"/>
        <v>6.1714387062739892E-2</v>
      </c>
      <c r="AA112" s="99"/>
      <c r="AB112" s="286"/>
      <c r="HW112"/>
      <c r="HX112"/>
      <c r="HY112"/>
      <c r="HZ112"/>
      <c r="IA112"/>
      <c r="IB112"/>
      <c r="IC112"/>
      <c r="ID112"/>
      <c r="IE112"/>
      <c r="IF112"/>
      <c r="IG112"/>
    </row>
    <row r="113" spans="1:241" ht="15" customHeight="1" x14ac:dyDescent="0.4">
      <c r="A113" s="150" t="s">
        <v>124</v>
      </c>
      <c r="B113" s="184">
        <v>14500</v>
      </c>
      <c r="C113" s="184">
        <v>15000</v>
      </c>
      <c r="D113" s="184">
        <v>15500</v>
      </c>
      <c r="E113" s="184">
        <v>15600</v>
      </c>
      <c r="F113" s="184">
        <v>22950</v>
      </c>
      <c r="G113" s="184">
        <v>27762.5</v>
      </c>
      <c r="H113" s="123"/>
      <c r="I113" s="53">
        <v>23300</v>
      </c>
      <c r="J113" s="53">
        <v>23300</v>
      </c>
      <c r="K113" s="234">
        <f t="shared" si="39"/>
        <v>0</v>
      </c>
      <c r="L113" s="193">
        <v>1000</v>
      </c>
      <c r="M113" s="193"/>
      <c r="N113" s="193"/>
      <c r="O113" s="193"/>
      <c r="P113" s="193"/>
      <c r="Q113" s="193"/>
      <c r="R113" s="177"/>
      <c r="S113" s="177"/>
      <c r="T113" s="177"/>
      <c r="U113" s="177"/>
      <c r="V113" s="177"/>
      <c r="W113" s="177"/>
      <c r="X113" s="177"/>
      <c r="Y113" s="184">
        <f t="shared" si="38"/>
        <v>1000</v>
      </c>
      <c r="Z113" s="246">
        <f t="shared" si="35"/>
        <v>4.2918454935622317E-2</v>
      </c>
      <c r="HW113"/>
      <c r="HX113"/>
      <c r="HY113"/>
      <c r="HZ113"/>
      <c r="IA113"/>
      <c r="IB113"/>
      <c r="IC113"/>
      <c r="ID113"/>
      <c r="IE113"/>
      <c r="IF113"/>
      <c r="IG113"/>
    </row>
    <row r="114" spans="1:241" ht="15" customHeight="1" x14ac:dyDescent="0.4">
      <c r="A114" s="150" t="s">
        <v>180</v>
      </c>
      <c r="B114" s="184"/>
      <c r="C114" s="184"/>
      <c r="D114" s="184"/>
      <c r="E114" s="184"/>
      <c r="F114" s="184"/>
      <c r="G114" s="184">
        <v>0</v>
      </c>
      <c r="H114" s="123"/>
      <c r="I114" s="53" t="s">
        <v>216</v>
      </c>
      <c r="J114" s="53" t="s">
        <v>216</v>
      </c>
      <c r="K114" s="234"/>
      <c r="L114" s="193"/>
      <c r="M114" s="193"/>
      <c r="N114" s="193"/>
      <c r="O114" s="193"/>
      <c r="P114" s="193"/>
      <c r="Q114" s="193"/>
      <c r="R114" s="177"/>
      <c r="S114" s="177"/>
      <c r="T114" s="177"/>
      <c r="U114" s="177"/>
      <c r="V114" s="177"/>
      <c r="W114" s="177"/>
      <c r="X114" s="177"/>
      <c r="Y114" s="184">
        <f t="shared" si="38"/>
        <v>0</v>
      </c>
      <c r="Z114" s="211"/>
      <c r="HW114"/>
      <c r="HX114"/>
      <c r="HY114"/>
      <c r="HZ114"/>
      <c r="IA114"/>
      <c r="IB114"/>
      <c r="IC114"/>
      <c r="ID114"/>
      <c r="IE114"/>
      <c r="IF114"/>
      <c r="IG114"/>
    </row>
    <row r="115" spans="1:241" ht="15" customHeight="1" x14ac:dyDescent="0.4">
      <c r="A115" s="150" t="s">
        <v>182</v>
      </c>
      <c r="B115" s="184"/>
      <c r="C115" s="184"/>
      <c r="D115" s="184"/>
      <c r="E115" s="184"/>
      <c r="F115" s="184"/>
      <c r="G115" s="184">
        <v>1112.9000000000001</v>
      </c>
      <c r="H115" s="123"/>
      <c r="I115" s="53">
        <v>1000</v>
      </c>
      <c r="J115" s="53">
        <v>1000</v>
      </c>
      <c r="K115" s="234">
        <f t="shared" si="39"/>
        <v>0</v>
      </c>
      <c r="L115" s="193"/>
      <c r="M115" s="193"/>
      <c r="N115" s="193"/>
      <c r="O115" s="193"/>
      <c r="P115" s="193"/>
      <c r="Q115" s="193"/>
      <c r="R115" s="177"/>
      <c r="S115" s="177"/>
      <c r="T115" s="177"/>
      <c r="U115" s="177"/>
      <c r="V115" s="177"/>
      <c r="W115" s="177"/>
      <c r="X115" s="177"/>
      <c r="Y115" s="184">
        <f t="shared" si="38"/>
        <v>0</v>
      </c>
      <c r="Z115" s="211">
        <f t="shared" si="35"/>
        <v>0</v>
      </c>
      <c r="HW115"/>
      <c r="HX115"/>
      <c r="HY115"/>
      <c r="HZ115"/>
      <c r="IA115"/>
      <c r="IB115"/>
      <c r="IC115"/>
      <c r="ID115"/>
      <c r="IE115"/>
      <c r="IF115"/>
      <c r="IG115"/>
    </row>
    <row r="116" spans="1:241" ht="15" customHeight="1" x14ac:dyDescent="0.4">
      <c r="A116" s="142" t="s">
        <v>56</v>
      </c>
      <c r="B116" s="184">
        <v>28867.27</v>
      </c>
      <c r="C116" s="184">
        <v>23122.44</v>
      </c>
      <c r="D116" s="184">
        <v>31249.97</v>
      </c>
      <c r="E116" s="184">
        <v>33260.28</v>
      </c>
      <c r="F116" s="184">
        <v>37981.82</v>
      </c>
      <c r="G116" s="184">
        <v>39790.339999999997</v>
      </c>
      <c r="H116" s="123"/>
      <c r="I116" s="53">
        <v>38000</v>
      </c>
      <c r="J116" s="53">
        <v>38000</v>
      </c>
      <c r="K116" s="234">
        <f t="shared" si="39"/>
        <v>0</v>
      </c>
      <c r="L116" s="193">
        <f>22842.95</f>
        <v>22842.95</v>
      </c>
      <c r="M116" s="193"/>
      <c r="N116" s="193"/>
      <c r="O116" s="193"/>
      <c r="P116" s="193"/>
      <c r="Q116" s="193"/>
      <c r="R116" s="177"/>
      <c r="S116" s="177"/>
      <c r="T116" s="177"/>
      <c r="U116" s="177"/>
      <c r="V116" s="177"/>
      <c r="W116" s="177"/>
      <c r="X116" s="177"/>
      <c r="Y116" s="184">
        <f t="shared" si="38"/>
        <v>22842.95</v>
      </c>
      <c r="Z116" s="243">
        <f t="shared" si="35"/>
        <v>0.60113026315789475</v>
      </c>
      <c r="HW116"/>
      <c r="HX116"/>
      <c r="HY116"/>
      <c r="HZ116"/>
      <c r="IA116"/>
      <c r="IB116"/>
      <c r="IC116"/>
      <c r="ID116"/>
      <c r="IE116"/>
      <c r="IF116"/>
      <c r="IG116"/>
    </row>
    <row r="117" spans="1:241" ht="15" customHeight="1" x14ac:dyDescent="0.4">
      <c r="A117" s="142" t="s">
        <v>59</v>
      </c>
      <c r="B117" s="184">
        <v>10840.7</v>
      </c>
      <c r="C117" s="184">
        <v>9750</v>
      </c>
      <c r="D117" s="184">
        <v>19595</v>
      </c>
      <c r="E117" s="184">
        <v>12495</v>
      </c>
      <c r="F117" s="184">
        <v>0</v>
      </c>
      <c r="G117" s="184">
        <v>11495</v>
      </c>
      <c r="H117" s="123"/>
      <c r="I117" s="53">
        <v>11500</v>
      </c>
      <c r="J117" s="53">
        <v>11500</v>
      </c>
      <c r="K117" s="234">
        <f t="shared" si="39"/>
        <v>0</v>
      </c>
      <c r="L117" s="193"/>
      <c r="M117" s="193"/>
      <c r="N117" s="193"/>
      <c r="O117" s="193"/>
      <c r="P117" s="193"/>
      <c r="Q117" s="193"/>
      <c r="R117" s="177"/>
      <c r="S117" s="177"/>
      <c r="T117" s="177"/>
      <c r="U117" s="177"/>
      <c r="V117" s="177"/>
      <c r="W117" s="177"/>
      <c r="X117" s="177"/>
      <c r="Y117" s="184">
        <f t="shared" si="38"/>
        <v>0</v>
      </c>
      <c r="Z117" s="211">
        <f t="shared" si="35"/>
        <v>0</v>
      </c>
      <c r="HW117"/>
      <c r="HX117"/>
      <c r="HY117"/>
      <c r="HZ117"/>
      <c r="IA117"/>
      <c r="IB117"/>
      <c r="IC117"/>
      <c r="ID117"/>
      <c r="IE117"/>
      <c r="IF117"/>
      <c r="IG117"/>
    </row>
    <row r="118" spans="1:241" ht="15" customHeight="1" x14ac:dyDescent="0.4">
      <c r="A118" s="142" t="s">
        <v>60</v>
      </c>
      <c r="B118" s="184">
        <v>2371.1999999999998</v>
      </c>
      <c r="C118" s="184">
        <v>972.87</v>
      </c>
      <c r="D118" s="184">
        <v>1189.8800000000001</v>
      </c>
      <c r="E118" s="184">
        <v>2012.6</v>
      </c>
      <c r="F118" s="184">
        <v>11690.72</v>
      </c>
      <c r="G118" s="184">
        <v>392.16</v>
      </c>
      <c r="H118" s="123"/>
      <c r="I118" s="53">
        <v>5000</v>
      </c>
      <c r="J118" s="53">
        <v>5000</v>
      </c>
      <c r="K118" s="234">
        <f t="shared" si="39"/>
        <v>0</v>
      </c>
      <c r="L118" s="193"/>
      <c r="M118" s="193"/>
      <c r="N118" s="193"/>
      <c r="O118" s="193"/>
      <c r="P118" s="193"/>
      <c r="Q118" s="193"/>
      <c r="R118" s="177"/>
      <c r="S118" s="177"/>
      <c r="T118" s="177"/>
      <c r="U118" s="177"/>
      <c r="V118" s="177"/>
      <c r="W118" s="177"/>
      <c r="X118" s="177"/>
      <c r="Y118" s="184">
        <f t="shared" si="38"/>
        <v>0</v>
      </c>
      <c r="Z118" s="211">
        <f t="shared" si="35"/>
        <v>0</v>
      </c>
      <c r="AA118" s="99"/>
      <c r="HW118"/>
      <c r="HX118"/>
      <c r="HY118"/>
      <c r="HZ118"/>
      <c r="IA118"/>
      <c r="IB118"/>
      <c r="IC118"/>
      <c r="ID118"/>
      <c r="IE118"/>
      <c r="IF118"/>
      <c r="IG118"/>
    </row>
    <row r="119" spans="1:241" ht="15" customHeight="1" x14ac:dyDescent="0.4">
      <c r="A119" s="142" t="s">
        <v>126</v>
      </c>
      <c r="B119" s="184">
        <v>7051.1</v>
      </c>
      <c r="C119" s="184">
        <v>2683.58</v>
      </c>
      <c r="D119" s="184">
        <v>5510.8099999999995</v>
      </c>
      <c r="E119" s="184">
        <v>106776.65000000001</v>
      </c>
      <c r="F119" s="184">
        <v>12937.41</v>
      </c>
      <c r="G119" s="184">
        <v>3192.4900000000002</v>
      </c>
      <c r="H119" s="123"/>
      <c r="I119" s="60">
        <v>6000</v>
      </c>
      <c r="J119" s="60">
        <v>6000</v>
      </c>
      <c r="K119" s="234">
        <f t="shared" si="39"/>
        <v>0</v>
      </c>
      <c r="L119" s="193"/>
      <c r="M119" s="193"/>
      <c r="N119" s="193"/>
      <c r="O119" s="193"/>
      <c r="P119" s="193"/>
      <c r="Q119" s="193"/>
      <c r="R119" s="177"/>
      <c r="S119" s="177"/>
      <c r="T119" s="177"/>
      <c r="U119" s="177"/>
      <c r="V119" s="177"/>
      <c r="W119" s="177"/>
      <c r="X119" s="177"/>
      <c r="Y119" s="184">
        <f t="shared" si="38"/>
        <v>0</v>
      </c>
      <c r="Z119" s="211">
        <f t="shared" si="35"/>
        <v>0</v>
      </c>
      <c r="AA119" s="99"/>
      <c r="HW119"/>
      <c r="HX119"/>
      <c r="HY119"/>
      <c r="HZ119"/>
      <c r="IA119"/>
      <c r="IB119"/>
      <c r="IC119"/>
      <c r="ID119"/>
      <c r="IE119"/>
      <c r="IF119"/>
      <c r="IG119"/>
    </row>
    <row r="120" spans="1:241" ht="15" customHeight="1" x14ac:dyDescent="0.4">
      <c r="A120" s="142" t="s">
        <v>165</v>
      </c>
      <c r="B120" s="184"/>
      <c r="C120" s="184"/>
      <c r="D120" s="184"/>
      <c r="E120" s="184"/>
      <c r="F120" s="184"/>
      <c r="G120" s="184">
        <v>0</v>
      </c>
      <c r="H120" s="123"/>
      <c r="I120" s="60"/>
      <c r="J120" s="60"/>
      <c r="K120" s="234"/>
      <c r="L120" s="193"/>
      <c r="M120" s="193"/>
      <c r="N120" s="193"/>
      <c r="O120" s="193"/>
      <c r="P120" s="193"/>
      <c r="Q120" s="193"/>
      <c r="R120" s="177"/>
      <c r="S120" s="177"/>
      <c r="T120" s="177"/>
      <c r="U120" s="177"/>
      <c r="V120" s="177"/>
      <c r="W120" s="177"/>
      <c r="X120" s="177"/>
      <c r="Y120" s="184">
        <f t="shared" si="38"/>
        <v>0</v>
      </c>
      <c r="Z120" s="211"/>
      <c r="HW120"/>
      <c r="HX120"/>
      <c r="HY120"/>
      <c r="HZ120"/>
      <c r="IA120"/>
      <c r="IB120"/>
      <c r="IC120"/>
      <c r="ID120"/>
      <c r="IE120"/>
      <c r="IF120"/>
      <c r="IG120"/>
    </row>
    <row r="121" spans="1:241" ht="15" customHeight="1" x14ac:dyDescent="0.4">
      <c r="A121" s="150" t="s">
        <v>148</v>
      </c>
      <c r="B121" s="184">
        <v>0</v>
      </c>
      <c r="C121" s="184">
        <v>0</v>
      </c>
      <c r="D121" s="184">
        <v>0</v>
      </c>
      <c r="E121" s="184">
        <v>27136.2</v>
      </c>
      <c r="F121" s="184">
        <f>53357.39-F123-F124</f>
        <v>41387.200000000004</v>
      </c>
      <c r="G121" s="184">
        <v>42845</v>
      </c>
      <c r="H121" s="123"/>
      <c r="I121" s="60">
        <v>43000</v>
      </c>
      <c r="J121" s="60">
        <v>43000</v>
      </c>
      <c r="K121" s="234">
        <f t="shared" si="39"/>
        <v>0</v>
      </c>
      <c r="L121" s="193"/>
      <c r="M121" s="193"/>
      <c r="N121" s="193"/>
      <c r="O121" s="193"/>
      <c r="P121" s="193"/>
      <c r="Q121" s="193"/>
      <c r="R121" s="177"/>
      <c r="S121" s="177"/>
      <c r="T121" s="177"/>
      <c r="U121" s="177"/>
      <c r="V121" s="177"/>
      <c r="W121" s="177"/>
      <c r="X121" s="177"/>
      <c r="Y121" s="184">
        <f t="shared" si="38"/>
        <v>0</v>
      </c>
      <c r="Z121" s="211">
        <f t="shared" si="35"/>
        <v>0</v>
      </c>
      <c r="AA121" s="99"/>
      <c r="HW121"/>
      <c r="HX121"/>
      <c r="HY121"/>
      <c r="HZ121"/>
      <c r="IA121"/>
      <c r="IB121"/>
      <c r="IC121"/>
      <c r="ID121"/>
      <c r="IE121"/>
      <c r="IF121"/>
      <c r="IG121"/>
    </row>
    <row r="122" spans="1:241" ht="15" customHeight="1" x14ac:dyDescent="0.4">
      <c r="A122" s="150" t="s">
        <v>181</v>
      </c>
      <c r="B122" s="184"/>
      <c r="C122" s="184"/>
      <c r="D122" s="184"/>
      <c r="E122" s="184"/>
      <c r="F122" s="184"/>
      <c r="G122" s="184">
        <v>2922.5</v>
      </c>
      <c r="H122" s="123"/>
      <c r="I122" s="53">
        <v>6000</v>
      </c>
      <c r="J122" s="53">
        <v>6000</v>
      </c>
      <c r="K122" s="234">
        <f t="shared" si="39"/>
        <v>0</v>
      </c>
      <c r="L122" s="196"/>
      <c r="M122" s="193"/>
      <c r="N122" s="193"/>
      <c r="O122" s="193"/>
      <c r="P122" s="193"/>
      <c r="Q122" s="193"/>
      <c r="R122" s="177"/>
      <c r="S122" s="177"/>
      <c r="T122" s="177"/>
      <c r="U122" s="177"/>
      <c r="V122" s="177"/>
      <c r="W122" s="177"/>
      <c r="X122" s="177"/>
      <c r="Y122" s="184">
        <f t="shared" si="38"/>
        <v>0</v>
      </c>
      <c r="Z122" s="211">
        <f t="shared" si="35"/>
        <v>0</v>
      </c>
      <c r="HW122"/>
      <c r="HX122"/>
      <c r="HY122"/>
      <c r="HZ122"/>
      <c r="IA122"/>
      <c r="IB122"/>
      <c r="IC122"/>
      <c r="ID122"/>
      <c r="IE122"/>
      <c r="IF122"/>
      <c r="IG122"/>
    </row>
    <row r="123" spans="1:241" ht="15" customHeight="1" x14ac:dyDescent="0.4">
      <c r="A123" s="142" t="s">
        <v>166</v>
      </c>
      <c r="B123" s="184"/>
      <c r="C123" s="184"/>
      <c r="D123" s="184"/>
      <c r="E123" s="184"/>
      <c r="F123" s="184">
        <v>6979.99</v>
      </c>
      <c r="G123" s="184">
        <v>6665.0000000000009</v>
      </c>
      <c r="H123" s="123"/>
      <c r="I123" s="53">
        <v>7000</v>
      </c>
      <c r="J123" s="53">
        <v>7000</v>
      </c>
      <c r="K123" s="234">
        <f t="shared" si="39"/>
        <v>0</v>
      </c>
      <c r="L123" s="197">
        <v>551.88</v>
      </c>
      <c r="M123" s="193"/>
      <c r="N123" s="193"/>
      <c r="O123" s="193"/>
      <c r="P123" s="193"/>
      <c r="Q123" s="193"/>
      <c r="R123" s="177"/>
      <c r="S123" s="177"/>
      <c r="T123" s="177"/>
      <c r="U123" s="177"/>
      <c r="V123" s="177"/>
      <c r="W123" s="177"/>
      <c r="X123" s="177"/>
      <c r="Y123" s="184">
        <f t="shared" si="38"/>
        <v>551.88</v>
      </c>
      <c r="Z123" s="211">
        <f t="shared" si="35"/>
        <v>7.8839999999999993E-2</v>
      </c>
      <c r="HW123"/>
      <c r="HX123"/>
      <c r="HY123"/>
      <c r="HZ123"/>
      <c r="IA123"/>
      <c r="IB123"/>
      <c r="IC123"/>
      <c r="ID123"/>
      <c r="IE123"/>
      <c r="IF123"/>
      <c r="IG123"/>
    </row>
    <row r="124" spans="1:241" ht="15" customHeight="1" x14ac:dyDescent="0.4">
      <c r="A124" s="142" t="s">
        <v>167</v>
      </c>
      <c r="B124" s="184"/>
      <c r="C124" s="184"/>
      <c r="D124" s="184"/>
      <c r="E124" s="184"/>
      <c r="F124" s="184">
        <v>4990.2</v>
      </c>
      <c r="G124" s="184">
        <v>3776.42</v>
      </c>
      <c r="H124" s="123"/>
      <c r="I124" s="60">
        <v>4000</v>
      </c>
      <c r="J124" s="60">
        <v>4000</v>
      </c>
      <c r="K124" s="234">
        <f t="shared" si="39"/>
        <v>0</v>
      </c>
      <c r="L124" s="193"/>
      <c r="M124" s="197"/>
      <c r="N124" s="193"/>
      <c r="O124" s="193"/>
      <c r="P124" s="193"/>
      <c r="Q124" s="193"/>
      <c r="R124" s="177"/>
      <c r="S124" s="177"/>
      <c r="T124" s="177"/>
      <c r="U124" s="177"/>
      <c r="V124" s="177"/>
      <c r="W124" s="177"/>
      <c r="X124" s="177"/>
      <c r="Y124" s="184">
        <f t="shared" si="38"/>
        <v>0</v>
      </c>
      <c r="Z124" s="243">
        <f t="shared" si="35"/>
        <v>0</v>
      </c>
      <c r="HW124"/>
      <c r="HX124"/>
      <c r="HY124"/>
      <c r="HZ124"/>
      <c r="IA124"/>
      <c r="IB124"/>
      <c r="IC124"/>
      <c r="ID124"/>
      <c r="IE124"/>
      <c r="IF124"/>
      <c r="IG124"/>
    </row>
    <row r="125" spans="1:241" ht="15" customHeight="1" x14ac:dyDescent="0.4">
      <c r="A125" s="142" t="s">
        <v>63</v>
      </c>
      <c r="B125" s="184">
        <v>17103.689999999999</v>
      </c>
      <c r="C125" s="184">
        <v>13497.9</v>
      </c>
      <c r="D125" s="184">
        <v>42221.03</v>
      </c>
      <c r="E125" s="184">
        <v>32282.050000000003</v>
      </c>
      <c r="F125" s="184">
        <v>20392.36</v>
      </c>
      <c r="G125" s="184">
        <v>31784.65</v>
      </c>
      <c r="H125" s="123"/>
      <c r="I125" s="53">
        <v>22000</v>
      </c>
      <c r="J125" s="53">
        <v>22000</v>
      </c>
      <c r="K125" s="234">
        <f t="shared" si="39"/>
        <v>0</v>
      </c>
      <c r="L125" s="193"/>
      <c r="M125" s="193"/>
      <c r="N125" s="193"/>
      <c r="O125" s="193"/>
      <c r="P125" s="193"/>
      <c r="Q125" s="193"/>
      <c r="R125" s="177"/>
      <c r="S125" s="177"/>
      <c r="T125" s="177"/>
      <c r="U125" s="177"/>
      <c r="V125" s="177"/>
      <c r="W125" s="177"/>
      <c r="X125" s="177"/>
      <c r="Y125" s="184">
        <f t="shared" si="38"/>
        <v>0</v>
      </c>
      <c r="Z125" s="243">
        <f t="shared" si="35"/>
        <v>0</v>
      </c>
      <c r="AA125" s="99"/>
      <c r="HW125"/>
      <c r="HX125"/>
      <c r="HY125"/>
      <c r="HZ125"/>
      <c r="IA125"/>
      <c r="IB125"/>
      <c r="IC125"/>
      <c r="ID125"/>
      <c r="IE125"/>
      <c r="IF125"/>
      <c r="IG125"/>
    </row>
    <row r="126" spans="1:241" ht="15" customHeight="1" x14ac:dyDescent="0.4">
      <c r="A126" s="142" t="s">
        <v>168</v>
      </c>
      <c r="B126" s="181">
        <f t="shared" ref="B126:G126" si="40">SUM(B107:B125)</f>
        <v>167382.80000000002</v>
      </c>
      <c r="C126" s="181">
        <f t="shared" si="40"/>
        <v>163947.59999999998</v>
      </c>
      <c r="D126" s="181">
        <f t="shared" si="40"/>
        <v>205241.75000000003</v>
      </c>
      <c r="E126" s="181">
        <f t="shared" si="40"/>
        <v>386843.94</v>
      </c>
      <c r="F126" s="181">
        <f t="shared" si="40"/>
        <v>416956.67</v>
      </c>
      <c r="G126" s="181">
        <f t="shared" si="40"/>
        <v>372986.18999999994</v>
      </c>
      <c r="H126" s="123"/>
      <c r="I126" s="97">
        <f>SUM(I107:I125)</f>
        <v>366687.22</v>
      </c>
      <c r="J126" s="97">
        <f>SUM(J107:J125)</f>
        <v>366687.22</v>
      </c>
      <c r="K126" s="234">
        <f t="shared" si="39"/>
        <v>0</v>
      </c>
      <c r="L126" s="181">
        <f t="shared" ref="L126:Y126" si="41">SUM(L107:L125)</f>
        <v>29855.280000000002</v>
      </c>
      <c r="M126" s="181">
        <f t="shared" si="41"/>
        <v>0</v>
      </c>
      <c r="N126" s="181">
        <f t="shared" si="41"/>
        <v>0</v>
      </c>
      <c r="O126" s="181">
        <f t="shared" si="41"/>
        <v>0</v>
      </c>
      <c r="P126" s="239">
        <f t="shared" si="41"/>
        <v>0</v>
      </c>
      <c r="Q126" s="239">
        <f t="shared" si="41"/>
        <v>0</v>
      </c>
      <c r="R126" s="181">
        <f t="shared" si="41"/>
        <v>0</v>
      </c>
      <c r="S126" s="181">
        <f t="shared" si="41"/>
        <v>0</v>
      </c>
      <c r="T126" s="181">
        <f t="shared" si="41"/>
        <v>0</v>
      </c>
      <c r="U126" s="181">
        <f t="shared" si="41"/>
        <v>0</v>
      </c>
      <c r="V126" s="181">
        <f t="shared" si="41"/>
        <v>0</v>
      </c>
      <c r="W126" s="181">
        <f t="shared" si="41"/>
        <v>0</v>
      </c>
      <c r="X126" s="181">
        <f t="shared" si="41"/>
        <v>0</v>
      </c>
      <c r="Y126" s="182">
        <f t="shared" si="41"/>
        <v>29855.280000000002</v>
      </c>
      <c r="Z126" s="211">
        <f t="shared" si="35"/>
        <v>8.1418927008146083E-2</v>
      </c>
      <c r="HW126"/>
      <c r="HX126"/>
      <c r="HY126"/>
      <c r="HZ126"/>
      <c r="IA126"/>
      <c r="IB126"/>
      <c r="IC126"/>
      <c r="ID126"/>
      <c r="IE126"/>
      <c r="IF126"/>
      <c r="IG126"/>
    </row>
    <row r="127" spans="1:241" ht="15" customHeight="1" x14ac:dyDescent="0.4">
      <c r="A127" s="151" t="s">
        <v>57</v>
      </c>
      <c r="B127" s="184"/>
      <c r="C127" s="184"/>
      <c r="D127" s="184"/>
      <c r="E127" s="184"/>
      <c r="F127" s="184"/>
      <c r="G127" s="184"/>
      <c r="H127" s="126"/>
      <c r="I127" s="53"/>
      <c r="J127" s="53"/>
      <c r="K127" s="234"/>
      <c r="L127" s="193"/>
      <c r="M127" s="193"/>
      <c r="N127" s="193"/>
      <c r="O127" s="193"/>
      <c r="P127" s="193"/>
      <c r="Q127" s="193"/>
      <c r="R127" s="177"/>
      <c r="S127" s="177"/>
      <c r="T127" s="177"/>
      <c r="U127" s="177"/>
      <c r="V127" s="177"/>
      <c r="W127" s="177"/>
      <c r="X127" s="177"/>
      <c r="Y127" s="184"/>
      <c r="Z127" s="211"/>
      <c r="HW127"/>
      <c r="HX127"/>
      <c r="HY127"/>
      <c r="HZ127"/>
      <c r="IA127"/>
      <c r="IB127"/>
      <c r="IC127"/>
      <c r="ID127"/>
      <c r="IE127"/>
      <c r="IF127"/>
      <c r="IG127"/>
    </row>
    <row r="128" spans="1:241" ht="15" customHeight="1" x14ac:dyDescent="0.4">
      <c r="A128" s="142" t="s">
        <v>144</v>
      </c>
      <c r="B128" s="184">
        <v>56176.79</v>
      </c>
      <c r="C128" s="184">
        <v>62461.760000000002</v>
      </c>
      <c r="D128" s="184">
        <v>48861.440000000002</v>
      </c>
      <c r="E128" s="184">
        <v>64534.799999999996</v>
      </c>
      <c r="F128" s="184">
        <v>75106.64</v>
      </c>
      <c r="G128" s="184">
        <v>69698.37999999999</v>
      </c>
      <c r="H128" s="123"/>
      <c r="I128" s="53">
        <v>66650</v>
      </c>
      <c r="J128" s="53">
        <v>66650</v>
      </c>
      <c r="K128" s="234">
        <f t="shared" si="39"/>
        <v>0</v>
      </c>
      <c r="L128" s="193">
        <v>175</v>
      </c>
      <c r="M128" s="193"/>
      <c r="N128" s="193"/>
      <c r="O128" s="193"/>
      <c r="P128" s="193"/>
      <c r="Q128" s="193"/>
      <c r="R128" s="177"/>
      <c r="S128" s="177"/>
      <c r="T128" s="177"/>
      <c r="U128" s="177"/>
      <c r="V128" s="177"/>
      <c r="W128" s="177"/>
      <c r="X128" s="177"/>
      <c r="Y128" s="184">
        <f t="shared" ref="Y128:Y137" si="42">SUM(L128:X128)</f>
        <v>175</v>
      </c>
      <c r="Z128" s="211">
        <f t="shared" si="35"/>
        <v>2.6256564141035259E-3</v>
      </c>
      <c r="AA128" s="99"/>
      <c r="HW128"/>
      <c r="HX128"/>
      <c r="HY128"/>
      <c r="HZ128"/>
      <c r="IA128"/>
      <c r="IB128"/>
      <c r="IC128"/>
      <c r="ID128"/>
      <c r="IE128"/>
      <c r="IF128"/>
      <c r="IG128"/>
    </row>
    <row r="129" spans="1:241" ht="15" customHeight="1" x14ac:dyDescent="0.4">
      <c r="A129" s="142" t="s">
        <v>58</v>
      </c>
      <c r="B129" s="184"/>
      <c r="C129" s="184">
        <v>14783.5</v>
      </c>
      <c r="D129" s="184">
        <v>59589</v>
      </c>
      <c r="E129" s="184">
        <v>71424.330000000016</v>
      </c>
      <c r="F129" s="184">
        <v>24059.4</v>
      </c>
      <c r="G129" s="184">
        <v>0</v>
      </c>
      <c r="H129" s="123"/>
      <c r="I129" s="53"/>
      <c r="J129" s="53"/>
      <c r="K129" s="234"/>
      <c r="L129" s="193"/>
      <c r="M129" s="193"/>
      <c r="N129" s="193"/>
      <c r="O129" s="193"/>
      <c r="P129" s="193"/>
      <c r="Q129" s="193"/>
      <c r="R129" s="177"/>
      <c r="S129" s="177"/>
      <c r="T129" s="177"/>
      <c r="U129" s="177"/>
      <c r="V129" s="177"/>
      <c r="W129" s="177"/>
      <c r="X129" s="177"/>
      <c r="Y129" s="184">
        <f t="shared" si="42"/>
        <v>0</v>
      </c>
      <c r="Z129" s="211"/>
      <c r="HW129"/>
      <c r="HX129"/>
      <c r="HY129"/>
      <c r="HZ129"/>
      <c r="IA129"/>
      <c r="IB129"/>
      <c r="IC129"/>
      <c r="ID129"/>
      <c r="IE129"/>
      <c r="IF129"/>
      <c r="IG129"/>
    </row>
    <row r="130" spans="1:241" ht="15" customHeight="1" x14ac:dyDescent="0.4">
      <c r="A130" s="142" t="s">
        <v>157</v>
      </c>
      <c r="B130" s="184">
        <v>1681.46</v>
      </c>
      <c r="C130" s="184">
        <v>2282.88</v>
      </c>
      <c r="D130" s="184">
        <v>297.8</v>
      </c>
      <c r="E130" s="184">
        <v>45</v>
      </c>
      <c r="F130" s="184">
        <v>4177.0599999999995</v>
      </c>
      <c r="G130" s="184">
        <v>3592.17</v>
      </c>
      <c r="H130" s="123"/>
      <c r="I130" s="53">
        <v>5000</v>
      </c>
      <c r="J130" s="53">
        <v>5000</v>
      </c>
      <c r="K130" s="234">
        <f t="shared" si="39"/>
        <v>0</v>
      </c>
      <c r="L130" s="193"/>
      <c r="M130" s="193"/>
      <c r="N130" s="193"/>
      <c r="O130" s="193"/>
      <c r="P130" s="193"/>
      <c r="Q130" s="193"/>
      <c r="R130" s="177"/>
      <c r="S130" s="177"/>
      <c r="T130" s="177"/>
      <c r="U130" s="177"/>
      <c r="V130" s="177"/>
      <c r="W130" s="177"/>
      <c r="X130" s="177"/>
      <c r="Y130" s="184">
        <f t="shared" si="42"/>
        <v>0</v>
      </c>
      <c r="Z130" s="211">
        <f t="shared" si="35"/>
        <v>0</v>
      </c>
      <c r="AA130" s="99"/>
      <c r="HW130"/>
      <c r="HX130"/>
      <c r="HY130"/>
      <c r="HZ130"/>
      <c r="IA130"/>
      <c r="IB130"/>
      <c r="IC130"/>
      <c r="ID130"/>
      <c r="IE130"/>
      <c r="IF130"/>
      <c r="IG130"/>
    </row>
    <row r="131" spans="1:241" ht="15" customHeight="1" x14ac:dyDescent="0.4">
      <c r="A131" s="153" t="s">
        <v>146</v>
      </c>
      <c r="B131" s="184">
        <v>3817.54</v>
      </c>
      <c r="C131" s="184">
        <v>2965.11</v>
      </c>
      <c r="D131" s="184">
        <v>2636.6000000000004</v>
      </c>
      <c r="E131" s="184">
        <v>11936.839999999998</v>
      </c>
      <c r="F131" s="184">
        <f>13957.02-F132</f>
        <v>9673.86</v>
      </c>
      <c r="G131" s="184">
        <v>10232.129999999999</v>
      </c>
      <c r="H131" s="123"/>
      <c r="I131" s="53">
        <v>5000</v>
      </c>
      <c r="J131" s="53">
        <v>5000</v>
      </c>
      <c r="K131" s="234">
        <f t="shared" si="39"/>
        <v>0</v>
      </c>
      <c r="L131" s="193"/>
      <c r="M131" s="193"/>
      <c r="N131" s="193"/>
      <c r="O131" s="193"/>
      <c r="P131" s="193"/>
      <c r="Q131" s="193"/>
      <c r="R131" s="177"/>
      <c r="S131" s="177"/>
      <c r="T131" s="177"/>
      <c r="U131" s="177"/>
      <c r="V131" s="177"/>
      <c r="W131" s="177"/>
      <c r="X131" s="177"/>
      <c r="Y131" s="184">
        <f t="shared" si="42"/>
        <v>0</v>
      </c>
      <c r="Z131" s="211">
        <f t="shared" si="35"/>
        <v>0</v>
      </c>
      <c r="HW131"/>
      <c r="HX131"/>
      <c r="HY131"/>
      <c r="HZ131"/>
      <c r="IA131"/>
      <c r="IB131"/>
      <c r="IC131"/>
      <c r="ID131"/>
      <c r="IE131"/>
      <c r="IF131"/>
      <c r="IG131"/>
    </row>
    <row r="132" spans="1:241" ht="15" customHeight="1" x14ac:dyDescent="0.4">
      <c r="A132" s="142" t="s">
        <v>145</v>
      </c>
      <c r="B132" s="184"/>
      <c r="C132" s="184"/>
      <c r="D132" s="184"/>
      <c r="E132" s="184"/>
      <c r="F132" s="184">
        <v>4283.16</v>
      </c>
      <c r="G132" s="184">
        <v>1263.22</v>
      </c>
      <c r="H132" s="123"/>
      <c r="I132" s="53">
        <v>1000</v>
      </c>
      <c r="J132" s="53">
        <v>1000</v>
      </c>
      <c r="K132" s="234">
        <f t="shared" si="39"/>
        <v>0</v>
      </c>
      <c r="L132" s="193"/>
      <c r="M132" s="193"/>
      <c r="N132" s="193"/>
      <c r="O132" s="193"/>
      <c r="P132" s="193"/>
      <c r="Q132" s="193"/>
      <c r="R132" s="177"/>
      <c r="S132" s="177"/>
      <c r="T132" s="177"/>
      <c r="U132" s="177"/>
      <c r="V132" s="177"/>
      <c r="W132" s="177"/>
      <c r="X132" s="177"/>
      <c r="Y132" s="184">
        <f t="shared" si="42"/>
        <v>0</v>
      </c>
      <c r="Z132" s="211">
        <f t="shared" si="35"/>
        <v>0</v>
      </c>
      <c r="AA132" s="99"/>
      <c r="HW132"/>
      <c r="HX132"/>
      <c r="HY132"/>
      <c r="HZ132"/>
      <c r="IA132"/>
      <c r="IB132"/>
      <c r="IC132"/>
      <c r="ID132"/>
      <c r="IE132"/>
      <c r="IF132"/>
      <c r="IG132"/>
    </row>
    <row r="133" spans="1:241" ht="15" customHeight="1" x14ac:dyDescent="0.4">
      <c r="A133" s="142" t="s">
        <v>115</v>
      </c>
      <c r="B133" s="184"/>
      <c r="C133" s="184"/>
      <c r="D133" s="184"/>
      <c r="E133" s="184"/>
      <c r="F133" s="184">
        <v>28532.25</v>
      </c>
      <c r="G133" s="184">
        <v>34335</v>
      </c>
      <c r="H133" s="123"/>
      <c r="I133" s="53">
        <v>30000</v>
      </c>
      <c r="J133" s="53">
        <v>30000</v>
      </c>
      <c r="K133" s="234">
        <f t="shared" si="39"/>
        <v>0</v>
      </c>
      <c r="L133" s="193"/>
      <c r="M133" s="193"/>
      <c r="N133" s="193"/>
      <c r="O133" s="193"/>
      <c r="P133" s="193"/>
      <c r="Q133" s="193"/>
      <c r="R133" s="178"/>
      <c r="S133" s="178"/>
      <c r="T133" s="178"/>
      <c r="U133" s="178"/>
      <c r="V133" s="178"/>
      <c r="W133" s="178"/>
      <c r="X133" s="178"/>
      <c r="Y133" s="184">
        <f t="shared" si="42"/>
        <v>0</v>
      </c>
      <c r="Z133" s="211">
        <f t="shared" si="35"/>
        <v>0</v>
      </c>
      <c r="AA133" s="99"/>
      <c r="HW133"/>
      <c r="HX133"/>
      <c r="HY133"/>
      <c r="HZ133"/>
      <c r="IA133"/>
      <c r="IB133"/>
      <c r="IC133"/>
      <c r="ID133"/>
      <c r="IE133"/>
      <c r="IF133"/>
      <c r="IG133"/>
    </row>
    <row r="134" spans="1:241" ht="15" customHeight="1" x14ac:dyDescent="0.4">
      <c r="A134" s="142" t="s">
        <v>147</v>
      </c>
      <c r="B134" s="184"/>
      <c r="C134" s="184"/>
      <c r="D134" s="184"/>
      <c r="E134" s="184"/>
      <c r="F134" s="184">
        <f>15825.88-F80</f>
        <v>9445.4</v>
      </c>
      <c r="G134" s="184">
        <v>1933.5500000000002</v>
      </c>
      <c r="H134" s="123"/>
      <c r="I134" s="53">
        <v>3000</v>
      </c>
      <c r="J134" s="53">
        <v>3000</v>
      </c>
      <c r="K134" s="234">
        <f t="shared" si="39"/>
        <v>0</v>
      </c>
      <c r="L134" s="193"/>
      <c r="M134" s="193"/>
      <c r="N134" s="193"/>
      <c r="O134" s="193"/>
      <c r="P134" s="193"/>
      <c r="Q134" s="193"/>
      <c r="R134" s="178"/>
      <c r="S134" s="178"/>
      <c r="T134" s="178"/>
      <c r="U134" s="178"/>
      <c r="V134" s="178"/>
      <c r="W134" s="178"/>
      <c r="X134" s="178"/>
      <c r="Y134" s="184">
        <f t="shared" si="42"/>
        <v>0</v>
      </c>
      <c r="Z134" s="211">
        <f t="shared" si="35"/>
        <v>0</v>
      </c>
      <c r="AA134" s="99"/>
      <c r="HW134"/>
      <c r="HX134"/>
      <c r="HY134"/>
      <c r="HZ134"/>
      <c r="IA134"/>
      <c r="IB134"/>
      <c r="IC134"/>
      <c r="ID134"/>
      <c r="IE134"/>
      <c r="IF134"/>
      <c r="IG134"/>
    </row>
    <row r="135" spans="1:241" ht="15" customHeight="1" x14ac:dyDescent="0.4">
      <c r="A135" s="142" t="s">
        <v>64</v>
      </c>
      <c r="B135" s="184"/>
      <c r="C135" s="184">
        <v>17479.900000000001</v>
      </c>
      <c r="D135" s="184">
        <v>29483.64</v>
      </c>
      <c r="E135" s="184">
        <v>27095.229999999996</v>
      </c>
      <c r="F135" s="184">
        <v>24051.550000000003</v>
      </c>
      <c r="G135" s="184">
        <v>13994.36</v>
      </c>
      <c r="H135" s="123"/>
      <c r="I135" s="53">
        <v>25000</v>
      </c>
      <c r="J135" s="53">
        <v>25000</v>
      </c>
      <c r="K135" s="234">
        <f t="shared" si="39"/>
        <v>0</v>
      </c>
      <c r="L135" s="193">
        <v>602.34</v>
      </c>
      <c r="M135" s="193"/>
      <c r="N135" s="193"/>
      <c r="O135" s="193"/>
      <c r="P135" s="193"/>
      <c r="Q135" s="193"/>
      <c r="R135" s="178"/>
      <c r="S135" s="178"/>
      <c r="T135" s="178"/>
      <c r="U135" s="178"/>
      <c r="V135" s="178"/>
      <c r="W135" s="178"/>
      <c r="X135" s="178"/>
      <c r="Y135" s="184">
        <f t="shared" si="42"/>
        <v>602.34</v>
      </c>
      <c r="Z135" s="211">
        <f t="shared" si="35"/>
        <v>2.40936E-2</v>
      </c>
      <c r="AA135" s="99"/>
      <c r="HW135"/>
      <c r="HX135"/>
      <c r="HY135"/>
      <c r="HZ135"/>
      <c r="IA135"/>
      <c r="IB135"/>
      <c r="IC135"/>
      <c r="ID135"/>
      <c r="IE135"/>
      <c r="IF135"/>
      <c r="IG135"/>
    </row>
    <row r="136" spans="1:241" ht="15" customHeight="1" x14ac:dyDescent="0.4">
      <c r="A136" s="142" t="s">
        <v>66</v>
      </c>
      <c r="B136" s="184">
        <v>11748.17</v>
      </c>
      <c r="C136" s="184">
        <v>5000</v>
      </c>
      <c r="D136" s="184">
        <v>9000</v>
      </c>
      <c r="E136" s="184">
        <v>9000</v>
      </c>
      <c r="F136" s="184">
        <v>9000</v>
      </c>
      <c r="G136" s="184">
        <v>9000</v>
      </c>
      <c r="H136" s="123"/>
      <c r="I136" s="53">
        <v>9000</v>
      </c>
      <c r="J136" s="53">
        <v>9000</v>
      </c>
      <c r="K136" s="234">
        <f t="shared" si="39"/>
        <v>0</v>
      </c>
      <c r="L136" s="193"/>
      <c r="M136" s="193"/>
      <c r="N136" s="193"/>
      <c r="O136" s="193"/>
      <c r="P136" s="193"/>
      <c r="Q136" s="193"/>
      <c r="R136" s="178"/>
      <c r="S136" s="178"/>
      <c r="T136" s="178"/>
      <c r="U136" s="178"/>
      <c r="V136" s="178"/>
      <c r="W136" s="178"/>
      <c r="X136" s="178"/>
      <c r="Y136" s="184">
        <f t="shared" si="42"/>
        <v>0</v>
      </c>
      <c r="Z136" s="211">
        <f t="shared" si="35"/>
        <v>0</v>
      </c>
      <c r="HV136"/>
      <c r="HW136"/>
      <c r="HX136"/>
      <c r="HY136"/>
      <c r="HZ136"/>
      <c r="IA136"/>
      <c r="IB136"/>
      <c r="IC136"/>
      <c r="ID136"/>
      <c r="IE136"/>
      <c r="IF136"/>
      <c r="IG136"/>
    </row>
    <row r="137" spans="1:241" ht="15" customHeight="1" x14ac:dyDescent="0.4">
      <c r="A137" s="142" t="s">
        <v>67</v>
      </c>
      <c r="B137" s="184">
        <v>100</v>
      </c>
      <c r="C137" s="184"/>
      <c r="D137" s="184">
        <v>100</v>
      </c>
      <c r="E137" s="184"/>
      <c r="F137" s="184">
        <v>100</v>
      </c>
      <c r="G137" s="184">
        <v>100</v>
      </c>
      <c r="H137" s="123"/>
      <c r="I137" s="60">
        <v>100</v>
      </c>
      <c r="J137" s="60">
        <v>100</v>
      </c>
      <c r="K137" s="234">
        <f t="shared" si="39"/>
        <v>0</v>
      </c>
      <c r="L137" s="177"/>
      <c r="M137" s="177"/>
      <c r="N137" s="177"/>
      <c r="O137" s="177"/>
      <c r="P137" s="193"/>
      <c r="Q137" s="193"/>
      <c r="R137" s="178"/>
      <c r="S137" s="178"/>
      <c r="T137" s="178"/>
      <c r="U137" s="178"/>
      <c r="V137" s="178"/>
      <c r="W137" s="178"/>
      <c r="X137" s="178"/>
      <c r="Y137" s="184">
        <f t="shared" si="42"/>
        <v>0</v>
      </c>
      <c r="Z137" s="211">
        <f t="shared" si="35"/>
        <v>0</v>
      </c>
      <c r="HV137"/>
      <c r="HW137"/>
      <c r="HX137"/>
      <c r="HY137"/>
      <c r="HZ137"/>
      <c r="IA137"/>
      <c r="IB137"/>
      <c r="IC137"/>
      <c r="ID137"/>
      <c r="IE137"/>
      <c r="IF137"/>
      <c r="IG137"/>
    </row>
    <row r="138" spans="1:241" ht="15" customHeight="1" thickBot="1" x14ac:dyDescent="0.45">
      <c r="A138" s="154" t="s">
        <v>178</v>
      </c>
      <c r="B138" s="228">
        <f t="shared" ref="B138:F138" si="43">SUM(B128:B137)</f>
        <v>73523.960000000006</v>
      </c>
      <c r="C138" s="228">
        <f t="shared" si="43"/>
        <v>104973.15000000002</v>
      </c>
      <c r="D138" s="228">
        <f t="shared" si="43"/>
        <v>149968.48000000001</v>
      </c>
      <c r="E138" s="228">
        <f t="shared" si="43"/>
        <v>184036.2</v>
      </c>
      <c r="F138" s="228">
        <f t="shared" si="43"/>
        <v>188429.32</v>
      </c>
      <c r="G138" s="228">
        <f t="shared" ref="G138" si="44">SUM(G128:G137)</f>
        <v>144148.81</v>
      </c>
      <c r="H138" s="129"/>
      <c r="I138" s="168">
        <f>SUM(I128:I137)</f>
        <v>144750</v>
      </c>
      <c r="J138" s="168">
        <f>SUM(J128:J137)</f>
        <v>144750</v>
      </c>
      <c r="K138" s="234">
        <f t="shared" si="39"/>
        <v>0</v>
      </c>
      <c r="L138" s="228">
        <f t="shared" ref="L138:X138" si="45">SUM(L128:L137)</f>
        <v>777.34</v>
      </c>
      <c r="M138" s="228">
        <f t="shared" si="45"/>
        <v>0</v>
      </c>
      <c r="N138" s="228">
        <f t="shared" si="45"/>
        <v>0</v>
      </c>
      <c r="O138" s="228">
        <f t="shared" si="45"/>
        <v>0</v>
      </c>
      <c r="P138" s="240">
        <f t="shared" si="45"/>
        <v>0</v>
      </c>
      <c r="Q138" s="240">
        <f t="shared" si="45"/>
        <v>0</v>
      </c>
      <c r="R138" s="228">
        <f t="shared" si="45"/>
        <v>0</v>
      </c>
      <c r="S138" s="228">
        <f t="shared" si="45"/>
        <v>0</v>
      </c>
      <c r="T138" s="228">
        <f t="shared" si="45"/>
        <v>0</v>
      </c>
      <c r="U138" s="228">
        <f t="shared" si="45"/>
        <v>0</v>
      </c>
      <c r="V138" s="228">
        <f t="shared" si="45"/>
        <v>0</v>
      </c>
      <c r="W138" s="228">
        <f t="shared" si="45"/>
        <v>0</v>
      </c>
      <c r="X138" s="228">
        <f t="shared" si="45"/>
        <v>0</v>
      </c>
      <c r="Y138" s="202">
        <f>SUM(Y128:Y137)</f>
        <v>777.34</v>
      </c>
      <c r="Z138" s="211">
        <f t="shared" si="35"/>
        <v>5.370224525043178E-3</v>
      </c>
      <c r="AA138" s="225"/>
      <c r="HV138"/>
      <c r="HW138"/>
      <c r="HX138"/>
      <c r="HY138"/>
      <c r="HZ138"/>
      <c r="IA138"/>
      <c r="IB138"/>
      <c r="IC138"/>
      <c r="ID138"/>
      <c r="IE138"/>
      <c r="IF138"/>
      <c r="IG138"/>
    </row>
    <row r="139" spans="1:241" ht="15" customHeight="1" thickBot="1" x14ac:dyDescent="0.45">
      <c r="A139" s="155" t="s">
        <v>68</v>
      </c>
      <c r="B139" s="187">
        <f t="shared" ref="B139:G139" si="46">B44+B45+B46+B59+B71+B104+B126+B75+B138+B47+B48</f>
        <v>5229047.93</v>
      </c>
      <c r="C139" s="187">
        <f t="shared" si="46"/>
        <v>5315417.5879999995</v>
      </c>
      <c r="D139" s="187">
        <f t="shared" si="46"/>
        <v>5891418.3400000008</v>
      </c>
      <c r="E139" s="187">
        <f t="shared" si="46"/>
        <v>6445907.7100000009</v>
      </c>
      <c r="F139" s="187">
        <f t="shared" si="46"/>
        <v>6549753.2000000002</v>
      </c>
      <c r="G139" s="187">
        <f t="shared" si="46"/>
        <v>6369344.9100000001</v>
      </c>
      <c r="H139" s="167"/>
      <c r="I139" s="161">
        <f>I44+I45+I46+I59+I71+I104+I126+I75+I138+I47+I48</f>
        <v>6544873.3974199994</v>
      </c>
      <c r="J139" s="161">
        <f>J44+J45+J46+J59+J71+J104+J126+J75+J138+J47+J48</f>
        <v>6511478.4167280002</v>
      </c>
      <c r="K139" s="235">
        <f t="shared" si="39"/>
        <v>-5.1024639689995471E-3</v>
      </c>
      <c r="L139" s="187">
        <f t="shared" ref="L139:Y139" si="47">L44+L45+L46+L59+L71+L104+L126+L75+L138+L47+L48</f>
        <v>439066.33</v>
      </c>
      <c r="M139" s="187">
        <f t="shared" si="47"/>
        <v>0</v>
      </c>
      <c r="N139" s="187">
        <f t="shared" si="47"/>
        <v>0</v>
      </c>
      <c r="O139" s="187">
        <f t="shared" si="47"/>
        <v>0</v>
      </c>
      <c r="P139" s="187">
        <f t="shared" si="47"/>
        <v>0</v>
      </c>
      <c r="Q139" s="187">
        <f t="shared" si="47"/>
        <v>0</v>
      </c>
      <c r="R139" s="187">
        <f t="shared" si="47"/>
        <v>0</v>
      </c>
      <c r="S139" s="187">
        <f t="shared" si="47"/>
        <v>0</v>
      </c>
      <c r="T139" s="187">
        <f t="shared" si="47"/>
        <v>0</v>
      </c>
      <c r="U139" s="187">
        <f t="shared" si="47"/>
        <v>0</v>
      </c>
      <c r="V139" s="187">
        <f t="shared" si="47"/>
        <v>0</v>
      </c>
      <c r="W139" s="187">
        <f t="shared" si="47"/>
        <v>0</v>
      </c>
      <c r="X139" s="187">
        <f t="shared" si="47"/>
        <v>0</v>
      </c>
      <c r="Y139" s="188">
        <f t="shared" si="47"/>
        <v>439066.33</v>
      </c>
      <c r="Z139" s="211">
        <f t="shared" si="35"/>
        <v>6.7429591545913409E-2</v>
      </c>
      <c r="AA139" s="225"/>
      <c r="HV139"/>
      <c r="HW139"/>
      <c r="HX139"/>
      <c r="HY139"/>
      <c r="HZ139"/>
      <c r="IA139"/>
      <c r="IB139"/>
      <c r="IC139"/>
      <c r="ID139"/>
      <c r="IE139"/>
      <c r="IF139"/>
      <c r="IG139"/>
    </row>
    <row r="140" spans="1:241" ht="15" thickBot="1" x14ac:dyDescent="0.45">
      <c r="A140" s="155" t="s">
        <v>69</v>
      </c>
      <c r="B140" s="198">
        <f t="shared" ref="B140:G140" si="48">B42-B139</f>
        <v>137017.16999999993</v>
      </c>
      <c r="C140" s="198">
        <f t="shared" si="48"/>
        <v>182339.30200000107</v>
      </c>
      <c r="D140" s="198">
        <f t="shared" si="48"/>
        <v>158117.68999999762</v>
      </c>
      <c r="E140" s="198">
        <f t="shared" si="48"/>
        <v>155244.76999999862</v>
      </c>
      <c r="F140" s="198">
        <f t="shared" si="48"/>
        <v>64835.489999999292</v>
      </c>
      <c r="G140" s="198">
        <f t="shared" si="48"/>
        <v>34642.359999998473</v>
      </c>
      <c r="H140" s="63"/>
      <c r="I140" s="169">
        <f>I42-I139</f>
        <v>104500.27231600042</v>
      </c>
      <c r="J140" s="169">
        <f>J42-J139</f>
        <v>224792.63300799951</v>
      </c>
      <c r="K140" s="169"/>
      <c r="L140" s="198">
        <f t="shared" ref="L140:Y140" si="49">L42-L139</f>
        <v>-112693.49000000005</v>
      </c>
      <c r="M140" s="187">
        <f t="shared" si="49"/>
        <v>0</v>
      </c>
      <c r="N140" s="187">
        <f t="shared" si="49"/>
        <v>0</v>
      </c>
      <c r="O140" s="187">
        <f t="shared" si="49"/>
        <v>0</v>
      </c>
      <c r="P140" s="187">
        <f t="shared" si="49"/>
        <v>0</v>
      </c>
      <c r="Q140" s="187">
        <f t="shared" si="49"/>
        <v>0</v>
      </c>
      <c r="R140" s="187">
        <f t="shared" si="49"/>
        <v>0</v>
      </c>
      <c r="S140" s="187">
        <f t="shared" si="49"/>
        <v>0</v>
      </c>
      <c r="T140" s="187">
        <f t="shared" si="49"/>
        <v>0</v>
      </c>
      <c r="U140" s="187">
        <f t="shared" si="49"/>
        <v>0</v>
      </c>
      <c r="V140" s="187">
        <f t="shared" si="49"/>
        <v>0</v>
      </c>
      <c r="W140" s="187">
        <f t="shared" si="49"/>
        <v>0</v>
      </c>
      <c r="X140" s="187">
        <f t="shared" si="49"/>
        <v>0</v>
      </c>
      <c r="Y140" s="188">
        <f t="shared" si="49"/>
        <v>-112693.49000000005</v>
      </c>
      <c r="Z140" s="119"/>
      <c r="AA140" s="225"/>
      <c r="HV140"/>
      <c r="HW140"/>
      <c r="HX140"/>
      <c r="HY140"/>
      <c r="HZ140"/>
      <c r="IA140"/>
      <c r="IB140"/>
      <c r="IC140"/>
      <c r="ID140"/>
      <c r="IE140"/>
      <c r="IF140"/>
      <c r="IG140"/>
    </row>
    <row r="141" spans="1:241" ht="15" hidden="1" customHeight="1" thickBot="1" x14ac:dyDescent="0.45">
      <c r="A141" s="156" t="s">
        <v>70</v>
      </c>
      <c r="B141" s="192"/>
      <c r="C141" s="192"/>
      <c r="D141" s="192"/>
      <c r="E141" s="192"/>
      <c r="F141" s="192"/>
      <c r="G141" s="192"/>
      <c r="H141" s="64"/>
      <c r="I141" s="65"/>
      <c r="J141" s="65"/>
      <c r="K141" s="65"/>
      <c r="L141" s="191"/>
      <c r="M141" s="191"/>
      <c r="N141" s="191"/>
      <c r="O141" s="191"/>
      <c r="P141" s="191"/>
      <c r="Q141" s="191"/>
      <c r="R141" s="191"/>
      <c r="S141" s="191"/>
      <c r="T141" s="191"/>
      <c r="U141" s="191"/>
      <c r="V141" s="191"/>
      <c r="W141" s="191"/>
      <c r="X141" s="191"/>
      <c r="Y141" s="192"/>
      <c r="Z141" s="119"/>
      <c r="HV141"/>
      <c r="HW141"/>
      <c r="HX141"/>
      <c r="HY141"/>
      <c r="HZ141"/>
      <c r="IA141"/>
      <c r="IB141"/>
      <c r="IC141"/>
      <c r="ID141"/>
      <c r="IE141"/>
      <c r="IF141"/>
      <c r="IG141"/>
    </row>
    <row r="142" spans="1:241" ht="15.75" customHeight="1" thickBot="1" x14ac:dyDescent="0.45">
      <c r="A142" s="170" t="s">
        <v>71</v>
      </c>
      <c r="B142" s="199">
        <v>1435545.87</v>
      </c>
      <c r="C142" s="199">
        <f>B143</f>
        <v>1572563.04</v>
      </c>
      <c r="D142" s="199">
        <f>C143</f>
        <v>1754902.3420000011</v>
      </c>
      <c r="E142" s="199">
        <f t="shared" ref="E142:F142" si="50">D143</f>
        <v>1913020.0319999987</v>
      </c>
      <c r="F142" s="199">
        <f t="shared" si="50"/>
        <v>2068264.8019999973</v>
      </c>
      <c r="G142" s="199">
        <f>F143</f>
        <v>2133100.2919999966</v>
      </c>
      <c r="H142" s="171"/>
      <c r="I142" s="172">
        <f>G143</f>
        <v>2167742.6519999951</v>
      </c>
      <c r="J142" s="172">
        <f>G143</f>
        <v>2167742.6519999951</v>
      </c>
      <c r="K142" s="172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99">
        <f>J142</f>
        <v>2167742.6519999951</v>
      </c>
      <c r="Z142" s="119"/>
      <c r="HV142"/>
      <c r="HW142"/>
      <c r="HX142"/>
      <c r="HY142"/>
      <c r="HZ142"/>
      <c r="IA142"/>
      <c r="IB142"/>
      <c r="IC142"/>
      <c r="ID142"/>
      <c r="IE142"/>
      <c r="IF142"/>
      <c r="IG142"/>
    </row>
    <row r="143" spans="1:241" ht="15" customHeight="1" thickBot="1" x14ac:dyDescent="0.45">
      <c r="A143" s="173" t="s">
        <v>72</v>
      </c>
      <c r="B143" s="201">
        <f>B140+B142</f>
        <v>1572563.04</v>
      </c>
      <c r="C143" s="201">
        <f t="shared" ref="C143:G143" si="51">C140+C142</f>
        <v>1754902.3420000011</v>
      </c>
      <c r="D143" s="201">
        <f t="shared" si="51"/>
        <v>1913020.0319999987</v>
      </c>
      <c r="E143" s="201">
        <f t="shared" si="51"/>
        <v>2068264.8019999973</v>
      </c>
      <c r="F143" s="201">
        <f t="shared" si="51"/>
        <v>2133100.2919999966</v>
      </c>
      <c r="G143" s="201">
        <f t="shared" si="51"/>
        <v>2167742.6519999951</v>
      </c>
      <c r="H143" s="174"/>
      <c r="I143" s="175">
        <f>I140-I141+I142</f>
        <v>2272242.9243159955</v>
      </c>
      <c r="J143" s="175">
        <f>J140-J141+J142</f>
        <v>2392535.2850079946</v>
      </c>
      <c r="K143" s="175"/>
      <c r="L143" s="200">
        <f>L140+I142</f>
        <v>2055049.1619999951</v>
      </c>
      <c r="M143" s="200">
        <f>M140+L143</f>
        <v>2055049.1619999951</v>
      </c>
      <c r="N143" s="200">
        <f t="shared" ref="N143:X143" si="52">N140+M143</f>
        <v>2055049.1619999951</v>
      </c>
      <c r="O143" s="200">
        <f t="shared" si="52"/>
        <v>2055049.1619999951</v>
      </c>
      <c r="P143" s="200">
        <f t="shared" si="52"/>
        <v>2055049.1619999951</v>
      </c>
      <c r="Q143" s="200">
        <f t="shared" si="52"/>
        <v>2055049.1619999951</v>
      </c>
      <c r="R143" s="200">
        <f t="shared" si="52"/>
        <v>2055049.1619999951</v>
      </c>
      <c r="S143" s="200">
        <f t="shared" si="52"/>
        <v>2055049.1619999951</v>
      </c>
      <c r="T143" s="200">
        <f t="shared" si="52"/>
        <v>2055049.1619999951</v>
      </c>
      <c r="U143" s="200">
        <f t="shared" si="52"/>
        <v>2055049.1619999951</v>
      </c>
      <c r="V143" s="200">
        <f t="shared" si="52"/>
        <v>2055049.1619999951</v>
      </c>
      <c r="W143" s="200">
        <f t="shared" si="52"/>
        <v>2055049.1619999951</v>
      </c>
      <c r="X143" s="200">
        <f t="shared" si="52"/>
        <v>2055049.1619999951</v>
      </c>
      <c r="Y143" s="201">
        <f>Y140+Y142</f>
        <v>2055049.1619999951</v>
      </c>
      <c r="Z143" s="229"/>
      <c r="AA143" s="231"/>
      <c r="HV143"/>
      <c r="HW143"/>
      <c r="HX143"/>
      <c r="HY143"/>
      <c r="HZ143"/>
      <c r="IA143"/>
      <c r="IB143"/>
      <c r="IC143"/>
      <c r="ID143"/>
      <c r="IE143"/>
      <c r="IF143"/>
      <c r="IG143"/>
    </row>
    <row r="144" spans="1:241" ht="15.75" customHeight="1" x14ac:dyDescent="0.4">
      <c r="A144" s="44"/>
      <c r="B144" s="119"/>
      <c r="C144" s="119"/>
      <c r="D144" s="119"/>
      <c r="E144" s="119"/>
      <c r="F144" s="119"/>
      <c r="G144" s="119"/>
      <c r="H144" s="44"/>
      <c r="I144" s="8"/>
      <c r="J144" s="8"/>
      <c r="K144" s="8"/>
      <c r="L144" s="219"/>
      <c r="M144" s="7"/>
      <c r="N144" s="9"/>
      <c r="O144" s="3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ID144"/>
      <c r="IE144"/>
      <c r="IF144"/>
      <c r="IG144"/>
    </row>
    <row r="145" spans="1:251" ht="16" customHeight="1" thickBot="1" x14ac:dyDescent="0.5">
      <c r="A145" s="4" t="s">
        <v>73</v>
      </c>
      <c r="H145" s="4"/>
      <c r="I145" s="5"/>
      <c r="J145" s="4" t="s">
        <v>74</v>
      </c>
      <c r="L145" s="220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Z145" s="12"/>
      <c r="IH145" s="1"/>
      <c r="II145" s="1"/>
      <c r="IJ145" s="1"/>
      <c r="IK145" s="1"/>
      <c r="IL145" s="1"/>
      <c r="IM145" s="1"/>
      <c r="IN145" s="1"/>
      <c r="IO145" s="1"/>
      <c r="IP145" s="1"/>
      <c r="IQ145" s="1"/>
    </row>
    <row r="146" spans="1:251" ht="15.75" customHeight="1" x14ac:dyDescent="0.4">
      <c r="A146" s="13" t="s">
        <v>68</v>
      </c>
      <c r="B146" s="16"/>
      <c r="C146" s="16"/>
      <c r="D146" s="16"/>
      <c r="E146" s="16"/>
      <c r="F146" s="16"/>
      <c r="G146" s="16"/>
      <c r="H146" s="103"/>
      <c r="I146" s="14">
        <f>J139</f>
        <v>6511478.4167280002</v>
      </c>
      <c r="J146" s="15" t="s">
        <v>75</v>
      </c>
      <c r="K146" s="16"/>
      <c r="L146" s="221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6"/>
      <c r="Y146" s="16"/>
      <c r="Z146" s="14">
        <f>J140</f>
        <v>224792.63300799951</v>
      </c>
      <c r="IH146" s="1"/>
      <c r="II146" s="1"/>
      <c r="IJ146" s="1"/>
      <c r="IK146" s="1"/>
      <c r="IL146" s="1"/>
      <c r="IM146" s="1"/>
      <c r="IN146" s="1"/>
      <c r="IO146" s="1"/>
      <c r="IP146" s="1"/>
      <c r="IQ146" s="1"/>
    </row>
    <row r="147" spans="1:251" ht="15.75" customHeight="1" x14ac:dyDescent="0.4">
      <c r="A147" s="17" t="s">
        <v>76</v>
      </c>
      <c r="B147" s="20"/>
      <c r="C147" s="20"/>
      <c r="D147" s="20"/>
      <c r="E147" s="20"/>
      <c r="F147" s="20"/>
      <c r="G147" s="20"/>
      <c r="H147" s="104"/>
      <c r="I147" s="18">
        <v>450000</v>
      </c>
      <c r="J147" s="19" t="s">
        <v>77</v>
      </c>
      <c r="K147" s="20"/>
      <c r="L147" s="221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20"/>
      <c r="Y147" s="20"/>
      <c r="Z147" s="18">
        <f>J137</f>
        <v>100</v>
      </c>
      <c r="IH147" s="1"/>
      <c r="II147" s="1"/>
      <c r="IJ147" s="1"/>
      <c r="IK147" s="1"/>
      <c r="IL147" s="1"/>
      <c r="IM147" s="1"/>
      <c r="IN147" s="1"/>
      <c r="IO147" s="1"/>
      <c r="IP147" s="1"/>
      <c r="IQ147" s="1"/>
    </row>
    <row r="148" spans="1:251" ht="15.75" customHeight="1" x14ac:dyDescent="0.4">
      <c r="A148" s="17" t="s">
        <v>78</v>
      </c>
      <c r="B148" s="20"/>
      <c r="C148" s="20"/>
      <c r="D148" s="20"/>
      <c r="E148" s="20"/>
      <c r="F148" s="20"/>
      <c r="G148" s="20"/>
      <c r="H148" s="104"/>
      <c r="I148" s="18">
        <f>-J48</f>
        <v>0</v>
      </c>
      <c r="J148" s="19" t="s">
        <v>79</v>
      </c>
      <c r="K148" s="20"/>
      <c r="L148" s="221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20"/>
      <c r="Y148" s="20"/>
      <c r="Z148" s="277">
        <v>0</v>
      </c>
      <c r="IH148" s="1"/>
      <c r="II148" s="1"/>
      <c r="IJ148" s="1"/>
      <c r="IK148" s="1"/>
      <c r="IL148" s="1"/>
      <c r="IM148" s="1"/>
      <c r="IN148" s="1"/>
      <c r="IO148" s="1"/>
      <c r="IP148" s="1"/>
      <c r="IQ148" s="1"/>
    </row>
    <row r="149" spans="1:251" ht="15.75" customHeight="1" x14ac:dyDescent="0.4">
      <c r="A149" s="17" t="s">
        <v>80</v>
      </c>
      <c r="B149" s="20"/>
      <c r="C149" s="20"/>
      <c r="D149" s="20"/>
      <c r="E149" s="20"/>
      <c r="F149" s="20"/>
      <c r="G149" s="20"/>
      <c r="H149" s="104"/>
      <c r="I149" s="18">
        <f>-J44</f>
        <v>-250000</v>
      </c>
      <c r="J149" s="19" t="s">
        <v>81</v>
      </c>
      <c r="K149" s="20"/>
      <c r="L149" s="221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20"/>
      <c r="Y149" s="20"/>
      <c r="Z149" s="278">
        <v>0</v>
      </c>
      <c r="AA149" s="225"/>
      <c r="IH149" s="1"/>
      <c r="II149" s="1"/>
      <c r="IJ149" s="1"/>
      <c r="IK149" s="1"/>
      <c r="IL149" s="1"/>
      <c r="IM149" s="1"/>
      <c r="IN149" s="1"/>
      <c r="IO149" s="1"/>
      <c r="IP149" s="1"/>
      <c r="IQ149" s="1"/>
    </row>
    <row r="150" spans="1:251" ht="16" customHeight="1" thickBot="1" x14ac:dyDescent="0.45">
      <c r="A150" s="21" t="s">
        <v>82</v>
      </c>
      <c r="B150" s="20"/>
      <c r="C150" s="20"/>
      <c r="D150" s="20"/>
      <c r="E150" s="20"/>
      <c r="F150" s="20"/>
      <c r="G150" s="20"/>
      <c r="H150" s="105"/>
      <c r="I150" s="22">
        <f>-J47</f>
        <v>-85800</v>
      </c>
      <c r="J150" s="19" t="s">
        <v>83</v>
      </c>
      <c r="K150" s="20"/>
      <c r="L150" s="221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20"/>
      <c r="Y150" s="20"/>
      <c r="Z150" s="18">
        <f>J47</f>
        <v>85800</v>
      </c>
      <c r="IH150" s="1"/>
      <c r="II150" s="1"/>
      <c r="IJ150" s="1"/>
      <c r="IK150" s="1"/>
      <c r="IL150" s="1"/>
      <c r="IM150" s="1"/>
      <c r="IN150" s="1"/>
      <c r="IO150" s="1"/>
      <c r="IP150" s="1"/>
      <c r="IQ150" s="1"/>
    </row>
    <row r="151" spans="1:251" ht="16" customHeight="1" thickBot="1" x14ac:dyDescent="0.45">
      <c r="A151" s="23" t="s">
        <v>84</v>
      </c>
      <c r="B151" s="20"/>
      <c r="C151" s="20"/>
      <c r="D151" s="20"/>
      <c r="E151" s="20"/>
      <c r="F151" s="20"/>
      <c r="G151" s="20"/>
      <c r="H151" s="106"/>
      <c r="I151" s="24">
        <f>SUM(I146:I150)</f>
        <v>6625678.4167280002</v>
      </c>
      <c r="J151" s="19" t="s">
        <v>85</v>
      </c>
      <c r="K151" s="20"/>
      <c r="L151" s="222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20"/>
      <c r="Y151" s="20"/>
      <c r="Z151" s="18">
        <f>Y48</f>
        <v>0</v>
      </c>
      <c r="IH151" s="1"/>
      <c r="II151" s="1"/>
      <c r="IJ151" s="1"/>
      <c r="IK151" s="1"/>
      <c r="IL151" s="1"/>
      <c r="IM151" s="1"/>
      <c r="IN151" s="1"/>
      <c r="IO151" s="1"/>
      <c r="IP151" s="1"/>
      <c r="IQ151" s="1"/>
    </row>
    <row r="152" spans="1:251" s="1" customFormat="1" ht="15.75" customHeight="1" x14ac:dyDescent="0.4">
      <c r="A152" s="13" t="s">
        <v>86</v>
      </c>
      <c r="B152" s="20"/>
      <c r="C152" s="20"/>
      <c r="D152" s="20"/>
      <c r="E152" s="20"/>
      <c r="F152" s="20"/>
      <c r="G152" s="20"/>
      <c r="H152" s="103"/>
      <c r="I152" s="25">
        <v>365</v>
      </c>
      <c r="J152" s="19" t="s">
        <v>87</v>
      </c>
      <c r="K152" s="20"/>
      <c r="L152" s="221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20"/>
      <c r="Y152" s="20"/>
      <c r="Z152" s="18">
        <f>J44</f>
        <v>250000</v>
      </c>
      <c r="AB152" s="282"/>
      <c r="AC152" s="282"/>
      <c r="AD152" s="282"/>
      <c r="AE152" s="282"/>
      <c r="AF152" s="282"/>
      <c r="AG152" s="282"/>
    </row>
    <row r="153" spans="1:251" s="1" customFormat="1" ht="15.75" customHeight="1" x14ac:dyDescent="0.4">
      <c r="A153" s="26" t="s">
        <v>88</v>
      </c>
      <c r="B153" s="20"/>
      <c r="C153" s="20"/>
      <c r="D153" s="20"/>
      <c r="E153" s="20"/>
      <c r="F153" s="20"/>
      <c r="G153" s="20"/>
      <c r="H153" s="107"/>
      <c r="I153" s="27">
        <f>I151/I152</f>
        <v>18152.543607473974</v>
      </c>
      <c r="J153" s="19" t="s">
        <v>89</v>
      </c>
      <c r="K153" s="20"/>
      <c r="L153" s="222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20"/>
      <c r="Y153" s="20"/>
      <c r="Z153" s="18">
        <v>-11869</v>
      </c>
      <c r="AB153" s="282"/>
      <c r="AC153" s="282"/>
      <c r="AD153" s="282"/>
      <c r="AE153" s="282"/>
      <c r="AF153" s="282"/>
      <c r="AG153" s="282"/>
    </row>
    <row r="154" spans="1:251" s="1" customFormat="1" ht="16" customHeight="1" thickBot="1" x14ac:dyDescent="0.45">
      <c r="A154" s="21" t="s">
        <v>90</v>
      </c>
      <c r="B154" s="29"/>
      <c r="C154" s="29"/>
      <c r="D154" s="29"/>
      <c r="E154" s="29"/>
      <c r="F154" s="29"/>
      <c r="G154" s="29"/>
      <c r="H154" s="105"/>
      <c r="I154" s="22">
        <v>45</v>
      </c>
      <c r="J154" s="28" t="s">
        <v>91</v>
      </c>
      <c r="K154" s="29"/>
      <c r="L154" s="221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29"/>
      <c r="Y154" s="29"/>
      <c r="Z154" s="22">
        <v>0</v>
      </c>
      <c r="AB154" s="282"/>
      <c r="AC154" s="282"/>
      <c r="AD154" s="282"/>
      <c r="AE154" s="282"/>
      <c r="AF154" s="282"/>
      <c r="AG154" s="282"/>
    </row>
    <row r="155" spans="1:251" s="1" customFormat="1" ht="33.75" customHeight="1" thickBot="1" x14ac:dyDescent="0.45">
      <c r="A155" s="50" t="s">
        <v>92</v>
      </c>
      <c r="B155" s="31"/>
      <c r="C155" s="31"/>
      <c r="D155" s="31"/>
      <c r="E155" s="31"/>
      <c r="F155" s="31"/>
      <c r="G155" s="31"/>
      <c r="H155" s="108"/>
      <c r="I155" s="24">
        <f>I153*I154</f>
        <v>816864.46233632881</v>
      </c>
      <c r="J155" s="30" t="s">
        <v>93</v>
      </c>
      <c r="K155" s="31"/>
      <c r="L155" s="222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31"/>
      <c r="Y155" s="31"/>
      <c r="Z155" s="24">
        <f>SUM(Z146:Z154)</f>
        <v>548823.63300799951</v>
      </c>
      <c r="AB155" s="282"/>
      <c r="AC155" s="282"/>
      <c r="AD155" s="282"/>
      <c r="AE155" s="282"/>
      <c r="AF155" s="282"/>
      <c r="AG155" s="282"/>
    </row>
    <row r="156" spans="1:251" s="1" customFormat="1" ht="15.75" customHeight="1" x14ac:dyDescent="0.4">
      <c r="A156" s="32"/>
      <c r="B156" s="16"/>
      <c r="C156" s="16"/>
      <c r="D156" s="16"/>
      <c r="E156" s="16"/>
      <c r="F156" s="16"/>
      <c r="G156" s="16"/>
      <c r="H156" s="109"/>
      <c r="I156" s="33"/>
      <c r="J156" s="15" t="s">
        <v>94</v>
      </c>
      <c r="K156" s="16"/>
      <c r="L156" s="222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6"/>
      <c r="Y156" s="16"/>
      <c r="Z156" s="14">
        <f>J45</f>
        <v>522144</v>
      </c>
      <c r="AB156" s="282"/>
      <c r="AC156" s="282"/>
      <c r="AD156" s="282"/>
      <c r="AE156" s="282"/>
      <c r="AF156" s="282"/>
      <c r="AG156" s="282"/>
    </row>
    <row r="157" spans="1:251" s="1" customFormat="1" ht="16" customHeight="1" thickBot="1" x14ac:dyDescent="0.45">
      <c r="A157" s="34"/>
      <c r="B157" s="110"/>
      <c r="C157" s="110"/>
      <c r="D157" s="110"/>
      <c r="E157" s="110"/>
      <c r="F157" s="110"/>
      <c r="G157" s="110"/>
      <c r="H157" s="110"/>
      <c r="I157" s="22"/>
      <c r="J157" s="19" t="s">
        <v>95</v>
      </c>
      <c r="K157" s="20"/>
      <c r="L157" s="221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20"/>
      <c r="Y157" s="20"/>
      <c r="Z157" s="18">
        <f>-Z153</f>
        <v>11869</v>
      </c>
      <c r="AB157" s="282"/>
      <c r="AC157" s="282"/>
      <c r="AD157" s="282"/>
      <c r="AE157" s="282"/>
      <c r="AF157" s="282"/>
      <c r="AG157" s="282"/>
    </row>
    <row r="158" spans="1:251" s="1" customFormat="1" ht="17.5" customHeight="1" thickBot="1" x14ac:dyDescent="0.45">
      <c r="A158" s="13" t="s">
        <v>72</v>
      </c>
      <c r="B158" s="103"/>
      <c r="C158" s="103"/>
      <c r="D158" s="103"/>
      <c r="E158" s="103"/>
      <c r="F158" s="103"/>
      <c r="G158" s="103"/>
      <c r="H158" s="103"/>
      <c r="I158" s="14">
        <f>J143</f>
        <v>2392535.2850079946</v>
      </c>
      <c r="J158" s="28" t="s">
        <v>96</v>
      </c>
      <c r="K158" s="29"/>
      <c r="L158" s="221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29"/>
      <c r="Y158" s="29"/>
      <c r="Z158" s="22">
        <f>-Z154</f>
        <v>0</v>
      </c>
      <c r="AB158" s="282"/>
      <c r="AC158" s="282"/>
      <c r="AD158" s="282"/>
      <c r="AE158" s="282"/>
      <c r="AF158" s="282"/>
      <c r="AG158" s="282"/>
    </row>
    <row r="159" spans="1:251" s="1" customFormat="1" ht="16" customHeight="1" thickBot="1" x14ac:dyDescent="0.45">
      <c r="A159" s="17" t="s">
        <v>97</v>
      </c>
      <c r="B159" s="104"/>
      <c r="C159" s="104"/>
      <c r="D159" s="104"/>
      <c r="E159" s="104"/>
      <c r="F159" s="104"/>
      <c r="G159" s="104"/>
      <c r="H159" s="104"/>
      <c r="I159" s="18">
        <f>1190+Z147</f>
        <v>1290</v>
      </c>
      <c r="J159" s="30" t="s">
        <v>98</v>
      </c>
      <c r="K159" s="31"/>
      <c r="L159" s="221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31"/>
      <c r="Y159" s="31"/>
      <c r="Z159" s="24">
        <f>SUM(Z155:Z158)</f>
        <v>1082836.6330079995</v>
      </c>
      <c r="AB159" s="282"/>
      <c r="AC159" s="282"/>
      <c r="AD159" s="282"/>
      <c r="AE159" s="282"/>
      <c r="AF159" s="282"/>
      <c r="AG159" s="282"/>
    </row>
    <row r="160" spans="1:251" s="1" customFormat="1" ht="16" customHeight="1" thickBot="1" x14ac:dyDescent="0.45">
      <c r="A160" s="21" t="s">
        <v>99</v>
      </c>
      <c r="B160" s="105"/>
      <c r="C160" s="105"/>
      <c r="D160" s="105"/>
      <c r="E160" s="105"/>
      <c r="F160" s="105"/>
      <c r="G160" s="105"/>
      <c r="H160" s="105"/>
      <c r="I160" s="22">
        <f>126226+Z148</f>
        <v>126226</v>
      </c>
      <c r="J160" s="35" t="s">
        <v>100</v>
      </c>
      <c r="K160" s="36"/>
      <c r="L160" s="221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36"/>
      <c r="Y160" s="36"/>
      <c r="Z160" s="25">
        <v>762425</v>
      </c>
      <c r="AB160" s="282"/>
      <c r="AC160" s="282"/>
      <c r="AD160" s="282"/>
      <c r="AE160" s="282"/>
      <c r="AF160" s="282"/>
      <c r="AG160" s="282"/>
    </row>
    <row r="161" spans="1:241" s="1" customFormat="1" ht="16" customHeight="1" thickBot="1" x14ac:dyDescent="0.45">
      <c r="A161" s="23" t="s">
        <v>101</v>
      </c>
      <c r="B161" s="38"/>
      <c r="C161" s="38"/>
      <c r="D161" s="38"/>
      <c r="E161" s="38"/>
      <c r="F161" s="38"/>
      <c r="G161" s="38"/>
      <c r="H161" s="106"/>
      <c r="I161" s="24">
        <f>SUM(I158:I160)</f>
        <v>2520051.2850079946</v>
      </c>
      <c r="J161" s="37" t="s">
        <v>102</v>
      </c>
      <c r="K161" s="38"/>
      <c r="L161" s="222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38"/>
      <c r="Y161" s="38"/>
      <c r="Z161" s="39">
        <f>Z159/Z160</f>
        <v>1.4202533141069607</v>
      </c>
      <c r="AB161" s="282"/>
      <c r="AC161" s="282"/>
      <c r="AD161" s="282"/>
      <c r="AE161" s="282"/>
      <c r="AF161" s="282"/>
      <c r="AG161" s="282"/>
    </row>
    <row r="162" spans="1:241" s="1" customFormat="1" ht="21.75" customHeight="1" x14ac:dyDescent="0.4">
      <c r="A162" s="40" t="s">
        <v>103</v>
      </c>
      <c r="H162" s="111"/>
      <c r="I162" s="25">
        <f>I153</f>
        <v>18152.543607473974</v>
      </c>
      <c r="J162" s="48" t="s">
        <v>104</v>
      </c>
      <c r="L162" s="221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Z162" s="49">
        <f>-(Z160*1.2-Z159)</f>
        <v>167926.63300799951</v>
      </c>
      <c r="AB162" s="282"/>
      <c r="AC162" s="282"/>
      <c r="AD162" s="282"/>
      <c r="AE162" s="282"/>
      <c r="AF162" s="282"/>
      <c r="AG162" s="282"/>
    </row>
    <row r="163" spans="1:241" s="1" customFormat="1" ht="16" customHeight="1" thickBot="1" x14ac:dyDescent="0.45">
      <c r="A163" s="41" t="s">
        <v>105</v>
      </c>
      <c r="H163" s="112"/>
      <c r="I163" s="42">
        <f>I161/I162</f>
        <v>138.8263451944228</v>
      </c>
      <c r="J163" s="45" t="s">
        <v>106</v>
      </c>
      <c r="L163" s="222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Z163" s="47">
        <v>1.2</v>
      </c>
      <c r="AB163" s="282"/>
      <c r="AC163" s="282"/>
      <c r="AD163" s="282"/>
      <c r="AE163" s="282"/>
      <c r="AF163" s="282"/>
      <c r="AG163" s="282"/>
    </row>
    <row r="164" spans="1:241" s="1" customFormat="1" ht="19.5" customHeight="1" x14ac:dyDescent="0.4">
      <c r="A164" s="91" t="s">
        <v>107</v>
      </c>
      <c r="B164" s="9"/>
      <c r="C164" s="9"/>
      <c r="D164" s="9"/>
      <c r="E164" s="9"/>
      <c r="F164" s="9"/>
      <c r="G164" s="9"/>
      <c r="H164" s="91"/>
      <c r="I164" s="43">
        <v>45</v>
      </c>
      <c r="J164" s="134"/>
      <c r="K164" s="9"/>
      <c r="L164" s="222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9"/>
      <c r="Z164" s="273"/>
      <c r="AB164" s="282"/>
      <c r="AC164" s="282"/>
      <c r="AD164" s="282"/>
      <c r="AE164" s="282"/>
      <c r="AF164" s="282"/>
      <c r="AG164" s="282"/>
    </row>
    <row r="165" spans="1:241" s="1" customFormat="1" ht="15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130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3"/>
      <c r="Z165" s="274"/>
      <c r="AB165" s="282"/>
      <c r="AC165" s="282"/>
      <c r="AD165" s="282"/>
      <c r="AE165" s="282"/>
      <c r="AF165" s="282"/>
      <c r="AG165" s="282"/>
    </row>
    <row r="166" spans="1:241" s="1" customFormat="1" ht="15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L166" s="130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3"/>
      <c r="Z166" s="3"/>
      <c r="AA166" s="275"/>
      <c r="AB166" s="282"/>
      <c r="AC166" s="282"/>
      <c r="AD166" s="282"/>
      <c r="AE166" s="282"/>
      <c r="AF166" s="282"/>
      <c r="AG166" s="282"/>
    </row>
    <row r="167" spans="1:241" s="1" customFormat="1" ht="15.75" customHeight="1" x14ac:dyDescent="0.4">
      <c r="A167" s="3"/>
      <c r="B167" s="131"/>
      <c r="C167" s="131"/>
      <c r="D167" s="131"/>
      <c r="E167" s="131"/>
      <c r="F167" s="131"/>
      <c r="G167" s="131"/>
      <c r="H167" s="3"/>
      <c r="I167" s="3"/>
      <c r="J167" s="3"/>
      <c r="K167" s="130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3"/>
      <c r="Z167" s="274"/>
      <c r="AA167" s="131"/>
      <c r="AB167" s="282"/>
      <c r="AC167" s="282"/>
      <c r="AD167" s="282"/>
      <c r="AE167" s="282"/>
      <c r="AF167" s="282"/>
      <c r="AG167" s="282"/>
    </row>
    <row r="168" spans="1:241" s="1" customFormat="1" ht="15" customHeight="1" x14ac:dyDescent="0.4">
      <c r="A168" s="3"/>
      <c r="B168" s="131"/>
      <c r="C168" s="131"/>
      <c r="D168" s="131"/>
      <c r="E168" s="131"/>
      <c r="F168" s="131"/>
      <c r="G168" s="131"/>
      <c r="H168" s="3"/>
      <c r="I168" s="3"/>
      <c r="J168" s="3"/>
      <c r="K168" s="130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3"/>
      <c r="Z168" s="3"/>
      <c r="AA168" s="131"/>
      <c r="AB168" s="282"/>
      <c r="AC168" s="282"/>
      <c r="AD168" s="282"/>
      <c r="AE168" s="282"/>
      <c r="AF168" s="282"/>
      <c r="AG168" s="282"/>
    </row>
    <row r="169" spans="1:241" s="1" customFormat="1" ht="15" customHeight="1" x14ac:dyDescent="0.4">
      <c r="A169" s="3"/>
      <c r="B169" s="122"/>
      <c r="C169" s="122"/>
      <c r="D169" s="122"/>
      <c r="E169" s="122"/>
      <c r="F169" s="122"/>
      <c r="G169" s="122"/>
      <c r="H169" s="3"/>
      <c r="K169" s="223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Z169" s="237"/>
      <c r="AA169" s="122"/>
      <c r="AB169" s="282"/>
      <c r="AC169" s="282"/>
      <c r="AD169" s="282"/>
      <c r="AE169" s="282"/>
      <c r="AF169" s="282"/>
      <c r="AG169" s="282"/>
    </row>
    <row r="170" spans="1:241" ht="14.5" customHeight="1" x14ac:dyDescent="0.4">
      <c r="B170" s="122"/>
      <c r="C170" s="122"/>
      <c r="D170" s="122"/>
      <c r="E170" s="122"/>
      <c r="F170" s="122"/>
      <c r="G170" s="122"/>
      <c r="K170" s="223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Z170" s="225"/>
      <c r="AA170" s="122"/>
      <c r="IG170"/>
    </row>
    <row r="171" spans="1:241" ht="14.5" customHeight="1" x14ac:dyDescent="0.4">
      <c r="K171" s="224"/>
      <c r="L171" s="1"/>
      <c r="IG171"/>
    </row>
    <row r="180" spans="34:241" ht="14.5" customHeight="1" x14ac:dyDescent="0.4"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</row>
  </sheetData>
  <phoneticPr fontId="32" type="noConversion"/>
  <conditionalFormatting sqref="A1:A7 H1:H7">
    <cfRule type="cellIs" dxfId="5" priority="7" stopIfTrue="1" operator="lessThan">
      <formula>0</formula>
    </cfRule>
  </conditionalFormatting>
  <conditionalFormatting sqref="A11:A140 H11:H140">
    <cfRule type="cellIs" dxfId="4" priority="3" stopIfTrue="1" operator="lessThan">
      <formula>0</formula>
    </cfRule>
  </conditionalFormatting>
  <conditionalFormatting sqref="A143 H143 Z161">
    <cfRule type="cellIs" dxfId="3" priority="8" stopIfTrue="1" operator="lessThan">
      <formula>0</formula>
    </cfRule>
  </conditionalFormatting>
  <printOptions horizontalCentered="1"/>
  <pageMargins left="0.25" right="0.25" top="0.25" bottom="0.25" header="0.3" footer="0.3"/>
  <pageSetup scale="62" fitToHeight="3" orientation="portrait" horizontalDpi="4294967295" verticalDpi="4294967295" r:id="rId1"/>
  <headerFooter>
    <oddHeader>&amp;C&amp;F</oddHeader>
    <oddFooter xml:space="preserve">&amp;CPage &amp;P&amp;R&amp;A       </oddFooter>
  </headerFooter>
  <ignoredErrors>
    <ignoredError sqref="Y11:Y14 Y21:Y24 Y30:Y47 Y121:Y137 Y117:Y119 Y18:Y19 Y26:Y28 Y85:Y89 Y91:Y113 Y49:Y83" formulaRange="1"/>
    <ignoredError sqref="Y29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094A-0F77-4E15-A19C-DB4EA571996B}">
  <sheetPr>
    <pageSetUpPr fitToPage="1"/>
  </sheetPr>
  <dimension ref="A1:ID68"/>
  <sheetViews>
    <sheetView topLeftCell="D18" workbookViewId="0">
      <selection activeCell="H48" sqref="H48"/>
    </sheetView>
  </sheetViews>
  <sheetFormatPr defaultColWidth="8.84375" defaultRowHeight="14.5" customHeight="1" x14ac:dyDescent="0.4"/>
  <cols>
    <col min="1" max="1" width="42" style="1" customWidth="1"/>
    <col min="2" max="2" width="5.15234375" style="1" bestFit="1" customWidth="1"/>
    <col min="3" max="3" width="17.3828125" style="1" hidden="1" customWidth="1"/>
    <col min="4" max="5" width="17.3828125" style="1" customWidth="1"/>
    <col min="6" max="6" width="16.84375" style="1" customWidth="1"/>
    <col min="7" max="7" width="18.53515625" style="1" customWidth="1"/>
    <col min="8" max="8" width="28.3046875" style="1" bestFit="1" customWidth="1"/>
    <col min="9" max="9" width="2.84375" style="1" customWidth="1"/>
    <col min="10" max="238" width="8.84375" style="1" customWidth="1"/>
  </cols>
  <sheetData>
    <row r="1" spans="1:238" s="120" customFormat="1" ht="48.75" customHeight="1" thickBot="1" x14ac:dyDescent="0.55000000000000004">
      <c r="A1" s="121" t="s">
        <v>0</v>
      </c>
      <c r="B1" s="88"/>
      <c r="C1" s="89" t="s">
        <v>199</v>
      </c>
      <c r="D1" s="89" t="s">
        <v>212</v>
      </c>
      <c r="E1" s="89" t="s">
        <v>211</v>
      </c>
      <c r="F1" s="135" t="str">
        <f>'FY 24-25 Budget '!Y1</f>
        <v>Actuals as of 7.31.24</v>
      </c>
      <c r="G1" s="135" t="s">
        <v>201</v>
      </c>
      <c r="H1" s="135" t="s">
        <v>198</v>
      </c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</row>
    <row r="2" spans="1:238" ht="15" thickBot="1" x14ac:dyDescent="0.45">
      <c r="A2" s="100" t="s">
        <v>150</v>
      </c>
      <c r="B2" s="100"/>
      <c r="C2" s="101" t="s">
        <v>179</v>
      </c>
      <c r="D2" s="101">
        <f>'FY 24-25 Budget '!I2</f>
        <v>575</v>
      </c>
      <c r="E2" s="101">
        <f>'FY 24-25 Budget '!J2</f>
        <v>564</v>
      </c>
      <c r="F2" s="101"/>
      <c r="G2" s="3"/>
      <c r="HV2"/>
      <c r="HW2"/>
      <c r="HX2"/>
      <c r="HY2"/>
      <c r="HZ2"/>
      <c r="IA2"/>
      <c r="IB2"/>
      <c r="IC2"/>
      <c r="ID2"/>
    </row>
    <row r="3" spans="1:238" ht="15" thickBot="1" x14ac:dyDescent="0.45">
      <c r="A3" s="100" t="s">
        <v>151</v>
      </c>
      <c r="B3" s="100"/>
      <c r="C3" s="102">
        <v>6337.2</v>
      </c>
      <c r="D3" s="102">
        <f>'FY 24-25 Budget '!I3</f>
        <v>6581.22</v>
      </c>
      <c r="E3" s="102">
        <f>'FY 24-25 Budget '!J3</f>
        <v>6688.38</v>
      </c>
      <c r="F3" s="102"/>
      <c r="G3" s="3"/>
      <c r="HV3"/>
      <c r="HW3"/>
      <c r="HX3"/>
      <c r="HY3"/>
      <c r="HZ3"/>
      <c r="IA3"/>
      <c r="IB3"/>
      <c r="IC3"/>
      <c r="ID3"/>
    </row>
    <row r="4" spans="1:238" ht="15" thickBot="1" x14ac:dyDescent="0.45">
      <c r="A4" s="100" t="s">
        <v>152</v>
      </c>
      <c r="B4" s="100"/>
      <c r="C4" s="101" t="s">
        <v>183</v>
      </c>
      <c r="D4" s="101">
        <f>'FY 24-25 Budget '!I4</f>
        <v>29</v>
      </c>
      <c r="E4" s="101">
        <f>'FY 24-25 Budget '!J4</f>
        <v>29</v>
      </c>
      <c r="F4" s="101"/>
      <c r="G4" s="3"/>
      <c r="HV4"/>
      <c r="HW4"/>
      <c r="HX4"/>
      <c r="HY4"/>
      <c r="HZ4"/>
      <c r="IA4"/>
      <c r="IB4"/>
      <c r="IC4"/>
      <c r="ID4"/>
    </row>
    <row r="5" spans="1:238" ht="15" thickBot="1" x14ac:dyDescent="0.45">
      <c r="A5" s="100" t="s">
        <v>153</v>
      </c>
      <c r="B5" s="100"/>
      <c r="C5" s="102">
        <v>5275.72</v>
      </c>
      <c r="D5" s="102">
        <f>'FY 24-25 Budget '!I5</f>
        <v>5249.28</v>
      </c>
      <c r="E5" s="102">
        <f>'FY 24-25 Budget '!J5</f>
        <v>5249.28</v>
      </c>
      <c r="F5" s="102"/>
      <c r="G5" s="3"/>
      <c r="HV5"/>
      <c r="HW5"/>
      <c r="HX5"/>
      <c r="HY5"/>
      <c r="HZ5"/>
      <c r="IA5"/>
      <c r="IB5"/>
      <c r="IC5"/>
      <c r="ID5"/>
    </row>
    <row r="6" spans="1:238" ht="24" customHeight="1" x14ac:dyDescent="0.4">
      <c r="A6" s="51" t="s">
        <v>1</v>
      </c>
      <c r="B6" s="51"/>
      <c r="C6" s="93"/>
      <c r="D6" s="93"/>
      <c r="E6" s="93"/>
      <c r="F6" s="203"/>
      <c r="G6" s="119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</row>
    <row r="7" spans="1:238" s="117" customFormat="1" ht="15" customHeight="1" x14ac:dyDescent="0.4">
      <c r="A7" s="52" t="s">
        <v>169</v>
      </c>
      <c r="B7" s="52"/>
      <c r="C7" s="53">
        <f>'FY 24-25 Budget '!I16</f>
        <v>3933660.62</v>
      </c>
      <c r="D7" s="53">
        <f>'FY 24-25 Budget '!I16</f>
        <v>3933660.62</v>
      </c>
      <c r="E7" s="53">
        <f>'FY 24-25 Budget '!J16</f>
        <v>4020558</v>
      </c>
      <c r="F7" s="204">
        <f>'FY 24-25 Budget '!Y16</f>
        <v>322090.07</v>
      </c>
      <c r="G7" s="212">
        <f>F7/E7</f>
        <v>8.0110788104536729E-2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</row>
    <row r="8" spans="1:238" s="117" customFormat="1" ht="15" customHeight="1" x14ac:dyDescent="0.4">
      <c r="A8" s="54" t="s">
        <v>170</v>
      </c>
      <c r="B8" s="114"/>
      <c r="C8" s="53">
        <f>'FY 24-25 Budget '!I29</f>
        <v>2463244.0497359997</v>
      </c>
      <c r="D8" s="53">
        <f>'FY 24-25 Budget '!I29</f>
        <v>2463244.0497359997</v>
      </c>
      <c r="E8" s="53">
        <f>'FY 24-25 Budget '!J29</f>
        <v>2463244.0497359997</v>
      </c>
      <c r="F8" s="204">
        <f>'FY 24-25 Budget '!Y29</f>
        <v>0</v>
      </c>
      <c r="G8" s="212">
        <f t="shared" ref="G8:G27" si="0">F8/E8</f>
        <v>0</v>
      </c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</row>
    <row r="9" spans="1:238" s="117" customFormat="1" ht="15" customHeight="1" x14ac:dyDescent="0.4">
      <c r="A9" s="54" t="s">
        <v>171</v>
      </c>
      <c r="B9" s="54"/>
      <c r="C9" s="53">
        <f>'FY 24-25 Budget '!I37</f>
        <v>175469</v>
      </c>
      <c r="D9" s="53">
        <f>'FY 24-25 Budget '!I37</f>
        <v>175469</v>
      </c>
      <c r="E9" s="53">
        <f>'FY 24-25 Budget '!J37</f>
        <v>175469</v>
      </c>
      <c r="F9" s="204">
        <f>'FY 24-25 Budget '!Y37</f>
        <v>0</v>
      </c>
      <c r="G9" s="212">
        <f t="shared" si="0"/>
        <v>0</v>
      </c>
      <c r="H9" s="272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</row>
    <row r="10" spans="1:238" ht="14.6" x14ac:dyDescent="0.4">
      <c r="A10" s="54" t="s">
        <v>24</v>
      </c>
      <c r="B10" s="54"/>
      <c r="C10" s="53">
        <f>'FY 24-25 Budget '!I38</f>
        <v>25000</v>
      </c>
      <c r="D10" s="53">
        <f>'FY 24-25 Budget '!I38</f>
        <v>25000</v>
      </c>
      <c r="E10" s="53">
        <f>'FY 24-25 Budget '!J38</f>
        <v>25000</v>
      </c>
      <c r="F10" s="204">
        <f>'FY 24-25 Budget '!Y38</f>
        <v>0</v>
      </c>
      <c r="G10" s="212">
        <f t="shared" si="0"/>
        <v>0</v>
      </c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</row>
    <row r="11" spans="1:238" ht="15" customHeight="1" x14ac:dyDescent="0.4">
      <c r="A11" s="54" t="s">
        <v>25</v>
      </c>
      <c r="B11" s="54"/>
      <c r="C11" s="53">
        <f>'FY 24-25 Budget '!I39</f>
        <v>50000</v>
      </c>
      <c r="D11" s="53">
        <f>'FY 24-25 Budget '!I39</f>
        <v>50000</v>
      </c>
      <c r="E11" s="53">
        <f>'FY 24-25 Budget '!J39</f>
        <v>50000</v>
      </c>
      <c r="F11" s="204">
        <f>'FY 24-25 Budget '!Y39</f>
        <v>252.73</v>
      </c>
      <c r="G11" s="212">
        <f t="shared" si="0"/>
        <v>5.0545999999999994E-3</v>
      </c>
      <c r="H11" s="99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</row>
    <row r="12" spans="1:238" ht="15" customHeight="1" x14ac:dyDescent="0.4">
      <c r="A12" s="54" t="s">
        <v>26</v>
      </c>
      <c r="B12" s="54"/>
      <c r="C12" s="53">
        <f>'FY 24-25 Budget '!I40</f>
        <v>2000</v>
      </c>
      <c r="D12" s="53">
        <f>'FY 24-25 Budget '!I40</f>
        <v>2000</v>
      </c>
      <c r="E12" s="53">
        <f>'FY 24-25 Budget '!J40</f>
        <v>2000</v>
      </c>
      <c r="F12" s="204">
        <f>'FY 24-25 Budget '!Y40</f>
        <v>180.04</v>
      </c>
      <c r="G12" s="212">
        <f t="shared" si="0"/>
        <v>9.0020000000000003E-2</v>
      </c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</row>
    <row r="13" spans="1:238" ht="15" customHeight="1" thickBot="1" x14ac:dyDescent="0.45">
      <c r="A13" s="55" t="s">
        <v>27</v>
      </c>
      <c r="B13" s="55"/>
      <c r="C13" s="53">
        <f>'FY 24-25 Budget '!I41</f>
        <v>0</v>
      </c>
      <c r="D13" s="60">
        <f>'FY 24-25 Budget '!I41</f>
        <v>0</v>
      </c>
      <c r="E13" s="60">
        <f>'FY 24-25 Budget '!J41</f>
        <v>0</v>
      </c>
      <c r="F13" s="204">
        <f>'FY 24-25 Budget '!Y41</f>
        <v>3850</v>
      </c>
      <c r="G13" s="212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</row>
    <row r="14" spans="1:238" ht="15" customHeight="1" thickBot="1" x14ac:dyDescent="0.45">
      <c r="A14" s="56" t="s">
        <v>28</v>
      </c>
      <c r="B14" s="56"/>
      <c r="C14" s="57">
        <f>C7+C8+C9+C10+C11+C12+C13</f>
        <v>6649373.6697359998</v>
      </c>
      <c r="D14" s="57">
        <f>D7+D8+D9+D10+D11+D12+D13</f>
        <v>6649373.6697359998</v>
      </c>
      <c r="E14" s="57">
        <f>E7+E8+E9+E10+E11+E12+E13</f>
        <v>6736271.0497359997</v>
      </c>
      <c r="F14" s="57">
        <f>F7+F8+F9+F10+F11+F12+F13</f>
        <v>326372.83999999997</v>
      </c>
      <c r="G14" s="212">
        <f t="shared" si="0"/>
        <v>4.8450075359243568E-2</v>
      </c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</row>
    <row r="15" spans="1:238" ht="21.75" customHeight="1" x14ac:dyDescent="0.4">
      <c r="A15" s="58" t="s">
        <v>29</v>
      </c>
      <c r="B15" s="58"/>
      <c r="C15" s="59"/>
      <c r="D15" s="59"/>
      <c r="E15" s="59"/>
      <c r="F15" s="205"/>
      <c r="G15" s="212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</row>
    <row r="16" spans="1:238" ht="14.25" customHeight="1" x14ac:dyDescent="0.4">
      <c r="A16" s="52" t="s">
        <v>30</v>
      </c>
      <c r="B16" s="52"/>
      <c r="C16" s="60">
        <f>'FY 24-25 Budget '!I44</f>
        <v>250000</v>
      </c>
      <c r="D16" s="60">
        <f>'FY 24-25 Budget '!I44</f>
        <v>250000</v>
      </c>
      <c r="E16" s="60">
        <f>'FY 24-25 Budget '!J44</f>
        <v>250000</v>
      </c>
      <c r="F16" s="206">
        <f>'FY 24-25 Budget '!Y44</f>
        <v>20833.37</v>
      </c>
      <c r="G16" s="212">
        <f t="shared" si="0"/>
        <v>8.3333480000000001E-2</v>
      </c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</row>
    <row r="17" spans="1:238" ht="15" customHeight="1" x14ac:dyDescent="0.4">
      <c r="A17" s="52" t="s">
        <v>31</v>
      </c>
      <c r="B17" s="52"/>
      <c r="C17" s="60">
        <f>'FY 24-25 Budget '!I45</f>
        <v>522144</v>
      </c>
      <c r="D17" s="60">
        <f>'FY 24-25 Budget '!I45</f>
        <v>522144</v>
      </c>
      <c r="E17" s="60">
        <f>'FY 24-25 Budget '!J45</f>
        <v>522144</v>
      </c>
      <c r="F17" s="206">
        <f>'FY 24-25 Budget '!Y45</f>
        <v>26084.790000000008</v>
      </c>
      <c r="G17" s="212">
        <f t="shared" si="0"/>
        <v>4.9957080805295109E-2</v>
      </c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</row>
    <row r="18" spans="1:238" ht="15" customHeight="1" x14ac:dyDescent="0.4">
      <c r="A18" s="52" t="s">
        <v>32</v>
      </c>
      <c r="B18" s="52"/>
      <c r="C18" s="60">
        <f>'FY 24-25 Budget '!I46</f>
        <v>8600</v>
      </c>
      <c r="D18" s="60">
        <f>'FY 24-25 Budget '!I46</f>
        <v>8600</v>
      </c>
      <c r="E18" s="60">
        <f>'FY 24-25 Budget '!J46</f>
        <v>8600</v>
      </c>
      <c r="F18" s="206">
        <f>'FY 24-25 Budget '!Y46</f>
        <v>0</v>
      </c>
      <c r="G18" s="212">
        <f t="shared" si="0"/>
        <v>0</v>
      </c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</row>
    <row r="19" spans="1:238" ht="15" customHeight="1" x14ac:dyDescent="0.4">
      <c r="A19" s="52" t="s">
        <v>33</v>
      </c>
      <c r="B19" s="52"/>
      <c r="C19" s="60">
        <f>'FY 24-25 Budget '!I47</f>
        <v>85800</v>
      </c>
      <c r="D19" s="60">
        <f>'FY 24-25 Budget '!I47</f>
        <v>85800</v>
      </c>
      <c r="E19" s="60">
        <f>'FY 24-25 Budget '!J47</f>
        <v>85800</v>
      </c>
      <c r="F19" s="206">
        <f>'FY 24-25 Budget '!Y47</f>
        <v>7150</v>
      </c>
      <c r="G19" s="212">
        <f t="shared" si="0"/>
        <v>8.3333333333333329E-2</v>
      </c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</row>
    <row r="20" spans="1:238" ht="15" customHeight="1" x14ac:dyDescent="0.4">
      <c r="A20" s="52" t="s">
        <v>34</v>
      </c>
      <c r="B20" s="52"/>
      <c r="C20" s="60">
        <f>'FY 24-25 Budget '!I48</f>
        <v>0</v>
      </c>
      <c r="D20" s="60">
        <f>'FY 24-25 Budget '!I48</f>
        <v>0</v>
      </c>
      <c r="E20" s="60">
        <f>'FY 24-25 Budget '!J48</f>
        <v>0</v>
      </c>
      <c r="F20" s="206">
        <f>'FY 24-25 Budget '!Y48</f>
        <v>0</v>
      </c>
      <c r="G20" s="212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</row>
    <row r="21" spans="1:238" ht="15" customHeight="1" x14ac:dyDescent="0.4">
      <c r="A21" s="52" t="s">
        <v>35</v>
      </c>
      <c r="B21" s="52"/>
      <c r="C21" s="60">
        <f>'FY 24-25 Budget '!I59</f>
        <v>294088.88</v>
      </c>
      <c r="D21" s="60">
        <f>'FY 24-25 Budget '!I59</f>
        <v>294088.88</v>
      </c>
      <c r="E21" s="60">
        <f>'FY 24-25 Budget '!J59</f>
        <v>294088.88</v>
      </c>
      <c r="F21" s="206">
        <f>'FY 24-25 Budget '!Y59</f>
        <v>9873.3499999999985</v>
      </c>
      <c r="G21" s="212">
        <f t="shared" si="0"/>
        <v>3.3572673676066901E-2</v>
      </c>
      <c r="H21" s="99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</row>
    <row r="22" spans="1:238" ht="15" customHeight="1" x14ac:dyDescent="0.4">
      <c r="A22" s="52" t="s">
        <v>173</v>
      </c>
      <c r="B22" s="52"/>
      <c r="C22" s="53">
        <f>'FY 24-25 Budget '!I71</f>
        <v>4610218.2974199997</v>
      </c>
      <c r="D22" s="53">
        <f>'FY 24-25 Budget '!I71</f>
        <v>4610218.2974199997</v>
      </c>
      <c r="E22" s="53">
        <f>'FY 24-25 Budget '!J71</f>
        <v>4576823.3167280005</v>
      </c>
      <c r="F22" s="204">
        <f>'FY 24-25 Budget '!Y71</f>
        <v>328179.28999999998</v>
      </c>
      <c r="G22" s="212">
        <f t="shared" si="0"/>
        <v>7.1704601049493291E-2</v>
      </c>
      <c r="H22" s="99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</row>
    <row r="23" spans="1:238" ht="15" customHeight="1" x14ac:dyDescent="0.4">
      <c r="A23" s="52" t="s">
        <v>174</v>
      </c>
      <c r="B23" s="98"/>
      <c r="C23" s="53">
        <f>'FY 24-25 Budget '!I75</f>
        <v>103394</v>
      </c>
      <c r="D23" s="53">
        <f>'FY 24-25 Budget '!I75</f>
        <v>103394</v>
      </c>
      <c r="E23" s="53">
        <f>'FY 24-25 Budget '!J75</f>
        <v>103394</v>
      </c>
      <c r="F23" s="204">
        <f>'FY 24-25 Budget '!Y75</f>
        <v>15002</v>
      </c>
      <c r="G23" s="212">
        <f t="shared" si="0"/>
        <v>0.14509546008472446</v>
      </c>
      <c r="H23" s="99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</row>
    <row r="24" spans="1:238" ht="15" customHeight="1" x14ac:dyDescent="0.4">
      <c r="A24" s="52" t="s">
        <v>175</v>
      </c>
      <c r="B24" s="52"/>
      <c r="C24" s="53">
        <f>'FY 24-25 Budget '!I104</f>
        <v>159191</v>
      </c>
      <c r="D24" s="53">
        <f>'FY 24-25 Budget '!I104</f>
        <v>159191</v>
      </c>
      <c r="E24" s="53">
        <f>'FY 24-25 Budget '!J104</f>
        <v>159191</v>
      </c>
      <c r="F24" s="204">
        <f>'FY 24-25 Budget '!Y104</f>
        <v>1310.9099999999999</v>
      </c>
      <c r="G24" s="212">
        <f t="shared" si="0"/>
        <v>8.2348248330621696E-3</v>
      </c>
      <c r="H24" s="99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</row>
    <row r="25" spans="1:238" ht="15" customHeight="1" x14ac:dyDescent="0.4">
      <c r="A25" s="52" t="s">
        <v>163</v>
      </c>
      <c r="B25" s="52"/>
      <c r="C25" s="53">
        <f>'FY 24-25 Budget '!I126</f>
        <v>366687.22</v>
      </c>
      <c r="D25" s="53">
        <f>'FY 24-25 Budget '!I126</f>
        <v>366687.22</v>
      </c>
      <c r="E25" s="53">
        <f>'FY 24-25 Budget '!J126</f>
        <v>366687.22</v>
      </c>
      <c r="F25" s="204">
        <f>'FY 24-25 Budget '!Y126</f>
        <v>29855.280000000002</v>
      </c>
      <c r="G25" s="212">
        <f t="shared" si="0"/>
        <v>8.1418927008146083E-2</v>
      </c>
      <c r="H25" s="99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</row>
    <row r="26" spans="1:238" ht="15" customHeight="1" thickBot="1" x14ac:dyDescent="0.45">
      <c r="A26" s="61" t="s">
        <v>57</v>
      </c>
      <c r="B26" s="61"/>
      <c r="C26" s="62">
        <f>'FY 24-25 Budget '!I138</f>
        <v>144750</v>
      </c>
      <c r="D26" s="62">
        <f>'FY 24-25 Budget '!I138</f>
        <v>144750</v>
      </c>
      <c r="E26" s="62">
        <f>'FY 24-25 Budget '!J138</f>
        <v>144750</v>
      </c>
      <c r="F26" s="207">
        <f>'FY 24-25 Budget '!Y138</f>
        <v>777.34</v>
      </c>
      <c r="G26" s="212">
        <f t="shared" si="0"/>
        <v>5.370224525043178E-3</v>
      </c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</row>
    <row r="27" spans="1:238" ht="15" customHeight="1" thickBot="1" x14ac:dyDescent="0.45">
      <c r="A27" s="63" t="s">
        <v>68</v>
      </c>
      <c r="B27" s="63"/>
      <c r="C27" s="57">
        <f>SUM(C16:C26)</f>
        <v>6544873.3974199994</v>
      </c>
      <c r="D27" s="57">
        <f>SUM(D16:D26)</f>
        <v>6544873.3974199994</v>
      </c>
      <c r="E27" s="57">
        <f>SUM(E16:E26)</f>
        <v>6511478.4167280002</v>
      </c>
      <c r="F27" s="57">
        <f>SUM(F16:F26)</f>
        <v>439066.33</v>
      </c>
      <c r="G27" s="212">
        <f t="shared" si="0"/>
        <v>6.7429591545913409E-2</v>
      </c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</row>
    <row r="28" spans="1:238" ht="15" thickBot="1" x14ac:dyDescent="0.45">
      <c r="A28" s="63" t="s">
        <v>69</v>
      </c>
      <c r="B28" s="63"/>
      <c r="C28" s="57">
        <f>C14-C27</f>
        <v>104500.27231600042</v>
      </c>
      <c r="D28" s="57">
        <f>D14-D27</f>
        <v>104500.27231600042</v>
      </c>
      <c r="E28" s="57">
        <f>E14-E27</f>
        <v>224792.63300799951</v>
      </c>
      <c r="F28" s="57">
        <f>F14-F27</f>
        <v>-112693.49000000005</v>
      </c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</row>
    <row r="29" spans="1:238" ht="15" hidden="1" customHeight="1" thickBot="1" x14ac:dyDescent="0.45">
      <c r="A29" s="64" t="s">
        <v>70</v>
      </c>
      <c r="B29" s="64"/>
      <c r="C29" s="65"/>
      <c r="D29" s="65"/>
      <c r="E29" s="65"/>
      <c r="F29" s="65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</row>
    <row r="30" spans="1:238" ht="15.75" customHeight="1" x14ac:dyDescent="0.4">
      <c r="A30" s="66" t="s">
        <v>71</v>
      </c>
      <c r="B30" s="66"/>
      <c r="C30" s="67">
        <f>'FY 24-25 Budget '!I142</f>
        <v>2167742.6519999951</v>
      </c>
      <c r="D30" s="67">
        <f>'FY 24-25 Budget '!I142</f>
        <v>2167742.6519999951</v>
      </c>
      <c r="E30" s="67">
        <f>'FY 24-25 Budget '!J142</f>
        <v>2167742.6519999951</v>
      </c>
      <c r="F30" s="67">
        <f>C30</f>
        <v>2167742.6519999951</v>
      </c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</row>
    <row r="31" spans="1:238" ht="15" customHeight="1" thickBot="1" x14ac:dyDescent="0.45">
      <c r="A31" s="68" t="s">
        <v>72</v>
      </c>
      <c r="B31" s="68"/>
      <c r="C31" s="69">
        <f>C28-C29+C30</f>
        <v>2272242.9243159955</v>
      </c>
      <c r="D31" s="69">
        <f>D28-D29+D30</f>
        <v>2272242.9243159955</v>
      </c>
      <c r="E31" s="69">
        <f>E28-E29+E30</f>
        <v>2392535.2850079946</v>
      </c>
      <c r="F31" s="69">
        <f>F28-F29+F30</f>
        <v>2055049.1619999951</v>
      </c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</row>
    <row r="32" spans="1:238" ht="15.75" customHeight="1" x14ac:dyDescent="0.4">
      <c r="A32" s="10"/>
      <c r="B32" s="10"/>
      <c r="C32" s="11"/>
      <c r="D32" s="11"/>
      <c r="E32" s="226"/>
      <c r="F32" s="119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</row>
    <row r="33" spans="1:238" ht="16" customHeight="1" thickBot="1" x14ac:dyDescent="0.5">
      <c r="A33" s="4" t="s">
        <v>73</v>
      </c>
      <c r="B33" s="4"/>
      <c r="C33" s="4"/>
      <c r="D33" s="5"/>
      <c r="E33" s="276"/>
      <c r="F33" s="4" t="s">
        <v>74</v>
      </c>
      <c r="G33" s="6"/>
      <c r="H33" s="12"/>
      <c r="ID33"/>
    </row>
    <row r="34" spans="1:238" ht="15.75" customHeight="1" x14ac:dyDescent="0.4">
      <c r="A34" s="13" t="s">
        <v>68</v>
      </c>
      <c r="B34" s="103"/>
      <c r="C34" s="103"/>
      <c r="D34" s="14">
        <f>E27</f>
        <v>6511478.4167280002</v>
      </c>
      <c r="E34" s="3"/>
      <c r="F34" s="15" t="s">
        <v>75</v>
      </c>
      <c r="G34" s="16"/>
      <c r="H34" s="14">
        <f>E28</f>
        <v>224792.63300799951</v>
      </c>
      <c r="ID34"/>
    </row>
    <row r="35" spans="1:238" ht="15.75" customHeight="1" x14ac:dyDescent="0.4">
      <c r="A35" s="17" t="s">
        <v>76</v>
      </c>
      <c r="B35" s="104"/>
      <c r="C35" s="104"/>
      <c r="D35" s="18">
        <v>450000</v>
      </c>
      <c r="E35" s="3"/>
      <c r="F35" s="19" t="s">
        <v>77</v>
      </c>
      <c r="G35" s="20"/>
      <c r="H35" s="18">
        <v>100</v>
      </c>
      <c r="ID35"/>
    </row>
    <row r="36" spans="1:238" ht="15.75" customHeight="1" x14ac:dyDescent="0.4">
      <c r="A36" s="17" t="s">
        <v>78</v>
      </c>
      <c r="B36" s="104"/>
      <c r="C36" s="104"/>
      <c r="D36" s="18">
        <f>E20</f>
        <v>0</v>
      </c>
      <c r="E36" s="3"/>
      <c r="F36" s="19" t="s">
        <v>79</v>
      </c>
      <c r="G36" s="20"/>
      <c r="H36" s="18">
        <f>'FY 24-25 Budget '!Z148</f>
        <v>0</v>
      </c>
      <c r="ID36"/>
    </row>
    <row r="37" spans="1:238" ht="15.75" customHeight="1" x14ac:dyDescent="0.4">
      <c r="A37" s="17" t="s">
        <v>80</v>
      </c>
      <c r="B37" s="104"/>
      <c r="C37" s="104"/>
      <c r="D37" s="18">
        <f>-E16</f>
        <v>-250000</v>
      </c>
      <c r="E37" s="3"/>
      <c r="F37" s="19" t="s">
        <v>81</v>
      </c>
      <c r="G37" s="20"/>
      <c r="H37" s="18">
        <f>'FY 24-25 Budget '!Z149</f>
        <v>0</v>
      </c>
      <c r="ID37"/>
    </row>
    <row r="38" spans="1:238" ht="16" customHeight="1" thickBot="1" x14ac:dyDescent="0.45">
      <c r="A38" s="21" t="s">
        <v>82</v>
      </c>
      <c r="B38" s="105"/>
      <c r="C38" s="105"/>
      <c r="D38" s="22">
        <f>-E19</f>
        <v>-85800</v>
      </c>
      <c r="E38" s="3"/>
      <c r="F38" s="19" t="s">
        <v>83</v>
      </c>
      <c r="G38" s="20"/>
      <c r="H38" s="18">
        <f>E19</f>
        <v>85800</v>
      </c>
      <c r="ID38"/>
    </row>
    <row r="39" spans="1:238" ht="16" customHeight="1" thickBot="1" x14ac:dyDescent="0.45">
      <c r="A39" s="23" t="s">
        <v>84</v>
      </c>
      <c r="B39" s="106"/>
      <c r="C39" s="106"/>
      <c r="D39" s="24">
        <f>SUM(D34:D38)</f>
        <v>6625678.4167280002</v>
      </c>
      <c r="E39" s="3"/>
      <c r="F39" s="19" t="s">
        <v>85</v>
      </c>
      <c r="G39" s="20"/>
      <c r="H39" s="18">
        <f>'FY 24-25 Budget '!Z151</f>
        <v>0</v>
      </c>
      <c r="ID39"/>
    </row>
    <row r="40" spans="1:238" s="1" customFormat="1" ht="15.75" customHeight="1" x14ac:dyDescent="0.4">
      <c r="A40" s="13" t="s">
        <v>86</v>
      </c>
      <c r="B40" s="103"/>
      <c r="C40" s="103"/>
      <c r="D40" s="25">
        <v>365</v>
      </c>
      <c r="E40" s="3"/>
      <c r="F40" s="19" t="s">
        <v>87</v>
      </c>
      <c r="G40" s="20"/>
      <c r="H40" s="18">
        <f>E16</f>
        <v>250000</v>
      </c>
    </row>
    <row r="41" spans="1:238" s="1" customFormat="1" ht="15.75" customHeight="1" x14ac:dyDescent="0.4">
      <c r="A41" s="26" t="s">
        <v>88</v>
      </c>
      <c r="B41" s="107"/>
      <c r="C41" s="107"/>
      <c r="D41" s="27">
        <f>D39/D40</f>
        <v>18152.543607473974</v>
      </c>
      <c r="E41" s="3"/>
      <c r="F41" s="19" t="s">
        <v>89</v>
      </c>
      <c r="G41" s="20"/>
      <c r="H41" s="18">
        <v>-11869</v>
      </c>
    </row>
    <row r="42" spans="1:238" s="1" customFormat="1" ht="16" customHeight="1" thickBot="1" x14ac:dyDescent="0.45">
      <c r="A42" s="21" t="s">
        <v>90</v>
      </c>
      <c r="B42" s="105"/>
      <c r="C42" s="105"/>
      <c r="D42" s="22">
        <v>45</v>
      </c>
      <c r="E42" s="3"/>
      <c r="F42" s="28" t="s">
        <v>91</v>
      </c>
      <c r="G42" s="29"/>
      <c r="H42" s="22">
        <v>0</v>
      </c>
    </row>
    <row r="43" spans="1:238" s="1" customFormat="1" ht="33.75" customHeight="1" thickBot="1" x14ac:dyDescent="0.45">
      <c r="A43" s="50" t="s">
        <v>92</v>
      </c>
      <c r="B43" s="108"/>
      <c r="C43" s="108"/>
      <c r="D43" s="24">
        <f>D41*D42</f>
        <v>816864.46233632881</v>
      </c>
      <c r="E43" s="3"/>
      <c r="F43" s="30" t="s">
        <v>93</v>
      </c>
      <c r="G43" s="31"/>
      <c r="H43" s="24">
        <f>SUM(H34:H42)</f>
        <v>548823.63300799951</v>
      </c>
    </row>
    <row r="44" spans="1:238" s="1" customFormat="1" ht="15.75" customHeight="1" x14ac:dyDescent="0.4">
      <c r="A44" s="32"/>
      <c r="B44" s="109"/>
      <c r="C44" s="109"/>
      <c r="D44" s="33"/>
      <c r="E44" s="3"/>
      <c r="F44" s="15" t="s">
        <v>94</v>
      </c>
      <c r="G44" s="16"/>
      <c r="H44" s="14">
        <f>E17</f>
        <v>522144</v>
      </c>
    </row>
    <row r="45" spans="1:238" s="1" customFormat="1" ht="16" customHeight="1" thickBot="1" x14ac:dyDescent="0.45">
      <c r="A45" s="34"/>
      <c r="B45" s="110"/>
      <c r="C45" s="110"/>
      <c r="D45" s="22"/>
      <c r="E45" s="3"/>
      <c r="F45" s="19" t="s">
        <v>95</v>
      </c>
      <c r="G45" s="20"/>
      <c r="H45" s="18">
        <f>-H41</f>
        <v>11869</v>
      </c>
    </row>
    <row r="46" spans="1:238" s="1" customFormat="1" ht="16" customHeight="1" thickBot="1" x14ac:dyDescent="0.45">
      <c r="A46" s="13" t="s">
        <v>72</v>
      </c>
      <c r="B46" s="103"/>
      <c r="C46" s="103"/>
      <c r="D46" s="14">
        <f>E31</f>
        <v>2392535.2850079946</v>
      </c>
      <c r="E46" s="3"/>
      <c r="F46" s="28" t="s">
        <v>96</v>
      </c>
      <c r="G46" s="29"/>
      <c r="H46" s="22">
        <f>-H42</f>
        <v>0</v>
      </c>
    </row>
    <row r="47" spans="1:238" s="1" customFormat="1" ht="16" customHeight="1" thickBot="1" x14ac:dyDescent="0.45">
      <c r="A47" s="17" t="s">
        <v>97</v>
      </c>
      <c r="B47" s="104"/>
      <c r="C47" s="104"/>
      <c r="D47" s="18">
        <f>1190+H35</f>
        <v>1290</v>
      </c>
      <c r="E47" s="3"/>
      <c r="F47" s="30" t="s">
        <v>98</v>
      </c>
      <c r="G47" s="31"/>
      <c r="H47" s="24">
        <f>SUM(H43:H46)</f>
        <v>1082836.6330079995</v>
      </c>
    </row>
    <row r="48" spans="1:238" s="1" customFormat="1" ht="16" customHeight="1" thickBot="1" x14ac:dyDescent="0.45">
      <c r="A48" s="21" t="s">
        <v>99</v>
      </c>
      <c r="B48" s="105"/>
      <c r="C48" s="105"/>
      <c r="D48" s="22">
        <f>126226+H36</f>
        <v>126226</v>
      </c>
      <c r="E48" s="3"/>
      <c r="F48" s="35" t="s">
        <v>100</v>
      </c>
      <c r="G48" s="36"/>
      <c r="H48" s="25">
        <f>'FY 24-25 Budget '!Z160</f>
        <v>762425</v>
      </c>
    </row>
    <row r="49" spans="1:9" s="1" customFormat="1" ht="16" customHeight="1" thickBot="1" x14ac:dyDescent="0.45">
      <c r="A49" s="23" t="s">
        <v>101</v>
      </c>
      <c r="B49" s="106"/>
      <c r="C49" s="106"/>
      <c r="D49" s="24">
        <f>SUM(D46:D48)</f>
        <v>2520051.2850079946</v>
      </c>
      <c r="E49" s="3"/>
      <c r="F49" s="37" t="s">
        <v>102</v>
      </c>
      <c r="G49" s="38"/>
      <c r="H49" s="39">
        <f>H47/H48</f>
        <v>1.4202533141069607</v>
      </c>
    </row>
    <row r="50" spans="1:9" s="1" customFormat="1" ht="21.75" customHeight="1" x14ac:dyDescent="0.4">
      <c r="A50" s="40" t="s">
        <v>103</v>
      </c>
      <c r="B50" s="111"/>
      <c r="C50" s="111"/>
      <c r="D50" s="25">
        <f>D41</f>
        <v>18152.543607473974</v>
      </c>
      <c r="E50" s="3"/>
      <c r="F50" s="48" t="s">
        <v>104</v>
      </c>
      <c r="G50" s="49"/>
      <c r="H50" s="49">
        <f>-(H48*1.2-H47)</f>
        <v>167926.63300799951</v>
      </c>
    </row>
    <row r="51" spans="1:9" s="1" customFormat="1" ht="16" customHeight="1" thickBot="1" x14ac:dyDescent="0.45">
      <c r="A51" s="41" t="s">
        <v>105</v>
      </c>
      <c r="B51" s="112"/>
      <c r="C51" s="112"/>
      <c r="D51" s="42">
        <f>D49/D50</f>
        <v>138.8263451944228</v>
      </c>
      <c r="E51" s="3"/>
      <c r="F51" s="45" t="s">
        <v>106</v>
      </c>
      <c r="G51" s="46"/>
      <c r="H51" s="47">
        <v>1.2</v>
      </c>
    </row>
    <row r="52" spans="1:9" s="1" customFormat="1" ht="19.5" customHeight="1" x14ac:dyDescent="0.4">
      <c r="A52" s="91" t="s">
        <v>107</v>
      </c>
      <c r="B52" s="91"/>
      <c r="C52" s="91"/>
      <c r="D52" s="43">
        <v>45</v>
      </c>
      <c r="E52" s="3"/>
      <c r="F52" s="9"/>
      <c r="G52" s="44"/>
      <c r="H52" s="9"/>
    </row>
    <row r="53" spans="1:9" s="1" customFormat="1" ht="0.65" customHeight="1" x14ac:dyDescent="0.4">
      <c r="A53" s="3"/>
      <c r="B53" s="3"/>
      <c r="C53" s="3"/>
      <c r="D53" s="3"/>
      <c r="E53" s="3"/>
      <c r="F53" s="3"/>
      <c r="G53" s="3"/>
      <c r="H53" s="3"/>
    </row>
    <row r="54" spans="1:9" s="1" customFormat="1" ht="15.75" customHeight="1" x14ac:dyDescent="0.4">
      <c r="A54" s="3"/>
      <c r="B54" s="3"/>
      <c r="C54" s="3"/>
      <c r="D54" s="3"/>
      <c r="E54" s="3"/>
      <c r="F54" s="3"/>
      <c r="G54" s="3"/>
      <c r="H54" s="3"/>
      <c r="I54" s="3"/>
    </row>
    <row r="55" spans="1:9" s="1" customFormat="1" ht="15.75" customHeight="1" x14ac:dyDescent="0.4">
      <c r="A55" s="3"/>
      <c r="B55" s="3"/>
      <c r="C55" s="3"/>
      <c r="D55" s="3"/>
      <c r="E55" s="3"/>
      <c r="F55" s="3"/>
      <c r="G55" s="3"/>
      <c r="H55" s="3"/>
      <c r="I55" s="3"/>
    </row>
    <row r="56" spans="1:9" s="1" customFormat="1" ht="1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s="1" customFormat="1" ht="15" customHeight="1" x14ac:dyDescent="0.4">
      <c r="A57" s="3"/>
      <c r="B57" s="3"/>
      <c r="C57" s="3"/>
      <c r="H57" s="3"/>
      <c r="I57" s="3"/>
    </row>
    <row r="68" spans="6:6" s="1" customFormat="1" ht="14.5" customHeight="1" x14ac:dyDescent="0.4">
      <c r="F68" s="94"/>
    </row>
  </sheetData>
  <conditionalFormatting sqref="A1:B28">
    <cfRule type="cellIs" dxfId="2" priority="1" stopIfTrue="1" operator="lessThan">
      <formula>0</formula>
    </cfRule>
  </conditionalFormatting>
  <conditionalFormatting sqref="A31:B31 H49">
    <cfRule type="cellIs" dxfId="1" priority="2" stopIfTrue="1" operator="lessThan">
      <formula>0</formula>
    </cfRule>
  </conditionalFormatting>
  <printOptions horizontalCentered="1" verticalCentered="1"/>
  <pageMargins left="0.25" right="0.25" top="0.75" bottom="0.75" header="0.3" footer="0.3"/>
  <pageSetup scale="54" orientation="landscape" horizontalDpi="4294967295" verticalDpi="4294967295" r:id="rId1"/>
  <headerFooter>
    <oddHeader>&amp;C&amp;F</oddHeader>
    <oddFooter xml:space="preserve">&amp;CPage &amp;P&amp;R&amp;A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V91"/>
  <sheetViews>
    <sheetView workbookViewId="0">
      <selection activeCell="A4" sqref="A4:A9"/>
    </sheetView>
  </sheetViews>
  <sheetFormatPr defaultColWidth="8.84375" defaultRowHeight="14.5" customHeight="1" x14ac:dyDescent="0.4"/>
  <cols>
    <col min="1" max="1" width="17.3828125" style="1" customWidth="1"/>
    <col min="2" max="2" width="31.53515625" style="1" customWidth="1"/>
    <col min="3" max="3" width="14.3828125" style="1" customWidth="1"/>
    <col min="4" max="4" width="35.3828125" style="1" customWidth="1"/>
    <col min="5" max="5" width="17.15234375" style="1" customWidth="1"/>
    <col min="6" max="7" width="11.15234375" style="1" hidden="1" customWidth="1"/>
    <col min="8" max="8" width="10.3828125" style="1" hidden="1" customWidth="1"/>
    <col min="9" max="9" width="11.15234375" style="1" hidden="1" customWidth="1"/>
    <col min="10" max="21" width="8.84375" style="1" customWidth="1"/>
    <col min="22" max="22" width="10" style="1" customWidth="1"/>
    <col min="23" max="23" width="2.15234375" style="1" hidden="1" customWidth="1"/>
    <col min="24" max="25" width="8.84375" style="1" hidden="1" customWidth="1"/>
    <col min="26" max="256" width="8.84375" style="1" customWidth="1"/>
  </cols>
  <sheetData>
    <row r="1" spans="1:25" ht="18.75" customHeight="1" x14ac:dyDescent="0.4">
      <c r="A1" s="294" t="s">
        <v>108</v>
      </c>
      <c r="B1" s="295"/>
      <c r="C1" s="295"/>
      <c r="D1" s="296"/>
      <c r="E1" s="296"/>
      <c r="F1" s="87"/>
      <c r="G1" s="87"/>
      <c r="H1" s="87"/>
      <c r="I1" s="87"/>
      <c r="J1" s="70"/>
      <c r="K1" s="70"/>
      <c r="L1" s="70"/>
      <c r="M1" s="70"/>
      <c r="N1" s="70"/>
      <c r="O1" s="70"/>
      <c r="P1" s="70"/>
      <c r="Q1" s="70"/>
      <c r="R1" s="70"/>
      <c r="S1" s="71"/>
      <c r="T1" s="71"/>
      <c r="U1" s="71"/>
      <c r="V1" s="71"/>
      <c r="W1" s="86"/>
      <c r="X1" s="86"/>
      <c r="Y1" s="86"/>
    </row>
    <row r="2" spans="1:25" ht="18.75" customHeight="1" x14ac:dyDescent="0.4">
      <c r="A2" s="2"/>
      <c r="B2" s="2"/>
      <c r="C2" s="2"/>
      <c r="D2" s="2"/>
      <c r="E2" s="2"/>
      <c r="F2" s="74"/>
      <c r="G2" s="74"/>
      <c r="H2" s="74"/>
      <c r="I2" s="74"/>
      <c r="J2" s="70"/>
      <c r="K2" s="70"/>
      <c r="L2" s="70"/>
      <c r="M2" s="70"/>
      <c r="N2" s="70"/>
      <c r="O2" s="70"/>
      <c r="P2" s="70"/>
      <c r="Q2" s="70"/>
      <c r="R2" s="70"/>
      <c r="S2" s="71"/>
      <c r="T2" s="71"/>
      <c r="U2" s="71"/>
      <c r="V2" s="71"/>
      <c r="W2" s="71"/>
      <c r="X2" s="71"/>
      <c r="Y2" s="71"/>
    </row>
    <row r="3" spans="1:25" ht="15" customHeight="1" x14ac:dyDescent="0.4">
      <c r="A3" s="75" t="s">
        <v>109</v>
      </c>
      <c r="B3" s="75" t="s">
        <v>110</v>
      </c>
      <c r="C3" s="75" t="s">
        <v>111</v>
      </c>
      <c r="D3" s="75" t="s">
        <v>112</v>
      </c>
      <c r="E3" s="76" t="s">
        <v>113</v>
      </c>
      <c r="F3" s="74"/>
      <c r="G3" s="74"/>
      <c r="H3" s="74"/>
      <c r="I3" s="74"/>
      <c r="J3" s="70"/>
      <c r="K3" s="70"/>
      <c r="L3" s="70"/>
      <c r="M3" s="70"/>
      <c r="N3" s="70"/>
      <c r="O3" s="70"/>
      <c r="P3" s="70"/>
      <c r="Q3" s="70"/>
      <c r="R3" s="70"/>
      <c r="S3" s="71"/>
      <c r="T3" s="71"/>
      <c r="U3" s="71"/>
      <c r="V3" s="71"/>
      <c r="W3" s="71"/>
      <c r="X3" s="71"/>
      <c r="Y3" s="71"/>
    </row>
    <row r="4" spans="1:25" ht="15" customHeight="1" x14ac:dyDescent="0.4">
      <c r="A4" s="83"/>
      <c r="B4" s="72"/>
      <c r="C4" s="77"/>
      <c r="D4" s="72"/>
      <c r="E4" s="73"/>
      <c r="F4" s="74"/>
      <c r="G4" s="78"/>
      <c r="H4" s="74"/>
      <c r="I4" s="74"/>
      <c r="J4" s="70"/>
      <c r="K4" s="70"/>
      <c r="L4" s="70"/>
      <c r="M4" s="70"/>
      <c r="N4" s="70"/>
      <c r="O4" s="70"/>
      <c r="P4" s="70"/>
      <c r="Q4" s="70"/>
      <c r="R4" s="70"/>
      <c r="S4" s="71"/>
      <c r="T4" s="71"/>
      <c r="U4" s="71"/>
      <c r="V4" s="71"/>
      <c r="W4" s="71"/>
      <c r="X4" s="71"/>
      <c r="Y4" s="71"/>
    </row>
    <row r="5" spans="1:25" ht="15" customHeight="1" x14ac:dyDescent="0.4">
      <c r="A5" s="83"/>
      <c r="B5" s="72"/>
      <c r="C5" s="77"/>
      <c r="D5" s="72"/>
      <c r="E5" s="73"/>
      <c r="F5" s="74"/>
      <c r="G5" s="73"/>
      <c r="H5" s="74"/>
      <c r="I5" s="74"/>
      <c r="J5" s="70"/>
      <c r="K5" s="70"/>
      <c r="L5" s="70"/>
      <c r="M5" s="70"/>
      <c r="N5" s="70"/>
      <c r="O5" s="70"/>
      <c r="P5" s="70"/>
      <c r="Q5" s="70"/>
      <c r="R5" s="70"/>
      <c r="S5" s="71"/>
      <c r="T5" s="71"/>
      <c r="U5" s="71"/>
      <c r="V5" s="71"/>
      <c r="W5" s="71"/>
      <c r="X5" s="71"/>
      <c r="Y5" s="71"/>
    </row>
    <row r="6" spans="1:25" ht="15" customHeight="1" x14ac:dyDescent="0.4">
      <c r="A6" s="83"/>
      <c r="B6" s="72"/>
      <c r="C6" s="77"/>
      <c r="D6" s="72"/>
      <c r="E6" s="73"/>
      <c r="F6" s="73"/>
      <c r="G6" s="78"/>
      <c r="H6" s="74"/>
      <c r="I6" s="74"/>
      <c r="J6" s="70"/>
      <c r="K6" s="70"/>
      <c r="L6" s="70"/>
      <c r="M6" s="70"/>
      <c r="N6" s="70"/>
      <c r="O6" s="70"/>
      <c r="P6" s="70"/>
      <c r="Q6" s="70"/>
      <c r="R6" s="70"/>
      <c r="S6" s="71"/>
      <c r="T6" s="71"/>
      <c r="U6" s="71"/>
      <c r="V6" s="71"/>
      <c r="W6" s="71"/>
      <c r="X6" s="71"/>
      <c r="Y6" s="71"/>
    </row>
    <row r="7" spans="1:25" ht="15" customHeight="1" x14ac:dyDescent="0.4">
      <c r="A7" s="85"/>
      <c r="B7" s="85"/>
      <c r="C7" s="77"/>
      <c r="D7" s="92"/>
      <c r="E7" s="73"/>
      <c r="F7" s="73"/>
      <c r="G7" s="73"/>
      <c r="H7" s="74"/>
      <c r="I7" s="74"/>
      <c r="J7" s="70"/>
      <c r="K7" s="70"/>
      <c r="L7" s="70"/>
      <c r="M7" s="70"/>
      <c r="N7" s="70"/>
      <c r="O7" s="70"/>
      <c r="P7" s="70"/>
      <c r="Q7" s="70"/>
      <c r="R7" s="70"/>
      <c r="S7" s="71"/>
      <c r="T7" s="71"/>
      <c r="U7" s="71"/>
      <c r="V7" s="71"/>
      <c r="W7" s="71"/>
      <c r="X7" s="71"/>
      <c r="Y7" s="71"/>
    </row>
    <row r="8" spans="1:25" ht="15" customHeight="1" x14ac:dyDescent="0.4">
      <c r="A8" s="85"/>
      <c r="B8" s="85"/>
      <c r="C8" s="77"/>
      <c r="D8" s="92"/>
      <c r="E8" s="73"/>
      <c r="F8" s="73"/>
      <c r="G8" s="74"/>
      <c r="H8" s="74"/>
      <c r="I8" s="74"/>
      <c r="J8" s="70"/>
      <c r="K8" s="70"/>
      <c r="L8" s="70"/>
      <c r="M8" s="70"/>
      <c r="N8" s="70"/>
      <c r="O8" s="70"/>
      <c r="P8" s="70"/>
      <c r="Q8" s="70"/>
      <c r="R8" s="70"/>
      <c r="S8" s="71"/>
      <c r="T8" s="71"/>
      <c r="U8" s="71"/>
      <c r="V8" s="71"/>
      <c r="W8" s="71"/>
      <c r="X8" s="71"/>
      <c r="Y8" s="71"/>
    </row>
    <row r="9" spans="1:25" ht="15" customHeight="1" x14ac:dyDescent="0.4">
      <c r="A9" s="85"/>
      <c r="B9" s="74"/>
      <c r="C9" s="77"/>
      <c r="D9" s="79"/>
      <c r="E9" s="73"/>
      <c r="F9" s="73"/>
      <c r="G9" s="74"/>
      <c r="H9" s="74"/>
      <c r="I9" s="74"/>
      <c r="J9" s="70"/>
      <c r="K9" s="70"/>
      <c r="L9" s="70"/>
      <c r="M9" s="70"/>
      <c r="N9" s="70"/>
      <c r="O9" s="70"/>
      <c r="P9" s="70"/>
      <c r="Q9" s="70"/>
      <c r="R9" s="70"/>
      <c r="S9" s="71"/>
      <c r="T9" s="71"/>
      <c r="U9" s="71"/>
      <c r="V9" s="71"/>
      <c r="W9" s="71"/>
      <c r="X9" s="71"/>
      <c r="Y9" s="71"/>
    </row>
    <row r="10" spans="1:25" ht="15" customHeight="1" x14ac:dyDescent="0.4">
      <c r="A10" s="85"/>
      <c r="B10" s="74"/>
      <c r="C10" s="77"/>
      <c r="D10" s="79"/>
      <c r="E10" s="73"/>
      <c r="F10" s="74"/>
      <c r="G10" s="74"/>
      <c r="H10" s="74"/>
      <c r="I10" s="74"/>
      <c r="J10" s="70"/>
      <c r="K10" s="70"/>
      <c r="L10" s="70"/>
      <c r="M10" s="70"/>
      <c r="N10" s="70"/>
      <c r="O10" s="70"/>
      <c r="P10" s="70"/>
      <c r="Q10" s="70"/>
      <c r="R10" s="70"/>
      <c r="S10" s="71"/>
      <c r="T10" s="71"/>
      <c r="U10" s="71"/>
      <c r="V10" s="71"/>
      <c r="W10" s="71"/>
      <c r="X10" s="71"/>
      <c r="Y10" s="71"/>
    </row>
    <row r="11" spans="1:25" ht="15" customHeight="1" x14ac:dyDescent="0.4">
      <c r="A11" s="85"/>
      <c r="B11" s="74"/>
      <c r="C11" s="77"/>
      <c r="D11" s="79"/>
      <c r="E11" s="73"/>
      <c r="F11" s="74"/>
      <c r="G11" s="74"/>
      <c r="H11" s="74"/>
      <c r="I11" s="74"/>
      <c r="J11" s="70"/>
      <c r="K11" s="70"/>
      <c r="L11" s="70"/>
      <c r="M11" s="70"/>
      <c r="N11" s="70"/>
      <c r="O11" s="70"/>
      <c r="P11" s="70"/>
      <c r="Q11" s="70"/>
      <c r="R11" s="70"/>
      <c r="S11" s="71"/>
      <c r="T11" s="71"/>
      <c r="U11" s="71"/>
      <c r="V11" s="71"/>
      <c r="W11" s="71"/>
      <c r="X11" s="71"/>
      <c r="Y11" s="71"/>
    </row>
    <row r="12" spans="1:25" ht="15" customHeight="1" x14ac:dyDescent="0.4">
      <c r="A12" s="85"/>
      <c r="B12" s="74"/>
      <c r="C12" s="77"/>
      <c r="D12" s="79"/>
      <c r="E12" s="73"/>
      <c r="F12" s="74"/>
      <c r="G12" s="74"/>
      <c r="H12" s="74"/>
      <c r="I12" s="74"/>
      <c r="J12" s="70"/>
      <c r="K12" s="70"/>
      <c r="L12" s="70"/>
      <c r="M12" s="70"/>
      <c r="N12" s="70"/>
      <c r="O12" s="70"/>
      <c r="P12" s="70"/>
      <c r="Q12" s="70"/>
      <c r="R12" s="70"/>
      <c r="S12" s="71"/>
      <c r="T12" s="71"/>
      <c r="U12" s="71"/>
      <c r="V12" s="71"/>
      <c r="W12" s="71"/>
      <c r="X12" s="71"/>
      <c r="Y12" s="71"/>
    </row>
    <row r="13" spans="1:25" ht="15" customHeight="1" x14ac:dyDescent="0.4">
      <c r="A13" s="85"/>
      <c r="B13" s="74"/>
      <c r="C13" s="77"/>
      <c r="D13" s="79"/>
      <c r="E13" s="73"/>
      <c r="F13" s="74"/>
      <c r="G13" s="74"/>
      <c r="H13" s="74"/>
      <c r="I13" s="74"/>
      <c r="J13" s="70"/>
      <c r="K13" s="70"/>
      <c r="L13" s="70"/>
      <c r="M13" s="70"/>
      <c r="N13" s="70"/>
      <c r="O13" s="70"/>
      <c r="P13" s="70"/>
      <c r="Q13" s="70"/>
      <c r="R13" s="70"/>
      <c r="S13" s="71"/>
      <c r="T13" s="71"/>
      <c r="U13" s="71"/>
      <c r="V13" s="71"/>
      <c r="W13" s="71"/>
      <c r="X13" s="71"/>
      <c r="Y13" s="71"/>
    </row>
    <row r="14" spans="1:25" ht="15" customHeight="1" x14ac:dyDescent="0.4">
      <c r="A14" s="85"/>
      <c r="B14" s="74"/>
      <c r="C14" s="77"/>
      <c r="D14" s="79"/>
      <c r="E14" s="73"/>
      <c r="F14" s="74"/>
      <c r="G14" s="74"/>
      <c r="H14" s="74"/>
      <c r="I14" s="74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71"/>
      <c r="U14" s="71"/>
      <c r="V14" s="71"/>
      <c r="W14" s="71"/>
      <c r="X14" s="71"/>
      <c r="Y14" s="71"/>
    </row>
    <row r="15" spans="1:25" ht="15" customHeight="1" x14ac:dyDescent="0.4">
      <c r="A15" s="80"/>
      <c r="B15" s="80"/>
      <c r="C15" s="80"/>
      <c r="D15" s="90" t="s">
        <v>114</v>
      </c>
      <c r="E15" s="81">
        <f>SUM(E4:E13)</f>
        <v>0</v>
      </c>
      <c r="F15" s="73"/>
      <c r="G15" s="73"/>
      <c r="H15" s="74"/>
      <c r="I15" s="73"/>
      <c r="J15" s="70"/>
      <c r="K15" s="70"/>
      <c r="L15" s="70"/>
      <c r="M15" s="70"/>
      <c r="N15" s="70"/>
      <c r="O15" s="70"/>
      <c r="P15" s="70"/>
      <c r="Q15" s="70"/>
      <c r="R15" s="70"/>
      <c r="S15" s="71"/>
      <c r="T15" s="71"/>
      <c r="U15" s="71"/>
      <c r="V15" s="71"/>
      <c r="W15" s="71"/>
      <c r="X15" s="71"/>
      <c r="Y15" s="71"/>
    </row>
    <row r="16" spans="1:25" ht="15" hidden="1" customHeight="1" x14ac:dyDescent="0.4">
      <c r="A16" s="85"/>
      <c r="B16" s="74"/>
      <c r="C16" s="74"/>
      <c r="D16" s="74"/>
      <c r="E16" s="73"/>
      <c r="F16" s="73"/>
      <c r="G16" s="74"/>
      <c r="H16" s="74"/>
      <c r="I16" s="74"/>
      <c r="J16" s="70"/>
      <c r="K16" s="70"/>
      <c r="L16" s="70"/>
      <c r="M16" s="70"/>
      <c r="N16" s="70"/>
      <c r="O16" s="70"/>
      <c r="P16" s="70"/>
      <c r="Q16" s="70"/>
      <c r="R16" s="70"/>
      <c r="S16" s="71"/>
      <c r="T16" s="71"/>
      <c r="U16" s="71"/>
      <c r="V16" s="71"/>
      <c r="W16" s="71"/>
      <c r="X16" s="71"/>
      <c r="Y16" s="71"/>
    </row>
    <row r="17" spans="1:25" ht="15" hidden="1" customHeight="1" x14ac:dyDescent="0.4">
      <c r="A17" s="85"/>
      <c r="B17" s="74"/>
      <c r="C17" s="74"/>
      <c r="D17" s="79"/>
      <c r="E17" s="73"/>
      <c r="F17" s="74"/>
      <c r="G17" s="74"/>
      <c r="H17" s="74"/>
      <c r="I17" s="74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71"/>
      <c r="U17" s="71"/>
      <c r="V17" s="71"/>
      <c r="W17" s="71"/>
      <c r="X17" s="71"/>
      <c r="Y17" s="71"/>
    </row>
    <row r="18" spans="1:25" ht="15" hidden="1" customHeight="1" x14ac:dyDescent="0.4">
      <c r="A18" s="85"/>
      <c r="B18" s="74"/>
      <c r="C18" s="74"/>
      <c r="D18" s="74"/>
      <c r="E18" s="73"/>
      <c r="F18" s="74"/>
      <c r="G18" s="74"/>
      <c r="H18" s="74"/>
      <c r="I18" s="74"/>
      <c r="J18" s="70"/>
      <c r="K18" s="70"/>
      <c r="L18" s="70"/>
      <c r="M18" s="70"/>
      <c r="N18" s="70"/>
      <c r="O18" s="70"/>
      <c r="P18" s="70"/>
      <c r="Q18" s="70"/>
      <c r="R18" s="70"/>
      <c r="S18" s="71"/>
      <c r="T18" s="71"/>
      <c r="U18" s="71"/>
      <c r="V18" s="71"/>
      <c r="W18" s="71"/>
      <c r="X18" s="71"/>
      <c r="Y18" s="71"/>
    </row>
    <row r="19" spans="1:25" ht="15" hidden="1" customHeight="1" x14ac:dyDescent="0.4">
      <c r="A19" s="85"/>
      <c r="B19" s="74"/>
      <c r="C19" s="74"/>
      <c r="D19" s="74"/>
      <c r="E19" s="82"/>
      <c r="F19" s="74"/>
      <c r="G19" s="74"/>
      <c r="H19" s="74"/>
      <c r="I19" s="74"/>
      <c r="J19" s="70"/>
      <c r="K19" s="70"/>
      <c r="L19" s="70"/>
      <c r="M19" s="70"/>
      <c r="N19" s="70"/>
      <c r="O19" s="70"/>
      <c r="P19" s="70"/>
      <c r="Q19" s="70"/>
      <c r="R19" s="70"/>
      <c r="S19" s="71"/>
      <c r="T19" s="71"/>
      <c r="U19" s="71"/>
      <c r="V19" s="71"/>
      <c r="W19" s="71"/>
      <c r="X19" s="71"/>
      <c r="Y19" s="71"/>
    </row>
    <row r="20" spans="1:25" ht="15" hidden="1" customHeight="1" x14ac:dyDescent="0.4">
      <c r="A20" s="85"/>
      <c r="B20" s="74"/>
      <c r="C20" s="74"/>
      <c r="D20" s="74"/>
      <c r="E20" s="73"/>
      <c r="F20" s="74"/>
      <c r="G20" s="74"/>
      <c r="H20" s="74"/>
      <c r="I20" s="74"/>
      <c r="J20" s="70"/>
      <c r="K20" s="70"/>
      <c r="L20" s="70"/>
      <c r="M20" s="70"/>
      <c r="N20" s="70"/>
      <c r="O20" s="70"/>
      <c r="P20" s="70"/>
      <c r="Q20" s="70"/>
      <c r="R20" s="70"/>
      <c r="S20" s="71"/>
      <c r="T20" s="71"/>
      <c r="U20" s="71"/>
      <c r="V20" s="71"/>
      <c r="W20" s="71"/>
      <c r="X20" s="71"/>
      <c r="Y20" s="71"/>
    </row>
    <row r="21" spans="1:25" ht="14.5" customHeight="1" x14ac:dyDescent="0.4">
      <c r="A21" s="84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  <c r="T21" s="71"/>
      <c r="U21" s="71"/>
      <c r="V21" s="71"/>
      <c r="W21" s="71"/>
      <c r="X21" s="71"/>
      <c r="Y21" s="71"/>
    </row>
    <row r="22" spans="1:25" ht="14.5" customHeight="1" x14ac:dyDescent="0.4">
      <c r="A22" s="84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  <c r="T22" s="71"/>
      <c r="U22" s="71"/>
      <c r="V22" s="71"/>
      <c r="W22" s="71"/>
      <c r="X22" s="71"/>
      <c r="Y22" s="71"/>
    </row>
    <row r="23" spans="1:25" ht="14.5" customHeight="1" x14ac:dyDescent="0.4">
      <c r="A23" s="84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  <c r="T23" s="71"/>
      <c r="U23" s="71"/>
      <c r="V23" s="71"/>
      <c r="W23" s="71"/>
      <c r="X23" s="71"/>
      <c r="Y23" s="71"/>
    </row>
    <row r="24" spans="1:25" ht="14.5" customHeight="1" x14ac:dyDescent="0.4">
      <c r="A24" s="84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71"/>
      <c r="U24" s="71"/>
      <c r="V24" s="71"/>
      <c r="W24" s="71"/>
      <c r="X24" s="71"/>
      <c r="Y24" s="71"/>
    </row>
    <row r="25" spans="1:25" ht="14.5" customHeight="1" x14ac:dyDescent="0.4">
      <c r="A25" s="84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  <c r="T25" s="71"/>
      <c r="U25" s="71"/>
      <c r="V25" s="71"/>
      <c r="W25" s="71"/>
      <c r="X25" s="71"/>
      <c r="Y25" s="71"/>
    </row>
    <row r="26" spans="1:25" ht="14.5" customHeight="1" x14ac:dyDescent="0.4">
      <c r="A26" s="84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71"/>
      <c r="U26" s="71"/>
      <c r="V26" s="71"/>
      <c r="W26" s="71"/>
      <c r="X26" s="71"/>
      <c r="Y26" s="71"/>
    </row>
    <row r="27" spans="1:25" ht="14.5" customHeight="1" x14ac:dyDescent="0.4">
      <c r="A27" s="84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  <c r="T27" s="71"/>
      <c r="U27" s="71"/>
      <c r="V27" s="71"/>
      <c r="W27" s="71"/>
      <c r="X27" s="71"/>
      <c r="Y27" s="71"/>
    </row>
    <row r="28" spans="1:25" ht="14.5" customHeight="1" x14ac:dyDescent="0.4">
      <c r="A28" s="84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1"/>
      <c r="T28" s="71"/>
      <c r="U28" s="71"/>
      <c r="V28" s="71"/>
      <c r="W28" s="71"/>
      <c r="X28" s="71"/>
      <c r="Y28" s="71"/>
    </row>
    <row r="29" spans="1:25" ht="14.5" customHeight="1" x14ac:dyDescent="0.4">
      <c r="A29" s="84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1"/>
      <c r="T29" s="71"/>
      <c r="U29" s="71"/>
      <c r="V29" s="71"/>
      <c r="W29" s="71"/>
      <c r="X29" s="71"/>
      <c r="Y29" s="71"/>
    </row>
    <row r="30" spans="1:25" ht="14.5" customHeight="1" x14ac:dyDescent="0.4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1"/>
      <c r="T30" s="71"/>
      <c r="U30" s="71"/>
      <c r="V30" s="71"/>
      <c r="W30" s="71"/>
      <c r="X30" s="71"/>
      <c r="Y30" s="71"/>
    </row>
    <row r="31" spans="1:25" ht="14.5" customHeight="1" x14ac:dyDescent="0.4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1"/>
      <c r="T31" s="71"/>
      <c r="U31" s="71"/>
      <c r="V31" s="71"/>
      <c r="W31" s="71"/>
      <c r="X31" s="71"/>
      <c r="Y31" s="71"/>
    </row>
    <row r="32" spans="1:25" ht="14.5" customHeight="1" x14ac:dyDescent="0.4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1"/>
      <c r="T32" s="71"/>
      <c r="U32" s="71"/>
      <c r="V32" s="71"/>
      <c r="W32" s="71"/>
      <c r="X32" s="71"/>
      <c r="Y32" s="71"/>
    </row>
    <row r="33" spans="1:25" ht="14.5" customHeight="1" x14ac:dyDescent="0.4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1"/>
      <c r="T33" s="71"/>
      <c r="U33" s="71"/>
      <c r="V33" s="71"/>
      <c r="W33" s="71"/>
      <c r="X33" s="71"/>
      <c r="Y33" s="71"/>
    </row>
    <row r="34" spans="1:25" ht="14.5" customHeight="1" x14ac:dyDescent="0.4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1"/>
      <c r="T34" s="71"/>
      <c r="U34" s="71"/>
      <c r="V34" s="71"/>
      <c r="W34" s="71"/>
      <c r="X34" s="71"/>
      <c r="Y34" s="71"/>
    </row>
    <row r="35" spans="1:25" ht="14.5" customHeight="1" x14ac:dyDescent="0.4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1"/>
      <c r="T35" s="71"/>
      <c r="U35" s="71"/>
      <c r="V35" s="71"/>
      <c r="W35" s="71"/>
      <c r="X35" s="71"/>
      <c r="Y35" s="71"/>
    </row>
    <row r="36" spans="1:25" ht="14.5" customHeight="1" x14ac:dyDescent="0.4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1"/>
      <c r="T36" s="71"/>
      <c r="U36" s="71"/>
      <c r="V36" s="71"/>
      <c r="W36" s="71"/>
      <c r="X36" s="71"/>
      <c r="Y36" s="71"/>
    </row>
    <row r="37" spans="1:25" ht="14.5" customHeight="1" x14ac:dyDescent="0.4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71"/>
      <c r="U37" s="71"/>
      <c r="V37" s="71"/>
      <c r="W37" s="71"/>
      <c r="X37" s="71"/>
      <c r="Y37" s="71"/>
    </row>
    <row r="38" spans="1:25" ht="14.5" customHeight="1" x14ac:dyDescent="0.4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1"/>
      <c r="T38" s="71"/>
      <c r="U38" s="71"/>
      <c r="V38" s="71"/>
      <c r="W38" s="71"/>
      <c r="X38" s="71"/>
      <c r="Y38" s="71"/>
    </row>
    <row r="39" spans="1:25" ht="14.5" customHeight="1" x14ac:dyDescent="0.4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1"/>
      <c r="T39" s="71"/>
      <c r="U39" s="71"/>
      <c r="V39" s="71"/>
      <c r="W39" s="71"/>
      <c r="X39" s="71"/>
      <c r="Y39" s="71"/>
    </row>
    <row r="40" spans="1:25" ht="14.5" customHeight="1" x14ac:dyDescent="0.4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  <c r="T40" s="71"/>
      <c r="U40" s="71"/>
      <c r="V40" s="71"/>
      <c r="W40" s="71"/>
      <c r="X40" s="71"/>
      <c r="Y40" s="71"/>
    </row>
    <row r="41" spans="1:25" ht="14.5" customHeight="1" x14ac:dyDescent="0.4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1"/>
      <c r="T41" s="71"/>
      <c r="U41" s="71"/>
      <c r="V41" s="71"/>
      <c r="W41" s="71"/>
      <c r="X41" s="71"/>
      <c r="Y41" s="71"/>
    </row>
    <row r="42" spans="1:25" ht="32.25" customHeight="1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1"/>
      <c r="T42" s="71"/>
      <c r="U42" s="71"/>
      <c r="V42" s="71"/>
      <c r="W42" s="71"/>
      <c r="X42" s="71"/>
      <c r="Y42" s="71"/>
    </row>
    <row r="43" spans="1:25" ht="29.25" customHeight="1" x14ac:dyDescent="0.4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1"/>
      <c r="T43" s="71"/>
      <c r="U43" s="71"/>
      <c r="V43" s="71"/>
      <c r="W43" s="71"/>
      <c r="X43" s="71"/>
      <c r="Y43" s="71"/>
    </row>
    <row r="44" spans="1:25" ht="14.5" customHeight="1" x14ac:dyDescent="0.4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1"/>
      <c r="T44" s="71"/>
      <c r="U44" s="71"/>
      <c r="V44" s="71"/>
      <c r="W44" s="71"/>
      <c r="X44" s="71"/>
      <c r="Y44" s="71"/>
    </row>
    <row r="45" spans="1:25" ht="14.5" customHeight="1" x14ac:dyDescent="0.4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1"/>
      <c r="T45" s="71"/>
      <c r="U45" s="71"/>
      <c r="V45" s="71"/>
      <c r="W45" s="71"/>
      <c r="X45" s="71"/>
      <c r="Y45" s="71"/>
    </row>
    <row r="46" spans="1:25" ht="14.5" customHeight="1" x14ac:dyDescent="0.4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1"/>
      <c r="T46" s="71"/>
      <c r="U46" s="71"/>
      <c r="V46" s="71"/>
      <c r="W46" s="71"/>
      <c r="X46" s="71"/>
      <c r="Y46" s="71"/>
    </row>
    <row r="47" spans="1:25" ht="14.5" customHeight="1" x14ac:dyDescent="0.4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1"/>
      <c r="T47" s="71"/>
      <c r="U47" s="71"/>
      <c r="V47" s="71"/>
      <c r="W47" s="71"/>
      <c r="X47" s="71"/>
      <c r="Y47" s="71"/>
    </row>
    <row r="48" spans="1:25" ht="14.5" customHeight="1" x14ac:dyDescent="0.4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1"/>
      <c r="T48" s="71"/>
      <c r="U48" s="71"/>
      <c r="V48" s="71"/>
      <c r="W48" s="71"/>
      <c r="X48" s="71"/>
      <c r="Y48" s="71"/>
    </row>
    <row r="49" spans="1:25" ht="14.5" customHeight="1" x14ac:dyDescent="0.4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1"/>
      <c r="T49" s="71"/>
      <c r="U49" s="71"/>
      <c r="V49" s="71"/>
      <c r="W49" s="71"/>
      <c r="X49" s="71"/>
      <c r="Y49" s="71"/>
    </row>
    <row r="50" spans="1:25" ht="14.5" customHeight="1" x14ac:dyDescent="0.4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1"/>
      <c r="T50" s="71"/>
      <c r="U50" s="71"/>
      <c r="V50" s="71"/>
      <c r="W50" s="71"/>
      <c r="X50" s="71"/>
      <c r="Y50" s="71"/>
    </row>
    <row r="51" spans="1:25" ht="14.5" customHeight="1" x14ac:dyDescent="0.4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1"/>
      <c r="T51" s="71"/>
      <c r="U51" s="71"/>
      <c r="V51" s="71"/>
      <c r="W51" s="71"/>
      <c r="X51" s="71"/>
      <c r="Y51" s="71"/>
    </row>
    <row r="52" spans="1:25" ht="14.5" customHeight="1" x14ac:dyDescent="0.4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1"/>
      <c r="T52" s="71"/>
      <c r="U52" s="71"/>
      <c r="V52" s="71"/>
      <c r="W52" s="71"/>
      <c r="X52" s="71"/>
      <c r="Y52" s="71"/>
    </row>
    <row r="53" spans="1:25" ht="14.5" customHeight="1" x14ac:dyDescent="0.4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1"/>
      <c r="T53" s="71"/>
      <c r="U53" s="71"/>
      <c r="V53" s="71"/>
      <c r="W53" s="71"/>
      <c r="X53" s="71"/>
      <c r="Y53" s="71"/>
    </row>
    <row r="54" spans="1:25" ht="14.5" customHeight="1" x14ac:dyDescent="0.4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1"/>
      <c r="T54" s="71"/>
      <c r="U54" s="71"/>
      <c r="V54" s="71"/>
      <c r="W54" s="71"/>
      <c r="X54" s="71"/>
      <c r="Y54" s="71"/>
    </row>
    <row r="55" spans="1:25" ht="14.5" customHeight="1" x14ac:dyDescent="0.4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1"/>
      <c r="T55" s="71"/>
      <c r="U55" s="71"/>
      <c r="V55" s="71"/>
      <c r="W55" s="71"/>
      <c r="X55" s="71"/>
      <c r="Y55" s="71"/>
    </row>
    <row r="56" spans="1:25" ht="14.5" customHeight="1" x14ac:dyDescent="0.4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1"/>
      <c r="T56" s="71"/>
      <c r="U56" s="71"/>
      <c r="V56" s="71"/>
      <c r="W56" s="71"/>
      <c r="X56" s="71"/>
      <c r="Y56" s="71"/>
    </row>
    <row r="57" spans="1:25" ht="14.5" customHeight="1" x14ac:dyDescent="0.4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1"/>
      <c r="T57" s="71"/>
      <c r="U57" s="71"/>
      <c r="V57" s="71"/>
      <c r="W57" s="71"/>
      <c r="X57" s="71"/>
      <c r="Y57" s="71"/>
    </row>
    <row r="58" spans="1:25" ht="14.5" customHeight="1" x14ac:dyDescent="0.4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1"/>
      <c r="T58" s="71"/>
      <c r="U58" s="71"/>
      <c r="V58" s="71"/>
      <c r="W58" s="71"/>
      <c r="X58" s="71"/>
      <c r="Y58" s="71"/>
    </row>
    <row r="59" spans="1:25" ht="14.5" customHeight="1" x14ac:dyDescent="0.4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  <c r="T59" s="71"/>
      <c r="U59" s="71"/>
      <c r="V59" s="71"/>
      <c r="W59" s="71"/>
      <c r="X59" s="71"/>
      <c r="Y59" s="71"/>
    </row>
    <row r="60" spans="1:25" ht="14.5" customHeight="1" x14ac:dyDescent="0.4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1"/>
      <c r="T60" s="71"/>
      <c r="U60" s="71"/>
      <c r="V60" s="71"/>
      <c r="W60" s="71"/>
      <c r="X60" s="71"/>
      <c r="Y60" s="71"/>
    </row>
    <row r="61" spans="1:25" ht="14.5" customHeight="1" x14ac:dyDescent="0.4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1"/>
      <c r="T61" s="71"/>
      <c r="U61" s="71"/>
      <c r="V61" s="71"/>
      <c r="W61" s="71"/>
      <c r="X61" s="71"/>
      <c r="Y61" s="71"/>
    </row>
    <row r="62" spans="1:25" ht="14.5" customHeight="1" x14ac:dyDescent="0.4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1"/>
      <c r="T62" s="71"/>
      <c r="U62" s="71"/>
      <c r="V62" s="71"/>
      <c r="W62" s="71"/>
      <c r="X62" s="71"/>
      <c r="Y62" s="71"/>
    </row>
    <row r="63" spans="1:25" ht="14.5" customHeight="1" x14ac:dyDescent="0.4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1"/>
      <c r="T63" s="71"/>
      <c r="U63" s="71"/>
      <c r="V63" s="71"/>
      <c r="W63" s="71"/>
      <c r="X63" s="71"/>
      <c r="Y63" s="71"/>
    </row>
    <row r="64" spans="1:25" ht="14.5" customHeight="1" x14ac:dyDescent="0.4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1"/>
      <c r="T64" s="71"/>
      <c r="U64" s="71"/>
      <c r="V64" s="71"/>
      <c r="W64" s="71"/>
      <c r="X64" s="71"/>
      <c r="Y64" s="71"/>
    </row>
    <row r="65" spans="1:25" ht="14.5" customHeight="1" x14ac:dyDescent="0.4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1"/>
      <c r="T65" s="71"/>
      <c r="U65" s="71"/>
      <c r="V65" s="71"/>
      <c r="W65" s="71"/>
      <c r="X65" s="71"/>
      <c r="Y65" s="71"/>
    </row>
    <row r="66" spans="1:25" ht="14.5" customHeight="1" x14ac:dyDescent="0.4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1"/>
      <c r="T66" s="71"/>
      <c r="U66" s="71"/>
      <c r="V66" s="71"/>
      <c r="W66" s="71"/>
      <c r="X66" s="71"/>
      <c r="Y66" s="71"/>
    </row>
    <row r="67" spans="1:25" ht="14.5" customHeight="1" x14ac:dyDescent="0.4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1"/>
      <c r="T67" s="71"/>
      <c r="U67" s="71"/>
      <c r="V67" s="71"/>
      <c r="W67" s="71"/>
      <c r="X67" s="71"/>
      <c r="Y67" s="71"/>
    </row>
    <row r="68" spans="1:25" ht="14.5" customHeight="1" x14ac:dyDescent="0.4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1"/>
      <c r="T68" s="71"/>
      <c r="U68" s="71"/>
      <c r="V68" s="71"/>
      <c r="W68" s="71"/>
      <c r="X68" s="71"/>
      <c r="Y68" s="71"/>
    </row>
    <row r="69" spans="1:25" ht="14.5" customHeight="1" x14ac:dyDescent="0.4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1"/>
      <c r="T69" s="71"/>
      <c r="U69" s="71"/>
      <c r="V69" s="71"/>
      <c r="W69" s="71"/>
      <c r="X69" s="71"/>
      <c r="Y69" s="71"/>
    </row>
    <row r="70" spans="1:25" ht="14.5" customHeight="1" x14ac:dyDescent="0.4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1"/>
      <c r="T70" s="71"/>
      <c r="U70" s="71"/>
      <c r="V70" s="71"/>
      <c r="W70" s="71"/>
      <c r="X70" s="71"/>
      <c r="Y70" s="71"/>
    </row>
    <row r="71" spans="1:25" ht="14.5" customHeight="1" x14ac:dyDescent="0.4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1"/>
      <c r="T71" s="71"/>
      <c r="U71" s="71"/>
      <c r="V71" s="71"/>
      <c r="W71" s="71"/>
      <c r="X71" s="71"/>
      <c r="Y71" s="71"/>
    </row>
    <row r="72" spans="1:25" ht="14.5" customHeight="1" x14ac:dyDescent="0.4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1"/>
      <c r="T72" s="71"/>
      <c r="U72" s="71"/>
      <c r="V72" s="71"/>
      <c r="W72" s="71"/>
      <c r="X72" s="71"/>
      <c r="Y72" s="71"/>
    </row>
    <row r="73" spans="1:25" ht="14.5" customHeight="1" x14ac:dyDescent="0.4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1"/>
      <c r="T73" s="71"/>
      <c r="U73" s="71"/>
      <c r="V73" s="71"/>
      <c r="W73" s="71"/>
      <c r="X73" s="71"/>
      <c r="Y73" s="71"/>
    </row>
    <row r="74" spans="1:25" ht="14.5" customHeight="1" x14ac:dyDescent="0.4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1"/>
      <c r="T74" s="71"/>
      <c r="U74" s="71"/>
      <c r="V74" s="71"/>
      <c r="W74" s="71"/>
      <c r="X74" s="71"/>
      <c r="Y74" s="71"/>
    </row>
    <row r="75" spans="1:25" ht="14.5" customHeight="1" x14ac:dyDescent="0.4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1"/>
      <c r="T75" s="71"/>
      <c r="U75" s="71"/>
      <c r="V75" s="71"/>
      <c r="W75" s="71"/>
      <c r="X75" s="71"/>
      <c r="Y75" s="71"/>
    </row>
    <row r="76" spans="1:25" ht="14.5" customHeight="1" x14ac:dyDescent="0.4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1"/>
      <c r="T76" s="71"/>
      <c r="U76" s="71"/>
      <c r="V76" s="71"/>
      <c r="W76" s="71"/>
      <c r="X76" s="71"/>
      <c r="Y76" s="71"/>
    </row>
    <row r="77" spans="1:25" ht="14.5" customHeight="1" x14ac:dyDescent="0.4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1"/>
      <c r="T77" s="71"/>
      <c r="U77" s="71"/>
      <c r="V77" s="71"/>
      <c r="W77" s="71"/>
      <c r="X77" s="71"/>
      <c r="Y77" s="71"/>
    </row>
    <row r="78" spans="1:25" ht="14.5" customHeight="1" x14ac:dyDescent="0.4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1"/>
      <c r="T78" s="71"/>
      <c r="U78" s="71"/>
      <c r="V78" s="71"/>
      <c r="W78" s="71"/>
      <c r="X78" s="71"/>
      <c r="Y78" s="71"/>
    </row>
    <row r="79" spans="1:25" ht="14.5" customHeight="1" x14ac:dyDescent="0.4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1"/>
      <c r="T79" s="71"/>
      <c r="U79" s="71"/>
      <c r="V79" s="71"/>
      <c r="W79" s="71"/>
      <c r="X79" s="71"/>
      <c r="Y79" s="71"/>
    </row>
    <row r="80" spans="1:25" ht="14.5" customHeight="1" x14ac:dyDescent="0.4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1"/>
      <c r="T80" s="71"/>
      <c r="U80" s="71"/>
      <c r="V80" s="71"/>
      <c r="W80" s="71"/>
      <c r="X80" s="71"/>
      <c r="Y80" s="71"/>
    </row>
    <row r="81" spans="1:25" ht="14.5" customHeight="1" x14ac:dyDescent="0.4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1"/>
      <c r="T81" s="71"/>
      <c r="U81" s="71"/>
      <c r="V81" s="71"/>
      <c r="W81" s="71"/>
      <c r="X81" s="71"/>
      <c r="Y81" s="71"/>
    </row>
    <row r="82" spans="1:25" ht="14.5" customHeight="1" x14ac:dyDescent="0.4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1"/>
      <c r="T82" s="71"/>
      <c r="U82" s="71"/>
      <c r="V82" s="71"/>
      <c r="W82" s="71"/>
      <c r="X82" s="71"/>
      <c r="Y82" s="71"/>
    </row>
    <row r="83" spans="1:25" ht="14.5" customHeight="1" x14ac:dyDescent="0.4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1"/>
      <c r="T83" s="71"/>
      <c r="U83" s="71"/>
      <c r="V83" s="71"/>
      <c r="W83" s="71"/>
      <c r="X83" s="71"/>
      <c r="Y83" s="71"/>
    </row>
    <row r="84" spans="1:25" ht="14.5" customHeight="1" x14ac:dyDescent="0.4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1"/>
      <c r="T84" s="71"/>
      <c r="U84" s="71"/>
      <c r="V84" s="71"/>
      <c r="W84" s="71"/>
      <c r="X84" s="71"/>
      <c r="Y84" s="71"/>
    </row>
    <row r="85" spans="1:25" ht="14.5" customHeight="1" x14ac:dyDescent="0.4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1"/>
      <c r="T85" s="71"/>
      <c r="U85" s="71"/>
      <c r="V85" s="71"/>
      <c r="W85" s="71"/>
      <c r="X85" s="71"/>
      <c r="Y85" s="71"/>
    </row>
    <row r="86" spans="1:25" ht="14.5" customHeight="1" x14ac:dyDescent="0.4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1"/>
      <c r="T86" s="71"/>
      <c r="U86" s="71"/>
      <c r="V86" s="71"/>
      <c r="W86" s="71"/>
      <c r="X86" s="71"/>
      <c r="Y86" s="71"/>
    </row>
    <row r="87" spans="1:25" ht="14.5" customHeight="1" x14ac:dyDescent="0.4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1"/>
      <c r="T87" s="71"/>
      <c r="U87" s="71"/>
      <c r="V87" s="71"/>
      <c r="W87" s="71"/>
      <c r="X87" s="71"/>
      <c r="Y87" s="71"/>
    </row>
    <row r="88" spans="1:25" ht="14.5" customHeight="1" x14ac:dyDescent="0.4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</row>
    <row r="89" spans="1:25" ht="14.5" customHeight="1" x14ac:dyDescent="0.4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</row>
    <row r="90" spans="1:25" ht="14.5" customHeight="1" x14ac:dyDescent="0.4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</row>
    <row r="91" spans="1:25" ht="14.5" customHeight="1" x14ac:dyDescent="0.4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</row>
  </sheetData>
  <mergeCells count="1">
    <mergeCell ref="A1:E1"/>
  </mergeCells>
  <conditionalFormatting sqref="E19">
    <cfRule type="cellIs" dxfId="0" priority="1" stopIfTrue="1" operator="lessThan">
      <formula>0</formula>
    </cfRule>
  </conditionalFormatting>
  <pageMargins left="0.25" right="0.25" top="0.75" bottom="0.75" header="0.3" footer="0.3"/>
  <pageSetup scale="87" fitToHeight="0" orientation="portrait" r:id="rId1"/>
  <headerFooter>
    <oddHeader>&amp;C&amp;F</oddHeader>
    <oddFooter xml:space="preserve">&amp;CPage &amp;P&amp;R&amp;A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FY 24-25 Budget </vt:lpstr>
      <vt:lpstr>FY 23-24 Budget Condensed</vt:lpstr>
      <vt:lpstr>Cap. Assets</vt:lpstr>
      <vt:lpstr>'FY 23-24 Budget Condensed'!Print_Area</vt:lpstr>
      <vt:lpstr>'FY 24-25 Budget '!Print_Area</vt:lpstr>
      <vt:lpstr>'FY 23-24 Budget Condensed'!Print_Titles</vt:lpstr>
      <vt:lpstr>'FY 24-25 Budget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Lightner</dc:creator>
  <cp:lastModifiedBy>Elizabeth Kolb Cunningham</cp:lastModifiedBy>
  <cp:lastPrinted>2024-06-25T20:46:23Z</cp:lastPrinted>
  <dcterms:created xsi:type="dcterms:W3CDTF">2022-01-11T18:19:16Z</dcterms:created>
  <dcterms:modified xsi:type="dcterms:W3CDTF">2024-08-19T16:57:52Z</dcterms:modified>
</cp:coreProperties>
</file>