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kcun\OneDrive\Documents\RTHS Board\RTHS Board 2024-25\Committees\Finance\"/>
    </mc:Choice>
  </mc:AlternateContent>
  <xr:revisionPtr revIDLastSave="0" documentId="8_{271426C1-2F14-4885-A9CB-32196DFEBA6B}" xr6:coauthVersionLast="47" xr6:coauthVersionMax="47" xr10:uidLastSave="{00000000-0000-0000-0000-000000000000}"/>
  <bookViews>
    <workbookView xWindow="1114" yWindow="1954" windowWidth="18086" windowHeight="10046" xr2:uid="{540F5D0F-C056-4399-8365-725FDD23EC52}"/>
  </bookViews>
  <sheets>
    <sheet name="FY 23-24 Budget " sheetId="5" r:id="rId1"/>
    <sheet name="FY 23-24 Budget Condensed" sheetId="6" r:id="rId2"/>
    <sheet name="Cap. Assets" sheetId="2" state="hidden" r:id="rId3"/>
  </sheets>
  <definedNames>
    <definedName name="_xlnm.Print_Area" localSheetId="0">'FY 23-24 Budget '!$A$1:$Z$162</definedName>
    <definedName name="_xlnm.Print_Area" localSheetId="1">'FY 23-24 Budget Condensed'!$A$1:$I$54</definedName>
    <definedName name="_xlnm.Print_Titles" localSheetId="0">'FY 23-24 Budget '!$1:$1</definedName>
    <definedName name="_xlnm.Print_Titles" localSheetId="1">'FY 23-24 Budget Condensed'!$1:$1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6" l="1"/>
  <c r="Y146" i="5" l="1"/>
  <c r="V49" i="5" l="1"/>
  <c r="V51" i="5"/>
  <c r="V76" i="5" l="1"/>
  <c r="V43" i="5"/>
  <c r="V56" i="5"/>
  <c r="V128" i="5"/>
  <c r="V21" i="5"/>
  <c r="V37" i="5"/>
  <c r="E13" i="6" l="1"/>
  <c r="D28" i="6" l="1"/>
  <c r="D14" i="6"/>
  <c r="D29" i="6" l="1"/>
  <c r="D32" i="6" s="1"/>
  <c r="X88" i="5"/>
  <c r="V105" i="5"/>
  <c r="V126" i="5"/>
  <c r="V12" i="5"/>
  <c r="C21" i="6" l="1"/>
  <c r="E21" i="6"/>
  <c r="F21" i="6"/>
  <c r="G21" i="6" l="1"/>
  <c r="E3" i="6"/>
  <c r="E4" i="6"/>
  <c r="E5" i="6"/>
  <c r="E2" i="6"/>
  <c r="I96" i="5" l="1"/>
  <c r="I95" i="5"/>
  <c r="I73" i="5"/>
  <c r="I69" i="5"/>
  <c r="I68" i="5"/>
  <c r="I67" i="5"/>
  <c r="I66" i="5"/>
  <c r="I61" i="5"/>
  <c r="I60" i="5"/>
  <c r="I57" i="5"/>
  <c r="I52" i="5"/>
  <c r="I28" i="5"/>
  <c r="I25" i="5"/>
  <c r="I16" i="5"/>
  <c r="K14" i="5"/>
  <c r="L14" i="5"/>
  <c r="M14" i="5"/>
  <c r="N14" i="5"/>
  <c r="V14" i="5"/>
  <c r="W14" i="5"/>
  <c r="X13" i="5"/>
  <c r="I65" i="5" l="1"/>
  <c r="I64" i="5"/>
  <c r="Y13" i="5"/>
  <c r="H37" i="6" l="1"/>
  <c r="D49" i="6" s="1"/>
  <c r="I51" i="5" l="1"/>
  <c r="I50" i="5" l="1"/>
  <c r="I130" i="5"/>
  <c r="I123" i="5"/>
  <c r="I120" i="5"/>
  <c r="I117" i="5"/>
  <c r="I116" i="5"/>
  <c r="I110" i="5"/>
  <c r="I109" i="5"/>
  <c r="I93" i="5"/>
  <c r="I92" i="5"/>
  <c r="I91" i="5"/>
  <c r="I80" i="5"/>
  <c r="I77" i="5"/>
  <c r="I78" i="5"/>
  <c r="I76" i="5"/>
  <c r="I89" i="5" l="1"/>
  <c r="I79" i="5"/>
  <c r="I131" i="5"/>
  <c r="I128" i="5"/>
  <c r="I132" i="5"/>
  <c r="I126" i="5"/>
  <c r="I45" i="5" l="1"/>
  <c r="I101" i="5" l="1"/>
  <c r="O93" i="5"/>
  <c r="O51" i="5"/>
  <c r="O46" i="5"/>
  <c r="X46" i="5" s="1"/>
  <c r="Y149" i="5" s="1"/>
  <c r="H40" i="6" s="1"/>
  <c r="I19" i="5"/>
  <c r="I81" i="5" l="1"/>
  <c r="I38" i="5" l="1"/>
  <c r="I133" i="5"/>
  <c r="I36" i="5" s="1"/>
  <c r="I12" i="5"/>
  <c r="I17" i="5"/>
  <c r="U49" i="5" l="1"/>
  <c r="U43" i="5"/>
  <c r="U128" i="5"/>
  <c r="U7" i="5"/>
  <c r="U14" i="5" s="1"/>
  <c r="D54" i="5" l="1"/>
  <c r="C54" i="5"/>
  <c r="D56" i="5"/>
  <c r="C56" i="5"/>
  <c r="B56" i="5"/>
  <c r="B51" i="5" s="1"/>
  <c r="F55" i="5"/>
  <c r="F54" i="5" s="1"/>
  <c r="F51" i="5" s="1"/>
  <c r="D51" i="5" l="1"/>
  <c r="C51" i="5"/>
  <c r="F76" i="5"/>
  <c r="F105" i="5"/>
  <c r="F132" i="5"/>
  <c r="F81" i="5"/>
  <c r="F119" i="5"/>
  <c r="F129" i="5"/>
  <c r="F94" i="5"/>
  <c r="E94" i="5" l="1"/>
  <c r="E52" i="5"/>
  <c r="E54" i="5"/>
  <c r="D94" i="5"/>
  <c r="C94" i="5"/>
  <c r="B94" i="5"/>
  <c r="E51" i="5" l="1"/>
  <c r="E58" i="5" s="1"/>
  <c r="F58" i="5"/>
  <c r="D58" i="5"/>
  <c r="C58" i="5"/>
  <c r="B58" i="5"/>
  <c r="F70" i="5"/>
  <c r="E70" i="5"/>
  <c r="D70" i="5"/>
  <c r="C70" i="5"/>
  <c r="B70" i="5"/>
  <c r="F74" i="5"/>
  <c r="E74" i="5"/>
  <c r="D74" i="5"/>
  <c r="C74" i="5"/>
  <c r="B74" i="5"/>
  <c r="F102" i="5"/>
  <c r="E102" i="5"/>
  <c r="D102" i="5"/>
  <c r="C102" i="5"/>
  <c r="B102" i="5"/>
  <c r="F124" i="5"/>
  <c r="E124" i="5"/>
  <c r="D124" i="5"/>
  <c r="C124" i="5"/>
  <c r="B124" i="5"/>
  <c r="F136" i="5"/>
  <c r="E136" i="5"/>
  <c r="D136" i="5"/>
  <c r="C136" i="5"/>
  <c r="B136" i="5"/>
  <c r="F35" i="5"/>
  <c r="E35" i="5"/>
  <c r="D35" i="5"/>
  <c r="C35" i="5"/>
  <c r="B35" i="5"/>
  <c r="F27" i="5"/>
  <c r="F40" i="5" s="1"/>
  <c r="E27" i="5"/>
  <c r="E40" i="5" s="1"/>
  <c r="D27" i="5"/>
  <c r="C27" i="5"/>
  <c r="B27" i="5"/>
  <c r="F14" i="5"/>
  <c r="E14" i="5"/>
  <c r="D14" i="5"/>
  <c r="C14" i="5"/>
  <c r="B12" i="5"/>
  <c r="B14" i="5" s="1"/>
  <c r="B40" i="5" l="1"/>
  <c r="D40" i="5"/>
  <c r="C40" i="5"/>
  <c r="F137" i="5"/>
  <c r="F138" i="5" s="1"/>
  <c r="B137" i="5"/>
  <c r="D137" i="5"/>
  <c r="E137" i="5"/>
  <c r="E138" i="5" s="1"/>
  <c r="C137" i="5"/>
  <c r="C138" i="5" s="1"/>
  <c r="B138" i="5" l="1"/>
  <c r="B141" i="5" s="1"/>
  <c r="C140" i="5" s="1"/>
  <c r="C141" i="5" s="1"/>
  <c r="D140" i="5" s="1"/>
  <c r="D141" i="5" s="1"/>
  <c r="E140" i="5" s="1"/>
  <c r="E141" i="5" s="1"/>
  <c r="F140" i="5" s="1"/>
  <c r="F141" i="5" s="1"/>
  <c r="D138" i="5"/>
  <c r="E4" i="5"/>
  <c r="D4" i="5"/>
  <c r="C4" i="5"/>
  <c r="B4" i="5"/>
  <c r="E3" i="5"/>
  <c r="D3" i="5"/>
  <c r="I129" i="5" l="1"/>
  <c r="T37" i="5" l="1"/>
  <c r="T49" i="5" l="1"/>
  <c r="T43" i="5"/>
  <c r="T128" i="5"/>
  <c r="T7" i="5"/>
  <c r="T14" i="5" s="1"/>
  <c r="S7" i="5" l="1"/>
  <c r="S14" i="5" s="1"/>
  <c r="I119" i="5" l="1"/>
  <c r="I8" i="5" l="1"/>
  <c r="S49" i="5"/>
  <c r="S43" i="5"/>
  <c r="R7" i="5" l="1"/>
  <c r="R14" i="5" s="1"/>
  <c r="I9" i="5" l="1"/>
  <c r="R60" i="5" l="1"/>
  <c r="Q126" i="5"/>
  <c r="Q60" i="5"/>
  <c r="L126" i="5"/>
  <c r="L60" i="5"/>
  <c r="I24" i="5" l="1"/>
  <c r="I22" i="5"/>
  <c r="I21" i="5"/>
  <c r="I18" i="5"/>
  <c r="I15" i="5"/>
  <c r="R49" i="5" l="1"/>
  <c r="R43" i="5"/>
  <c r="I105" i="5" l="1"/>
  <c r="Q7" i="5" l="1"/>
  <c r="Q14" i="5" s="1"/>
  <c r="Q49" i="5" l="1"/>
  <c r="Q43" i="5"/>
  <c r="Q105" i="5"/>
  <c r="Q69" i="5"/>
  <c r="P49" i="5" l="1"/>
  <c r="P43" i="5"/>
  <c r="P7" i="5"/>
  <c r="P14" i="5" s="1"/>
  <c r="O9" i="5" l="1"/>
  <c r="O8" i="5"/>
  <c r="O49" i="5"/>
  <c r="O43" i="5"/>
  <c r="O126" i="5"/>
  <c r="O7" i="5" l="1"/>
  <c r="O14" i="5" s="1"/>
  <c r="J15" i="5"/>
  <c r="J5" i="5"/>
  <c r="J4" i="5"/>
  <c r="J3" i="5"/>
  <c r="J2" i="5"/>
  <c r="J135" i="5"/>
  <c r="J134" i="5"/>
  <c r="J133" i="5"/>
  <c r="J132" i="5"/>
  <c r="J131" i="5"/>
  <c r="J130" i="5"/>
  <c r="J128" i="5"/>
  <c r="J126" i="5"/>
  <c r="J123" i="5"/>
  <c r="J122" i="5"/>
  <c r="J121" i="5"/>
  <c r="J120" i="5"/>
  <c r="J119" i="5"/>
  <c r="J117" i="5"/>
  <c r="J116" i="5"/>
  <c r="J113" i="5"/>
  <c r="J108" i="5"/>
  <c r="J107" i="5"/>
  <c r="J105" i="5"/>
  <c r="J101" i="5"/>
  <c r="J99" i="5"/>
  <c r="J98" i="5"/>
  <c r="J97" i="5"/>
  <c r="J96" i="5"/>
  <c r="J95" i="5"/>
  <c r="J93" i="5"/>
  <c r="J92" i="5"/>
  <c r="J91" i="5"/>
  <c r="J90" i="5"/>
  <c r="J89" i="5"/>
  <c r="J88" i="5"/>
  <c r="J87" i="5"/>
  <c r="J86" i="5"/>
  <c r="J85" i="5"/>
  <c r="J84" i="5"/>
  <c r="J83" i="5"/>
  <c r="J82" i="5"/>
  <c r="J80" i="5"/>
  <c r="J79" i="5"/>
  <c r="J78" i="5"/>
  <c r="J77" i="5"/>
  <c r="J76" i="5"/>
  <c r="J72" i="5"/>
  <c r="J69" i="5"/>
  <c r="J68" i="5"/>
  <c r="J66" i="5"/>
  <c r="J62" i="5"/>
  <c r="J61" i="5"/>
  <c r="J57" i="5"/>
  <c r="J55" i="5"/>
  <c r="J54" i="5"/>
  <c r="J52" i="5"/>
  <c r="J50" i="5"/>
  <c r="J49" i="5"/>
  <c r="J45" i="5"/>
  <c r="J44" i="5"/>
  <c r="J43" i="5"/>
  <c r="J42" i="5"/>
  <c r="J9" i="5"/>
  <c r="J10" i="5"/>
  <c r="J16" i="5"/>
  <c r="J17" i="5"/>
  <c r="J19" i="5"/>
  <c r="J21" i="5"/>
  <c r="J18" i="5"/>
  <c r="J24" i="5"/>
  <c r="J25" i="5"/>
  <c r="J28" i="5"/>
  <c r="J32" i="5"/>
  <c r="J34" i="5"/>
  <c r="J36" i="5"/>
  <c r="J37" i="5"/>
  <c r="J38" i="5"/>
  <c r="H49" i="6" l="1"/>
  <c r="I7" i="5" l="1"/>
  <c r="I14" i="5" s="1"/>
  <c r="I106" i="5" l="1"/>
  <c r="I124" i="5" l="1"/>
  <c r="J106" i="5"/>
  <c r="N49" i="5"/>
  <c r="N73" i="5"/>
  <c r="N43" i="5"/>
  <c r="N105" i="5"/>
  <c r="N117" i="5"/>
  <c r="L93" i="5" l="1"/>
  <c r="L106" i="5"/>
  <c r="M49" i="5"/>
  <c r="M73" i="5"/>
  <c r="M43" i="5"/>
  <c r="M128" i="5"/>
  <c r="M117" i="5"/>
  <c r="M93" i="5"/>
  <c r="M37" i="5"/>
  <c r="E31" i="6" l="1"/>
  <c r="E20" i="6"/>
  <c r="E19" i="6"/>
  <c r="D39" i="6" s="1"/>
  <c r="E18" i="6"/>
  <c r="E17" i="6"/>
  <c r="H45" i="6" s="1"/>
  <c r="E16" i="6"/>
  <c r="E12" i="6"/>
  <c r="E11" i="6"/>
  <c r="E10" i="6"/>
  <c r="H41" i="6" l="1"/>
  <c r="D37" i="6"/>
  <c r="D38" i="6"/>
  <c r="H39" i="6"/>
  <c r="I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I102" i="5"/>
  <c r="I58" i="5"/>
  <c r="I74" i="5"/>
  <c r="I70" i="5"/>
  <c r="I26" i="5"/>
  <c r="I137" i="5" l="1"/>
  <c r="E24" i="6"/>
  <c r="E27" i="6"/>
  <c r="E22" i="6"/>
  <c r="E26" i="6"/>
  <c r="E25" i="6"/>
  <c r="E23" i="6"/>
  <c r="G27" i="5"/>
  <c r="E28" i="6" l="1"/>
  <c r="D35" i="6" s="1"/>
  <c r="D40" i="6" s="1"/>
  <c r="I20" i="5"/>
  <c r="J20" i="5" s="1"/>
  <c r="I27" i="5" l="1"/>
  <c r="Y154" i="5"/>
  <c r="Y150" i="5"/>
  <c r="Y148" i="5"/>
  <c r="H158" i="5"/>
  <c r="H148" i="5"/>
  <c r="H147" i="5"/>
  <c r="H146" i="5"/>
  <c r="I35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H144" i="5" l="1"/>
  <c r="E9" i="6"/>
  <c r="E7" i="6"/>
  <c r="E8" i="6"/>
  <c r="I40" i="5"/>
  <c r="I138" i="5" s="1"/>
  <c r="L49" i="5"/>
  <c r="L73" i="5"/>
  <c r="L43" i="5"/>
  <c r="L105" i="5"/>
  <c r="L117" i="5"/>
  <c r="F1" i="6"/>
  <c r="E14" i="6" l="1"/>
  <c r="K73" i="5"/>
  <c r="E29" i="6" l="1"/>
  <c r="E32" i="6" s="1"/>
  <c r="D47" i="6" s="1"/>
  <c r="I141" i="5"/>
  <c r="H156" i="5" s="1"/>
  <c r="X11" i="5"/>
  <c r="X112" i="5"/>
  <c r="X113" i="5"/>
  <c r="X118" i="5"/>
  <c r="X135" i="5"/>
  <c r="X134" i="5"/>
  <c r="X133" i="5"/>
  <c r="X132" i="5"/>
  <c r="X131" i="5"/>
  <c r="X130" i="5"/>
  <c r="X129" i="5"/>
  <c r="X127" i="5"/>
  <c r="X126" i="5"/>
  <c r="X123" i="5"/>
  <c r="X122" i="5"/>
  <c r="X121" i="5"/>
  <c r="X120" i="5"/>
  <c r="X119" i="5"/>
  <c r="X117" i="5"/>
  <c r="X116" i="5"/>
  <c r="X115" i="5"/>
  <c r="X111" i="5"/>
  <c r="X110" i="5"/>
  <c r="X109" i="5"/>
  <c r="X108" i="5"/>
  <c r="X107" i="5"/>
  <c r="X106" i="5"/>
  <c r="X105" i="5"/>
  <c r="X104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7" i="5"/>
  <c r="X86" i="5"/>
  <c r="X85" i="5"/>
  <c r="X84" i="5"/>
  <c r="X83" i="5"/>
  <c r="X82" i="5"/>
  <c r="X81" i="5"/>
  <c r="X80" i="5"/>
  <c r="X79" i="5"/>
  <c r="X78" i="5"/>
  <c r="X77" i="5"/>
  <c r="X76" i="5"/>
  <c r="X72" i="5"/>
  <c r="X69" i="5"/>
  <c r="X68" i="5"/>
  <c r="X67" i="5"/>
  <c r="X66" i="5"/>
  <c r="X65" i="5"/>
  <c r="X64" i="5"/>
  <c r="X63" i="5"/>
  <c r="X62" i="5"/>
  <c r="X61" i="5"/>
  <c r="X60" i="5"/>
  <c r="X57" i="5"/>
  <c r="X56" i="5"/>
  <c r="X55" i="5"/>
  <c r="X54" i="5"/>
  <c r="X53" i="5"/>
  <c r="X52" i="5"/>
  <c r="X51" i="5"/>
  <c r="X50" i="5"/>
  <c r="X45" i="5"/>
  <c r="X44" i="5"/>
  <c r="X42" i="5"/>
  <c r="K43" i="5"/>
  <c r="X43" i="5" s="1"/>
  <c r="Y126" i="5" l="1"/>
  <c r="Y135" i="5"/>
  <c r="Y110" i="5"/>
  <c r="Y42" i="5"/>
  <c r="Y85" i="5"/>
  <c r="Y123" i="5"/>
  <c r="Y55" i="5"/>
  <c r="Y86" i="5"/>
  <c r="Y66" i="5"/>
  <c r="Y105" i="5"/>
  <c r="Y43" i="5"/>
  <c r="Y76" i="5"/>
  <c r="Y133" i="5"/>
  <c r="Y64" i="5"/>
  <c r="Y134" i="5"/>
  <c r="Y65" i="5"/>
  <c r="Y115" i="5"/>
  <c r="Y79" i="5"/>
  <c r="Y116" i="5"/>
  <c r="Y57" i="5"/>
  <c r="Y96" i="5"/>
  <c r="Y117" i="5"/>
  <c r="Y50" i="5"/>
  <c r="Y60" i="5"/>
  <c r="Y68" i="5"/>
  <c r="Y81" i="5"/>
  <c r="Y89" i="5"/>
  <c r="Y107" i="5"/>
  <c r="Y119" i="5"/>
  <c r="Y130" i="5"/>
  <c r="Y63" i="5"/>
  <c r="Y77" i="5"/>
  <c r="Y101" i="5"/>
  <c r="Y56" i="5"/>
  <c r="Y95" i="5"/>
  <c r="Y129" i="5"/>
  <c r="Y61" i="5"/>
  <c r="Y69" i="5"/>
  <c r="Y82" i="5"/>
  <c r="Y90" i="5"/>
  <c r="Y98" i="5"/>
  <c r="Y108" i="5"/>
  <c r="Y120" i="5"/>
  <c r="Y131" i="5"/>
  <c r="Y84" i="5"/>
  <c r="Y122" i="5"/>
  <c r="Y54" i="5"/>
  <c r="Y111" i="5"/>
  <c r="Y44" i="5"/>
  <c r="Y78" i="5"/>
  <c r="Y45" i="5"/>
  <c r="Y87" i="5"/>
  <c r="Y67" i="5"/>
  <c r="Y88" i="5"/>
  <c r="Y106" i="5"/>
  <c r="Y113" i="5"/>
  <c r="Y52" i="5"/>
  <c r="Y72" i="5"/>
  <c r="Y83" i="5"/>
  <c r="Y99" i="5"/>
  <c r="Y109" i="5"/>
  <c r="Y121" i="5"/>
  <c r="Y132" i="5"/>
  <c r="Y92" i="5"/>
  <c r="Y93" i="5"/>
  <c r="Y51" i="5"/>
  <c r="K49" i="5"/>
  <c r="X49" i="5" s="1"/>
  <c r="X73" i="5"/>
  <c r="K114" i="5"/>
  <c r="X114" i="5" s="1"/>
  <c r="K128" i="5"/>
  <c r="K37" i="5"/>
  <c r="Y73" i="5" l="1"/>
  <c r="Y49" i="5"/>
  <c r="Y114" i="5"/>
  <c r="X128" i="5"/>
  <c r="K136" i="5"/>
  <c r="C31" i="6"/>
  <c r="F31" i="6" s="1"/>
  <c r="F17" i="6"/>
  <c r="F18" i="6"/>
  <c r="F19" i="6"/>
  <c r="F20" i="6"/>
  <c r="F16" i="6"/>
  <c r="G19" i="6" l="1"/>
  <c r="G18" i="6"/>
  <c r="G16" i="6"/>
  <c r="G20" i="6"/>
  <c r="G17" i="6"/>
  <c r="Y128" i="5"/>
  <c r="X39" i="5"/>
  <c r="X38" i="5"/>
  <c r="X37" i="5"/>
  <c r="X36" i="5"/>
  <c r="X33" i="5"/>
  <c r="X34" i="5"/>
  <c r="X32" i="5"/>
  <c r="X31" i="5"/>
  <c r="X30" i="5"/>
  <c r="X29" i="5"/>
  <c r="X28" i="5"/>
  <c r="X16" i="5"/>
  <c r="X17" i="5"/>
  <c r="X19" i="5"/>
  <c r="X20" i="5"/>
  <c r="X21" i="5"/>
  <c r="X22" i="5"/>
  <c r="X18" i="5"/>
  <c r="X24" i="5"/>
  <c r="X25" i="5"/>
  <c r="X26" i="5"/>
  <c r="X15" i="5"/>
  <c r="X9" i="5"/>
  <c r="X8" i="5"/>
  <c r="X10" i="5"/>
  <c r="X12" i="5"/>
  <c r="X7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136" i="5"/>
  <c r="Y136" i="5" s="1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 s="1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 s="1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 s="1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 s="1"/>
  <c r="X14" i="5" l="1"/>
  <c r="Y21" i="5"/>
  <c r="W40" i="5"/>
  <c r="N40" i="5"/>
  <c r="Y32" i="5"/>
  <c r="Y10" i="5"/>
  <c r="Y22" i="5"/>
  <c r="Y15" i="5"/>
  <c r="Y19" i="5"/>
  <c r="Y34" i="5"/>
  <c r="Y17" i="5"/>
  <c r="Y25" i="5"/>
  <c r="Y16" i="5"/>
  <c r="Y36" i="5"/>
  <c r="Y24" i="5"/>
  <c r="Y28" i="5"/>
  <c r="Y37" i="5"/>
  <c r="Y12" i="5"/>
  <c r="Y18" i="5"/>
  <c r="Y38" i="5"/>
  <c r="V40" i="5"/>
  <c r="U40" i="5"/>
  <c r="L40" i="5"/>
  <c r="T40" i="5"/>
  <c r="K40" i="5"/>
  <c r="Y8" i="5"/>
  <c r="F13" i="6"/>
  <c r="Y39" i="5"/>
  <c r="Y9" i="5"/>
  <c r="Y70" i="5"/>
  <c r="X137" i="5"/>
  <c r="Y137" i="5" s="1"/>
  <c r="Y7" i="5"/>
  <c r="M40" i="5"/>
  <c r="X27" i="5"/>
  <c r="Y27" i="5" s="1"/>
  <c r="R40" i="5"/>
  <c r="Q40" i="5"/>
  <c r="P40" i="5"/>
  <c r="O40" i="5"/>
  <c r="S40" i="5"/>
  <c r="F23" i="6"/>
  <c r="F27" i="6"/>
  <c r="F22" i="6"/>
  <c r="F10" i="6"/>
  <c r="F25" i="6"/>
  <c r="F11" i="6"/>
  <c r="F12" i="6"/>
  <c r="F24" i="6"/>
  <c r="F26" i="6"/>
  <c r="S137" i="5"/>
  <c r="X35" i="5"/>
  <c r="Y35" i="5" s="1"/>
  <c r="T137" i="5"/>
  <c r="W137" i="5"/>
  <c r="O137" i="5"/>
  <c r="K137" i="5"/>
  <c r="Q137" i="5"/>
  <c r="P137" i="5"/>
  <c r="L137" i="5"/>
  <c r="V137" i="5"/>
  <c r="N137" i="5"/>
  <c r="R137" i="5"/>
  <c r="U137" i="5"/>
  <c r="M137" i="5"/>
  <c r="F28" i="6" l="1"/>
  <c r="G28" i="6" s="1"/>
  <c r="W138" i="5"/>
  <c r="G23" i="6"/>
  <c r="G24" i="6"/>
  <c r="G11" i="6"/>
  <c r="G27" i="6"/>
  <c r="G26" i="6"/>
  <c r="G25" i="6"/>
  <c r="G12" i="6"/>
  <c r="G10" i="6"/>
  <c r="G22" i="6"/>
  <c r="G13" i="6"/>
  <c r="Y14" i="5"/>
  <c r="O138" i="5"/>
  <c r="U138" i="5"/>
  <c r="F9" i="6"/>
  <c r="S138" i="5"/>
  <c r="F7" i="6"/>
  <c r="N138" i="5"/>
  <c r="F8" i="6"/>
  <c r="R138" i="5"/>
  <c r="T138" i="5"/>
  <c r="V138" i="5"/>
  <c r="M138" i="5"/>
  <c r="X40" i="5"/>
  <c r="Y40" i="5" s="1"/>
  <c r="Q138" i="5"/>
  <c r="K138" i="5"/>
  <c r="K141" i="5" s="1"/>
  <c r="P138" i="5"/>
  <c r="L138" i="5"/>
  <c r="G9" i="6" l="1"/>
  <c r="G8" i="6"/>
  <c r="G7" i="6"/>
  <c r="F14" i="6"/>
  <c r="G14" i="6" s="1"/>
  <c r="X138" i="5"/>
  <c r="Y144" i="5" s="1"/>
  <c r="Y153" i="5" s="1"/>
  <c r="L141" i="5"/>
  <c r="M141" i="5" s="1"/>
  <c r="N141" i="5" s="1"/>
  <c r="O141" i="5" s="1"/>
  <c r="P141" i="5" s="1"/>
  <c r="Q141" i="5" s="1"/>
  <c r="R141" i="5" s="1"/>
  <c r="S141" i="5" s="1"/>
  <c r="T141" i="5" s="1"/>
  <c r="U141" i="5" s="1"/>
  <c r="V141" i="5" s="1"/>
  <c r="W141" i="5" s="1"/>
  <c r="C17" i="6"/>
  <c r="C18" i="6"/>
  <c r="C19" i="6"/>
  <c r="C20" i="6"/>
  <c r="C16" i="6"/>
  <c r="C11" i="6"/>
  <c r="C12" i="6"/>
  <c r="C13" i="6"/>
  <c r="C10" i="6"/>
  <c r="H8" i="5"/>
  <c r="J8" i="5" s="1"/>
  <c r="X141" i="5" l="1"/>
  <c r="F29" i="6"/>
  <c r="H109" i="5"/>
  <c r="J109" i="5" s="1"/>
  <c r="H73" i="5"/>
  <c r="J73" i="5" s="1"/>
  <c r="F32" i="6" l="1"/>
  <c r="H35" i="6"/>
  <c r="H110" i="5"/>
  <c r="J110" i="5" s="1"/>
  <c r="H81" i="5"/>
  <c r="J81" i="5" s="1"/>
  <c r="H67" i="5"/>
  <c r="J67" i="5" s="1"/>
  <c r="H63" i="5"/>
  <c r="J63" i="5" s="1"/>
  <c r="H60" i="5"/>
  <c r="H56" i="5"/>
  <c r="J56" i="5" s="1"/>
  <c r="H7" i="5"/>
  <c r="J7" i="5" l="1"/>
  <c r="H14" i="5"/>
  <c r="J14" i="5" s="1"/>
  <c r="J60" i="5"/>
  <c r="H65" i="5"/>
  <c r="J65" i="5" s="1"/>
  <c r="H64" i="5"/>
  <c r="J64" i="5" s="1"/>
  <c r="H51" i="5"/>
  <c r="J51" i="5" s="1"/>
  <c r="H129" i="5"/>
  <c r="J129" i="5" s="1"/>
  <c r="H115" i="5"/>
  <c r="J115" i="5" s="1"/>
  <c r="H114" i="5"/>
  <c r="J114" i="5" s="1"/>
  <c r="H111" i="5"/>
  <c r="J111" i="5" s="1"/>
  <c r="H102" i="5"/>
  <c r="J102" i="5" s="1"/>
  <c r="H74" i="5"/>
  <c r="J74" i="5" s="1"/>
  <c r="H35" i="5"/>
  <c r="J35" i="5" s="1"/>
  <c r="H58" i="5" l="1"/>
  <c r="C24" i="6"/>
  <c r="C25" i="6"/>
  <c r="H136" i="5"/>
  <c r="J136" i="5" s="1"/>
  <c r="C7" i="6"/>
  <c r="C9" i="6"/>
  <c r="H70" i="5"/>
  <c r="J70" i="5" s="1"/>
  <c r="H124" i="5"/>
  <c r="J124" i="5" s="1"/>
  <c r="C22" i="6" l="1"/>
  <c r="J58" i="5"/>
  <c r="H137" i="5"/>
  <c r="J137" i="5" s="1"/>
  <c r="H149" i="5"/>
  <c r="C26" i="6"/>
  <c r="C27" i="6"/>
  <c r="C23" i="6"/>
  <c r="D48" i="6"/>
  <c r="H47" i="6"/>
  <c r="H46" i="6"/>
  <c r="H157" i="5"/>
  <c r="Y156" i="5"/>
  <c r="Y155" i="5"/>
  <c r="Y157" i="5" l="1"/>
  <c r="C28" i="6"/>
  <c r="H27" i="5"/>
  <c r="J27" i="5" s="1"/>
  <c r="Y160" i="5" l="1"/>
  <c r="Y159" i="5"/>
  <c r="C8" i="6"/>
  <c r="H40" i="5"/>
  <c r="J40" i="5" s="1"/>
  <c r="E15" i="2"/>
  <c r="C14" i="6" l="1"/>
  <c r="H138" i="5"/>
  <c r="D42" i="6"/>
  <c r="C29" i="6" l="1"/>
  <c r="H44" i="6" s="1"/>
  <c r="H48" i="6" s="1"/>
  <c r="H141" i="5"/>
  <c r="H151" i="5"/>
  <c r="D51" i="6"/>
  <c r="D44" i="6"/>
  <c r="C32" i="6" l="1"/>
  <c r="D50" i="6" s="1"/>
  <c r="D52" i="6" s="1"/>
  <c r="H50" i="6"/>
  <c r="H51" i="6"/>
  <c r="H159" i="5"/>
  <c r="H160" i="5"/>
  <c r="H153" i="5"/>
  <c r="H16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Lightner</author>
    <author>Brandon Mitchell</author>
  </authors>
  <commentList>
    <comment ref="I8" authorId="0" shapeId="0" xr:uid="{347A8980-6D60-4BC1-88FF-6708F9482710}">
      <text>
        <r>
          <rPr>
            <sz val="9"/>
            <color indexed="81"/>
            <rFont val="Tahoma"/>
            <family val="2"/>
          </rPr>
          <t>Transfers $5,309</t>
        </r>
      </text>
    </comment>
    <comment ref="I12" authorId="0" shapeId="0" xr:uid="{1A95E11C-9571-4375-8CAC-C47958109A8E}">
      <text>
        <r>
          <rPr>
            <sz val="9"/>
            <color indexed="81"/>
            <rFont val="Tahoma"/>
            <family val="2"/>
          </rPr>
          <t>PRC 048 - $18,408
Indian Gaming - 3,841
Supplemental Non-recurring Retirement Funds - $29,841</t>
        </r>
      </text>
    </comment>
    <comment ref="O46" authorId="0" shapeId="0" xr:uid="{8EFE94EB-62F8-4FF0-9305-6BA1BA431E05}">
      <text>
        <r>
          <rPr>
            <b/>
            <sz val="9"/>
            <color indexed="81"/>
            <rFont val="Tahoma"/>
            <family val="2"/>
          </rPr>
          <t>Gym Architect Fees</t>
        </r>
      </text>
    </comment>
    <comment ref="V46" authorId="0" shapeId="0" xr:uid="{4E5F06B3-E6E3-44DE-8E9B-C0343A9838C9}">
      <text>
        <r>
          <rPr>
            <b/>
            <sz val="9"/>
            <color indexed="81"/>
            <rFont val="Tahoma"/>
            <family val="2"/>
          </rPr>
          <t>HVAC - Replace JACE</t>
        </r>
      </text>
    </comment>
    <comment ref="A54" authorId="1" shapeId="0" xr:uid="{5FCDBD58-FD78-4C7D-9C90-4E18CD2A82D5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Triad Total Care</t>
        </r>
      </text>
    </comment>
    <comment ref="A55" authorId="1" shapeId="0" xr:uid="{1C2E3234-052D-453D-865E-2D7A9B0BA21F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Triad Total Care</t>
        </r>
      </text>
    </comment>
    <comment ref="A56" authorId="1" shapeId="0" xr:uid="{C2FA07B8-DA6E-4031-BD90-DD372E15FA7F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CCAC</t>
        </r>
      </text>
    </comment>
    <comment ref="A57" authorId="1" shapeId="0" xr:uid="{548F5793-D39F-4D89-B4DA-498D8C77FD63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A&amp;H Lawncare</t>
        </r>
      </text>
    </comment>
    <comment ref="L88" authorId="0" shapeId="0" xr:uid="{D25AE564-83B0-495C-9F16-A9B330EEFF8A}">
      <text>
        <r>
          <rPr>
            <sz val="9"/>
            <color indexed="81"/>
            <rFont val="Tahoma"/>
            <family val="2"/>
          </rPr>
          <t>PRC 118 Purchase</t>
        </r>
      </text>
    </comment>
    <comment ref="L93" authorId="0" shapeId="0" xr:uid="{6654760D-7A9E-4BA6-AD60-3253919639D9}">
      <text>
        <r>
          <rPr>
            <sz val="9"/>
            <color indexed="81"/>
            <rFont val="Tahoma"/>
            <family val="2"/>
          </rPr>
          <t>Margaret Wong 3,250
QB Club Reconciliation 2,250</t>
        </r>
      </text>
    </comment>
    <comment ref="P93" authorId="0" shapeId="0" xr:uid="{FD27A2D1-96F8-45CD-93A8-D8EC1FF2AE56}">
      <text>
        <r>
          <rPr>
            <sz val="9"/>
            <color indexed="81"/>
            <rFont val="Tahoma"/>
            <family val="2"/>
          </rPr>
          <t>Staples -  2,583</t>
        </r>
      </text>
    </comment>
    <comment ref="A95" authorId="1" shapeId="0" xr:uid="{DA0C6439-05D7-4314-AA3D-E12798D56AEC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Invision Services</t>
        </r>
      </text>
    </comment>
    <comment ref="A96" authorId="1" shapeId="0" xr:uid="{E834478F-DCAD-4184-99FA-EDB3FFE24047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Triangle Development Services</t>
        </r>
      </text>
    </comment>
    <comment ref="A97" authorId="1" shapeId="0" xr:uid="{08E26947-3805-423B-B834-328C4D57CB98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Overcomers</t>
        </r>
      </text>
    </comment>
    <comment ref="A98" authorId="1" shapeId="0" xr:uid="{6AA0F791-43C4-4C90-BAF9-8FB2FEF6C9AA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Public Consulting Group</t>
        </r>
      </text>
    </comment>
    <comment ref="A99" authorId="1" shapeId="0" xr:uid="{47AD7B05-5CD4-4D43-A854-59EBF1AF88B5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Apex Occupational Therapy</t>
        </r>
      </text>
    </comment>
    <comment ref="A100" authorId="1" shapeId="0" xr:uid="{E232E103-D052-45B3-B362-389B843F2063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Full Circle Interpreting </t>
        </r>
      </text>
    </comment>
    <comment ref="A101" authorId="1" shapeId="0" xr:uid="{FBC812AF-0EDB-4E3F-A5B6-EB6E16EC5EFD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AHB Center for Behavioral Health &amp; Wellness</t>
        </r>
      </text>
    </comment>
    <comment ref="L105" authorId="0" shapeId="0" xr:uid="{19DE013A-5172-49FA-AC69-CA32D9EDEEC0}">
      <text>
        <r>
          <rPr>
            <sz val="9"/>
            <color indexed="81"/>
            <rFont val="Tahoma"/>
            <family val="2"/>
          </rPr>
          <t>$20K - Setser Group</t>
        </r>
      </text>
    </comment>
    <comment ref="N105" authorId="0" shapeId="0" xr:uid="{9CA2454E-4AB4-4522-975E-502B35E70B75}">
      <text>
        <r>
          <rPr>
            <b/>
            <sz val="9"/>
            <color indexed="81"/>
            <rFont val="Tahoma"/>
            <family val="2"/>
          </rPr>
          <t>12,625 Setser Group</t>
        </r>
      </text>
    </comment>
    <comment ref="O105" authorId="0" shapeId="0" xr:uid="{A1B65627-4753-4799-985F-6ECB817861CF}">
      <text>
        <r>
          <rPr>
            <b/>
            <sz val="9"/>
            <color indexed="81"/>
            <rFont val="Tahoma"/>
            <family val="2"/>
          </rPr>
          <t>6,750 Setser Group</t>
        </r>
      </text>
    </comment>
    <comment ref="Q105" authorId="0" shapeId="0" xr:uid="{E7A1C37F-F377-4A6B-8B41-73F6DF7AFEFE}">
      <text>
        <r>
          <rPr>
            <b/>
            <sz val="9"/>
            <color indexed="81"/>
            <rFont val="Tahoma"/>
            <family val="2"/>
          </rPr>
          <t>7,500 School Improvement Partnership</t>
        </r>
      </text>
    </comment>
    <comment ref="A108" authorId="1" shapeId="0" xr:uid="{B896440E-8D0E-4AD3-8CCA-E9E2C0855F66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AltHR</t>
        </r>
      </text>
    </comment>
    <comment ref="A109" authorId="1" shapeId="0" xr:uid="{9AF350DD-5C7E-4BD7-9790-DBEE4C377AFC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Northstar New in FY23</t>
        </r>
      </text>
    </comment>
    <comment ref="A110" authorId="1" shapeId="0" xr:uid="{343FECA5-BC52-47AD-AD2A-5DEF955EE7E8}">
      <text>
        <r>
          <rPr>
            <b/>
            <sz val="9"/>
            <color indexed="81"/>
            <rFont val="Tahoma"/>
            <family val="2"/>
          </rPr>
          <t>Brandon Mitchell:</t>
        </r>
        <r>
          <rPr>
            <sz val="9"/>
            <color indexed="81"/>
            <rFont val="Tahoma"/>
            <family val="2"/>
          </rPr>
          <t xml:space="preserve">
Toshiba</t>
        </r>
      </text>
    </comment>
    <comment ref="I111" authorId="0" shapeId="0" xr:uid="{54D25093-65AD-47AB-9F48-B54B412238B4}">
      <text>
        <r>
          <rPr>
            <b/>
            <sz val="9"/>
            <color indexed="81"/>
            <rFont val="Tahoma"/>
            <family val="2"/>
          </rPr>
          <t>Audit Work 19,800
Tax return 3,500
Other:
457 plan  750
evaluation 2,250
audit finding consultation  1,200
CC fee 263</t>
        </r>
      </text>
    </comment>
    <comment ref="X114" authorId="0" shapeId="0" xr:uid="{C521F2EC-E45F-42B6-96F8-83216A674E55}">
      <text>
        <r>
          <rPr>
            <sz val="9"/>
            <color indexed="81"/>
            <rFont val="Tahoma"/>
            <family val="2"/>
          </rPr>
          <t>Commercial $19,025.79
Cyber $4,880.55
Raptorium $15,884</t>
        </r>
      </text>
    </comment>
  </commentList>
</comments>
</file>

<file path=xl/sharedStrings.xml><?xml version="1.0" encoding="utf-8"?>
<sst xmlns="http://schemas.openxmlformats.org/spreadsheetml/2006/main" count="287" uniqueCount="219">
  <si>
    <t>Research Triangle High School</t>
  </si>
  <si>
    <t>Revenue</t>
  </si>
  <si>
    <t>State Funds - Revenue</t>
  </si>
  <si>
    <t xml:space="preserve">State EC Funds </t>
  </si>
  <si>
    <t>State Funds - NCVPS</t>
  </si>
  <si>
    <t>State Funds - Fines &amp; Forfeitures</t>
  </si>
  <si>
    <t>State Funds - COVID-19</t>
  </si>
  <si>
    <t>State Funds - Other Funds (non-recurring)</t>
  </si>
  <si>
    <t>Alamance County Funds</t>
  </si>
  <si>
    <t>Chapel Hill Funds</t>
  </si>
  <si>
    <t>Chatham County Funds</t>
  </si>
  <si>
    <t>Durham County Funds</t>
  </si>
  <si>
    <t xml:space="preserve">Franklin County Funds   </t>
  </si>
  <si>
    <t>Granville County Funds</t>
  </si>
  <si>
    <t>Harnett County Funds</t>
  </si>
  <si>
    <t xml:space="preserve">Orange County Funds </t>
  </si>
  <si>
    <t>Wake County Funds</t>
  </si>
  <si>
    <t>Federal Funds - PRC 060 (EC)</t>
  </si>
  <si>
    <t>Federal Funds - PRC 050</t>
  </si>
  <si>
    <t>Federal Funds - PRC 103</t>
  </si>
  <si>
    <t>Federal Funds - PRC 108</t>
  </si>
  <si>
    <t>Federal Funds - PRC 118</t>
  </si>
  <si>
    <t>Federal Funds - COVID-19</t>
  </si>
  <si>
    <t xml:space="preserve">Grant Funds SRSA </t>
  </si>
  <si>
    <t>Sales &amp; Use Tax Refund</t>
  </si>
  <si>
    <t>Corporate/Board/Private Donations</t>
  </si>
  <si>
    <t>Interest Income</t>
  </si>
  <si>
    <t xml:space="preserve">Other </t>
  </si>
  <si>
    <t>Total Revenue</t>
  </si>
  <si>
    <t>Expenses</t>
  </si>
  <si>
    <t>Principal</t>
  </si>
  <si>
    <t>Interest</t>
  </si>
  <si>
    <t>Bond Costs</t>
  </si>
  <si>
    <t>Repair and Replacement Fund Transfer</t>
  </si>
  <si>
    <t>Capitalized Improvements/Purchases</t>
  </si>
  <si>
    <t>Building Expenses</t>
  </si>
  <si>
    <t xml:space="preserve">Utilities    - elec, water and trash                                  </t>
  </si>
  <si>
    <t xml:space="preserve">   Total Building Expenses</t>
  </si>
  <si>
    <t>Salaries</t>
  </si>
  <si>
    <t>Substitutes</t>
  </si>
  <si>
    <t>Contracted Financial Services</t>
  </si>
  <si>
    <t>Personal Leave</t>
  </si>
  <si>
    <t>Health Insurance - State Plan</t>
  </si>
  <si>
    <t xml:space="preserve">Retirement - State 457 Plan + Match </t>
  </si>
  <si>
    <t xml:space="preserve">Payroll Taxes - 7.65% </t>
  </si>
  <si>
    <t>NC Flex Plan Fees</t>
  </si>
  <si>
    <t>SUTA</t>
  </si>
  <si>
    <t>Workers Comp Insurance</t>
  </si>
  <si>
    <t>Bonus</t>
  </si>
  <si>
    <t>Technology</t>
  </si>
  <si>
    <t>Educational Programs</t>
  </si>
  <si>
    <t>Textbooks/Assessment</t>
  </si>
  <si>
    <t>Digital Resources &amp; SW Licenses</t>
  </si>
  <si>
    <t>Staff Development</t>
  </si>
  <si>
    <t>Furniture &amp; Fixtures</t>
  </si>
  <si>
    <t>Telephone/Communications</t>
  </si>
  <si>
    <t>General Insurance</t>
  </si>
  <si>
    <t>Other Expenses</t>
  </si>
  <si>
    <t>COVID-19 Expenses</t>
  </si>
  <si>
    <t>Board of Director Materials</t>
  </si>
  <si>
    <t>Fundraising/Development</t>
  </si>
  <si>
    <t>LINQ Software Support</t>
  </si>
  <si>
    <t xml:space="preserve">Legal &amp; Consulting </t>
  </si>
  <si>
    <t>Food Services</t>
  </si>
  <si>
    <t xml:space="preserve">Sales Tax </t>
  </si>
  <si>
    <t>Social Service Fund</t>
  </si>
  <si>
    <t>Robotics</t>
  </si>
  <si>
    <t>Transfer to Raptorium</t>
  </si>
  <si>
    <t>Total Expenses</t>
  </si>
  <si>
    <t>Surplus</t>
  </si>
  <si>
    <t>Security Deposit</t>
  </si>
  <si>
    <t>Surplus from Previous Years</t>
  </si>
  <si>
    <t>Ending Cash Balance</t>
  </si>
  <si>
    <t>Liquidity Requirement Calculation:</t>
  </si>
  <si>
    <t>Debt Service Coverage Ratio Calculation:</t>
  </si>
  <si>
    <t>Surplus (cash basis)</t>
  </si>
  <si>
    <t>Clubs, PTSO, Boosters Expenses (projected)</t>
  </si>
  <si>
    <t>Net Income - Raptorium</t>
  </si>
  <si>
    <t>Less: Capitalized Purchases</t>
  </si>
  <si>
    <t>Net Income - Clubs, PTSO, Boosters</t>
  </si>
  <si>
    <t>Less: Principal Payments</t>
  </si>
  <si>
    <t>Net Income - US Bank</t>
  </si>
  <si>
    <t xml:space="preserve">Less: Repair and Replacement Fund Transfer </t>
  </si>
  <si>
    <t>Add: Repair and Replacement Fund Transfer</t>
  </si>
  <si>
    <t>Total Operating Expenses</t>
  </si>
  <si>
    <t>Add: Capitalized Items</t>
  </si>
  <si>
    <t>Divided by 365 days</t>
  </si>
  <si>
    <t>Add: Principal Payments</t>
  </si>
  <si>
    <t>Operating Expense per Day</t>
  </si>
  <si>
    <t>Less: Amortization</t>
  </si>
  <si>
    <t>Multiplied by 45 days</t>
  </si>
  <si>
    <t>Less: Depreciation</t>
  </si>
  <si>
    <t>Minimum balance required for unrestricted cash and cash equivalents</t>
  </si>
  <si>
    <t>Change in Net Assets</t>
  </si>
  <si>
    <t>Add: Interest</t>
  </si>
  <si>
    <t>Add: Amortization</t>
  </si>
  <si>
    <t>Add: Depreciation</t>
  </si>
  <si>
    <t>Raptorium Cash</t>
  </si>
  <si>
    <t>Net Income Available for Debt Service</t>
  </si>
  <si>
    <t>Clubs, PTSO, Boosters Cash</t>
  </si>
  <si>
    <t>Maximum Annual Debt Service</t>
  </si>
  <si>
    <t>Total Unrestricted Cash and Cash Equivalents</t>
  </si>
  <si>
    <t>Projected Debt Service Coverage Ratio</t>
  </si>
  <si>
    <t>Divided by Operating Expense per Day</t>
  </si>
  <si>
    <t>Excess of DSCR Requirement</t>
  </si>
  <si>
    <t>Projected Days Cash on Hand</t>
  </si>
  <si>
    <t>Required DSCR in Covenants</t>
  </si>
  <si>
    <t>Liquidity Requirement for Days Cash on Hand</t>
  </si>
  <si>
    <t>Research Triangle High School - Capitalized Assets</t>
  </si>
  <si>
    <t>Account Code</t>
  </si>
  <si>
    <t>Account Name</t>
  </si>
  <si>
    <t>Date Paid</t>
  </si>
  <si>
    <t>Vendor</t>
  </si>
  <si>
    <t>Amount</t>
  </si>
  <si>
    <t>Totals</t>
  </si>
  <si>
    <t>Safety - Off Duty Officer</t>
  </si>
  <si>
    <t xml:space="preserve">Cumberland County Funds </t>
  </si>
  <si>
    <t>Maintenance &amp; Repair</t>
  </si>
  <si>
    <t>Grounds - Landscaping</t>
  </si>
  <si>
    <t>HVAC</t>
  </si>
  <si>
    <t>Carpet - Tile Cleaning</t>
  </si>
  <si>
    <t>Contracted HR Services</t>
  </si>
  <si>
    <t>Student Information Management Services</t>
  </si>
  <si>
    <t>Contracted Printing Services</t>
  </si>
  <si>
    <t>Contracted Audit Services</t>
  </si>
  <si>
    <t>Custodial - Supplies/Materials</t>
  </si>
  <si>
    <t>Marketing/Advertising</t>
  </si>
  <si>
    <t>Travel &amp; Mileage Reimbursement</t>
  </si>
  <si>
    <t>Staff Dev - PD Meals</t>
  </si>
  <si>
    <t>Edu Materials - Science Dept</t>
  </si>
  <si>
    <t>Edu Materials - Languages Dept</t>
  </si>
  <si>
    <t>Edu Materials - History Dept</t>
  </si>
  <si>
    <t>Edu Materials - Arts Dept</t>
  </si>
  <si>
    <t>Edu Materials - Math Dept</t>
  </si>
  <si>
    <t>Edu Materials - PE Dept</t>
  </si>
  <si>
    <t>Education Materials - EC Dept</t>
  </si>
  <si>
    <t>Staff Development - EC</t>
  </si>
  <si>
    <t>Psychoeducational Assessments</t>
  </si>
  <si>
    <t>Occupational Therapy</t>
  </si>
  <si>
    <t xml:space="preserve">Visually Impared &amp; Orientation </t>
  </si>
  <si>
    <t xml:space="preserve">Speech-Language Therapy </t>
  </si>
  <si>
    <t>Mental Health Service</t>
  </si>
  <si>
    <t>Web-based IEP Service</t>
  </si>
  <si>
    <t>Counseling - Staff Dev</t>
  </si>
  <si>
    <t>Athletics</t>
  </si>
  <si>
    <t>Senior Class Events</t>
  </si>
  <si>
    <t>Graduation</t>
  </si>
  <si>
    <t>Staff Snacks (Joy Room)</t>
  </si>
  <si>
    <t>Daily Bus Services</t>
  </si>
  <si>
    <t>Interpreting and Written Translation Service</t>
  </si>
  <si>
    <t>ADM</t>
  </si>
  <si>
    <t>State Funding per ADM</t>
  </si>
  <si>
    <t>EC ADM</t>
  </si>
  <si>
    <t>State EC Funding per ADM</t>
  </si>
  <si>
    <t>Custodial Services</t>
  </si>
  <si>
    <t>Administrative Expenses</t>
  </si>
  <si>
    <t>Testing (AP/PSAT)</t>
  </si>
  <si>
    <t xml:space="preserve">Counseling/College Dept </t>
  </si>
  <si>
    <t xml:space="preserve">   Total State Funding</t>
  </si>
  <si>
    <t xml:space="preserve">   Total County Funding</t>
  </si>
  <si>
    <t xml:space="preserve">   Total Federal Funding</t>
  </si>
  <si>
    <t xml:space="preserve">Information Technology </t>
  </si>
  <si>
    <t>Facility Contracted Services:</t>
  </si>
  <si>
    <t>Support Services</t>
  </si>
  <si>
    <t>Administration Contracted Services:</t>
  </si>
  <si>
    <t>Transportation Contracted Services:</t>
  </si>
  <si>
    <t>Transportation - Fuel</t>
  </si>
  <si>
    <t>Transportation Maintenance</t>
  </si>
  <si>
    <t xml:space="preserve">   Total Support Services</t>
  </si>
  <si>
    <t>Total State Funding</t>
  </si>
  <si>
    <t>Total County Funding</t>
  </si>
  <si>
    <t>Total Federal Funding</t>
  </si>
  <si>
    <t>Total Information Technology</t>
  </si>
  <si>
    <t>Personnel Costs</t>
  </si>
  <si>
    <t>Information Technology</t>
  </si>
  <si>
    <t>Instructional Services</t>
  </si>
  <si>
    <t xml:space="preserve">   Total Personnel Costs</t>
  </si>
  <si>
    <t xml:space="preserve">   Total Instructional Services</t>
  </si>
  <si>
    <t xml:space="preserve">   Total Other Expenses</t>
  </si>
  <si>
    <t>585</t>
  </si>
  <si>
    <t>Schoolmint</t>
  </si>
  <si>
    <t>Special Event Transportation Services</t>
  </si>
  <si>
    <t>Background Checks</t>
  </si>
  <si>
    <t>44</t>
  </si>
  <si>
    <r>
      <t xml:space="preserve">EC Contracted Services: </t>
    </r>
    <r>
      <rPr>
        <sz val="10"/>
        <color rgb="FF000000"/>
        <rFont val="Calibri"/>
        <family val="2"/>
      </rPr>
      <t>($50,000 FY23)</t>
    </r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</si>
  <si>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</si>
  <si>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</si>
  <si>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</si>
  <si>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</si>
  <si>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</si>
  <si>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</si>
  <si>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</si>
  <si>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</si>
  <si>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</si>
  <si>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</si>
  <si>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</si>
  <si>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</si>
  <si>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A/R &amp; A/P</t>
  </si>
  <si>
    <t>Comments:</t>
  </si>
  <si>
    <t>FY 2023-2024            Approved Budget</t>
  </si>
  <si>
    <t xml:space="preserve">FY 2023-2024           Approved Budget  </t>
  </si>
  <si>
    <t>Mecklenburg County Funds</t>
  </si>
  <si>
    <t>% Received / Expensed to Budget</t>
  </si>
  <si>
    <t>Variance</t>
  </si>
  <si>
    <t>% Received/ Expensed to Budget</t>
  </si>
  <si>
    <t>FY 18-19</t>
  </si>
  <si>
    <t>FY 19-20</t>
  </si>
  <si>
    <t>FY 20-21</t>
  </si>
  <si>
    <t>FY 21-22</t>
  </si>
  <si>
    <t>FY 22-23</t>
  </si>
  <si>
    <t>Johnston County Funds</t>
  </si>
  <si>
    <t>State Funds - Paid Parental Leave Reimbursement</t>
  </si>
  <si>
    <t>Proposed FY 2023 -2024 Amended Budget</t>
  </si>
  <si>
    <t xml:space="preserve">Construction In Progress Expense </t>
  </si>
  <si>
    <t>FY 2023-2024 Approved Budget 6/19/24</t>
  </si>
  <si>
    <t>Approved FY 2023 -2024 Amended Budget</t>
  </si>
  <si>
    <t>Final payment significantly less than expected.</t>
  </si>
  <si>
    <t>Not removing the CIP.</t>
  </si>
  <si>
    <t>Actuals as of 6.30.24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</si>
</sst>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* #,##0&quot; &quot;;&quot; &quot;* \(#,##0\);&quot; &quot;* &quot;-&quot;??&quot; &quot;"/>
    <numFmt numFmtId="165" formatCode="&quot; &quot;* #,##0.00&quot; &quot;;&quot; &quot;* \(#,##0.00\);&quot; &quot;* &quot;-&quot;??&quot; &quot;"/>
    <numFmt numFmtId="166" formatCode="&quot; &quot;&quot;$&quot;* #,##0.00&quot; &quot;;&quot; &quot;&quot;$&quot;* \(#,##0.00\);&quot; &quot;&quot;$&quot;* &quot;-&quot;??&quot; &quot;"/>
    <numFmt numFmtId="167" formatCode="#,##0&quot; &quot;;\(#,##0\)"/>
    <numFmt numFmtId="168" formatCode="#,##0.00&quot; &quot;;\(#,##0.00\)"/>
    <numFmt numFmtId="169" formatCode="_(* #,##0_);_(* \(#,##0\);_(* &quot;-&quot;??_);_(@_)"/>
    <numFmt numFmtId="170" formatCode="_(* #,##0.0000_);_(* \(#,##0.0000\);_(* &quot;-&quot;??_);_(@_)"/>
    <numFmt numFmtId="171" formatCode="_(&quot;$&quot;* #,##0_);_(&quot;$&quot;* \(#,##0\);_(&quot;$&quot;* &quot;-&quot;??_);_(@_)"/>
  </numFmts>
  <fonts count="32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b/>
      <sz val="9"/>
      <color indexed="8"/>
      <name val="Calibri"/>
      <family val="2"/>
    </font>
    <font>
      <sz val="7"/>
      <color rgb="FF5E5E5E"/>
      <name val="Ubuntu Medium"/>
      <family val="2"/>
    </font>
    <font>
      <sz val="9"/>
      <color indexed="81"/>
      <name val="Tahoma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0"/>
      <name val="Calibri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 applyNumberFormat="0" applyFill="0" applyBorder="0" applyProtection="0"/>
    <xf numFmtId="9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NumberFormat="1"/>
    <xf numFmtId="0" fontId="5" fillId="3" borderId="2" xfId="0" applyNumberFormat="1" applyFont="1" applyFill="1" applyBorder="1" applyAlignment="1">
      <alignment horizontal="center" vertical="top"/>
    </xf>
    <xf numFmtId="0" fontId="0" fillId="0" borderId="11" xfId="0" applyBorder="1"/>
    <xf numFmtId="49" fontId="3" fillId="3" borderId="18" xfId="0" applyNumberFormat="1" applyFont="1" applyFill="1" applyBorder="1"/>
    <xf numFmtId="164" fontId="4" fillId="3" borderId="18" xfId="0" applyNumberFormat="1" applyFont="1" applyFill="1" applyBorder="1"/>
    <xf numFmtId="164" fontId="3" fillId="3" borderId="18" xfId="0" applyNumberFormat="1" applyFont="1" applyFill="1" applyBorder="1"/>
    <xf numFmtId="0" fontId="2" fillId="3" borderId="11" xfId="0" applyNumberFormat="1" applyFont="1" applyFill="1" applyBorder="1"/>
    <xf numFmtId="164" fontId="7" fillId="3" borderId="11" xfId="0" applyNumberFormat="1" applyFont="1" applyFill="1" applyBorder="1"/>
    <xf numFmtId="0" fontId="7" fillId="0" borderId="11" xfId="0" applyFont="1" applyBorder="1"/>
    <xf numFmtId="0" fontId="7" fillId="3" borderId="8" xfId="0" applyNumberFormat="1" applyFont="1" applyFill="1" applyBorder="1"/>
    <xf numFmtId="164" fontId="7" fillId="3" borderId="8" xfId="0" applyNumberFormat="1" applyFont="1" applyFill="1" applyBorder="1"/>
    <xf numFmtId="0" fontId="7" fillId="0" borderId="18" xfId="0" applyFont="1" applyBorder="1"/>
    <xf numFmtId="49" fontId="12" fillId="6" borderId="6" xfId="0" applyNumberFormat="1" applyFont="1" applyFill="1" applyBorder="1"/>
    <xf numFmtId="164" fontId="12" fillId="6" borderId="7" xfId="0" applyNumberFormat="1" applyFont="1" applyFill="1" applyBorder="1"/>
    <xf numFmtId="49" fontId="12" fillId="6" borderId="6" xfId="0" applyNumberFormat="1" applyFont="1" applyFill="1" applyBorder="1" applyAlignment="1">
      <alignment horizontal="left"/>
    </xf>
    <xf numFmtId="164" fontId="12" fillId="6" borderId="8" xfId="0" applyNumberFormat="1" applyFont="1" applyFill="1" applyBorder="1" applyAlignment="1">
      <alignment horizontal="left"/>
    </xf>
    <xf numFmtId="49" fontId="12" fillId="6" borderId="9" xfId="0" applyNumberFormat="1" applyFont="1" applyFill="1" applyBorder="1"/>
    <xf numFmtId="164" fontId="12" fillId="6" borderId="10" xfId="0" applyNumberFormat="1" applyFont="1" applyFill="1" applyBorder="1"/>
    <xf numFmtId="49" fontId="12" fillId="6" borderId="9" xfId="0" applyNumberFormat="1" applyFont="1" applyFill="1" applyBorder="1" applyAlignment="1">
      <alignment horizontal="left"/>
    </xf>
    <xf numFmtId="164" fontId="12" fillId="6" borderId="11" xfId="0" applyNumberFormat="1" applyFont="1" applyFill="1" applyBorder="1" applyAlignment="1">
      <alignment horizontal="left"/>
    </xf>
    <xf numFmtId="49" fontId="12" fillId="6" borderId="12" xfId="0" applyNumberFormat="1" applyFont="1" applyFill="1" applyBorder="1"/>
    <xf numFmtId="164" fontId="12" fillId="6" borderId="13" xfId="0" applyNumberFormat="1" applyFont="1" applyFill="1" applyBorder="1"/>
    <xf numFmtId="49" fontId="10" fillId="6" borderId="14" xfId="0" applyNumberFormat="1" applyFont="1" applyFill="1" applyBorder="1"/>
    <xf numFmtId="164" fontId="10" fillId="6" borderId="15" xfId="0" applyNumberFormat="1" applyFont="1" applyFill="1" applyBorder="1"/>
    <xf numFmtId="164" fontId="12" fillId="6" borderId="16" xfId="0" applyNumberFormat="1" applyFont="1" applyFill="1" applyBorder="1"/>
    <xf numFmtId="49" fontId="10" fillId="6" borderId="9" xfId="0" applyNumberFormat="1" applyFont="1" applyFill="1" applyBorder="1"/>
    <xf numFmtId="164" fontId="10" fillId="6" borderId="17" xfId="0" applyNumberFormat="1" applyFont="1" applyFill="1" applyBorder="1"/>
    <xf numFmtId="49" fontId="12" fillId="6" borderId="12" xfId="0" applyNumberFormat="1" applyFont="1" applyFill="1" applyBorder="1" applyAlignment="1">
      <alignment horizontal="left"/>
    </xf>
    <xf numFmtId="164" fontId="12" fillId="6" borderId="18" xfId="0" applyNumberFormat="1" applyFont="1" applyFill="1" applyBorder="1" applyAlignment="1">
      <alignment horizontal="left"/>
    </xf>
    <xf numFmtId="49" fontId="10" fillId="6" borderId="14" xfId="0" applyNumberFormat="1" applyFont="1" applyFill="1" applyBorder="1" applyAlignment="1">
      <alignment horizontal="left"/>
    </xf>
    <xf numFmtId="164" fontId="10" fillId="6" borderId="19" xfId="0" applyNumberFormat="1" applyFont="1" applyFill="1" applyBorder="1" applyAlignment="1">
      <alignment horizontal="left"/>
    </xf>
    <xf numFmtId="0" fontId="10" fillId="6" borderId="6" xfId="0" applyNumberFormat="1" applyFont="1" applyFill="1" applyBorder="1"/>
    <xf numFmtId="164" fontId="10" fillId="6" borderId="7" xfId="0" applyNumberFormat="1" applyFont="1" applyFill="1" applyBorder="1"/>
    <xf numFmtId="0" fontId="12" fillId="6" borderId="12" xfId="0" applyNumberFormat="1" applyFont="1" applyFill="1" applyBorder="1"/>
    <xf numFmtId="49" fontId="12" fillId="6" borderId="20" xfId="0" applyNumberFormat="1" applyFont="1" applyFill="1" applyBorder="1" applyAlignment="1">
      <alignment horizontal="left"/>
    </xf>
    <xf numFmtId="164" fontId="12" fillId="6" borderId="21" xfId="0" applyNumberFormat="1" applyFont="1" applyFill="1" applyBorder="1" applyAlignment="1">
      <alignment horizontal="left"/>
    </xf>
    <xf numFmtId="49" fontId="10" fillId="6" borderId="22" xfId="0" applyNumberFormat="1" applyFont="1" applyFill="1" applyBorder="1" applyAlignment="1">
      <alignment horizontal="left"/>
    </xf>
    <xf numFmtId="164" fontId="10" fillId="6" borderId="23" xfId="0" applyNumberFormat="1" applyFont="1" applyFill="1" applyBorder="1" applyAlignment="1">
      <alignment horizontal="left"/>
    </xf>
    <xf numFmtId="168" fontId="10" fillId="6" borderId="24" xfId="0" applyNumberFormat="1" applyFont="1" applyFill="1" applyBorder="1"/>
    <xf numFmtId="49" fontId="12" fillId="6" borderId="20" xfId="0" applyNumberFormat="1" applyFont="1" applyFill="1" applyBorder="1"/>
    <xf numFmtId="49" fontId="10" fillId="6" borderId="22" xfId="0" applyNumberFormat="1" applyFont="1" applyFill="1" applyBorder="1"/>
    <xf numFmtId="164" fontId="10" fillId="6" borderId="24" xfId="0" applyNumberFormat="1" applyFont="1" applyFill="1" applyBorder="1"/>
    <xf numFmtId="164" fontId="10" fillId="3" borderId="8" xfId="0" applyNumberFormat="1" applyFont="1" applyFill="1" applyBorder="1"/>
    <xf numFmtId="0" fontId="7" fillId="3" borderId="11" xfId="0" applyNumberFormat="1" applyFont="1" applyFill="1" applyBorder="1"/>
    <xf numFmtId="49" fontId="10" fillId="3" borderId="11" xfId="0" applyNumberFormat="1" applyFont="1" applyFill="1" applyBorder="1"/>
    <xf numFmtId="164" fontId="10" fillId="3" borderId="11" xfId="0" applyNumberFormat="1" applyFont="1" applyFill="1" applyBorder="1"/>
    <xf numFmtId="165" fontId="10" fillId="3" borderId="11" xfId="0" applyNumberFormat="1" applyFont="1" applyFill="1" applyBorder="1"/>
    <xf numFmtId="49" fontId="13" fillId="3" borderId="8" xfId="0" applyNumberFormat="1" applyFont="1" applyFill="1" applyBorder="1"/>
    <xf numFmtId="164" fontId="13" fillId="3" borderId="8" xfId="0" applyNumberFormat="1" applyFont="1" applyFill="1" applyBorder="1"/>
    <xf numFmtId="49" fontId="10" fillId="6" borderId="14" xfId="0" applyNumberFormat="1" applyFont="1" applyFill="1" applyBorder="1" applyAlignment="1">
      <alignment wrapText="1"/>
    </xf>
    <xf numFmtId="49" fontId="11" fillId="3" borderId="3" xfId="0" applyNumberFormat="1" applyFont="1" applyFill="1" applyBorder="1" applyAlignment="1">
      <alignment horizontal="left" vertical="top" wrapText="1"/>
    </xf>
    <xf numFmtId="49" fontId="12" fillId="3" borderId="4" xfId="0" applyNumberFormat="1" applyFont="1" applyFill="1" applyBorder="1" applyAlignment="1">
      <alignment horizontal="left" vertical="top"/>
    </xf>
    <xf numFmtId="164" fontId="12" fillId="4" borderId="4" xfId="0" applyNumberFormat="1" applyFont="1" applyFill="1" applyBorder="1" applyAlignment="1">
      <alignment horizontal="right" vertical="top"/>
    </xf>
    <xf numFmtId="49" fontId="12" fillId="3" borderId="4" xfId="0" applyNumberFormat="1" applyFont="1" applyFill="1" applyBorder="1" applyAlignment="1">
      <alignment vertical="top"/>
    </xf>
    <xf numFmtId="49" fontId="12" fillId="3" borderId="5" xfId="0" applyNumberFormat="1" applyFont="1" applyFill="1" applyBorder="1" applyAlignment="1">
      <alignment vertical="top"/>
    </xf>
    <xf numFmtId="49" fontId="12" fillId="2" borderId="1" xfId="0" applyNumberFormat="1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vertical="top"/>
    </xf>
    <xf numFmtId="49" fontId="11" fillId="3" borderId="3" xfId="0" applyNumberFormat="1" applyFont="1" applyFill="1" applyBorder="1" applyAlignment="1">
      <alignment horizontal="left" vertical="top"/>
    </xf>
    <xf numFmtId="164" fontId="11" fillId="4" borderId="3" xfId="0" applyNumberFormat="1" applyFont="1" applyFill="1" applyBorder="1" applyAlignment="1">
      <alignment horizontal="center" vertical="top" wrapText="1"/>
    </xf>
    <xf numFmtId="164" fontId="12" fillId="4" borderId="4" xfId="0" applyNumberFormat="1" applyFont="1" applyFill="1" applyBorder="1" applyAlignment="1">
      <alignment vertical="top"/>
    </xf>
    <xf numFmtId="49" fontId="12" fillId="3" borderId="5" xfId="0" applyNumberFormat="1" applyFont="1" applyFill="1" applyBorder="1" applyAlignment="1">
      <alignment horizontal="left" vertical="top"/>
    </xf>
    <xf numFmtId="164" fontId="12" fillId="4" borderId="5" xfId="0" applyNumberFormat="1" applyFont="1" applyFill="1" applyBorder="1" applyAlignment="1">
      <alignment vertical="top"/>
    </xf>
    <xf numFmtId="49" fontId="10" fillId="2" borderId="1" xfId="0" applyNumberFormat="1" applyFont="1" applyFill="1" applyBorder="1" applyAlignment="1">
      <alignment horizontal="left" vertical="top"/>
    </xf>
    <xf numFmtId="49" fontId="12" fillId="5" borderId="1" xfId="0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49" fontId="12" fillId="5" borderId="3" xfId="0" applyNumberFormat="1" applyFont="1" applyFill="1" applyBorder="1" applyAlignment="1">
      <alignment vertical="top"/>
    </xf>
    <xf numFmtId="164" fontId="12" fillId="5" borderId="3" xfId="0" applyNumberFormat="1" applyFont="1" applyFill="1" applyBorder="1" applyAlignment="1">
      <alignment vertical="top"/>
    </xf>
    <xf numFmtId="49" fontId="10" fillId="5" borderId="5" xfId="0" applyNumberFormat="1" applyFont="1" applyFill="1" applyBorder="1" applyAlignment="1">
      <alignment horizontal="left" vertical="top"/>
    </xf>
    <xf numFmtId="164" fontId="10" fillId="4" borderId="5" xfId="0" applyNumberFormat="1" applyFont="1" applyFill="1" applyBorder="1" applyAlignment="1">
      <alignment horizontal="right" vertical="top"/>
    </xf>
    <xf numFmtId="0" fontId="0" fillId="0" borderId="0" xfId="0" applyNumberFormat="1" applyAlignment="1">
      <alignment vertical="top"/>
    </xf>
    <xf numFmtId="0" fontId="0" fillId="0" borderId="0" xfId="0" applyNumberFormat="1" applyAlignment="1">
      <alignment vertical="top" wrapText="1"/>
    </xf>
    <xf numFmtId="49" fontId="0" fillId="3" borderId="2" xfId="0" applyNumberFormat="1" applyFill="1" applyBorder="1" applyAlignment="1">
      <alignment vertical="top"/>
    </xf>
    <xf numFmtId="165" fontId="0" fillId="3" borderId="2" xfId="0" applyNumberFormat="1" applyFill="1" applyBorder="1" applyAlignment="1">
      <alignment vertical="top"/>
    </xf>
    <xf numFmtId="0" fontId="0" fillId="3" borderId="2" xfId="0" applyFill="1" applyBorder="1" applyAlignment="1">
      <alignment vertical="top"/>
    </xf>
    <xf numFmtId="49" fontId="6" fillId="3" borderId="2" xfId="0" applyNumberFormat="1" applyFont="1" applyFill="1" applyBorder="1" applyAlignment="1">
      <alignment vertical="top"/>
    </xf>
    <xf numFmtId="49" fontId="6" fillId="3" borderId="2" xfId="0" applyNumberFormat="1" applyFont="1" applyFill="1" applyBorder="1" applyAlignment="1">
      <alignment horizontal="center" vertical="top"/>
    </xf>
    <xf numFmtId="14" fontId="0" fillId="3" borderId="2" xfId="0" applyNumberFormat="1" applyFill="1" applyBorder="1" applyAlignment="1">
      <alignment vertical="top"/>
    </xf>
    <xf numFmtId="43" fontId="0" fillId="3" borderId="2" xfId="0" applyNumberFormat="1" applyFill="1" applyBorder="1" applyAlignment="1">
      <alignment vertical="top"/>
    </xf>
    <xf numFmtId="166" fontId="0" fillId="3" borderId="2" xfId="0" applyNumberFormat="1" applyFill="1" applyBorder="1" applyAlignment="1">
      <alignment vertical="top"/>
    </xf>
    <xf numFmtId="0" fontId="1" fillId="3" borderId="2" xfId="0" applyNumberFormat="1" applyFont="1" applyFill="1" applyBorder="1" applyAlignment="1">
      <alignment vertical="top"/>
    </xf>
    <xf numFmtId="165" fontId="1" fillId="3" borderId="2" xfId="0" applyNumberFormat="1" applyFont="1" applyFill="1" applyBorder="1" applyAlignment="1">
      <alignment vertical="top"/>
    </xf>
    <xf numFmtId="167" fontId="0" fillId="3" borderId="2" xfId="0" applyNumberFormat="1" applyFill="1" applyBorder="1" applyAlignment="1">
      <alignment vertical="top"/>
    </xf>
    <xf numFmtId="49" fontId="7" fillId="3" borderId="2" xfId="0" applyNumberFormat="1" applyFont="1" applyFill="1" applyBorder="1" applyAlignment="1">
      <alignment vertical="top"/>
    </xf>
    <xf numFmtId="0" fontId="7" fillId="0" borderId="0" xfId="0" applyNumberFormat="1" applyFont="1" applyAlignment="1">
      <alignment vertical="top"/>
    </xf>
    <xf numFmtId="0" fontId="7" fillId="3" borderId="2" xfId="0" applyFont="1" applyFill="1" applyBorder="1" applyAlignment="1">
      <alignment vertical="top"/>
    </xf>
    <xf numFmtId="0" fontId="7" fillId="7" borderId="0" xfId="0" applyNumberFormat="1" applyFont="1" applyFill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49" fontId="14" fillId="7" borderId="1" xfId="0" applyNumberFormat="1" applyFont="1" applyFill="1" applyBorder="1" applyAlignment="1">
      <alignment horizontal="center" wrapText="1"/>
    </xf>
    <xf numFmtId="49" fontId="15" fillId="7" borderId="1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right" vertical="top"/>
    </xf>
    <xf numFmtId="49" fontId="10" fillId="3" borderId="8" xfId="0" applyNumberFormat="1" applyFont="1" applyFill="1" applyBorder="1"/>
    <xf numFmtId="166" fontId="7" fillId="3" borderId="2" xfId="0" applyNumberFormat="1" applyFont="1" applyFill="1" applyBorder="1" applyAlignment="1">
      <alignment vertical="top"/>
    </xf>
    <xf numFmtId="49" fontId="16" fillId="4" borderId="3" xfId="0" applyNumberFormat="1" applyFont="1" applyFill="1" applyBorder="1" applyAlignment="1">
      <alignment horizontal="center" vertical="top" wrapText="1"/>
    </xf>
    <xf numFmtId="4" fontId="17" fillId="0" borderId="0" xfId="0" applyNumberFormat="1" applyFont="1"/>
    <xf numFmtId="49" fontId="10" fillId="3" borderId="4" xfId="0" applyNumberFormat="1" applyFont="1" applyFill="1" applyBorder="1" applyAlignment="1">
      <alignment horizontal="left" vertical="top"/>
    </xf>
    <xf numFmtId="164" fontId="10" fillId="4" borderId="4" xfId="0" applyNumberFormat="1" applyFont="1" applyFill="1" applyBorder="1" applyAlignment="1">
      <alignment vertical="top"/>
    </xf>
    <xf numFmtId="164" fontId="10" fillId="4" borderId="4" xfId="0" applyNumberFormat="1" applyFont="1" applyFill="1" applyBorder="1" applyAlignment="1">
      <alignment horizontal="right" vertical="top"/>
    </xf>
    <xf numFmtId="49" fontId="12" fillId="9" borderId="4" xfId="0" applyNumberFormat="1" applyFont="1" applyFill="1" applyBorder="1" applyAlignment="1">
      <alignment horizontal="left" vertical="top" indent="1"/>
    </xf>
    <xf numFmtId="0" fontId="7" fillId="0" borderId="0" xfId="0" applyNumberFormat="1" applyFont="1"/>
    <xf numFmtId="49" fontId="21" fillId="10" borderId="25" xfId="0" applyNumberFormat="1" applyFont="1" applyFill="1" applyBorder="1" applyAlignment="1">
      <alignment horizontal="left" wrapText="1"/>
    </xf>
    <xf numFmtId="49" fontId="21" fillId="10" borderId="25" xfId="0" applyNumberFormat="1" applyFont="1" applyFill="1" applyBorder="1" applyAlignment="1">
      <alignment horizontal="center" wrapText="1"/>
    </xf>
    <xf numFmtId="44" fontId="21" fillId="10" borderId="25" xfId="3" applyFont="1" applyFill="1" applyBorder="1" applyAlignment="1">
      <alignment horizontal="center" wrapText="1"/>
    </xf>
    <xf numFmtId="49" fontId="12" fillId="6" borderId="8" xfId="0" applyNumberFormat="1" applyFont="1" applyFill="1" applyBorder="1"/>
    <xf numFmtId="49" fontId="12" fillId="6" borderId="11" xfId="0" applyNumberFormat="1" applyFont="1" applyFill="1" applyBorder="1"/>
    <xf numFmtId="49" fontId="12" fillId="6" borderId="18" xfId="0" applyNumberFormat="1" applyFont="1" applyFill="1" applyBorder="1"/>
    <xf numFmtId="49" fontId="10" fillId="6" borderId="19" xfId="0" applyNumberFormat="1" applyFont="1" applyFill="1" applyBorder="1"/>
    <xf numFmtId="49" fontId="10" fillId="6" borderId="11" xfId="0" applyNumberFormat="1" applyFont="1" applyFill="1" applyBorder="1"/>
    <xf numFmtId="49" fontId="10" fillId="6" borderId="19" xfId="0" applyNumberFormat="1" applyFont="1" applyFill="1" applyBorder="1" applyAlignment="1">
      <alignment wrapText="1"/>
    </xf>
    <xf numFmtId="0" fontId="10" fillId="6" borderId="8" xfId="0" applyNumberFormat="1" applyFont="1" applyFill="1" applyBorder="1"/>
    <xf numFmtId="0" fontId="12" fillId="6" borderId="18" xfId="0" applyNumberFormat="1" applyFont="1" applyFill="1" applyBorder="1"/>
    <xf numFmtId="49" fontId="12" fillId="6" borderId="21" xfId="0" applyNumberFormat="1" applyFont="1" applyFill="1" applyBorder="1"/>
    <xf numFmtId="49" fontId="10" fillId="6" borderId="23" xfId="0" applyNumberFormat="1" applyFont="1" applyFill="1" applyBorder="1"/>
    <xf numFmtId="169" fontId="12" fillId="3" borderId="4" xfId="2" applyNumberFormat="1" applyFont="1" applyFill="1" applyBorder="1" applyAlignment="1">
      <alignment horizontal="left" vertical="top"/>
    </xf>
    <xf numFmtId="169" fontId="12" fillId="3" borderId="4" xfId="2" applyNumberFormat="1" applyFont="1" applyFill="1" applyBorder="1" applyAlignment="1">
      <alignment vertical="top"/>
    </xf>
    <xf numFmtId="169" fontId="10" fillId="3" borderId="4" xfId="2" applyNumberFormat="1" applyFont="1" applyFill="1" applyBorder="1" applyAlignment="1">
      <alignment vertical="top"/>
    </xf>
    <xf numFmtId="0" fontId="1" fillId="0" borderId="0" xfId="0" applyNumberFormat="1" applyFont="1"/>
    <xf numFmtId="0" fontId="1" fillId="0" borderId="0" xfId="0" applyFont="1"/>
    <xf numFmtId="49" fontId="10" fillId="3" borderId="4" xfId="0" applyNumberFormat="1" applyFont="1" applyFill="1" applyBorder="1" applyAlignment="1">
      <alignment vertical="top"/>
    </xf>
    <xf numFmtId="0" fontId="0" fillId="0" borderId="11" xfId="0" applyNumberFormat="1" applyBorder="1"/>
    <xf numFmtId="0" fontId="7" fillId="0" borderId="0" xfId="0" applyFont="1"/>
    <xf numFmtId="49" fontId="24" fillId="7" borderId="1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49" fontId="12" fillId="0" borderId="4" xfId="0" applyNumberFormat="1" applyFont="1" applyFill="1" applyBorder="1" applyAlignment="1">
      <alignment horizontal="left" vertical="top"/>
    </xf>
    <xf numFmtId="49" fontId="11" fillId="0" borderId="4" xfId="0" applyNumberFormat="1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left" vertical="top"/>
    </xf>
    <xf numFmtId="49" fontId="11" fillId="0" borderId="4" xfId="0" applyNumberFormat="1" applyFont="1" applyFill="1" applyBorder="1" applyAlignment="1">
      <alignment horizontal="left" vertical="top"/>
    </xf>
    <xf numFmtId="49" fontId="12" fillId="0" borderId="4" xfId="0" applyNumberFormat="1" applyFont="1" applyFill="1" applyBorder="1" applyAlignment="1">
      <alignment horizontal="left" vertical="top" indent="1"/>
    </xf>
    <xf numFmtId="49" fontId="12" fillId="0" borderId="4" xfId="0" applyNumberFormat="1" applyFont="1" applyFill="1" applyBorder="1" applyAlignment="1">
      <alignment horizontal="right" vertical="top"/>
    </xf>
    <xf numFmtId="49" fontId="12" fillId="0" borderId="5" xfId="0" applyNumberFormat="1" applyFont="1" applyFill="1" applyBorder="1" applyAlignment="1">
      <alignment horizontal="left" vertical="top"/>
    </xf>
    <xf numFmtId="169" fontId="0" fillId="0" borderId="11" xfId="0" applyNumberFormat="1" applyFill="1" applyBorder="1"/>
    <xf numFmtId="0" fontId="0" fillId="0" borderId="11" xfId="0" applyFill="1" applyBorder="1"/>
    <xf numFmtId="164" fontId="4" fillId="0" borderId="11" xfId="0" applyNumberFormat="1" applyFont="1" applyFill="1" applyBorder="1"/>
    <xf numFmtId="164" fontId="12" fillId="0" borderId="11" xfId="0" applyNumberFormat="1" applyFont="1" applyFill="1" applyBorder="1"/>
    <xf numFmtId="164" fontId="10" fillId="0" borderId="11" xfId="0" applyNumberFormat="1" applyFont="1" applyFill="1" applyBorder="1"/>
    <xf numFmtId="9" fontId="15" fillId="7" borderId="1" xfId="1" applyFont="1" applyFill="1" applyBorder="1" applyAlignment="1">
      <alignment horizontal="center" wrapText="1"/>
    </xf>
    <xf numFmtId="49" fontId="24" fillId="7" borderId="26" xfId="0" applyNumberFormat="1" applyFont="1" applyFill="1" applyBorder="1" applyAlignment="1">
      <alignment horizontal="center" wrapText="1"/>
    </xf>
    <xf numFmtId="49" fontId="14" fillId="7" borderId="27" xfId="0" applyNumberFormat="1" applyFont="1" applyFill="1" applyBorder="1" applyAlignment="1">
      <alignment horizontal="center" wrapText="1"/>
    </xf>
    <xf numFmtId="49" fontId="15" fillId="7" borderId="27" xfId="0" applyNumberFormat="1" applyFont="1" applyFill="1" applyBorder="1" applyAlignment="1">
      <alignment horizontal="center" wrapText="1"/>
    </xf>
    <xf numFmtId="49" fontId="15" fillId="7" borderId="28" xfId="0" applyNumberFormat="1" applyFont="1" applyFill="1" applyBorder="1" applyAlignment="1">
      <alignment horizontal="center" wrapText="1"/>
    </xf>
    <xf numFmtId="49" fontId="21" fillId="10" borderId="29" xfId="0" applyNumberFormat="1" applyFont="1" applyFill="1" applyBorder="1" applyAlignment="1">
      <alignment horizontal="left" wrapText="1"/>
    </xf>
    <xf numFmtId="49" fontId="11" fillId="3" borderId="30" xfId="0" applyNumberFormat="1" applyFont="1" applyFill="1" applyBorder="1" applyAlignment="1">
      <alignment horizontal="left" vertical="top" wrapText="1"/>
    </xf>
    <xf numFmtId="49" fontId="12" fillId="3" borderId="31" xfId="0" applyNumberFormat="1" applyFont="1" applyFill="1" applyBorder="1" applyAlignment="1">
      <alignment horizontal="left" vertical="top"/>
    </xf>
    <xf numFmtId="49" fontId="12" fillId="3" borderId="31" xfId="0" applyNumberFormat="1" applyFont="1" applyFill="1" applyBorder="1" applyAlignment="1">
      <alignment vertical="top"/>
    </xf>
    <xf numFmtId="49" fontId="10" fillId="3" borderId="31" xfId="0" applyNumberFormat="1" applyFont="1" applyFill="1" applyBorder="1" applyAlignment="1">
      <alignment horizontal="left" vertical="top"/>
    </xf>
    <xf numFmtId="49" fontId="10" fillId="3" borderId="31" xfId="0" applyNumberFormat="1" applyFont="1" applyFill="1" applyBorder="1" applyAlignment="1">
      <alignment vertical="top"/>
    </xf>
    <xf numFmtId="49" fontId="12" fillId="3" borderId="32" xfId="0" applyNumberFormat="1" applyFont="1" applyFill="1" applyBorder="1" applyAlignment="1">
      <alignment vertical="top"/>
    </xf>
    <xf numFmtId="49" fontId="12" fillId="2" borderId="33" xfId="0" applyNumberFormat="1" applyFont="1" applyFill="1" applyBorder="1" applyAlignment="1">
      <alignment horizontal="left" vertical="top"/>
    </xf>
    <xf numFmtId="49" fontId="11" fillId="3" borderId="30" xfId="0" applyNumberFormat="1" applyFont="1" applyFill="1" applyBorder="1" applyAlignment="1">
      <alignment horizontal="left" vertical="top"/>
    </xf>
    <xf numFmtId="49" fontId="11" fillId="3" borderId="31" xfId="0" applyNumberFormat="1" applyFont="1" applyFill="1" applyBorder="1" applyAlignment="1">
      <alignment horizontal="left" vertical="top" wrapText="1"/>
    </xf>
    <xf numFmtId="49" fontId="12" fillId="8" borderId="31" xfId="0" applyNumberFormat="1" applyFont="1" applyFill="1" applyBorder="1" applyAlignment="1">
      <alignment horizontal="right" vertical="top"/>
    </xf>
    <xf numFmtId="49" fontId="11" fillId="3" borderId="31" xfId="0" applyNumberFormat="1" applyFont="1" applyFill="1" applyBorder="1" applyAlignment="1">
      <alignment horizontal="left" vertical="top"/>
    </xf>
    <xf numFmtId="49" fontId="12" fillId="9" borderId="31" xfId="0" applyNumberFormat="1" applyFont="1" applyFill="1" applyBorder="1" applyAlignment="1">
      <alignment horizontal="left" vertical="top" indent="1"/>
    </xf>
    <xf numFmtId="49" fontId="12" fillId="0" borderId="31" xfId="0" applyNumberFormat="1" applyFont="1" applyFill="1" applyBorder="1" applyAlignment="1">
      <alignment horizontal="left" vertical="top"/>
    </xf>
    <xf numFmtId="49" fontId="12" fillId="3" borderId="32" xfId="0" applyNumberFormat="1" applyFont="1" applyFill="1" applyBorder="1" applyAlignment="1">
      <alignment horizontal="left" vertical="top"/>
    </xf>
    <xf numFmtId="49" fontId="10" fillId="2" borderId="33" xfId="0" applyNumberFormat="1" applyFont="1" applyFill="1" applyBorder="1" applyAlignment="1">
      <alignment horizontal="left" vertical="top"/>
    </xf>
    <xf numFmtId="49" fontId="12" fillId="5" borderId="33" xfId="0" applyNumberFormat="1" applyFont="1" applyFill="1" applyBorder="1" applyAlignment="1">
      <alignment vertical="top"/>
    </xf>
    <xf numFmtId="9" fontId="15" fillId="7" borderId="15" xfId="1" applyFont="1" applyFill="1" applyBorder="1" applyAlignment="1">
      <alignment horizontal="center" wrapText="1"/>
    </xf>
    <xf numFmtId="49" fontId="12" fillId="2" borderId="14" xfId="0" applyNumberFormat="1" applyFont="1" applyFill="1" applyBorder="1" applyAlignment="1">
      <alignment horizontal="left" vertical="top"/>
    </xf>
    <xf numFmtId="164" fontId="12" fillId="4" borderId="34" xfId="0" applyNumberFormat="1" applyFont="1" applyFill="1" applyBorder="1" applyAlignment="1">
      <alignment horizontal="right" vertical="top"/>
    </xf>
    <xf numFmtId="164" fontId="11" fillId="4" borderId="35" xfId="0" applyNumberFormat="1" applyFont="1" applyFill="1" applyBorder="1" applyAlignment="1">
      <alignment horizontal="center" vertical="top" wrapText="1"/>
    </xf>
    <xf numFmtId="164" fontId="10" fillId="2" borderId="36" xfId="0" applyNumberFormat="1" applyFont="1" applyFill="1" applyBorder="1" applyAlignment="1">
      <alignment vertical="top"/>
    </xf>
    <xf numFmtId="0" fontId="0" fillId="0" borderId="39" xfId="0" applyNumberFormat="1" applyFill="1" applyBorder="1"/>
    <xf numFmtId="43" fontId="0" fillId="0" borderId="39" xfId="0" applyNumberFormat="1" applyFill="1" applyBorder="1"/>
    <xf numFmtId="0" fontId="0" fillId="0" borderId="39" xfId="0" applyNumberFormat="1" applyBorder="1"/>
    <xf numFmtId="0" fontId="0" fillId="0" borderId="40" xfId="0" applyNumberFormat="1" applyBorder="1"/>
    <xf numFmtId="169" fontId="0" fillId="0" borderId="39" xfId="0" applyNumberFormat="1" applyFill="1" applyBorder="1"/>
    <xf numFmtId="49" fontId="10" fillId="2" borderId="14" xfId="0" applyNumberFormat="1" applyFont="1" applyFill="1" applyBorder="1" applyAlignment="1">
      <alignment horizontal="left" vertical="top"/>
    </xf>
    <xf numFmtId="164" fontId="10" fillId="4" borderId="34" xfId="0" applyNumberFormat="1" applyFont="1" applyFill="1" applyBorder="1" applyAlignment="1">
      <alignment vertical="top"/>
    </xf>
    <xf numFmtId="164" fontId="10" fillId="2" borderId="12" xfId="0" applyNumberFormat="1" applyFont="1" applyFill="1" applyBorder="1" applyAlignment="1">
      <alignment vertical="top"/>
    </xf>
    <xf numFmtId="49" fontId="12" fillId="5" borderId="29" xfId="0" applyNumberFormat="1" applyFont="1" applyFill="1" applyBorder="1" applyAlignment="1">
      <alignment vertical="top"/>
    </xf>
    <xf numFmtId="49" fontId="12" fillId="5" borderId="25" xfId="0" applyNumberFormat="1" applyFont="1" applyFill="1" applyBorder="1" applyAlignment="1">
      <alignment vertical="top"/>
    </xf>
    <xf numFmtId="164" fontId="12" fillId="5" borderId="25" xfId="0" applyNumberFormat="1" applyFont="1" applyFill="1" applyBorder="1" applyAlignment="1">
      <alignment vertical="top"/>
    </xf>
    <xf numFmtId="49" fontId="10" fillId="5" borderId="36" xfId="0" applyNumberFormat="1" applyFont="1" applyFill="1" applyBorder="1" applyAlignment="1">
      <alignment horizontal="left" vertical="top"/>
    </xf>
    <xf numFmtId="49" fontId="10" fillId="5" borderId="43" xfId="0" applyNumberFormat="1" applyFont="1" applyFill="1" applyBorder="1" applyAlignment="1">
      <alignment horizontal="left" vertical="top"/>
    </xf>
    <xf numFmtId="164" fontId="10" fillId="4" borderId="43" xfId="0" applyNumberFormat="1" applyFont="1" applyFill="1" applyBorder="1" applyAlignment="1">
      <alignment horizontal="right" vertical="top"/>
    </xf>
    <xf numFmtId="169" fontId="7" fillId="0" borderId="39" xfId="2" applyNumberFormat="1" applyFont="1" applyFill="1" applyBorder="1"/>
    <xf numFmtId="169" fontId="0" fillId="0" borderId="39" xfId="2" applyNumberFormat="1" applyFont="1" applyFill="1" applyBorder="1"/>
    <xf numFmtId="169" fontId="0" fillId="0" borderId="39" xfId="2" applyNumberFormat="1" applyFont="1" applyBorder="1"/>
    <xf numFmtId="169" fontId="0" fillId="0" borderId="40" xfId="2" applyNumberFormat="1" applyFont="1" applyBorder="1"/>
    <xf numFmtId="169" fontId="22" fillId="0" borderId="39" xfId="2" applyNumberFormat="1" applyFont="1" applyFill="1" applyBorder="1"/>
    <xf numFmtId="169" fontId="10" fillId="0" borderId="39" xfId="2" applyNumberFormat="1" applyFont="1" applyFill="1" applyBorder="1" applyAlignment="1">
      <alignment horizontal="right" vertical="top"/>
    </xf>
    <xf numFmtId="169" fontId="10" fillId="0" borderId="40" xfId="2" applyNumberFormat="1" applyFont="1" applyFill="1" applyBorder="1" applyAlignment="1">
      <alignment horizontal="right" vertical="top"/>
    </xf>
    <xf numFmtId="169" fontId="0" fillId="0" borderId="39" xfId="2" applyNumberFormat="1" applyFont="1" applyFill="1" applyBorder="1" applyAlignment="1"/>
    <xf numFmtId="169" fontId="0" fillId="0" borderId="40" xfId="2" applyNumberFormat="1" applyFont="1" applyFill="1" applyBorder="1"/>
    <xf numFmtId="169" fontId="0" fillId="0" borderId="41" xfId="2" applyNumberFormat="1" applyFont="1" applyFill="1" applyBorder="1"/>
    <xf numFmtId="169" fontId="0" fillId="0" borderId="41" xfId="2" applyNumberFormat="1" applyFont="1" applyBorder="1"/>
    <xf numFmtId="169" fontId="10" fillId="2" borderId="43" xfId="2" applyNumberFormat="1" applyFont="1" applyFill="1" applyBorder="1" applyAlignment="1">
      <alignment vertical="top"/>
    </xf>
    <xf numFmtId="169" fontId="10" fillId="2" borderId="37" xfId="2" applyNumberFormat="1" applyFont="1" applyFill="1" applyBorder="1" applyAlignment="1">
      <alignment vertical="top"/>
    </xf>
    <xf numFmtId="169" fontId="0" fillId="0" borderId="44" xfId="2" applyNumberFormat="1" applyFont="1" applyFill="1" applyBorder="1" applyAlignment="1"/>
    <xf numFmtId="169" fontId="0" fillId="0" borderId="44" xfId="2" applyNumberFormat="1" applyFont="1" applyFill="1" applyBorder="1"/>
    <xf numFmtId="169" fontId="0" fillId="0" borderId="44" xfId="2" applyNumberFormat="1" applyFont="1" applyBorder="1"/>
    <xf numFmtId="169" fontId="0" fillId="0" borderId="45" xfId="2" applyNumberFormat="1" applyFont="1" applyBorder="1"/>
    <xf numFmtId="169" fontId="23" fillId="0" borderId="39" xfId="2" applyNumberFormat="1" applyFont="1" applyFill="1" applyBorder="1"/>
    <xf numFmtId="169" fontId="10" fillId="0" borderId="39" xfId="2" applyNumberFormat="1" applyFont="1" applyFill="1" applyBorder="1" applyAlignment="1">
      <alignment vertical="top"/>
    </xf>
    <xf numFmtId="169" fontId="10" fillId="0" borderId="40" xfId="2" applyNumberFormat="1" applyFont="1" applyFill="1" applyBorder="1" applyAlignment="1">
      <alignment vertical="top"/>
    </xf>
    <xf numFmtId="169" fontId="23" fillId="0" borderId="39" xfId="2" applyNumberFormat="1" applyFont="1" applyFill="1" applyBorder="1" applyAlignment="1">
      <alignment horizontal="left"/>
    </xf>
    <xf numFmtId="169" fontId="23" fillId="0" borderId="39" xfId="2" applyNumberFormat="1" applyFont="1" applyFill="1" applyBorder="1" applyAlignment="1">
      <alignment horizontal="right"/>
    </xf>
    <xf numFmtId="169" fontId="10" fillId="2" borderId="36" xfId="2" applyNumberFormat="1" applyFont="1" applyFill="1" applyBorder="1" applyAlignment="1">
      <alignment vertical="top"/>
    </xf>
    <xf numFmtId="169" fontId="12" fillId="5" borderId="42" xfId="2" applyNumberFormat="1" applyFont="1" applyFill="1" applyBorder="1" applyAlignment="1">
      <alignment vertical="top"/>
    </xf>
    <xf numFmtId="169" fontId="10" fillId="4" borderId="43" xfId="2" applyNumberFormat="1" applyFont="1" applyFill="1" applyBorder="1" applyAlignment="1">
      <alignment horizontal="right" vertical="top"/>
    </xf>
    <xf numFmtId="169" fontId="10" fillId="4" borderId="37" xfId="2" applyNumberFormat="1" applyFont="1" applyFill="1" applyBorder="1" applyAlignment="1">
      <alignment horizontal="right" vertical="top"/>
    </xf>
    <xf numFmtId="169" fontId="10" fillId="0" borderId="42" xfId="2" applyNumberFormat="1" applyFont="1" applyFill="1" applyBorder="1" applyAlignment="1">
      <alignment vertical="top"/>
    </xf>
    <xf numFmtId="49" fontId="16" fillId="0" borderId="3" xfId="0" applyNumberFormat="1" applyFont="1" applyFill="1" applyBorder="1" applyAlignment="1">
      <alignment horizontal="center" vertical="top" wrapText="1"/>
    </xf>
    <xf numFmtId="164" fontId="12" fillId="0" borderId="4" xfId="0" applyNumberFormat="1" applyFont="1" applyFill="1" applyBorder="1" applyAlignment="1">
      <alignment horizontal="right" vertical="top"/>
    </xf>
    <xf numFmtId="164" fontId="11" fillId="0" borderId="3" xfId="0" applyNumberFormat="1" applyFont="1" applyFill="1" applyBorder="1" applyAlignment="1">
      <alignment horizontal="center" vertical="top" wrapText="1"/>
    </xf>
    <xf numFmtId="164" fontId="12" fillId="0" borderId="4" xfId="0" applyNumberFormat="1" applyFont="1" applyFill="1" applyBorder="1" applyAlignment="1">
      <alignment vertical="top"/>
    </xf>
    <xf numFmtId="164" fontId="12" fillId="0" borderId="5" xfId="0" applyNumberFormat="1" applyFont="1" applyFill="1" applyBorder="1" applyAlignment="1">
      <alignment vertical="top"/>
    </xf>
    <xf numFmtId="44" fontId="21" fillId="10" borderId="38" xfId="3" applyFont="1" applyFill="1" applyBorder="1" applyAlignment="1">
      <alignment horizontal="center" wrapText="1"/>
    </xf>
    <xf numFmtId="49" fontId="21" fillId="10" borderId="38" xfId="0" applyNumberFormat="1" applyFont="1" applyFill="1" applyBorder="1" applyAlignment="1">
      <alignment horizontal="center" wrapText="1"/>
    </xf>
    <xf numFmtId="44" fontId="21" fillId="10" borderId="44" xfId="3" applyFont="1" applyFill="1" applyBorder="1" applyAlignment="1">
      <alignment horizontal="center" wrapText="1"/>
    </xf>
    <xf numFmtId="9" fontId="0" fillId="0" borderId="11" xfId="1" applyFont="1" applyBorder="1"/>
    <xf numFmtId="9" fontId="1" fillId="0" borderId="0" xfId="1" applyFont="1"/>
    <xf numFmtId="43" fontId="0" fillId="0" borderId="0" xfId="0" applyNumberFormat="1"/>
    <xf numFmtId="169" fontId="15" fillId="7" borderId="27" xfId="0" applyNumberFormat="1" applyFont="1" applyFill="1" applyBorder="1" applyAlignment="1">
      <alignment horizontal="center" wrapText="1"/>
    </xf>
    <xf numFmtId="169" fontId="21" fillId="10" borderId="25" xfId="0" applyNumberFormat="1" applyFont="1" applyFill="1" applyBorder="1" applyAlignment="1">
      <alignment horizontal="center" wrapText="1"/>
    </xf>
    <xf numFmtId="169" fontId="21" fillId="10" borderId="38" xfId="3" applyNumberFormat="1" applyFont="1" applyFill="1" applyBorder="1" applyAlignment="1">
      <alignment horizontal="center" wrapText="1"/>
    </xf>
    <xf numFmtId="169" fontId="21" fillId="10" borderId="38" xfId="0" applyNumberFormat="1" applyFont="1" applyFill="1" applyBorder="1" applyAlignment="1">
      <alignment horizontal="center" wrapText="1"/>
    </xf>
    <xf numFmtId="169" fontId="21" fillId="10" borderId="44" xfId="3" applyNumberFormat="1" applyFont="1" applyFill="1" applyBorder="1" applyAlignment="1">
      <alignment horizontal="center" wrapText="1"/>
    </xf>
    <xf numFmtId="169" fontId="7" fillId="3" borderId="11" xfId="0" applyNumberFormat="1" applyFont="1" applyFill="1" applyBorder="1"/>
    <xf numFmtId="169" fontId="4" fillId="0" borderId="11" xfId="0" applyNumberFormat="1" applyFont="1" applyFill="1" applyBorder="1"/>
    <xf numFmtId="169" fontId="12" fillId="0" borderId="11" xfId="0" applyNumberFormat="1" applyFont="1" applyFill="1" applyBorder="1"/>
    <xf numFmtId="169" fontId="10" fillId="0" borderId="11" xfId="0" applyNumberFormat="1" applyFont="1" applyFill="1" applyBorder="1"/>
    <xf numFmtId="169" fontId="0" fillId="0" borderId="0" xfId="0" applyNumberFormat="1" applyFill="1"/>
    <xf numFmtId="169" fontId="0" fillId="0" borderId="0" xfId="0" applyNumberFormat="1"/>
    <xf numFmtId="164" fontId="0" fillId="0" borderId="0" xfId="0" applyNumberFormat="1"/>
    <xf numFmtId="164" fontId="7" fillId="0" borderId="8" xfId="0" applyNumberFormat="1" applyFont="1" applyFill="1" applyBorder="1"/>
    <xf numFmtId="0" fontId="21" fillId="10" borderId="25" xfId="0" applyNumberFormat="1" applyFont="1" applyFill="1" applyBorder="1" applyAlignment="1">
      <alignment horizontal="center" wrapText="1"/>
    </xf>
    <xf numFmtId="164" fontId="10" fillId="0" borderId="34" xfId="0" applyNumberFormat="1" applyFont="1" applyFill="1" applyBorder="1" applyAlignment="1">
      <alignment vertical="top"/>
    </xf>
    <xf numFmtId="43" fontId="0" fillId="0" borderId="11" xfId="0" applyNumberFormat="1" applyBorder="1"/>
    <xf numFmtId="170" fontId="0" fillId="0" borderId="0" xfId="0" applyNumberFormat="1"/>
    <xf numFmtId="44" fontId="0" fillId="0" borderId="0" xfId="3" applyFont="1"/>
    <xf numFmtId="169" fontId="7" fillId="0" borderId="0" xfId="0" applyNumberFormat="1" applyFont="1"/>
    <xf numFmtId="164" fontId="7" fillId="0" borderId="0" xfId="0" applyNumberFormat="1" applyFont="1"/>
    <xf numFmtId="9" fontId="12" fillId="4" borderId="4" xfId="1" applyFont="1" applyFill="1" applyBorder="1" applyAlignment="1">
      <alignment horizontal="right" vertical="top"/>
    </xf>
    <xf numFmtId="9" fontId="10" fillId="2" borderId="36" xfId="1" applyFont="1" applyFill="1" applyBorder="1" applyAlignment="1">
      <alignment vertical="top"/>
    </xf>
    <xf numFmtId="9" fontId="21" fillId="10" borderId="25" xfId="1" applyFont="1" applyFill="1" applyBorder="1" applyAlignment="1">
      <alignment horizontal="right" wrapText="1"/>
    </xf>
    <xf numFmtId="164" fontId="0" fillId="0" borderId="11" xfId="0" applyNumberFormat="1" applyBorder="1"/>
    <xf numFmtId="169" fontId="25" fillId="0" borderId="39" xfId="2" applyNumberFormat="1" applyFont="1" applyFill="1" applyBorder="1" applyAlignment="1">
      <alignment vertical="top"/>
    </xf>
    <xf numFmtId="169" fontId="25" fillId="0" borderId="39" xfId="2" applyNumberFormat="1" applyFont="1" applyFill="1" applyBorder="1" applyAlignment="1">
      <alignment horizontal="right" vertical="top"/>
    </xf>
    <xf numFmtId="164" fontId="25" fillId="0" borderId="34" xfId="0" applyNumberFormat="1" applyFont="1" applyFill="1" applyBorder="1" applyAlignment="1">
      <alignment vertical="top"/>
    </xf>
    <xf numFmtId="43" fontId="1" fillId="0" borderId="0" xfId="2" applyFont="1"/>
    <xf numFmtId="43" fontId="7" fillId="0" borderId="0" xfId="2" applyFont="1"/>
    <xf numFmtId="43" fontId="7" fillId="0" borderId="0" xfId="0" applyNumberFormat="1" applyFont="1"/>
    <xf numFmtId="9" fontId="0" fillId="0" borderId="11" xfId="1" applyFont="1" applyFill="1" applyBorder="1"/>
    <xf numFmtId="169" fontId="10" fillId="0" borderId="4" xfId="2" applyNumberFormat="1" applyFont="1" applyFill="1" applyBorder="1" applyAlignment="1">
      <alignment vertical="top"/>
    </xf>
    <xf numFmtId="43" fontId="7" fillId="0" borderId="0" xfId="2" applyFont="1" applyFill="1"/>
    <xf numFmtId="9" fontId="23" fillId="0" borderId="11" xfId="1" applyFont="1" applyFill="1" applyBorder="1"/>
    <xf numFmtId="170" fontId="7" fillId="0" borderId="0" xfId="0" applyNumberFormat="1" applyFont="1"/>
    <xf numFmtId="0" fontId="26" fillId="0" borderId="0" xfId="0" applyNumberFormat="1" applyFont="1"/>
    <xf numFmtId="43" fontId="23" fillId="0" borderId="0" xfId="0" applyNumberFormat="1" applyFont="1"/>
    <xf numFmtId="0" fontId="23" fillId="0" borderId="0" xfId="0" applyNumberFormat="1" applyFont="1"/>
    <xf numFmtId="44" fontId="7" fillId="0" borderId="0" xfId="0" applyNumberFormat="1" applyFont="1"/>
    <xf numFmtId="169" fontId="27" fillId="12" borderId="46" xfId="2" applyNumberFormat="1" applyFont="1" applyFill="1" applyBorder="1" applyAlignment="1">
      <alignment horizontal="center" wrapText="1"/>
    </xf>
    <xf numFmtId="169" fontId="28" fillId="0" borderId="48" xfId="2" applyNumberFormat="1" applyFont="1" applyBorder="1"/>
    <xf numFmtId="169" fontId="28" fillId="0" borderId="47" xfId="2" applyNumberFormat="1" applyFont="1" applyBorder="1"/>
    <xf numFmtId="169" fontId="29" fillId="0" borderId="47" xfId="2" applyNumberFormat="1" applyFont="1" applyFill="1" applyBorder="1" applyAlignment="1">
      <alignment horizontal="right"/>
    </xf>
    <xf numFmtId="0" fontId="28" fillId="13" borderId="49" xfId="2" applyNumberFormat="1" applyFont="1" applyFill="1" applyBorder="1" applyAlignment="1">
      <alignment horizontal="center"/>
    </xf>
    <xf numFmtId="0" fontId="28" fillId="13" borderId="50" xfId="2" applyNumberFormat="1" applyFont="1" applyFill="1" applyBorder="1" applyAlignment="1">
      <alignment horizontal="center"/>
    </xf>
    <xf numFmtId="0" fontId="28" fillId="13" borderId="51" xfId="2" applyNumberFormat="1" applyFont="1" applyFill="1" applyBorder="1" applyAlignment="1">
      <alignment horizontal="center"/>
    </xf>
    <xf numFmtId="171" fontId="29" fillId="13" borderId="52" xfId="3" applyNumberFormat="1" applyFont="1" applyFill="1" applyBorder="1" applyAlignment="1">
      <alignment horizontal="center"/>
    </xf>
    <xf numFmtId="171" fontId="29" fillId="13" borderId="53" xfId="3" applyNumberFormat="1" applyFont="1" applyFill="1" applyBorder="1" applyAlignment="1">
      <alignment horizontal="center"/>
    </xf>
    <xf numFmtId="169" fontId="29" fillId="13" borderId="53" xfId="2" applyNumberFormat="1" applyFont="1" applyFill="1" applyBorder="1" applyAlignment="1">
      <alignment horizontal="center"/>
    </xf>
    <xf numFmtId="171" fontId="29" fillId="13" borderId="54" xfId="3" applyNumberFormat="1" applyFont="1" applyFill="1" applyBorder="1" applyAlignment="1">
      <alignment horizontal="center"/>
    </xf>
    <xf numFmtId="0" fontId="28" fillId="13" borderId="52" xfId="2" applyNumberFormat="1" applyFont="1" applyFill="1" applyBorder="1" applyAlignment="1">
      <alignment horizontal="center"/>
    </xf>
    <xf numFmtId="0" fontId="28" fillId="13" borderId="53" xfId="2" applyNumberFormat="1" applyFont="1" applyFill="1" applyBorder="1" applyAlignment="1">
      <alignment horizontal="center"/>
    </xf>
    <xf numFmtId="0" fontId="28" fillId="13" borderId="54" xfId="2" applyNumberFormat="1" applyFont="1" applyFill="1" applyBorder="1" applyAlignment="1">
      <alignment horizontal="center"/>
    </xf>
    <xf numFmtId="171" fontId="29" fillId="13" borderId="55" xfId="3" applyNumberFormat="1" applyFont="1" applyFill="1" applyBorder="1" applyAlignment="1">
      <alignment horizontal="center"/>
    </xf>
    <xf numFmtId="171" fontId="29" fillId="13" borderId="56" xfId="3" applyNumberFormat="1" applyFont="1" applyFill="1" applyBorder="1" applyAlignment="1">
      <alignment horizontal="center"/>
    </xf>
    <xf numFmtId="169" fontId="29" fillId="13" borderId="56" xfId="2" applyNumberFormat="1" applyFont="1" applyFill="1" applyBorder="1" applyAlignment="1">
      <alignment horizontal="center"/>
    </xf>
    <xf numFmtId="171" fontId="29" fillId="13" borderId="57" xfId="3" applyNumberFormat="1" applyFont="1" applyFill="1" applyBorder="1" applyAlignment="1">
      <alignment horizontal="center"/>
    </xf>
    <xf numFmtId="43" fontId="7" fillId="0" borderId="11" xfId="0" applyNumberFormat="1" applyFont="1" applyBorder="1"/>
    <xf numFmtId="169" fontId="0" fillId="0" borderId="58" xfId="2" applyNumberFormat="1" applyFont="1" applyBorder="1"/>
    <xf numFmtId="164" fontId="10" fillId="0" borderId="4" xfId="0" applyNumberFormat="1" applyFont="1" applyFill="1" applyBorder="1" applyAlignment="1">
      <alignment horizontal="right" vertical="top"/>
    </xf>
    <xf numFmtId="43" fontId="7" fillId="0" borderId="11" xfId="0" applyNumberFormat="1" applyFont="1" applyFill="1" applyBorder="1"/>
    <xf numFmtId="164" fontId="23" fillId="0" borderId="0" xfId="0" applyNumberFormat="1" applyFont="1"/>
    <xf numFmtId="0" fontId="31" fillId="0" borderId="0" xfId="0" applyNumberFormat="1" applyFont="1"/>
    <xf numFmtId="0" fontId="7" fillId="0" borderId="11" xfId="0" applyFont="1" applyFill="1" applyBorder="1"/>
    <xf numFmtId="164" fontId="0" fillId="0" borderId="11" xfId="0" applyNumberFormat="1" applyFill="1" applyBorder="1"/>
    <xf numFmtId="164" fontId="7" fillId="0" borderId="11" xfId="0" applyNumberFormat="1" applyFont="1" applyFill="1" applyBorder="1" applyAlignment="1">
      <alignment horizontal="right"/>
    </xf>
    <xf numFmtId="49" fontId="12" fillId="11" borderId="4" xfId="0" applyNumberFormat="1" applyFont="1" applyFill="1" applyBorder="1" applyAlignment="1">
      <alignment horizontal="left" vertical="top"/>
    </xf>
    <xf numFmtId="164" fontId="4" fillId="3" borderId="11" xfId="0" applyNumberFormat="1" applyFont="1" applyFill="1" applyBorder="1"/>
    <xf numFmtId="164" fontId="30" fillId="6" borderId="59" xfId="0" applyNumberFormat="1" applyFont="1" applyFill="1" applyBorder="1"/>
    <xf numFmtId="164" fontId="12" fillId="6" borderId="59" xfId="0" applyNumberFormat="1" applyFont="1" applyFill="1" applyBorder="1"/>
    <xf numFmtId="49" fontId="15" fillId="7" borderId="1" xfId="0" applyNumberFormat="1" applyFont="1" applyFill="1" applyBorder="1" applyAlignment="1">
      <alignment horizontal="center"/>
    </xf>
    <xf numFmtId="49" fontId="14" fillId="7" borderId="2" xfId="0" applyNumberFormat="1" applyFont="1" applyFill="1" applyBorder="1" applyAlignment="1">
      <alignment horizontal="center" vertical="center" wrapText="1"/>
    </xf>
    <xf numFmtId="0" fontId="15" fillId="7" borderId="2" xfId="0" applyNumberFormat="1" applyFont="1" applyFill="1" applyBorder="1" applyAlignment="1">
      <alignment horizontal="center" vertical="center" wrapText="1"/>
    </xf>
    <xf numFmtId="0" fontId="14" fillId="7" borderId="2" xfId="0" applyNumberFormat="1" applyFont="1" applyFill="1" applyBorder="1" applyAlignment="1">
      <alignment horizontal="center"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FF0000"/>
      <rgbColor rgb="FFBFBFBF"/>
      <rgbColor rgb="FFFFFFFF"/>
      <rgbColor rgb="FFAAAAAA"/>
      <rgbColor rgb="FFF7CAAC"/>
      <rgbColor rgb="FFFEFB00"/>
      <rgbColor rgb="FFF2F2F2"/>
      <rgbColor rgb="FFFBE4D5"/>
      <rgbColor rgb="FFFFFF0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99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0754-EAE6-4BC9-B162-1216C07730E8}">
  <sheetPr>
    <pageSetUpPr fitToPage="1"/>
  </sheetPr>
  <dimension ref="A1:IP178"/>
  <sheetViews>
    <sheetView tabSelected="1" topLeftCell="A154" zoomScale="80" zoomScaleNormal="80" workbookViewId="0">
      <pane xSplit="1" topLeftCell="H1" activePane="topRight" state="frozen"/>
      <selection pane="topRight" sqref="A1:Z162"/>
    </sheetView>
  </sheetViews>
  <sheetFormatPr defaultColWidth="8.84375" defaultRowHeight="14.5" customHeight="1" x14ac:dyDescent="0.4"/>
  <cols>
    <col min="1" max="1" width="47" style="1" bestFit="1" customWidth="1"/>
    <col min="2" max="5" width="15.3828125" style="1" hidden="1" customWidth="1"/>
    <col min="6" max="6" width="10.15234375" style="1" hidden="1" customWidth="1"/>
    <col min="7" max="7" width="4.84375" style="1" hidden="1" customWidth="1"/>
    <col min="8" max="8" width="16.84375" style="1" bestFit="1" customWidth="1"/>
    <col min="9" max="9" width="21" style="1" customWidth="1"/>
    <col min="10" max="10" width="9.15234375" style="1" customWidth="1"/>
    <col min="11" max="11" width="10" style="224" hidden="1" customWidth="1"/>
    <col min="12" max="12" width="9.3828125" style="1" hidden="1" customWidth="1"/>
    <col min="13" max="13" width="10.69140625" style="1" hidden="1" customWidth="1"/>
    <col min="14" max="14" width="9.3828125" style="1" hidden="1" customWidth="1"/>
    <col min="15" max="15" width="10.3046875" style="1" hidden="1" customWidth="1"/>
    <col min="16" max="16" width="10.15234375" style="1" hidden="1" customWidth="1"/>
    <col min="17" max="20" width="9.3828125" style="1" hidden="1" customWidth="1"/>
    <col min="21" max="21" width="10" style="1" hidden="1" customWidth="1"/>
    <col min="22" max="22" width="10.84375" style="1" hidden="1" customWidth="1"/>
    <col min="23" max="23" width="10.53515625" style="1" bestFit="1" customWidth="1"/>
    <col min="24" max="24" width="15.3828125" style="1" customWidth="1"/>
    <col min="25" max="25" width="12.53515625" style="1" bestFit="1" customWidth="1"/>
    <col min="26" max="26" width="49.15234375" style="1" customWidth="1"/>
    <col min="27" max="27" width="8.84375" style="1" customWidth="1"/>
    <col min="28" max="28" width="11.15234375" style="1" bestFit="1" customWidth="1"/>
    <col min="29" max="240" width="8.84375" style="1" customWidth="1"/>
  </cols>
  <sheetData>
    <row r="1" spans="1:240" ht="50.25" customHeight="1" thickBot="1" x14ac:dyDescent="0.55000000000000004">
      <c r="A1" s="136" t="s">
        <v>0</v>
      </c>
      <c r="B1" s="253" t="s">
        <v>205</v>
      </c>
      <c r="C1" s="253" t="s">
        <v>206</v>
      </c>
      <c r="D1" s="253" t="s">
        <v>207</v>
      </c>
      <c r="E1" s="253" t="s">
        <v>208</v>
      </c>
      <c r="F1" s="253" t="s">
        <v>209</v>
      </c>
      <c r="G1" s="137"/>
      <c r="H1" s="138" t="s">
        <v>200</v>
      </c>
      <c r="I1" s="138" t="s">
        <v>215</v>
      </c>
      <c r="J1" s="138" t="s">
        <v>203</v>
      </c>
      <c r="K1" s="214" t="s">
        <v>185</v>
      </c>
      <c r="L1" s="138" t="s">
        <v>186</v>
      </c>
      <c r="M1" s="138" t="s">
        <v>187</v>
      </c>
      <c r="N1" s="138" t="s">
        <v>188</v>
      </c>
      <c r="O1" s="138" t="s">
        <v>189</v>
      </c>
      <c r="P1" s="138" t="s">
        <v>190</v>
      </c>
      <c r="Q1" s="138" t="s">
        <v>191</v>
      </c>
      <c r="R1" s="138" t="s">
        <v>192</v>
      </c>
      <c r="S1" s="138" t="s">
        <v>193</v>
      </c>
      <c r="T1" s="138" t="s">
        <v>194</v>
      </c>
      <c r="U1" s="138" t="s">
        <v>195</v>
      </c>
      <c r="V1" s="138" t="s">
        <v>196</v>
      </c>
      <c r="W1" s="138" t="s">
        <v>197</v>
      </c>
      <c r="X1" s="139" t="s">
        <v>218</v>
      </c>
      <c r="Y1" s="157" t="s">
        <v>204</v>
      </c>
      <c r="Z1" s="284" t="s">
        <v>198</v>
      </c>
      <c r="HW1"/>
      <c r="HX1"/>
      <c r="HY1"/>
      <c r="HZ1"/>
      <c r="IA1"/>
      <c r="IB1"/>
      <c r="IC1"/>
      <c r="ID1"/>
      <c r="IE1"/>
      <c r="IF1"/>
    </row>
    <row r="2" spans="1:240" ht="15" thickBot="1" x14ac:dyDescent="0.45">
      <c r="A2" s="140" t="s">
        <v>150</v>
      </c>
      <c r="B2" s="257">
        <v>557</v>
      </c>
      <c r="C2" s="258">
        <v>557</v>
      </c>
      <c r="D2" s="258">
        <v>588</v>
      </c>
      <c r="E2" s="258">
        <v>585</v>
      </c>
      <c r="F2" s="259">
        <v>572</v>
      </c>
      <c r="G2" s="100"/>
      <c r="H2" s="227">
        <v>585</v>
      </c>
      <c r="I2" s="227">
        <v>562</v>
      </c>
      <c r="J2" s="236">
        <f>(I2-H2)/H2</f>
        <v>-3.9316239316239315E-2</v>
      </c>
      <c r="K2" s="215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19"/>
      <c r="Z2" s="99"/>
      <c r="HW2"/>
      <c r="HX2"/>
      <c r="HY2"/>
      <c r="HZ2"/>
      <c r="IA2"/>
      <c r="IB2"/>
      <c r="IC2"/>
      <c r="ID2"/>
      <c r="IE2"/>
      <c r="IF2"/>
    </row>
    <row r="3" spans="1:240" ht="15" thickBot="1" x14ac:dyDescent="0.45">
      <c r="A3" s="140" t="s">
        <v>151</v>
      </c>
      <c r="B3" s="260">
        <v>5506.61</v>
      </c>
      <c r="C3" s="261">
        <v>5681.23</v>
      </c>
      <c r="D3" s="262">
        <f>5796.55-24.22</f>
        <v>5772.33</v>
      </c>
      <c r="E3" s="261">
        <f>6076.39-21.18</f>
        <v>6055.21</v>
      </c>
      <c r="F3" s="263">
        <v>6337.2</v>
      </c>
      <c r="G3" s="100"/>
      <c r="H3" s="102">
        <v>6337.2</v>
      </c>
      <c r="I3" s="102">
        <v>6581.22</v>
      </c>
      <c r="J3" s="236">
        <f>(I3-H3)/H3</f>
        <v>3.8505964779397911E-2</v>
      </c>
      <c r="K3" s="216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119"/>
      <c r="Z3" s="99"/>
      <c r="HW3"/>
      <c r="HX3"/>
      <c r="HY3"/>
      <c r="HZ3"/>
      <c r="IA3"/>
      <c r="IB3"/>
      <c r="IC3"/>
      <c r="ID3"/>
      <c r="IE3"/>
      <c r="IF3"/>
    </row>
    <row r="4" spans="1:240" ht="15" thickBot="1" x14ac:dyDescent="0.45">
      <c r="A4" s="140" t="s">
        <v>152</v>
      </c>
      <c r="B4" s="264">
        <f>45+4</f>
        <v>49</v>
      </c>
      <c r="C4" s="265">
        <f>44+13</f>
        <v>57</v>
      </c>
      <c r="D4" s="265">
        <f>44+17</f>
        <v>61</v>
      </c>
      <c r="E4" s="265">
        <f>46+5</f>
        <v>51</v>
      </c>
      <c r="F4" s="266">
        <v>36</v>
      </c>
      <c r="G4" s="100"/>
      <c r="H4" s="227">
        <v>44</v>
      </c>
      <c r="I4" s="227">
        <v>29</v>
      </c>
      <c r="J4" s="236">
        <f>(I4-H4)/H4</f>
        <v>-0.34090909090909088</v>
      </c>
      <c r="K4" s="217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119"/>
      <c r="Z4" s="99"/>
      <c r="HW4"/>
      <c r="HX4"/>
      <c r="HY4"/>
      <c r="HZ4"/>
      <c r="IA4"/>
      <c r="IB4"/>
      <c r="IC4"/>
      <c r="ID4"/>
      <c r="IE4"/>
      <c r="IF4"/>
    </row>
    <row r="5" spans="1:240" ht="15" thickBot="1" x14ac:dyDescent="0.45">
      <c r="A5" s="140" t="s">
        <v>153</v>
      </c>
      <c r="B5" s="267">
        <v>4338.4399999999996</v>
      </c>
      <c r="C5" s="268">
        <v>4233.51</v>
      </c>
      <c r="D5" s="269">
        <v>4302.34</v>
      </c>
      <c r="E5" s="268">
        <v>4800.62</v>
      </c>
      <c r="F5" s="270">
        <v>5275.72</v>
      </c>
      <c r="G5" s="100"/>
      <c r="H5" s="102">
        <v>5275.72</v>
      </c>
      <c r="I5" s="102">
        <v>5249.28</v>
      </c>
      <c r="J5" s="236">
        <f>(I5-H5)/H5</f>
        <v>-5.0116382218920843E-3</v>
      </c>
      <c r="K5" s="218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119"/>
      <c r="Z5" s="99"/>
      <c r="HW5"/>
      <c r="HX5"/>
      <c r="HY5"/>
      <c r="HZ5"/>
      <c r="IA5"/>
      <c r="IB5"/>
      <c r="IC5"/>
      <c r="ID5"/>
      <c r="IE5"/>
      <c r="IF5"/>
    </row>
    <row r="6" spans="1:240" ht="24" customHeight="1" x14ac:dyDescent="0.4">
      <c r="A6" s="141" t="s">
        <v>1</v>
      </c>
      <c r="B6" s="165"/>
      <c r="C6" s="165"/>
      <c r="D6" s="165"/>
      <c r="E6" s="165"/>
      <c r="F6" s="165"/>
      <c r="G6" s="51"/>
      <c r="H6" s="93"/>
      <c r="I6" s="93"/>
      <c r="J6" s="93"/>
      <c r="K6" s="166"/>
      <c r="L6" s="163"/>
      <c r="M6" s="162"/>
      <c r="N6" s="162"/>
      <c r="O6" s="162"/>
      <c r="P6" s="162"/>
      <c r="Q6" s="164"/>
      <c r="R6" s="164"/>
      <c r="S6" s="164"/>
      <c r="T6" s="164"/>
      <c r="U6" s="164"/>
      <c r="V6" s="164"/>
      <c r="W6" s="164"/>
      <c r="X6" s="165"/>
      <c r="Y6" s="119"/>
      <c r="HW6"/>
      <c r="HX6"/>
      <c r="HY6"/>
      <c r="HZ6"/>
      <c r="IA6"/>
      <c r="IB6"/>
      <c r="IC6"/>
      <c r="ID6"/>
      <c r="IE6"/>
      <c r="IF6"/>
    </row>
    <row r="7" spans="1:240" ht="15" customHeight="1" x14ac:dyDescent="0.4">
      <c r="A7" s="142" t="s">
        <v>2</v>
      </c>
      <c r="B7" s="254">
        <v>3067182.2</v>
      </c>
      <c r="C7" s="254">
        <v>3164444.56</v>
      </c>
      <c r="D7" s="254">
        <v>3393672.6399999997</v>
      </c>
      <c r="E7" s="254">
        <v>3541369.6999999997</v>
      </c>
      <c r="F7" s="254">
        <v>3624878.0000000005</v>
      </c>
      <c r="G7" s="52"/>
      <c r="H7" s="53">
        <f>H2*H3</f>
        <v>3707262</v>
      </c>
      <c r="I7" s="53">
        <f>I2*I3+0.36</f>
        <v>3698646</v>
      </c>
      <c r="J7" s="234">
        <f>(I7-H7)/H7</f>
        <v>-2.3240871565052591E-3</v>
      </c>
      <c r="K7" s="176">
        <v>277812.03999999998</v>
      </c>
      <c r="L7" s="177">
        <v>414416.05</v>
      </c>
      <c r="M7" s="177">
        <v>373116.39</v>
      </c>
      <c r="N7" s="177">
        <v>374255.03</v>
      </c>
      <c r="O7" s="177">
        <f>370651.99-O8-O9</f>
        <v>302516.08090909087</v>
      </c>
      <c r="P7" s="177">
        <f>364751.82-P8-P9</f>
        <v>352855.82</v>
      </c>
      <c r="Q7" s="177">
        <f>368115.34-Q8-Q9-Q10</f>
        <v>349648.34</v>
      </c>
      <c r="R7" s="177">
        <f>379698.54-R8-R9-R10</f>
        <v>367802.54</v>
      </c>
      <c r="S7" s="177">
        <f>278000-S8-S9-S10-S12</f>
        <v>263269.73</v>
      </c>
      <c r="T7" s="177">
        <f>357792.41-T8-T9-T10-T12</f>
        <v>345106.41</v>
      </c>
      <c r="U7" s="177">
        <f>300347.39-U8-U9-U10-U12</f>
        <v>277847.57</v>
      </c>
      <c r="V7" s="178"/>
      <c r="W7" s="178"/>
      <c r="X7" s="179">
        <f t="shared" ref="X7:X13" si="0">SUM(K7:W7)</f>
        <v>3698646.000909091</v>
      </c>
      <c r="Y7" s="211">
        <f>X7/I7</f>
        <v>1.0000000002457903</v>
      </c>
      <c r="HW7"/>
      <c r="HX7"/>
      <c r="HY7"/>
      <c r="HZ7"/>
      <c r="IA7"/>
      <c r="IB7"/>
      <c r="IC7"/>
      <c r="ID7"/>
      <c r="IE7"/>
      <c r="IF7"/>
    </row>
    <row r="8" spans="1:240" ht="15" customHeight="1" x14ac:dyDescent="0.4">
      <c r="A8" s="143" t="s">
        <v>3</v>
      </c>
      <c r="B8" s="255">
        <v>265776.8</v>
      </c>
      <c r="C8" s="255">
        <v>243791.44</v>
      </c>
      <c r="D8" s="255">
        <v>265413</v>
      </c>
      <c r="E8" s="255">
        <v>244832</v>
      </c>
      <c r="F8" s="255">
        <v>189926</v>
      </c>
      <c r="G8" s="54"/>
      <c r="H8" s="53">
        <f>H4*H5</f>
        <v>232131.68000000002</v>
      </c>
      <c r="I8" s="53">
        <f>I4*I5-0.12+5309</f>
        <v>157538</v>
      </c>
      <c r="J8" s="234">
        <f t="shared" ref="J8:J38" si="1">(I8-H8)/H8</f>
        <v>-0.32134209341870101</v>
      </c>
      <c r="K8" s="180"/>
      <c r="L8" s="177"/>
      <c r="M8" s="177"/>
      <c r="N8" s="177"/>
      <c r="O8" s="177">
        <f>I8*(5/11)</f>
        <v>71608.181818181809</v>
      </c>
      <c r="P8" s="177">
        <v>12686</v>
      </c>
      <c r="Q8" s="178">
        <v>12686</v>
      </c>
      <c r="R8" s="178">
        <v>12686</v>
      </c>
      <c r="S8" s="178">
        <v>12686</v>
      </c>
      <c r="T8" s="178">
        <v>12686</v>
      </c>
      <c r="U8" s="178">
        <v>22499.82</v>
      </c>
      <c r="V8" s="178"/>
      <c r="W8" s="178"/>
      <c r="X8" s="179">
        <f t="shared" si="0"/>
        <v>157538.00181818183</v>
      </c>
      <c r="Y8" s="211">
        <f t="shared" ref="Y8:Y74" si="2">X8/I8</f>
        <v>1.0000000115412271</v>
      </c>
      <c r="Z8" s="252"/>
      <c r="HW8"/>
      <c r="HX8"/>
      <c r="HY8"/>
      <c r="HZ8"/>
      <c r="IA8"/>
      <c r="IB8"/>
      <c r="IC8"/>
      <c r="ID8"/>
      <c r="IE8"/>
      <c r="IF8"/>
    </row>
    <row r="9" spans="1:240" ht="15" customHeight="1" x14ac:dyDescent="0.4">
      <c r="A9" s="142" t="s">
        <v>4</v>
      </c>
      <c r="B9" s="256">
        <v>-8347</v>
      </c>
      <c r="C9" s="179"/>
      <c r="D9" s="179"/>
      <c r="E9" s="179"/>
      <c r="F9" s="179"/>
      <c r="G9" s="52"/>
      <c r="H9" s="53">
        <v>-10306</v>
      </c>
      <c r="I9" s="53">
        <f>-9470+1831</f>
        <v>-7639</v>
      </c>
      <c r="J9" s="234">
        <f t="shared" si="1"/>
        <v>-0.2587812924509994</v>
      </c>
      <c r="K9" s="177"/>
      <c r="L9" s="177"/>
      <c r="M9" s="177"/>
      <c r="N9" s="177"/>
      <c r="O9" s="177">
        <f>I9*(5/11)</f>
        <v>-3472.272727272727</v>
      </c>
      <c r="P9" s="177">
        <v>-790</v>
      </c>
      <c r="Q9" s="178">
        <v>-790</v>
      </c>
      <c r="R9" s="178">
        <v>-790</v>
      </c>
      <c r="S9" s="178">
        <v>-1796.73</v>
      </c>
      <c r="T9" s="178"/>
      <c r="U9" s="178"/>
      <c r="V9" s="178"/>
      <c r="W9" s="178"/>
      <c r="X9" s="179">
        <f t="shared" si="0"/>
        <v>-7639.0027272727275</v>
      </c>
      <c r="Y9" s="211">
        <f t="shared" si="2"/>
        <v>1.0000003570196003</v>
      </c>
      <c r="Z9" s="243"/>
      <c r="HW9"/>
      <c r="HX9"/>
      <c r="HY9"/>
      <c r="HZ9"/>
      <c r="IA9"/>
      <c r="IB9"/>
      <c r="IC9"/>
      <c r="ID9"/>
      <c r="IE9"/>
      <c r="IF9"/>
    </row>
    <row r="10" spans="1:240" ht="15" customHeight="1" x14ac:dyDescent="0.4">
      <c r="A10" s="142" t="s">
        <v>5</v>
      </c>
      <c r="B10" s="179"/>
      <c r="C10" s="179"/>
      <c r="D10" s="179"/>
      <c r="E10" s="179"/>
      <c r="F10" s="179"/>
      <c r="G10" s="52"/>
      <c r="H10" s="53">
        <v>6700</v>
      </c>
      <c r="I10" s="53">
        <v>6571</v>
      </c>
      <c r="J10" s="234">
        <f t="shared" si="1"/>
        <v>-1.9253731343283582E-2</v>
      </c>
      <c r="K10" s="177"/>
      <c r="L10" s="177"/>
      <c r="M10" s="177"/>
      <c r="N10" s="177"/>
      <c r="O10" s="177"/>
      <c r="P10" s="177"/>
      <c r="Q10" s="178">
        <v>6571</v>
      </c>
      <c r="R10" s="178"/>
      <c r="S10" s="178"/>
      <c r="T10" s="178"/>
      <c r="U10" s="178"/>
      <c r="V10" s="178"/>
      <c r="W10" s="178"/>
      <c r="X10" s="179">
        <f t="shared" si="0"/>
        <v>6571</v>
      </c>
      <c r="Y10" s="211">
        <f t="shared" si="2"/>
        <v>1</v>
      </c>
      <c r="Z10" s="213"/>
      <c r="HW10"/>
      <c r="HX10"/>
      <c r="HY10"/>
      <c r="HZ10"/>
      <c r="IA10"/>
      <c r="IB10"/>
      <c r="IC10"/>
      <c r="ID10"/>
      <c r="IE10"/>
      <c r="IF10"/>
    </row>
    <row r="11" spans="1:240" ht="15" customHeight="1" x14ac:dyDescent="0.4">
      <c r="A11" s="142" t="s">
        <v>6</v>
      </c>
      <c r="B11" s="179"/>
      <c r="C11" s="179"/>
      <c r="D11" s="179"/>
      <c r="E11" s="179"/>
      <c r="F11" s="179"/>
      <c r="G11" s="52"/>
      <c r="H11" s="53">
        <v>0</v>
      </c>
      <c r="I11" s="53"/>
      <c r="J11" s="234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9">
        <f t="shared" si="0"/>
        <v>0</v>
      </c>
      <c r="Y11" s="211"/>
      <c r="HW11"/>
      <c r="HX11"/>
      <c r="HY11"/>
      <c r="HZ11"/>
      <c r="IA11"/>
      <c r="IB11"/>
      <c r="IC11"/>
      <c r="ID11"/>
      <c r="IE11"/>
      <c r="IF11"/>
    </row>
    <row r="12" spans="1:240" ht="15" customHeight="1" x14ac:dyDescent="0.4">
      <c r="A12" s="142" t="s">
        <v>7</v>
      </c>
      <c r="B12" s="179">
        <f>38231.73-B9</f>
        <v>46578.73</v>
      </c>
      <c r="C12" s="179">
        <v>29980.51</v>
      </c>
      <c r="D12" s="179">
        <v>9022.36</v>
      </c>
      <c r="E12" s="179">
        <v>160723.31999999998</v>
      </c>
      <c r="F12" s="179">
        <v>51594.95</v>
      </c>
      <c r="G12" s="52"/>
      <c r="H12" s="53">
        <v>0</v>
      </c>
      <c r="I12" s="53">
        <f>18408+3841+29841</f>
        <v>52090</v>
      </c>
      <c r="J12" s="234"/>
      <c r="K12" s="177"/>
      <c r="L12" s="177"/>
      <c r="M12" s="177"/>
      <c r="N12" s="177"/>
      <c r="O12" s="177"/>
      <c r="P12" s="177"/>
      <c r="Q12" s="177">
        <v>18408</v>
      </c>
      <c r="R12" s="177">
        <v>0.17</v>
      </c>
      <c r="S12" s="177">
        <v>3841</v>
      </c>
      <c r="T12" s="177"/>
      <c r="U12" s="177"/>
      <c r="V12" s="177">
        <f>34545-V13</f>
        <v>29841</v>
      </c>
      <c r="W12" s="177"/>
      <c r="X12" s="179">
        <f t="shared" si="0"/>
        <v>52090.17</v>
      </c>
      <c r="Y12" s="211">
        <f t="shared" si="2"/>
        <v>1.0000032635822615</v>
      </c>
      <c r="Z12" s="233"/>
      <c r="HW12"/>
      <c r="HX12"/>
      <c r="HY12"/>
      <c r="HZ12"/>
      <c r="IA12"/>
      <c r="IB12"/>
      <c r="IC12"/>
      <c r="ID12"/>
      <c r="IE12"/>
      <c r="IF12"/>
    </row>
    <row r="13" spans="1:240" ht="15" customHeight="1" x14ac:dyDescent="0.4">
      <c r="A13" s="142" t="s">
        <v>211</v>
      </c>
      <c r="B13" s="272"/>
      <c r="C13" s="272"/>
      <c r="D13" s="272"/>
      <c r="E13" s="272"/>
      <c r="F13" s="272"/>
      <c r="G13" s="52"/>
      <c r="H13" s="53"/>
      <c r="I13" s="53">
        <v>4704</v>
      </c>
      <c r="J13" s="234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>
        <v>4704</v>
      </c>
      <c r="W13" s="177"/>
      <c r="X13" s="179">
        <f t="shared" si="0"/>
        <v>4704</v>
      </c>
      <c r="Y13" s="211">
        <f t="shared" si="2"/>
        <v>1</v>
      </c>
      <c r="Z13" s="233"/>
      <c r="HW13"/>
      <c r="HX13"/>
      <c r="HY13"/>
      <c r="HZ13"/>
      <c r="IA13"/>
      <c r="IB13"/>
      <c r="IC13"/>
      <c r="ID13"/>
      <c r="IE13"/>
      <c r="IF13"/>
    </row>
    <row r="14" spans="1:240" s="117" customFormat="1" ht="15" customHeight="1" x14ac:dyDescent="0.4">
      <c r="A14" s="144" t="s">
        <v>158</v>
      </c>
      <c r="B14" s="181">
        <f t="shared" ref="B14:F14" si="3">SUM(B7:B12)</f>
        <v>3371190.73</v>
      </c>
      <c r="C14" s="181">
        <f t="shared" si="3"/>
        <v>3438216.51</v>
      </c>
      <c r="D14" s="181">
        <f t="shared" si="3"/>
        <v>3668107.9999999995</v>
      </c>
      <c r="E14" s="181">
        <f t="shared" si="3"/>
        <v>3946925.0199999996</v>
      </c>
      <c r="F14" s="181">
        <f t="shared" si="3"/>
        <v>3866398.9500000007</v>
      </c>
      <c r="G14" s="95"/>
      <c r="H14" s="97">
        <f>SUM(H7:H13)</f>
        <v>3935787.68</v>
      </c>
      <c r="I14" s="97">
        <f t="shared" ref="I14" si="4">SUM(I7:I13)</f>
        <v>3911910</v>
      </c>
      <c r="J14" s="234">
        <f t="shared" si="1"/>
        <v>-6.0668110023659018E-3</v>
      </c>
      <c r="K14" s="273">
        <f t="shared" ref="K14" si="5">SUM(K7:K13)</f>
        <v>277812.03999999998</v>
      </c>
      <c r="L14" s="273">
        <f t="shared" ref="L14" si="6">SUM(L7:L13)</f>
        <v>414416.05</v>
      </c>
      <c r="M14" s="273">
        <f t="shared" ref="M14" si="7">SUM(M7:M13)</f>
        <v>373116.39</v>
      </c>
      <c r="N14" s="273">
        <f t="shared" ref="N14" si="8">SUM(N7:N13)</f>
        <v>374255.03</v>
      </c>
      <c r="O14" s="273">
        <f t="shared" ref="O14" si="9">SUM(O7:O13)</f>
        <v>370651.99</v>
      </c>
      <c r="P14" s="273">
        <f t="shared" ref="P14" si="10">SUM(P7:P13)</f>
        <v>364751.82</v>
      </c>
      <c r="Q14" s="273">
        <f t="shared" ref="Q14" si="11">SUM(Q7:Q13)</f>
        <v>386523.34</v>
      </c>
      <c r="R14" s="273">
        <f t="shared" ref="R14" si="12">SUM(R7:R13)</f>
        <v>379698.70999999996</v>
      </c>
      <c r="S14" s="273">
        <f t="shared" ref="S14" si="13">SUM(S7:S13)</f>
        <v>278000</v>
      </c>
      <c r="T14" s="273">
        <f t="shared" ref="T14" si="14">SUM(T7:T13)</f>
        <v>357792.41</v>
      </c>
      <c r="U14" s="273">
        <f t="shared" ref="U14" si="15">SUM(U7:U13)</f>
        <v>300347.39</v>
      </c>
      <c r="V14" s="273">
        <f t="shared" ref="V14" si="16">SUM(V7:V13)</f>
        <v>34545</v>
      </c>
      <c r="W14" s="273">
        <f t="shared" ref="W14" si="17">SUM(W7:W13)</f>
        <v>0</v>
      </c>
      <c r="X14" s="273">
        <f t="shared" ref="X14" si="18">SUM(X7:X13)</f>
        <v>3911910.17</v>
      </c>
      <c r="Y14" s="211">
        <f t="shared" si="2"/>
        <v>1.0000000434570324</v>
      </c>
      <c r="Z14" s="241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</row>
    <row r="15" spans="1:240" ht="15" customHeight="1" x14ac:dyDescent="0.4">
      <c r="A15" s="142" t="s">
        <v>8</v>
      </c>
      <c r="B15" s="255">
        <v>2115.56</v>
      </c>
      <c r="C15" s="255">
        <v>0</v>
      </c>
      <c r="D15" s="255">
        <v>1697.61</v>
      </c>
      <c r="E15" s="255">
        <v>1758.9700000000003</v>
      </c>
      <c r="F15" s="255">
        <v>1903.0500000000002</v>
      </c>
      <c r="G15" s="113">
        <v>1</v>
      </c>
      <c r="H15" s="53">
        <v>1903.05</v>
      </c>
      <c r="I15" s="53">
        <f>1*(218.73*9)</f>
        <v>1968.57</v>
      </c>
      <c r="J15" s="234">
        <f>(I15-H15)/H15</f>
        <v>3.4428943012532506E-2</v>
      </c>
      <c r="K15" s="176"/>
      <c r="L15" s="183"/>
      <c r="M15" s="177"/>
      <c r="N15" s="177">
        <v>218.73</v>
      </c>
      <c r="O15" s="177">
        <v>218.73</v>
      </c>
      <c r="P15" s="177">
        <v>218.73</v>
      </c>
      <c r="Q15" s="177">
        <v>218.73</v>
      </c>
      <c r="R15" s="177"/>
      <c r="S15" s="177"/>
      <c r="T15" s="177"/>
      <c r="U15" s="177">
        <v>874.92</v>
      </c>
      <c r="V15" s="177">
        <v>218.73</v>
      </c>
      <c r="W15" s="177"/>
      <c r="X15" s="184">
        <f>SUM(K15:W15)</f>
        <v>1968.57</v>
      </c>
      <c r="Y15" s="244">
        <f t="shared" si="2"/>
        <v>1</v>
      </c>
      <c r="Z15" s="242"/>
      <c r="HW15"/>
      <c r="HX15"/>
      <c r="HY15"/>
      <c r="HZ15"/>
      <c r="IA15"/>
      <c r="IB15"/>
      <c r="IC15"/>
      <c r="ID15"/>
      <c r="IE15"/>
      <c r="IF15"/>
    </row>
    <row r="16" spans="1:240" ht="15" customHeight="1" x14ac:dyDescent="0.4">
      <c r="A16" s="142" t="s">
        <v>9</v>
      </c>
      <c r="B16" s="184">
        <v>33308</v>
      </c>
      <c r="C16" s="184">
        <v>25758</v>
      </c>
      <c r="D16" s="184">
        <v>25812</v>
      </c>
      <c r="E16" s="184">
        <v>43290</v>
      </c>
      <c r="F16" s="184">
        <v>48670</v>
      </c>
      <c r="G16" s="113">
        <v>9</v>
      </c>
      <c r="H16" s="53">
        <v>53537</v>
      </c>
      <c r="I16" s="53">
        <f>8.33*611.11*9</f>
        <v>45814.916700000002</v>
      </c>
      <c r="J16" s="234">
        <f t="shared" si="1"/>
        <v>-0.14423825204998408</v>
      </c>
      <c r="K16" s="177"/>
      <c r="L16" s="177"/>
      <c r="M16" s="177"/>
      <c r="N16" s="177">
        <v>12220</v>
      </c>
      <c r="O16" s="177">
        <v>8175</v>
      </c>
      <c r="P16" s="177"/>
      <c r="Q16" s="177">
        <v>4085</v>
      </c>
      <c r="R16" s="177">
        <v>4092</v>
      </c>
      <c r="S16" s="177">
        <v>3650</v>
      </c>
      <c r="T16" s="177">
        <v>3654</v>
      </c>
      <c r="U16" s="177">
        <v>3145</v>
      </c>
      <c r="V16" s="177">
        <v>7321</v>
      </c>
      <c r="W16" s="177"/>
      <c r="X16" s="184">
        <f t="shared" ref="X16:X34" si="19">SUM(K16:W16)</f>
        <v>46342</v>
      </c>
      <c r="Y16" s="211">
        <f t="shared" si="2"/>
        <v>1.0115046220306672</v>
      </c>
      <c r="Z16" s="246"/>
      <c r="HW16"/>
      <c r="HX16"/>
      <c r="HY16"/>
      <c r="HZ16"/>
      <c r="IA16"/>
      <c r="IB16"/>
      <c r="IC16"/>
      <c r="ID16"/>
      <c r="IE16"/>
      <c r="IF16"/>
    </row>
    <row r="17" spans="1:240" ht="15" customHeight="1" x14ac:dyDescent="0.4">
      <c r="A17" s="142" t="s">
        <v>10</v>
      </c>
      <c r="B17" s="184">
        <v>32282.959999999999</v>
      </c>
      <c r="C17" s="184">
        <v>49936.01</v>
      </c>
      <c r="D17" s="184">
        <v>58390.93</v>
      </c>
      <c r="E17" s="184">
        <v>57721.86</v>
      </c>
      <c r="F17" s="184">
        <v>34884.769999999997</v>
      </c>
      <c r="G17" s="113">
        <v>5</v>
      </c>
      <c r="H17" s="53">
        <v>33665.760000000002</v>
      </c>
      <c r="I17" s="53">
        <f>6*486.71*9</f>
        <v>26282.339999999997</v>
      </c>
      <c r="J17" s="234">
        <f t="shared" si="1"/>
        <v>-0.21931541126652138</v>
      </c>
      <c r="K17" s="177"/>
      <c r="L17" s="177"/>
      <c r="M17" s="177"/>
      <c r="N17" s="177">
        <v>6840.18</v>
      </c>
      <c r="O17" s="177">
        <v>3556.86</v>
      </c>
      <c r="P17" s="177">
        <v>2655.94</v>
      </c>
      <c r="Q17" s="177">
        <v>1701.35</v>
      </c>
      <c r="R17" s="177"/>
      <c r="S17" s="177">
        <v>1769.56</v>
      </c>
      <c r="T17" s="177">
        <v>1718.73</v>
      </c>
      <c r="U17" s="177">
        <v>1769.48</v>
      </c>
      <c r="V17" s="177">
        <v>6270.11</v>
      </c>
      <c r="W17" s="177"/>
      <c r="X17" s="184">
        <f t="shared" si="19"/>
        <v>26282.210000000003</v>
      </c>
      <c r="Y17" s="211">
        <f t="shared" si="2"/>
        <v>0.99999505371287356</v>
      </c>
      <c r="Z17" s="246"/>
      <c r="HW17"/>
      <c r="HX17"/>
      <c r="HY17"/>
      <c r="HZ17"/>
      <c r="IA17"/>
      <c r="IB17"/>
      <c r="IC17"/>
      <c r="ID17"/>
      <c r="IE17"/>
      <c r="IF17"/>
    </row>
    <row r="18" spans="1:240" ht="15" customHeight="1" x14ac:dyDescent="0.4">
      <c r="A18" s="143" t="s">
        <v>116</v>
      </c>
      <c r="B18" s="184">
        <v>0</v>
      </c>
      <c r="C18" s="184">
        <v>0</v>
      </c>
      <c r="D18" s="184">
        <v>0</v>
      </c>
      <c r="E18" s="184">
        <v>0</v>
      </c>
      <c r="F18" s="184">
        <v>1701.7</v>
      </c>
      <c r="G18" s="114">
        <v>1</v>
      </c>
      <c r="H18" s="53">
        <v>1638</v>
      </c>
      <c r="I18" s="53">
        <f>1*(182*9)*1.02</f>
        <v>1670.76</v>
      </c>
      <c r="J18" s="234">
        <f>(I18-H18)/H18</f>
        <v>1.9999999999999993E-2</v>
      </c>
      <c r="K18" s="177"/>
      <c r="L18" s="177"/>
      <c r="M18" s="177"/>
      <c r="N18" s="177"/>
      <c r="O18" s="177"/>
      <c r="P18" s="177"/>
      <c r="Q18" s="177">
        <v>734</v>
      </c>
      <c r="R18" s="177">
        <v>336</v>
      </c>
      <c r="S18" s="177">
        <v>148</v>
      </c>
      <c r="T18" s="177"/>
      <c r="U18" s="177">
        <v>294</v>
      </c>
      <c r="V18" s="177">
        <v>147</v>
      </c>
      <c r="W18" s="177">
        <v>102.38</v>
      </c>
      <c r="X18" s="184">
        <f>SUM(K18:W18)</f>
        <v>1761.38</v>
      </c>
      <c r="Y18" s="211">
        <f>X18/I18</f>
        <v>1.0542387895329073</v>
      </c>
      <c r="Z18" s="242"/>
      <c r="HW18"/>
      <c r="HX18"/>
      <c r="HY18"/>
      <c r="HZ18"/>
      <c r="IA18"/>
      <c r="IB18"/>
      <c r="IC18"/>
      <c r="ID18"/>
      <c r="IE18"/>
      <c r="IF18"/>
    </row>
    <row r="19" spans="1:240" ht="15" customHeight="1" x14ac:dyDescent="0.4">
      <c r="A19" s="142" t="s">
        <v>11</v>
      </c>
      <c r="B19" s="184">
        <v>825942.96</v>
      </c>
      <c r="C19" s="184">
        <v>787545</v>
      </c>
      <c r="D19" s="184">
        <v>978618.88</v>
      </c>
      <c r="E19" s="184">
        <v>1038647.8300000001</v>
      </c>
      <c r="F19" s="184">
        <v>1359843.5999999996</v>
      </c>
      <c r="G19" s="113">
        <v>281</v>
      </c>
      <c r="H19" s="53">
        <v>1216584</v>
      </c>
      <c r="I19" s="53">
        <f>(280)*(397*12)</f>
        <v>1333920</v>
      </c>
      <c r="J19" s="234">
        <f t="shared" si="1"/>
        <v>9.6447101063305118E-2</v>
      </c>
      <c r="K19" s="176"/>
      <c r="L19" s="177"/>
      <c r="M19" s="177">
        <v>331800</v>
      </c>
      <c r="N19" s="177"/>
      <c r="O19" s="177">
        <v>109035.56</v>
      </c>
      <c r="P19" s="177">
        <v>112017.9</v>
      </c>
      <c r="Q19" s="177"/>
      <c r="R19" s="177">
        <v>223238.52</v>
      </c>
      <c r="S19" s="177">
        <v>223238.52</v>
      </c>
      <c r="T19" s="177"/>
      <c r="U19" s="177">
        <v>111619.26</v>
      </c>
      <c r="V19" s="177">
        <v>106623.1</v>
      </c>
      <c r="W19" s="177">
        <v>1167.22</v>
      </c>
      <c r="X19" s="184">
        <f t="shared" si="19"/>
        <v>1218740.08</v>
      </c>
      <c r="Y19" s="211">
        <f t="shared" si="2"/>
        <v>0.91365305265683106</v>
      </c>
      <c r="Z19" s="246" t="s">
        <v>216</v>
      </c>
      <c r="HW19"/>
      <c r="HX19"/>
      <c r="HY19"/>
      <c r="HZ19"/>
      <c r="IA19"/>
      <c r="IB19"/>
      <c r="IC19"/>
      <c r="ID19"/>
      <c r="IE19"/>
      <c r="IF19"/>
    </row>
    <row r="20" spans="1:240" ht="15" customHeight="1" x14ac:dyDescent="0.4">
      <c r="A20" s="142" t="s">
        <v>12</v>
      </c>
      <c r="B20" s="184">
        <v>1770.68</v>
      </c>
      <c r="C20" s="184">
        <v>2102.08</v>
      </c>
      <c r="D20" s="184">
        <v>2220.46</v>
      </c>
      <c r="E20" s="184">
        <v>4341.9800000000005</v>
      </c>
      <c r="F20" s="184">
        <v>2122.38</v>
      </c>
      <c r="G20" s="113">
        <v>0</v>
      </c>
      <c r="H20" s="53">
        <v>2166.6</v>
      </c>
      <c r="I20" s="53">
        <f>$G20*2166.6*1.02</f>
        <v>0</v>
      </c>
      <c r="J20" s="234">
        <f t="shared" si="1"/>
        <v>-1</v>
      </c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84">
        <f t="shared" si="19"/>
        <v>0</v>
      </c>
      <c r="Y20" s="211"/>
      <c r="Z20" s="242"/>
      <c r="HW20"/>
      <c r="HX20"/>
      <c r="HY20"/>
      <c r="HZ20"/>
      <c r="IA20"/>
      <c r="IB20"/>
      <c r="IC20"/>
      <c r="ID20"/>
      <c r="IE20"/>
      <c r="IF20"/>
    </row>
    <row r="21" spans="1:240" ht="15" customHeight="1" x14ac:dyDescent="0.4">
      <c r="A21" s="142" t="s">
        <v>13</v>
      </c>
      <c r="B21" s="184">
        <v>8725.5</v>
      </c>
      <c r="C21" s="184">
        <v>9305.5</v>
      </c>
      <c r="D21" s="184">
        <v>9644</v>
      </c>
      <c r="E21" s="184">
        <v>14426.449999999999</v>
      </c>
      <c r="F21" s="184">
        <v>6406.41</v>
      </c>
      <c r="G21" s="113">
        <v>2</v>
      </c>
      <c r="H21" s="53">
        <v>6300</v>
      </c>
      <c r="I21" s="53">
        <f>1.33*2525</f>
        <v>3358.25</v>
      </c>
      <c r="J21" s="234">
        <f t="shared" si="1"/>
        <v>-0.46694444444444444</v>
      </c>
      <c r="K21" s="177"/>
      <c r="L21" s="177"/>
      <c r="M21" s="177"/>
      <c r="N21" s="177">
        <v>1489.48</v>
      </c>
      <c r="O21" s="177"/>
      <c r="P21" s="177">
        <v>372.86</v>
      </c>
      <c r="Q21" s="177">
        <v>373.42</v>
      </c>
      <c r="R21" s="177">
        <v>188.87</v>
      </c>
      <c r="S21" s="177"/>
      <c r="T21" s="177">
        <v>188.3</v>
      </c>
      <c r="U21" s="177">
        <v>188.95</v>
      </c>
      <c r="V21" s="177">
        <f>612.89-W21</f>
        <v>387.9</v>
      </c>
      <c r="W21" s="177">
        <v>224.99</v>
      </c>
      <c r="X21" s="184">
        <f t="shared" si="19"/>
        <v>3414.7700000000004</v>
      </c>
      <c r="Y21" s="211">
        <f t="shared" si="2"/>
        <v>1.0168301942976254</v>
      </c>
      <c r="Z21" s="242"/>
      <c r="HW21"/>
      <c r="HX21"/>
      <c r="HY21"/>
      <c r="HZ21"/>
      <c r="IA21"/>
      <c r="IB21"/>
      <c r="IC21"/>
      <c r="ID21"/>
      <c r="IE21"/>
      <c r="IF21"/>
    </row>
    <row r="22" spans="1:240" ht="15" customHeight="1" x14ac:dyDescent="0.4">
      <c r="A22" s="142" t="s">
        <v>14</v>
      </c>
      <c r="B22" s="184">
        <v>1151.26</v>
      </c>
      <c r="C22" s="184">
        <v>1194.92</v>
      </c>
      <c r="D22" s="184">
        <v>1224.98</v>
      </c>
      <c r="E22" s="184">
        <v>1202.26</v>
      </c>
      <c r="F22" s="184">
        <v>0</v>
      </c>
      <c r="G22" s="113">
        <v>1</v>
      </c>
      <c r="H22" s="53">
        <v>0</v>
      </c>
      <c r="I22" s="53">
        <f>1*147*9</f>
        <v>1323</v>
      </c>
      <c r="J22" s="234"/>
      <c r="K22" s="177"/>
      <c r="L22" s="177"/>
      <c r="M22" s="177"/>
      <c r="N22" s="177">
        <v>147.56</v>
      </c>
      <c r="O22" s="177">
        <v>146.58000000000001</v>
      </c>
      <c r="P22" s="177">
        <v>146.80000000000001</v>
      </c>
      <c r="Q22" s="177">
        <v>146.71</v>
      </c>
      <c r="R22" s="177">
        <v>148.32</v>
      </c>
      <c r="S22" s="177">
        <v>148.82</v>
      </c>
      <c r="T22" s="177">
        <v>149.16</v>
      </c>
      <c r="U22" s="177">
        <v>149.53</v>
      </c>
      <c r="V22" s="177">
        <v>145.03</v>
      </c>
      <c r="W22" s="177"/>
      <c r="X22" s="184">
        <f t="shared" si="19"/>
        <v>1328.51</v>
      </c>
      <c r="Y22" s="211">
        <f t="shared" si="2"/>
        <v>1.00416477702192</v>
      </c>
      <c r="HW22"/>
      <c r="HX22"/>
      <c r="HY22"/>
      <c r="HZ22"/>
      <c r="IA22"/>
      <c r="IB22"/>
      <c r="IC22"/>
      <c r="ID22"/>
      <c r="IE22"/>
      <c r="IF22"/>
    </row>
    <row r="23" spans="1:240" ht="15" customHeight="1" x14ac:dyDescent="0.4">
      <c r="A23" s="142" t="s">
        <v>210</v>
      </c>
      <c r="B23" s="184">
        <v>4936.6499999999996</v>
      </c>
      <c r="C23" s="184">
        <v>1957.55</v>
      </c>
      <c r="D23" s="184">
        <v>0</v>
      </c>
      <c r="E23" s="184">
        <v>450.75</v>
      </c>
      <c r="F23" s="184">
        <v>0</v>
      </c>
      <c r="G23" s="113"/>
      <c r="H23" s="53"/>
      <c r="I23" s="53"/>
      <c r="J23" s="234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84"/>
      <c r="Y23" s="211"/>
      <c r="HW23"/>
      <c r="HX23"/>
      <c r="HY23"/>
      <c r="HZ23"/>
      <c r="IA23"/>
      <c r="IB23"/>
      <c r="IC23"/>
      <c r="ID23"/>
      <c r="IE23"/>
      <c r="IF23"/>
    </row>
    <row r="24" spans="1:240" ht="15" customHeight="1" x14ac:dyDescent="0.4">
      <c r="A24" s="143" t="s">
        <v>15</v>
      </c>
      <c r="B24" s="184">
        <v>57385.35</v>
      </c>
      <c r="C24" s="184">
        <v>34402.32</v>
      </c>
      <c r="D24" s="184">
        <v>38757.360000000001</v>
      </c>
      <c r="E24" s="184">
        <v>64646.63</v>
      </c>
      <c r="F24" s="184">
        <v>61503.16</v>
      </c>
      <c r="G24" s="114">
        <v>13</v>
      </c>
      <c r="H24" s="53">
        <v>61425</v>
      </c>
      <c r="I24" s="53">
        <f>11.22*581*9</f>
        <v>58669.380000000005</v>
      </c>
      <c r="J24" s="234">
        <f t="shared" si="1"/>
        <v>-4.4861538461538383E-2</v>
      </c>
      <c r="K24" s="177"/>
      <c r="L24" s="177"/>
      <c r="M24" s="177"/>
      <c r="N24" s="177">
        <v>7619.82</v>
      </c>
      <c r="O24" s="177"/>
      <c r="P24" s="177">
        <v>12774.25</v>
      </c>
      <c r="Q24" s="177"/>
      <c r="R24" s="177">
        <v>6384.81</v>
      </c>
      <c r="S24" s="177">
        <v>6399.93</v>
      </c>
      <c r="T24" s="177">
        <v>6399.76</v>
      </c>
      <c r="U24" s="177">
        <v>6398.35</v>
      </c>
      <c r="V24" s="177">
        <v>12797.21</v>
      </c>
      <c r="W24" s="177"/>
      <c r="X24" s="184">
        <f t="shared" si="19"/>
        <v>58774.13</v>
      </c>
      <c r="Y24" s="211">
        <f t="shared" si="2"/>
        <v>1.0017854287875547</v>
      </c>
      <c r="Z24" s="242"/>
      <c r="HW24"/>
      <c r="HX24"/>
      <c r="HY24"/>
      <c r="HZ24"/>
      <c r="IA24"/>
      <c r="IB24"/>
      <c r="IC24"/>
      <c r="ID24"/>
      <c r="IE24"/>
      <c r="IF24"/>
    </row>
    <row r="25" spans="1:240" ht="15" customHeight="1" x14ac:dyDescent="0.4">
      <c r="A25" s="143" t="s">
        <v>16</v>
      </c>
      <c r="B25" s="184">
        <v>756894.6</v>
      </c>
      <c r="C25" s="184">
        <v>875249.65</v>
      </c>
      <c r="D25" s="184">
        <v>899572.07</v>
      </c>
      <c r="E25" s="184">
        <v>851832.89000000013</v>
      </c>
      <c r="F25" s="184">
        <v>901213.77999999991</v>
      </c>
      <c r="G25" s="114">
        <v>252</v>
      </c>
      <c r="H25" s="53">
        <v>905772</v>
      </c>
      <c r="I25" s="53">
        <f>250*(303.8*12)</f>
        <v>911400.00000000012</v>
      </c>
      <c r="J25" s="234">
        <f t="shared" si="1"/>
        <v>6.2134841880739488E-3</v>
      </c>
      <c r="K25" s="177"/>
      <c r="L25" s="177"/>
      <c r="M25" s="177">
        <v>344.52</v>
      </c>
      <c r="N25" s="177">
        <v>228255</v>
      </c>
      <c r="O25" s="177">
        <v>77500.649999999994</v>
      </c>
      <c r="P25" s="177">
        <v>151460.93</v>
      </c>
      <c r="Q25" s="177"/>
      <c r="R25" s="177">
        <v>77862.710000000006</v>
      </c>
      <c r="S25" s="177">
        <v>151245.32</v>
      </c>
      <c r="T25" s="177">
        <v>75125.179999999993</v>
      </c>
      <c r="U25" s="177">
        <v>74759.600000000006</v>
      </c>
      <c r="V25" s="177">
        <v>74719.92</v>
      </c>
      <c r="W25" s="177"/>
      <c r="X25" s="184">
        <f t="shared" si="19"/>
        <v>911273.82999999984</v>
      </c>
      <c r="Y25" s="211">
        <f t="shared" si="2"/>
        <v>0.99986156462585007</v>
      </c>
      <c r="Z25" s="242"/>
      <c r="HW25"/>
      <c r="HX25"/>
      <c r="HY25"/>
      <c r="HZ25"/>
      <c r="IA25"/>
      <c r="IB25"/>
      <c r="IC25"/>
      <c r="ID25"/>
      <c r="IE25"/>
      <c r="IF25"/>
    </row>
    <row r="26" spans="1:240" ht="15" customHeight="1" x14ac:dyDescent="0.4">
      <c r="A26" s="143" t="s">
        <v>201</v>
      </c>
      <c r="B26" s="184"/>
      <c r="C26" s="184"/>
      <c r="D26" s="184"/>
      <c r="E26" s="184"/>
      <c r="F26" s="184"/>
      <c r="G26" s="114"/>
      <c r="H26" s="53">
        <v>0</v>
      </c>
      <c r="I26" s="53">
        <f>G26*1800</f>
        <v>0</v>
      </c>
      <c r="J26" s="234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84">
        <f t="shared" si="19"/>
        <v>0</v>
      </c>
      <c r="Y26" s="211"/>
      <c r="Z26" s="271"/>
      <c r="HW26"/>
      <c r="HX26"/>
      <c r="HY26"/>
      <c r="HZ26"/>
      <c r="IA26"/>
      <c r="IB26"/>
      <c r="IC26"/>
      <c r="ID26"/>
      <c r="IE26"/>
      <c r="IF26"/>
    </row>
    <row r="27" spans="1:240" s="117" customFormat="1" ht="15" customHeight="1" x14ac:dyDescent="0.4">
      <c r="A27" s="145" t="s">
        <v>159</v>
      </c>
      <c r="B27" s="181">
        <f t="shared" ref="B27:E27" si="20">SUM(B15:B26)</f>
        <v>1724513.52</v>
      </c>
      <c r="C27" s="181">
        <f t="shared" si="20"/>
        <v>1787451.03</v>
      </c>
      <c r="D27" s="181">
        <f t="shared" si="20"/>
        <v>2015938.29</v>
      </c>
      <c r="E27" s="181">
        <f t="shared" si="20"/>
        <v>2078319.62</v>
      </c>
      <c r="F27" s="181">
        <f>SUM(F15:F26)</f>
        <v>2418248.8499999992</v>
      </c>
      <c r="G27" s="245">
        <f>SUM(G15:G26)</f>
        <v>565</v>
      </c>
      <c r="H27" s="97">
        <f>SUM(H15:H26)</f>
        <v>2282991.41</v>
      </c>
      <c r="I27" s="97">
        <f>SUM(I15:I26)</f>
        <v>2384407.2167000002</v>
      </c>
      <c r="J27" s="234">
        <f t="shared" si="1"/>
        <v>4.4422333897436814E-2</v>
      </c>
      <c r="K27" s="181">
        <f t="shared" ref="K27:X27" si="21">SUM(K15:K26)</f>
        <v>0</v>
      </c>
      <c r="L27" s="181">
        <f t="shared" si="21"/>
        <v>0</v>
      </c>
      <c r="M27" s="181">
        <f t="shared" si="21"/>
        <v>332144.52</v>
      </c>
      <c r="N27" s="181">
        <f t="shared" si="21"/>
        <v>256790.77</v>
      </c>
      <c r="O27" s="181">
        <f t="shared" si="21"/>
        <v>198633.38</v>
      </c>
      <c r="P27" s="181">
        <f t="shared" si="21"/>
        <v>279647.40999999997</v>
      </c>
      <c r="Q27" s="181">
        <f t="shared" si="21"/>
        <v>7259.21</v>
      </c>
      <c r="R27" s="181">
        <f t="shared" si="21"/>
        <v>312251.23</v>
      </c>
      <c r="S27" s="181">
        <f t="shared" si="21"/>
        <v>386600.15</v>
      </c>
      <c r="T27" s="181">
        <f t="shared" si="21"/>
        <v>87235.12999999999</v>
      </c>
      <c r="U27" s="181">
        <f t="shared" si="21"/>
        <v>199199.09</v>
      </c>
      <c r="V27" s="181">
        <f t="shared" si="21"/>
        <v>208630</v>
      </c>
      <c r="W27" s="181">
        <f t="shared" si="21"/>
        <v>1494.59</v>
      </c>
      <c r="X27" s="181">
        <f t="shared" si="21"/>
        <v>2269885.4799999995</v>
      </c>
      <c r="Y27" s="211">
        <f t="shared" si="2"/>
        <v>0.95197056278897785</v>
      </c>
      <c r="Z27" s="274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</row>
    <row r="28" spans="1:240" ht="15" customHeight="1" x14ac:dyDescent="0.4">
      <c r="A28" s="143" t="s">
        <v>17</v>
      </c>
      <c r="B28" s="184">
        <v>101664.56</v>
      </c>
      <c r="C28" s="184">
        <v>99750</v>
      </c>
      <c r="D28" s="184">
        <v>108110</v>
      </c>
      <c r="E28" s="184">
        <v>95506.85</v>
      </c>
      <c r="F28" s="184">
        <v>100772.15</v>
      </c>
      <c r="G28" s="115"/>
      <c r="H28" s="53">
        <v>85433</v>
      </c>
      <c r="I28" s="53">
        <f>10+1307+110428+4210</f>
        <v>115955</v>
      </c>
      <c r="J28" s="234">
        <f t="shared" si="1"/>
        <v>0.35726241616237286</v>
      </c>
      <c r="K28" s="176"/>
      <c r="L28" s="177"/>
      <c r="M28" s="177"/>
      <c r="N28" s="177"/>
      <c r="O28" s="177"/>
      <c r="P28" s="177"/>
      <c r="Q28" s="177"/>
      <c r="R28" s="177"/>
      <c r="S28" s="177">
        <v>91936.25</v>
      </c>
      <c r="T28" s="177">
        <v>11632.64</v>
      </c>
      <c r="U28" s="177"/>
      <c r="V28" s="177">
        <v>12386.11</v>
      </c>
      <c r="W28" s="177"/>
      <c r="X28" s="184">
        <f t="shared" si="19"/>
        <v>115955</v>
      </c>
      <c r="Y28" s="211">
        <f t="shared" si="2"/>
        <v>1</v>
      </c>
      <c r="Z28" s="99"/>
      <c r="HW28"/>
      <c r="HX28"/>
      <c r="HY28"/>
      <c r="HZ28"/>
      <c r="IA28"/>
      <c r="IB28"/>
      <c r="IC28"/>
      <c r="ID28"/>
      <c r="IE28"/>
      <c r="IF28"/>
    </row>
    <row r="29" spans="1:240" ht="15" customHeight="1" x14ac:dyDescent="0.4">
      <c r="A29" s="143" t="s">
        <v>18</v>
      </c>
      <c r="B29" s="184">
        <v>6611</v>
      </c>
      <c r="C29" s="184">
        <v>8657</v>
      </c>
      <c r="D29" s="184"/>
      <c r="E29" s="184"/>
      <c r="F29" s="184"/>
      <c r="G29" s="54"/>
      <c r="H29" s="53">
        <v>0</v>
      </c>
      <c r="I29" s="53">
        <v>0</v>
      </c>
      <c r="J29" s="234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84">
        <f t="shared" si="19"/>
        <v>0</v>
      </c>
      <c r="Y29" s="211"/>
      <c r="HW29"/>
      <c r="HX29"/>
      <c r="HY29"/>
      <c r="HZ29"/>
      <c r="IA29"/>
      <c r="IB29"/>
      <c r="IC29"/>
      <c r="ID29"/>
      <c r="IE29"/>
      <c r="IF29"/>
    </row>
    <row r="30" spans="1:240" ht="15" customHeight="1" x14ac:dyDescent="0.4">
      <c r="A30" s="143" t="s">
        <v>19</v>
      </c>
      <c r="B30" s="184">
        <v>4511</v>
      </c>
      <c r="C30" s="184">
        <v>5236</v>
      </c>
      <c r="D30" s="184">
        <v>5082</v>
      </c>
      <c r="E30" s="184">
        <v>5714</v>
      </c>
      <c r="F30" s="184">
        <v>6103</v>
      </c>
      <c r="G30" s="54"/>
      <c r="H30" s="53">
        <v>6098</v>
      </c>
      <c r="I30" s="53">
        <v>0</v>
      </c>
      <c r="J30" s="234"/>
      <c r="K30" s="176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84">
        <f t="shared" si="19"/>
        <v>0</v>
      </c>
      <c r="Y30" s="211"/>
      <c r="Z30" s="99"/>
      <c r="HW30"/>
      <c r="HX30"/>
      <c r="HY30"/>
      <c r="HZ30"/>
      <c r="IA30"/>
      <c r="IB30"/>
      <c r="IC30"/>
      <c r="ID30"/>
      <c r="IE30"/>
      <c r="IF30"/>
    </row>
    <row r="31" spans="1:240" ht="15" customHeight="1" x14ac:dyDescent="0.4">
      <c r="A31" s="143" t="s">
        <v>20</v>
      </c>
      <c r="B31" s="184"/>
      <c r="C31" s="184">
        <v>10000</v>
      </c>
      <c r="D31" s="184">
        <v>10000</v>
      </c>
      <c r="E31" s="184"/>
      <c r="F31" s="184"/>
      <c r="G31" s="54"/>
      <c r="H31" s="53">
        <v>0</v>
      </c>
      <c r="I31" s="53">
        <v>0</v>
      </c>
      <c r="J31" s="234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84">
        <f t="shared" si="19"/>
        <v>0</v>
      </c>
      <c r="Y31" s="211"/>
      <c r="HW31"/>
      <c r="HX31"/>
      <c r="HY31"/>
      <c r="HZ31"/>
      <c r="IA31"/>
      <c r="IB31"/>
      <c r="IC31"/>
      <c r="ID31"/>
      <c r="IE31"/>
      <c r="IF31"/>
    </row>
    <row r="32" spans="1:240" ht="15" customHeight="1" x14ac:dyDescent="0.4">
      <c r="A32" s="143" t="s">
        <v>21</v>
      </c>
      <c r="B32" s="184">
        <v>0</v>
      </c>
      <c r="C32" s="184">
        <v>1617.63</v>
      </c>
      <c r="D32" s="184"/>
      <c r="E32" s="184">
        <v>842.97</v>
      </c>
      <c r="F32" s="184"/>
      <c r="G32" s="54"/>
      <c r="H32" s="53">
        <v>1100</v>
      </c>
      <c r="I32" s="53">
        <v>2273.33</v>
      </c>
      <c r="J32" s="234">
        <f t="shared" si="1"/>
        <v>1.0666636363636364</v>
      </c>
      <c r="K32" s="176"/>
      <c r="L32" s="177"/>
      <c r="M32" s="177">
        <v>2273.33</v>
      </c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84">
        <f t="shared" si="19"/>
        <v>2273.33</v>
      </c>
      <c r="Y32" s="211">
        <f t="shared" si="2"/>
        <v>1</v>
      </c>
      <c r="HW32"/>
      <c r="HX32"/>
      <c r="HY32"/>
      <c r="HZ32"/>
      <c r="IA32"/>
      <c r="IB32"/>
      <c r="IC32"/>
      <c r="ID32"/>
      <c r="IE32"/>
      <c r="IF32"/>
    </row>
    <row r="33" spans="1:240" ht="15" customHeight="1" x14ac:dyDescent="0.4">
      <c r="A33" s="143" t="s">
        <v>22</v>
      </c>
      <c r="B33" s="184"/>
      <c r="C33" s="184">
        <v>6452.77</v>
      </c>
      <c r="D33" s="184">
        <v>59589</v>
      </c>
      <c r="E33" s="184">
        <v>329594.81</v>
      </c>
      <c r="F33" s="184">
        <v>114387.42</v>
      </c>
      <c r="G33" s="54"/>
      <c r="H33" s="53"/>
      <c r="I33" s="53"/>
      <c r="J33" s="234"/>
      <c r="K33" s="176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84">
        <f>SUM(K33:W33)</f>
        <v>0</v>
      </c>
      <c r="Y33" s="211"/>
      <c r="HW33"/>
      <c r="HX33"/>
      <c r="HY33"/>
      <c r="HZ33"/>
      <c r="IA33"/>
      <c r="IB33"/>
      <c r="IC33"/>
      <c r="ID33"/>
      <c r="IE33"/>
      <c r="IF33"/>
    </row>
    <row r="34" spans="1:240" ht="15" customHeight="1" x14ac:dyDescent="0.4">
      <c r="A34" s="143" t="s">
        <v>23</v>
      </c>
      <c r="B34" s="184">
        <v>51294</v>
      </c>
      <c r="C34" s="184">
        <v>56711</v>
      </c>
      <c r="D34" s="184">
        <v>60202</v>
      </c>
      <c r="E34" s="184">
        <v>49471</v>
      </c>
      <c r="F34" s="184">
        <v>53000</v>
      </c>
      <c r="G34" s="54"/>
      <c r="H34" s="53">
        <v>49471</v>
      </c>
      <c r="I34" s="53">
        <v>71629</v>
      </c>
      <c r="J34" s="234">
        <f t="shared" si="1"/>
        <v>0.44789876897576358</v>
      </c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>
        <v>71629</v>
      </c>
      <c r="W34" s="177"/>
      <c r="X34" s="184">
        <f t="shared" si="19"/>
        <v>71629</v>
      </c>
      <c r="Y34" s="211">
        <f t="shared" si="2"/>
        <v>1</v>
      </c>
      <c r="Z34" s="251"/>
      <c r="HW34"/>
      <c r="HX34"/>
      <c r="HY34"/>
      <c r="HZ34"/>
      <c r="IA34"/>
      <c r="IB34"/>
      <c r="IC34"/>
      <c r="ID34"/>
      <c r="IE34"/>
      <c r="IF34"/>
    </row>
    <row r="35" spans="1:240" s="117" customFormat="1" ht="15" customHeight="1" x14ac:dyDescent="0.4">
      <c r="A35" s="145" t="s">
        <v>160</v>
      </c>
      <c r="B35" s="181">
        <f t="shared" ref="B35:E35" si="22">SUM(B28:B34)</f>
        <v>164080.56</v>
      </c>
      <c r="C35" s="181">
        <f t="shared" si="22"/>
        <v>188424.4</v>
      </c>
      <c r="D35" s="181">
        <f t="shared" si="22"/>
        <v>242983</v>
      </c>
      <c r="E35" s="181">
        <f t="shared" si="22"/>
        <v>481129.63</v>
      </c>
      <c r="F35" s="181">
        <f>SUM(F28:F34)</f>
        <v>274262.57</v>
      </c>
      <c r="G35" s="118"/>
      <c r="H35" s="97">
        <f>SUM(H28:H34)</f>
        <v>142102</v>
      </c>
      <c r="I35" s="97">
        <f>SUM(I28:I34)</f>
        <v>189857.33000000002</v>
      </c>
      <c r="J35" s="234">
        <f t="shared" si="1"/>
        <v>0.33606374294520847</v>
      </c>
      <c r="K35" s="181">
        <f t="shared" ref="K35:X35" si="23">SUM(K28:K34)</f>
        <v>0</v>
      </c>
      <c r="L35" s="181">
        <f t="shared" si="23"/>
        <v>0</v>
      </c>
      <c r="M35" s="181">
        <f t="shared" si="23"/>
        <v>2273.33</v>
      </c>
      <c r="N35" s="181">
        <f t="shared" si="23"/>
        <v>0</v>
      </c>
      <c r="O35" s="181">
        <f t="shared" si="23"/>
        <v>0</v>
      </c>
      <c r="P35" s="181">
        <f t="shared" si="23"/>
        <v>0</v>
      </c>
      <c r="Q35" s="181">
        <f t="shared" si="23"/>
        <v>0</v>
      </c>
      <c r="R35" s="181">
        <f t="shared" si="23"/>
        <v>0</v>
      </c>
      <c r="S35" s="181">
        <f t="shared" si="23"/>
        <v>91936.25</v>
      </c>
      <c r="T35" s="181">
        <f t="shared" si="23"/>
        <v>11632.64</v>
      </c>
      <c r="U35" s="181">
        <f t="shared" si="23"/>
        <v>0</v>
      </c>
      <c r="V35" s="181">
        <f t="shared" si="23"/>
        <v>84015.11</v>
      </c>
      <c r="W35" s="181">
        <f t="shared" si="23"/>
        <v>0</v>
      </c>
      <c r="X35" s="181">
        <f t="shared" si="23"/>
        <v>189857.33000000002</v>
      </c>
      <c r="Y35" s="211">
        <f t="shared" si="2"/>
        <v>1</v>
      </c>
      <c r="Z35" s="1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</row>
    <row r="36" spans="1:240" ht="14.6" x14ac:dyDescent="0.4">
      <c r="A36" s="143" t="s">
        <v>24</v>
      </c>
      <c r="B36" s="184">
        <v>18880.669999999998</v>
      </c>
      <c r="C36" s="184">
        <v>17479.900000000001</v>
      </c>
      <c r="D36" s="184">
        <v>29483.64</v>
      </c>
      <c r="E36" s="184">
        <v>30933.43</v>
      </c>
      <c r="F36" s="184">
        <v>24051.55</v>
      </c>
      <c r="G36" s="54"/>
      <c r="H36" s="53">
        <v>25000</v>
      </c>
      <c r="I36" s="53">
        <f>I133</f>
        <v>15000</v>
      </c>
      <c r="J36" s="234">
        <f t="shared" si="1"/>
        <v>-0.4</v>
      </c>
      <c r="K36" s="176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>
        <v>13560.22</v>
      </c>
      <c r="X36" s="184">
        <f>SUM(K36:W36)</f>
        <v>13560.22</v>
      </c>
      <c r="Y36" s="211">
        <f t="shared" si="2"/>
        <v>0.90401466666666663</v>
      </c>
      <c r="Z36" s="99"/>
      <c r="HW36"/>
      <c r="HX36"/>
      <c r="HY36"/>
      <c r="HZ36"/>
      <c r="IA36"/>
      <c r="IB36"/>
      <c r="IC36"/>
      <c r="ID36"/>
      <c r="IE36"/>
      <c r="IF36"/>
    </row>
    <row r="37" spans="1:240" ht="15" customHeight="1" x14ac:dyDescent="0.4">
      <c r="A37" s="143" t="s">
        <v>25</v>
      </c>
      <c r="B37" s="184">
        <v>73175.179999999993</v>
      </c>
      <c r="C37" s="184">
        <v>54411.31</v>
      </c>
      <c r="D37" s="184">
        <v>91054.04</v>
      </c>
      <c r="E37" s="184">
        <v>47921.30000000001</v>
      </c>
      <c r="F37" s="184">
        <v>21621.930000000004</v>
      </c>
      <c r="G37" s="54"/>
      <c r="H37" s="53">
        <v>50000</v>
      </c>
      <c r="I37" s="53">
        <v>13000</v>
      </c>
      <c r="J37" s="234">
        <f t="shared" si="1"/>
        <v>-0.74</v>
      </c>
      <c r="K37" s="177">
        <f>272.29</f>
        <v>272.29000000000002</v>
      </c>
      <c r="L37" s="177">
        <v>174.79</v>
      </c>
      <c r="M37" s="177">
        <f>2121.88</f>
        <v>2121.88</v>
      </c>
      <c r="N37" s="177">
        <v>1098.1600000000001</v>
      </c>
      <c r="O37" s="177">
        <v>1037.6300000000001</v>
      </c>
      <c r="P37" s="177">
        <v>5267.41</v>
      </c>
      <c r="Q37" s="177">
        <v>926.16</v>
      </c>
      <c r="R37" s="177">
        <v>2828.9</v>
      </c>
      <c r="S37" s="177">
        <v>5253.07</v>
      </c>
      <c r="T37" s="177">
        <f>780.01+400</f>
        <v>1180.01</v>
      </c>
      <c r="U37" s="193">
        <v>3740.77</v>
      </c>
      <c r="V37" s="193">
        <f>-11575.5+67.86</f>
        <v>-11507.64</v>
      </c>
      <c r="W37" s="177"/>
      <c r="X37" s="184">
        <f>SUM(K37:W37)</f>
        <v>12393.43</v>
      </c>
      <c r="Y37" s="211">
        <f t="shared" si="2"/>
        <v>0.95334076923076927</v>
      </c>
      <c r="Z37" s="99"/>
      <c r="HW37"/>
      <c r="HX37"/>
      <c r="HY37"/>
      <c r="HZ37"/>
      <c r="IA37"/>
      <c r="IB37"/>
      <c r="IC37"/>
      <c r="ID37"/>
      <c r="IE37"/>
      <c r="IF37"/>
    </row>
    <row r="38" spans="1:240" ht="15" customHeight="1" x14ac:dyDescent="0.4">
      <c r="A38" s="143" t="s">
        <v>26</v>
      </c>
      <c r="B38" s="184">
        <v>7324.44</v>
      </c>
      <c r="C38" s="184">
        <v>6378.74</v>
      </c>
      <c r="D38" s="184">
        <v>1969.06</v>
      </c>
      <c r="E38" s="184">
        <v>1973.54</v>
      </c>
      <c r="F38" s="184">
        <v>2138.1</v>
      </c>
      <c r="G38" s="54"/>
      <c r="H38" s="53">
        <v>2000</v>
      </c>
      <c r="I38" s="53">
        <f>2000+225</f>
        <v>2225</v>
      </c>
      <c r="J38" s="234">
        <f t="shared" si="1"/>
        <v>0.1125</v>
      </c>
      <c r="K38" s="177">
        <v>183.63</v>
      </c>
      <c r="L38" s="177">
        <v>158.78</v>
      </c>
      <c r="M38" s="177">
        <v>167.46</v>
      </c>
      <c r="N38" s="177">
        <v>176.8</v>
      </c>
      <c r="O38" s="177">
        <v>165.36</v>
      </c>
      <c r="P38" s="177">
        <v>193.06</v>
      </c>
      <c r="Q38" s="178">
        <v>192.42</v>
      </c>
      <c r="R38" s="178">
        <v>176.4</v>
      </c>
      <c r="S38" s="178">
        <v>192.66</v>
      </c>
      <c r="T38" s="178">
        <v>203.7</v>
      </c>
      <c r="U38" s="178">
        <v>210.24</v>
      </c>
      <c r="V38" s="178">
        <v>190.13</v>
      </c>
      <c r="W38" s="178"/>
      <c r="X38" s="184">
        <f>SUM(K38:W38)</f>
        <v>2210.6400000000003</v>
      </c>
      <c r="Y38" s="211">
        <f t="shared" si="2"/>
        <v>0.99354606741573048</v>
      </c>
      <c r="Z38" s="99"/>
      <c r="HW38"/>
      <c r="HX38"/>
      <c r="HY38"/>
      <c r="HZ38"/>
      <c r="IA38"/>
      <c r="IB38"/>
      <c r="IC38"/>
      <c r="ID38"/>
      <c r="IE38"/>
      <c r="IF38"/>
    </row>
    <row r="39" spans="1:240" ht="15" customHeight="1" thickBot="1" x14ac:dyDescent="0.45">
      <c r="A39" s="146" t="s">
        <v>27</v>
      </c>
      <c r="B39" s="184">
        <v>6900</v>
      </c>
      <c r="C39" s="184">
        <v>5395</v>
      </c>
      <c r="D39" s="184">
        <v>0</v>
      </c>
      <c r="E39" s="184">
        <v>13949.94</v>
      </c>
      <c r="F39" s="184">
        <v>7866.74</v>
      </c>
      <c r="G39" s="55"/>
      <c r="H39" s="159">
        <v>0</v>
      </c>
      <c r="I39" s="159">
        <v>4000</v>
      </c>
      <c r="J39" s="234"/>
      <c r="K39" s="185"/>
      <c r="L39" s="185"/>
      <c r="M39" s="185">
        <v>1020</v>
      </c>
      <c r="N39" s="185"/>
      <c r="O39" s="185"/>
      <c r="P39" s="185"/>
      <c r="Q39" s="186"/>
      <c r="R39" s="186"/>
      <c r="S39" s="186"/>
      <c r="T39" s="186"/>
      <c r="U39" s="186">
        <v>110</v>
      </c>
      <c r="V39" s="186">
        <v>3040</v>
      </c>
      <c r="W39" s="186"/>
      <c r="X39" s="184">
        <f>SUM(K39:W39)</f>
        <v>4170</v>
      </c>
      <c r="Y39" s="211">
        <f t="shared" si="2"/>
        <v>1.0425</v>
      </c>
      <c r="Z39" s="99"/>
      <c r="HV39"/>
      <c r="HW39"/>
      <c r="HX39"/>
      <c r="HY39"/>
      <c r="HZ39"/>
      <c r="IA39"/>
      <c r="IB39"/>
      <c r="IC39"/>
      <c r="ID39"/>
      <c r="IE39"/>
      <c r="IF39"/>
    </row>
    <row r="40" spans="1:240" ht="15" customHeight="1" thickBot="1" x14ac:dyDescent="0.45">
      <c r="A40" s="147" t="s">
        <v>28</v>
      </c>
      <c r="B40" s="161">
        <f t="shared" ref="B40:F40" si="24">B14+B27+B35+B36+B37+B38+B39</f>
        <v>5366065.0999999996</v>
      </c>
      <c r="C40" s="161">
        <f t="shared" si="24"/>
        <v>5497756.8900000006</v>
      </c>
      <c r="D40" s="161">
        <f t="shared" si="24"/>
        <v>6049536.0299999984</v>
      </c>
      <c r="E40" s="161">
        <f t="shared" si="24"/>
        <v>6601152.4799999995</v>
      </c>
      <c r="F40" s="161">
        <f t="shared" si="24"/>
        <v>6614588.6899999995</v>
      </c>
      <c r="G40" s="158"/>
      <c r="H40" s="161">
        <f>H14+H27+H35+H36+H37+H38+H39</f>
        <v>6437881.0899999999</v>
      </c>
      <c r="I40" s="161">
        <f>I14+I27+I35+I36+I37+I38+I39</f>
        <v>6520399.5467000008</v>
      </c>
      <c r="J40" s="235">
        <f>(I40-H40)/H40</f>
        <v>1.281764225626617E-2</v>
      </c>
      <c r="K40" s="161">
        <f t="shared" ref="K40:X40" si="25">K14+K27+K35+K36+K37+K38+K39</f>
        <v>278267.95999999996</v>
      </c>
      <c r="L40" s="161">
        <f t="shared" si="25"/>
        <v>414749.62</v>
      </c>
      <c r="M40" s="161">
        <f t="shared" si="25"/>
        <v>710843.58</v>
      </c>
      <c r="N40" s="161">
        <f t="shared" si="25"/>
        <v>632320.76000000013</v>
      </c>
      <c r="O40" s="161">
        <f t="shared" si="25"/>
        <v>570488.36</v>
      </c>
      <c r="P40" s="161">
        <f t="shared" si="25"/>
        <v>649859.70000000007</v>
      </c>
      <c r="Q40" s="161">
        <f t="shared" si="25"/>
        <v>394901.13</v>
      </c>
      <c r="R40" s="161">
        <f t="shared" si="25"/>
        <v>694955.24</v>
      </c>
      <c r="S40" s="161">
        <f t="shared" si="25"/>
        <v>761982.13</v>
      </c>
      <c r="T40" s="161">
        <f t="shared" si="25"/>
        <v>458043.89</v>
      </c>
      <c r="U40" s="161">
        <f t="shared" si="25"/>
        <v>503607.49</v>
      </c>
      <c r="V40" s="161">
        <f t="shared" si="25"/>
        <v>318912.59999999998</v>
      </c>
      <c r="W40" s="161">
        <f t="shared" si="25"/>
        <v>15054.81</v>
      </c>
      <c r="X40" s="187">
        <f t="shared" si="25"/>
        <v>6403987.2699999986</v>
      </c>
      <c r="Y40" s="211">
        <f t="shared" si="2"/>
        <v>0.98214645040288695</v>
      </c>
      <c r="Z40" s="225"/>
      <c r="HV40"/>
      <c r="HW40"/>
      <c r="HX40"/>
      <c r="HY40"/>
      <c r="HZ40"/>
      <c r="IA40"/>
      <c r="IB40"/>
      <c r="IC40"/>
      <c r="ID40"/>
      <c r="IE40"/>
      <c r="IF40"/>
    </row>
    <row r="41" spans="1:240" ht="21.75" customHeight="1" x14ac:dyDescent="0.4">
      <c r="A41" s="148" t="s">
        <v>29</v>
      </c>
      <c r="B41" s="192"/>
      <c r="C41" s="192"/>
      <c r="D41" s="192"/>
      <c r="E41" s="192"/>
      <c r="F41" s="192"/>
      <c r="G41" s="58"/>
      <c r="H41" s="160"/>
      <c r="I41" s="160"/>
      <c r="J41" s="160"/>
      <c r="K41" s="189"/>
      <c r="L41" s="190"/>
      <c r="M41" s="190"/>
      <c r="N41" s="190"/>
      <c r="O41" s="190"/>
      <c r="P41" s="190"/>
      <c r="Q41" s="191"/>
      <c r="R41" s="191"/>
      <c r="S41" s="191"/>
      <c r="T41" s="191"/>
      <c r="U41" s="191"/>
      <c r="V41" s="191"/>
      <c r="W41" s="191"/>
      <c r="X41" s="192"/>
      <c r="Y41" s="211"/>
      <c r="HV41"/>
      <c r="HW41"/>
      <c r="HX41"/>
      <c r="HY41"/>
      <c r="HZ41"/>
      <c r="IA41"/>
      <c r="IB41"/>
      <c r="IC41"/>
      <c r="ID41"/>
      <c r="IE41"/>
      <c r="IF41"/>
    </row>
    <row r="42" spans="1:240" ht="14.25" customHeight="1" x14ac:dyDescent="0.4">
      <c r="A42" s="142" t="s">
        <v>30</v>
      </c>
      <c r="B42" s="184">
        <v>195000</v>
      </c>
      <c r="C42" s="184">
        <v>204999.96</v>
      </c>
      <c r="D42" s="184">
        <v>214973.1</v>
      </c>
      <c r="E42" s="184">
        <v>220001.96000000008</v>
      </c>
      <c r="F42" s="184">
        <v>230000.03999999992</v>
      </c>
      <c r="G42" s="123"/>
      <c r="H42" s="53">
        <v>240000</v>
      </c>
      <c r="I42" s="53">
        <v>240000</v>
      </c>
      <c r="J42" s="234">
        <f t="shared" ref="J42:J106" si="26">(I42-H42)/H42</f>
        <v>0</v>
      </c>
      <c r="K42" s="177">
        <v>20000</v>
      </c>
      <c r="L42" s="177">
        <v>20000</v>
      </c>
      <c r="M42" s="177">
        <v>20000</v>
      </c>
      <c r="N42" s="177">
        <v>20000</v>
      </c>
      <c r="O42" s="177">
        <v>20000</v>
      </c>
      <c r="P42" s="177">
        <v>20000</v>
      </c>
      <c r="Q42" s="177">
        <v>20000</v>
      </c>
      <c r="R42" s="177">
        <v>20000</v>
      </c>
      <c r="S42" s="177">
        <v>20000</v>
      </c>
      <c r="T42" s="177">
        <v>20000</v>
      </c>
      <c r="U42" s="177">
        <v>20000</v>
      </c>
      <c r="V42" s="177">
        <v>20000</v>
      </c>
      <c r="W42" s="178"/>
      <c r="X42" s="184">
        <f t="shared" ref="X42:X57" si="27">SUM(K42:W42)</f>
        <v>240000</v>
      </c>
      <c r="Y42" s="211">
        <f t="shared" si="2"/>
        <v>1</v>
      </c>
      <c r="HV42"/>
      <c r="HW42"/>
      <c r="HX42"/>
      <c r="HY42"/>
      <c r="HZ42"/>
      <c r="IA42"/>
      <c r="IB42"/>
      <c r="IC42"/>
      <c r="ID42"/>
      <c r="IE42"/>
      <c r="IF42"/>
    </row>
    <row r="43" spans="1:240" ht="15" customHeight="1" x14ac:dyDescent="0.4">
      <c r="A43" s="142" t="s">
        <v>31</v>
      </c>
      <c r="B43" s="184">
        <v>574311.18999999994</v>
      </c>
      <c r="C43" s="184">
        <v>564463.23</v>
      </c>
      <c r="D43" s="184">
        <v>555927.5</v>
      </c>
      <c r="E43" s="184">
        <v>547027.19999999995</v>
      </c>
      <c r="F43" s="184">
        <v>537432.94000000018</v>
      </c>
      <c r="G43" s="123"/>
      <c r="H43" s="53">
        <v>532425</v>
      </c>
      <c r="I43" s="53">
        <v>520248</v>
      </c>
      <c r="J43" s="234">
        <f t="shared" si="26"/>
        <v>-2.2870826877024932E-2</v>
      </c>
      <c r="K43" s="177">
        <f>63953.46-K42-K45</f>
        <v>36803.46</v>
      </c>
      <c r="L43" s="177">
        <f>71099.48-L42-L45</f>
        <v>43949.479999999996</v>
      </c>
      <c r="M43" s="177">
        <f>71099.48-M42-M45</f>
        <v>43949.479999999996</v>
      </c>
      <c r="N43" s="177">
        <f>71099.48-N42-N45</f>
        <v>43949.479999999996</v>
      </c>
      <c r="O43" s="193">
        <f>71099.48-O42-O45</f>
        <v>43949.479999999996</v>
      </c>
      <c r="P43" s="193">
        <f>71099.48-P42-P45</f>
        <v>43949.479999999996</v>
      </c>
      <c r="Q43" s="193">
        <f>63949.48-Q42-Q45</f>
        <v>43949.48</v>
      </c>
      <c r="R43" s="193">
        <f>71099.48-R42-R45</f>
        <v>43949.479999999996</v>
      </c>
      <c r="S43" s="193">
        <f>71099.48-S42-S45</f>
        <v>43949.479999999996</v>
      </c>
      <c r="T43" s="193">
        <f>71099.48-T42-T45</f>
        <v>43949.479999999996</v>
      </c>
      <c r="U43" s="193">
        <f>71099.48-U42-U45</f>
        <v>43949.479999999996</v>
      </c>
      <c r="V43" s="193">
        <f>71099.48-V42-V45</f>
        <v>43949.479999999996</v>
      </c>
      <c r="W43" s="178"/>
      <c r="X43" s="184">
        <f t="shared" si="27"/>
        <v>520247.73999999987</v>
      </c>
      <c r="Y43" s="211">
        <f t="shared" si="2"/>
        <v>0.99999950023834761</v>
      </c>
      <c r="HV43"/>
      <c r="HW43"/>
      <c r="HX43"/>
      <c r="HY43"/>
      <c r="HZ43"/>
      <c r="IA43"/>
      <c r="IB43"/>
      <c r="IC43"/>
      <c r="ID43"/>
      <c r="IE43"/>
      <c r="IF43"/>
    </row>
    <row r="44" spans="1:240" ht="15" customHeight="1" x14ac:dyDescent="0.4">
      <c r="A44" s="142" t="s">
        <v>32</v>
      </c>
      <c r="B44" s="184">
        <v>7998.25</v>
      </c>
      <c r="C44" s="184">
        <v>8375.1200000000008</v>
      </c>
      <c r="D44" s="184">
        <v>8552.75</v>
      </c>
      <c r="E44" s="184">
        <v>6942.5</v>
      </c>
      <c r="F44" s="184">
        <v>7270</v>
      </c>
      <c r="G44" s="123"/>
      <c r="H44" s="60">
        <v>8600</v>
      </c>
      <c r="I44" s="60">
        <v>8600</v>
      </c>
      <c r="J44" s="234">
        <f t="shared" si="26"/>
        <v>0</v>
      </c>
      <c r="K44" s="177"/>
      <c r="L44" s="177"/>
      <c r="M44" s="177"/>
      <c r="N44" s="177"/>
      <c r="O44" s="193"/>
      <c r="P44" s="193"/>
      <c r="Q44" s="178">
        <v>3865.25</v>
      </c>
      <c r="R44" s="178"/>
      <c r="S44" s="178"/>
      <c r="T44" s="178"/>
      <c r="U44" s="178"/>
      <c r="V44" s="178">
        <v>1409.25</v>
      </c>
      <c r="W44" s="178"/>
      <c r="X44" s="184">
        <f t="shared" si="27"/>
        <v>5274.5</v>
      </c>
      <c r="Y44" s="211">
        <f t="shared" si="2"/>
        <v>0.61331395348837214</v>
      </c>
      <c r="HV44"/>
      <c r="HW44"/>
      <c r="HX44"/>
      <c r="HY44"/>
      <c r="HZ44"/>
      <c r="IA44"/>
      <c r="IB44"/>
      <c r="IC44"/>
      <c r="ID44"/>
      <c r="IE44"/>
      <c r="IF44"/>
    </row>
    <row r="45" spans="1:240" ht="15" customHeight="1" x14ac:dyDescent="0.4">
      <c r="A45" s="142" t="s">
        <v>33</v>
      </c>
      <c r="B45" s="184">
        <v>71500</v>
      </c>
      <c r="C45" s="184">
        <v>85800</v>
      </c>
      <c r="D45" s="184">
        <v>85800</v>
      </c>
      <c r="E45" s="184">
        <v>85800</v>
      </c>
      <c r="F45" s="184">
        <v>85800</v>
      </c>
      <c r="G45" s="123"/>
      <c r="H45" s="60">
        <v>85800</v>
      </c>
      <c r="I45" s="60">
        <f>85800/12*11</f>
        <v>78650</v>
      </c>
      <c r="J45" s="234">
        <f t="shared" si="26"/>
        <v>-8.3333333333333329E-2</v>
      </c>
      <c r="K45" s="177">
        <v>7150</v>
      </c>
      <c r="L45" s="177">
        <v>7150</v>
      </c>
      <c r="M45" s="177">
        <v>7150</v>
      </c>
      <c r="N45" s="177">
        <v>7150</v>
      </c>
      <c r="O45" s="193">
        <v>7150</v>
      </c>
      <c r="P45" s="193">
        <v>7150</v>
      </c>
      <c r="Q45" s="178"/>
      <c r="R45" s="178">
        <v>7150</v>
      </c>
      <c r="S45" s="178">
        <v>7150</v>
      </c>
      <c r="T45" s="178">
        <v>7150</v>
      </c>
      <c r="U45" s="178">
        <v>7150</v>
      </c>
      <c r="V45" s="178">
        <v>7150</v>
      </c>
      <c r="W45" s="178"/>
      <c r="X45" s="184">
        <f t="shared" si="27"/>
        <v>78650</v>
      </c>
      <c r="Y45" s="211">
        <f t="shared" si="2"/>
        <v>1</v>
      </c>
      <c r="Z45" s="99"/>
      <c r="HV45"/>
      <c r="HW45"/>
      <c r="HX45"/>
      <c r="HY45"/>
      <c r="HZ45"/>
      <c r="IA45"/>
      <c r="IB45"/>
      <c r="IC45"/>
      <c r="ID45"/>
      <c r="IE45"/>
      <c r="IF45"/>
    </row>
    <row r="46" spans="1:240" ht="15" customHeight="1" x14ac:dyDescent="0.4">
      <c r="A46" s="142" t="s">
        <v>34</v>
      </c>
      <c r="B46" s="184">
        <v>189658.41</v>
      </c>
      <c r="C46" s="184">
        <v>22258.989999999998</v>
      </c>
      <c r="D46" s="184">
        <v>640716.71</v>
      </c>
      <c r="E46" s="184">
        <v>61039.42</v>
      </c>
      <c r="F46" s="184">
        <v>30862</v>
      </c>
      <c r="G46" s="123"/>
      <c r="H46" s="60">
        <v>0</v>
      </c>
      <c r="I46" s="60">
        <v>7450</v>
      </c>
      <c r="J46" s="234"/>
      <c r="K46" s="177"/>
      <c r="L46" s="177"/>
      <c r="M46" s="177"/>
      <c r="N46" s="177"/>
      <c r="O46" s="193">
        <f>1500-750</f>
        <v>750</v>
      </c>
      <c r="P46" s="193"/>
      <c r="Q46" s="178">
        <v>-750</v>
      </c>
      <c r="R46" s="178"/>
      <c r="S46" s="178"/>
      <c r="T46" s="178"/>
      <c r="U46" s="178"/>
      <c r="V46" s="178">
        <v>7450</v>
      </c>
      <c r="W46" s="178"/>
      <c r="X46" s="184">
        <f t="shared" si="27"/>
        <v>7450</v>
      </c>
      <c r="Y46" s="211"/>
      <c r="Z46" s="99"/>
      <c r="HV46"/>
      <c r="HW46"/>
      <c r="HX46"/>
      <c r="HY46"/>
      <c r="HZ46"/>
      <c r="IA46"/>
      <c r="IB46"/>
      <c r="IC46"/>
      <c r="ID46"/>
      <c r="IE46"/>
      <c r="IF46"/>
    </row>
    <row r="47" spans="1:240" ht="15" customHeight="1" x14ac:dyDescent="0.4">
      <c r="A47" s="142" t="s">
        <v>213</v>
      </c>
      <c r="B47" s="184"/>
      <c r="C47" s="184"/>
      <c r="D47" s="184"/>
      <c r="E47" s="184"/>
      <c r="F47" s="184"/>
      <c r="G47" s="123"/>
      <c r="H47" s="60"/>
      <c r="I47" s="60">
        <v>37422</v>
      </c>
      <c r="J47" s="234"/>
      <c r="K47" s="177"/>
      <c r="L47" s="177"/>
      <c r="M47" s="177"/>
      <c r="N47" s="177"/>
      <c r="O47" s="193"/>
      <c r="P47" s="193"/>
      <c r="Q47" s="178"/>
      <c r="R47" s="178"/>
      <c r="S47" s="178"/>
      <c r="T47" s="178"/>
      <c r="U47" s="178"/>
      <c r="V47" s="178"/>
      <c r="W47" s="178"/>
      <c r="X47" s="184"/>
      <c r="Y47" s="211"/>
      <c r="Z47" s="99" t="s">
        <v>217</v>
      </c>
      <c r="HV47"/>
      <c r="HW47"/>
      <c r="HX47"/>
      <c r="HY47"/>
      <c r="HZ47"/>
      <c r="IA47"/>
      <c r="IB47"/>
      <c r="IC47"/>
      <c r="ID47"/>
      <c r="IE47"/>
      <c r="IF47"/>
    </row>
    <row r="48" spans="1:240" ht="15" customHeight="1" x14ac:dyDescent="0.4">
      <c r="A48" s="149" t="s">
        <v>35</v>
      </c>
      <c r="B48" s="184"/>
      <c r="C48" s="184"/>
      <c r="D48" s="184"/>
      <c r="E48" s="184"/>
      <c r="F48" s="184"/>
      <c r="G48" s="123"/>
      <c r="H48" s="60"/>
      <c r="I48" s="60"/>
      <c r="J48" s="234"/>
      <c r="K48" s="177"/>
      <c r="L48" s="177"/>
      <c r="M48" s="177"/>
      <c r="N48" s="177"/>
      <c r="O48" s="193"/>
      <c r="P48" s="193"/>
      <c r="Q48" s="178"/>
      <c r="R48" s="178"/>
      <c r="S48" s="178"/>
      <c r="T48" s="178"/>
      <c r="U48" s="178"/>
      <c r="V48" s="178"/>
      <c r="W48" s="178"/>
      <c r="X48" s="184"/>
      <c r="Y48" s="211"/>
      <c r="HV48"/>
      <c r="HW48"/>
      <c r="HX48"/>
      <c r="HY48"/>
      <c r="HZ48"/>
      <c r="IA48"/>
      <c r="IB48"/>
      <c r="IC48"/>
      <c r="ID48"/>
      <c r="IE48"/>
      <c r="IF48"/>
    </row>
    <row r="49" spans="1:240" ht="15" customHeight="1" x14ac:dyDescent="0.4">
      <c r="A49" s="142" t="s">
        <v>36</v>
      </c>
      <c r="B49" s="184">
        <v>80316.12</v>
      </c>
      <c r="C49" s="184">
        <v>71366.210000000006</v>
      </c>
      <c r="D49" s="184">
        <v>63724.43</v>
      </c>
      <c r="E49" s="184">
        <v>72348.959999999992</v>
      </c>
      <c r="F49" s="184">
        <v>89458.73000000001</v>
      </c>
      <c r="G49" s="123"/>
      <c r="H49" s="53">
        <v>90000</v>
      </c>
      <c r="I49" s="53">
        <v>101500</v>
      </c>
      <c r="J49" s="234">
        <f t="shared" si="26"/>
        <v>0.12777777777777777</v>
      </c>
      <c r="K49" s="176">
        <f>4928.54+2402.08</f>
        <v>7330.62</v>
      </c>
      <c r="L49" s="193">
        <f>279.16+4941.3+962.01+304.43</f>
        <v>6486.9000000000005</v>
      </c>
      <c r="M49" s="177">
        <f>6583.61+1239.24</f>
        <v>7822.8499999999995</v>
      </c>
      <c r="N49" s="177">
        <f>5559.57+1715.72+465.7</f>
        <v>7740.99</v>
      </c>
      <c r="O49" s="193">
        <f>5518.88+330.45</f>
        <v>5849.33</v>
      </c>
      <c r="P49" s="193">
        <f>321.85+417.99</f>
        <v>739.84</v>
      </c>
      <c r="Q49" s="178">
        <f>13630.36+5342.08+384.58</f>
        <v>19357.020000000004</v>
      </c>
      <c r="R49" s="178">
        <f>8701.43+241.01</f>
        <v>8942.44</v>
      </c>
      <c r="S49" s="178">
        <f>7471.18+1517.26+464.34</f>
        <v>9452.7800000000007</v>
      </c>
      <c r="T49" s="178">
        <f>7018.51+1333.62+449.97</f>
        <v>8802.1</v>
      </c>
      <c r="U49" s="178">
        <f>7883.23+1316.63+303.08</f>
        <v>9502.94</v>
      </c>
      <c r="V49" s="178">
        <f>1306.04+668.16+6441.85</f>
        <v>8416.0499999999993</v>
      </c>
      <c r="W49" s="178"/>
      <c r="X49" s="184">
        <f t="shared" si="27"/>
        <v>100443.86000000002</v>
      </c>
      <c r="Y49" s="211">
        <f t="shared" si="2"/>
        <v>0.98959467980295579</v>
      </c>
      <c r="Z49" s="99"/>
      <c r="HV49"/>
      <c r="HW49"/>
      <c r="HX49"/>
      <c r="HY49"/>
      <c r="HZ49"/>
      <c r="IA49"/>
      <c r="IB49"/>
      <c r="IC49"/>
      <c r="ID49"/>
      <c r="IE49"/>
      <c r="IF49"/>
    </row>
    <row r="50" spans="1:240" ht="15" customHeight="1" x14ac:dyDescent="0.4">
      <c r="A50" s="142" t="s">
        <v>55</v>
      </c>
      <c r="B50" s="184">
        <v>2396.5300000000002</v>
      </c>
      <c r="C50" s="184">
        <v>2543.75</v>
      </c>
      <c r="D50" s="184">
        <v>2708.31</v>
      </c>
      <c r="E50" s="184">
        <v>4806.1899999999987</v>
      </c>
      <c r="F50" s="184">
        <v>3168.2400000000002</v>
      </c>
      <c r="G50" s="123"/>
      <c r="H50" s="53">
        <v>4010.88</v>
      </c>
      <c r="I50" s="53">
        <f>4010.88-505</f>
        <v>3505.88</v>
      </c>
      <c r="J50" s="234">
        <f t="shared" si="26"/>
        <v>-0.12590753151428116</v>
      </c>
      <c r="K50" s="177">
        <v>213.81</v>
      </c>
      <c r="L50" s="177">
        <v>215.2</v>
      </c>
      <c r="M50" s="177">
        <v>214.53</v>
      </c>
      <c r="N50" s="177">
        <v>218.72</v>
      </c>
      <c r="O50" s="193">
        <v>218.72</v>
      </c>
      <c r="P50" s="193">
        <v>1235.0999999999999</v>
      </c>
      <c r="Q50" s="178">
        <v>218.79</v>
      </c>
      <c r="R50" s="178">
        <v>218.79</v>
      </c>
      <c r="S50" s="178">
        <v>218.82</v>
      </c>
      <c r="T50" s="178">
        <v>96.35</v>
      </c>
      <c r="U50" s="178">
        <v>96.35</v>
      </c>
      <c r="V50" s="178">
        <v>334.84</v>
      </c>
      <c r="W50" s="178"/>
      <c r="X50" s="184">
        <f t="shared" si="27"/>
        <v>3500.02</v>
      </c>
      <c r="Y50" s="211">
        <f t="shared" si="2"/>
        <v>0.99832852236813574</v>
      </c>
      <c r="HV50"/>
      <c r="HW50"/>
      <c r="HX50"/>
      <c r="HY50"/>
      <c r="HZ50"/>
      <c r="IA50"/>
      <c r="IB50"/>
      <c r="IC50"/>
      <c r="ID50"/>
      <c r="IE50"/>
      <c r="IF50"/>
    </row>
    <row r="51" spans="1:240" ht="15" customHeight="1" x14ac:dyDescent="0.4">
      <c r="A51" s="142" t="s">
        <v>117</v>
      </c>
      <c r="B51" s="184">
        <f>141017.65-B52-B54-B55-B56-B57</f>
        <v>62732.239999999976</v>
      </c>
      <c r="C51" s="184">
        <f>161590.83-C52-C54-C55-C56-C57</f>
        <v>50490.789999999994</v>
      </c>
      <c r="D51" s="184">
        <f>111671.9-D52-D54-D55-D56-D57</f>
        <v>38330.709999999977</v>
      </c>
      <c r="E51" s="184">
        <f>238698.98-E52-E54-E55-E56-E57</f>
        <v>107172.44000000003</v>
      </c>
      <c r="F51" s="184">
        <f>265948.33-F52-F54-F55-F56-F57</f>
        <v>135488.13000000003</v>
      </c>
      <c r="G51" s="123"/>
      <c r="H51" s="53">
        <f>200000-H52-H54-H55-H56-H57</f>
        <v>52922</v>
      </c>
      <c r="I51" s="53">
        <f>52922-5000-2000</f>
        <v>45922</v>
      </c>
      <c r="J51" s="234">
        <f t="shared" si="26"/>
        <v>-0.13227013340387742</v>
      </c>
      <c r="K51" s="176">
        <v>2935</v>
      </c>
      <c r="L51" s="177">
        <v>7163.57</v>
      </c>
      <c r="M51" s="177">
        <v>7194.33</v>
      </c>
      <c r="N51" s="177">
        <v>4688.3900000000003</v>
      </c>
      <c r="O51" s="193">
        <f>1200</f>
        <v>1200</v>
      </c>
      <c r="P51" s="193">
        <v>2876.3</v>
      </c>
      <c r="Q51" s="178">
        <v>6363.66</v>
      </c>
      <c r="R51" s="178">
        <v>8648.17</v>
      </c>
      <c r="S51" s="178">
        <v>2700.89</v>
      </c>
      <c r="T51" s="178">
        <v>877.86</v>
      </c>
      <c r="U51" s="178">
        <v>4227</v>
      </c>
      <c r="V51" s="178">
        <f>3316.95-7450+246</f>
        <v>-3887.05</v>
      </c>
      <c r="W51" s="178"/>
      <c r="X51" s="184">
        <f t="shared" si="27"/>
        <v>44988.119999999995</v>
      </c>
      <c r="Y51" s="211">
        <f t="shared" si="2"/>
        <v>0.97966377771002999</v>
      </c>
      <c r="HV51"/>
      <c r="HW51"/>
      <c r="HX51"/>
      <c r="HY51"/>
      <c r="HZ51"/>
      <c r="IA51"/>
      <c r="IB51"/>
      <c r="IC51"/>
      <c r="ID51"/>
      <c r="IE51"/>
      <c r="IF51"/>
    </row>
    <row r="52" spans="1:240" ht="15" customHeight="1" x14ac:dyDescent="0.4">
      <c r="A52" s="142" t="s">
        <v>125</v>
      </c>
      <c r="B52" s="184">
        <v>9869.11</v>
      </c>
      <c r="C52" s="184">
        <v>7344.57</v>
      </c>
      <c r="D52" s="184">
        <v>968.72</v>
      </c>
      <c r="E52" s="184">
        <f>1316.72+17432.11</f>
        <v>18748.830000000002</v>
      </c>
      <c r="F52" s="184">
        <v>23954.37</v>
      </c>
      <c r="G52" s="123"/>
      <c r="H52" s="53">
        <v>24000</v>
      </c>
      <c r="I52" s="53">
        <f>19000-1600</f>
        <v>17400</v>
      </c>
      <c r="J52" s="234">
        <f t="shared" si="26"/>
        <v>-0.27500000000000002</v>
      </c>
      <c r="K52" s="176"/>
      <c r="L52" s="177">
        <v>2127.69</v>
      </c>
      <c r="M52" s="177">
        <v>2478.39</v>
      </c>
      <c r="N52" s="177">
        <v>1570.34</v>
      </c>
      <c r="O52" s="193">
        <v>1485.96</v>
      </c>
      <c r="P52" s="193">
        <v>1817.23</v>
      </c>
      <c r="Q52" s="178">
        <v>661.1</v>
      </c>
      <c r="R52" s="178">
        <v>2188.87</v>
      </c>
      <c r="S52" s="178">
        <v>1392.11</v>
      </c>
      <c r="T52" s="178">
        <v>1756.63</v>
      </c>
      <c r="U52" s="178">
        <v>1380.82</v>
      </c>
      <c r="V52" s="178"/>
      <c r="W52" s="178"/>
      <c r="X52" s="184">
        <f t="shared" si="27"/>
        <v>16859.140000000003</v>
      </c>
      <c r="Y52" s="211">
        <f t="shared" si="2"/>
        <v>0.96891609195402317</v>
      </c>
      <c r="HV52"/>
      <c r="HW52"/>
      <c r="HX52"/>
      <c r="HY52"/>
      <c r="HZ52"/>
      <c r="IA52"/>
      <c r="IB52"/>
      <c r="IC52"/>
      <c r="ID52"/>
      <c r="IE52"/>
      <c r="IF52"/>
    </row>
    <row r="53" spans="1:240" ht="15" customHeight="1" x14ac:dyDescent="0.4">
      <c r="A53" s="142" t="s">
        <v>162</v>
      </c>
      <c r="B53" s="184"/>
      <c r="C53" s="184"/>
      <c r="D53" s="184"/>
      <c r="E53" s="184"/>
      <c r="F53" s="184"/>
      <c r="G53" s="123"/>
      <c r="H53" s="60"/>
      <c r="I53" s="60"/>
      <c r="J53" s="234"/>
      <c r="K53" s="177"/>
      <c r="L53" s="177"/>
      <c r="M53" s="177"/>
      <c r="N53" s="177"/>
      <c r="O53" s="193"/>
      <c r="P53" s="193"/>
      <c r="Q53" s="178"/>
      <c r="R53" s="178"/>
      <c r="S53" s="178"/>
      <c r="T53" s="178"/>
      <c r="U53" s="178"/>
      <c r="V53" s="178"/>
      <c r="W53" s="178"/>
      <c r="X53" s="184">
        <f t="shared" si="27"/>
        <v>0</v>
      </c>
      <c r="Y53" s="211"/>
      <c r="HV53"/>
      <c r="HW53"/>
      <c r="HX53"/>
      <c r="HY53"/>
      <c r="HZ53"/>
      <c r="IA53"/>
      <c r="IB53"/>
      <c r="IC53"/>
      <c r="ID53"/>
      <c r="IE53"/>
      <c r="IF53"/>
    </row>
    <row r="54" spans="1:240" ht="15" customHeight="1" x14ac:dyDescent="0.4">
      <c r="A54" s="150" t="s">
        <v>154</v>
      </c>
      <c r="B54" s="184">
        <v>32000</v>
      </c>
      <c r="C54" s="184">
        <f>65547-C55</f>
        <v>50489.49</v>
      </c>
      <c r="D54" s="184">
        <f>47931+4660-D55</f>
        <v>51800</v>
      </c>
      <c r="E54" s="184">
        <f>62820.33+27400</f>
        <v>90220.33</v>
      </c>
      <c r="F54" s="184">
        <f>76546.83-F55</f>
        <v>66579.03</v>
      </c>
      <c r="G54" s="123"/>
      <c r="H54" s="60">
        <v>88772</v>
      </c>
      <c r="I54" s="60">
        <v>88772</v>
      </c>
      <c r="J54" s="234">
        <f t="shared" si="26"/>
        <v>0</v>
      </c>
      <c r="K54" s="176"/>
      <c r="L54" s="177">
        <v>7397.67</v>
      </c>
      <c r="M54" s="177">
        <v>7397.67</v>
      </c>
      <c r="N54" s="177">
        <v>7397.67</v>
      </c>
      <c r="O54" s="193">
        <v>7397.67</v>
      </c>
      <c r="P54" s="193">
        <v>7397.67</v>
      </c>
      <c r="Q54" s="178"/>
      <c r="R54" s="178">
        <v>14795.34</v>
      </c>
      <c r="S54" s="178">
        <v>7397.67</v>
      </c>
      <c r="T54" s="178">
        <v>7397.67</v>
      </c>
      <c r="U54" s="178">
        <v>7397.67</v>
      </c>
      <c r="V54" s="178">
        <v>14795.34</v>
      </c>
      <c r="W54" s="178"/>
      <c r="X54" s="184">
        <f t="shared" si="27"/>
        <v>88772.04</v>
      </c>
      <c r="Y54" s="211">
        <f t="shared" si="2"/>
        <v>1.0000004505925291</v>
      </c>
      <c r="Z54" s="99"/>
      <c r="HV54"/>
      <c r="HW54"/>
      <c r="HX54"/>
      <c r="HY54"/>
      <c r="HZ54"/>
      <c r="IA54"/>
      <c r="IB54"/>
      <c r="IC54"/>
      <c r="ID54"/>
      <c r="IE54"/>
      <c r="IF54"/>
    </row>
    <row r="55" spans="1:240" ht="15" customHeight="1" x14ac:dyDescent="0.4">
      <c r="A55" s="150" t="s">
        <v>120</v>
      </c>
      <c r="B55" s="184">
        <v>4622.5</v>
      </c>
      <c r="C55" s="184">
        <v>15057.51</v>
      </c>
      <c r="D55" s="184">
        <v>791</v>
      </c>
      <c r="E55" s="184"/>
      <c r="F55" s="184">
        <f>2483.6+3742.2+3742</f>
        <v>9967.7999999999993</v>
      </c>
      <c r="G55" s="123"/>
      <c r="H55" s="60">
        <v>12450</v>
      </c>
      <c r="I55" s="60">
        <v>12450</v>
      </c>
      <c r="J55" s="234">
        <f t="shared" si="26"/>
        <v>0</v>
      </c>
      <c r="K55" s="177"/>
      <c r="L55" s="177">
        <v>6225.8</v>
      </c>
      <c r="M55" s="177"/>
      <c r="N55" s="177"/>
      <c r="O55" s="193"/>
      <c r="P55" s="193"/>
      <c r="Q55" s="178"/>
      <c r="R55" s="178"/>
      <c r="S55" s="178"/>
      <c r="T55" s="178"/>
      <c r="U55" s="178"/>
      <c r="V55" s="178"/>
      <c r="W55" s="178"/>
      <c r="X55" s="184">
        <f t="shared" si="27"/>
        <v>6225.8</v>
      </c>
      <c r="Y55" s="211">
        <f t="shared" si="2"/>
        <v>0.50006425702811241</v>
      </c>
      <c r="HV55"/>
      <c r="HW55"/>
      <c r="HX55"/>
      <c r="HY55"/>
      <c r="HZ55"/>
      <c r="IA55"/>
      <c r="IB55"/>
      <c r="IC55"/>
      <c r="ID55"/>
      <c r="IE55"/>
      <c r="IF55"/>
    </row>
    <row r="56" spans="1:240" ht="15" customHeight="1" x14ac:dyDescent="0.4">
      <c r="A56" s="150" t="s">
        <v>119</v>
      </c>
      <c r="B56" s="184">
        <f>22873.54-647.5-2002.6</f>
        <v>20223.440000000002</v>
      </c>
      <c r="C56" s="184">
        <f>47013.63-19000</f>
        <v>28013.629999999997</v>
      </c>
      <c r="D56" s="184">
        <f>217012.95-79551-124704</f>
        <v>12757.950000000012</v>
      </c>
      <c r="E56" s="184">
        <v>14170.23</v>
      </c>
      <c r="F56" s="184">
        <v>18659</v>
      </c>
      <c r="G56" s="123"/>
      <c r="H56" s="60">
        <f>(1050+1414)*4</f>
        <v>9856</v>
      </c>
      <c r="I56" s="60">
        <v>25136</v>
      </c>
      <c r="J56" s="234">
        <f t="shared" si="26"/>
        <v>1.5503246753246753</v>
      </c>
      <c r="K56" s="176"/>
      <c r="L56" s="177"/>
      <c r="M56" s="177"/>
      <c r="N56" s="176">
        <v>7417</v>
      </c>
      <c r="O56" s="193">
        <v>580</v>
      </c>
      <c r="P56" s="193"/>
      <c r="Q56" s="178">
        <v>4063.6</v>
      </c>
      <c r="R56" s="178">
        <v>10315.950000000001</v>
      </c>
      <c r="S56" s="178">
        <v>295.36</v>
      </c>
      <c r="T56" s="178">
        <v>2464</v>
      </c>
      <c r="U56" s="178"/>
      <c r="V56" s="178">
        <f>-7450+7450</f>
        <v>0</v>
      </c>
      <c r="W56" s="178"/>
      <c r="X56" s="184">
        <f t="shared" si="27"/>
        <v>25135.910000000003</v>
      </c>
      <c r="Y56" s="211">
        <f t="shared" si="2"/>
        <v>0.99999641947803963</v>
      </c>
      <c r="HV56"/>
      <c r="HW56"/>
      <c r="HX56"/>
      <c r="HY56"/>
      <c r="HZ56"/>
      <c r="IA56"/>
      <c r="IB56"/>
      <c r="IC56"/>
      <c r="ID56"/>
      <c r="IE56"/>
      <c r="IF56"/>
    </row>
    <row r="57" spans="1:240" ht="15" customHeight="1" x14ac:dyDescent="0.4">
      <c r="A57" s="150" t="s">
        <v>118</v>
      </c>
      <c r="B57" s="184">
        <v>11570.36</v>
      </c>
      <c r="C57" s="184">
        <v>10194.84</v>
      </c>
      <c r="D57" s="184">
        <v>7023.52</v>
      </c>
      <c r="E57" s="184">
        <v>8387.15</v>
      </c>
      <c r="F57" s="184">
        <v>11300</v>
      </c>
      <c r="G57" s="123"/>
      <c r="H57" s="60">
        <v>12000</v>
      </c>
      <c r="I57" s="60">
        <f>12000+5000-1390</f>
        <v>15610</v>
      </c>
      <c r="J57" s="234">
        <f t="shared" si="26"/>
        <v>0.30083333333333334</v>
      </c>
      <c r="K57" s="176"/>
      <c r="L57" s="177"/>
      <c r="M57" s="177">
        <v>2060</v>
      </c>
      <c r="N57" s="177"/>
      <c r="O57" s="193"/>
      <c r="P57" s="193"/>
      <c r="Q57" s="177">
        <v>7550</v>
      </c>
      <c r="R57" s="177">
        <v>1000</v>
      </c>
      <c r="S57" s="177"/>
      <c r="T57" s="177">
        <v>2000</v>
      </c>
      <c r="U57" s="177"/>
      <c r="V57" s="177">
        <v>3000</v>
      </c>
      <c r="W57" s="177"/>
      <c r="X57" s="184">
        <f t="shared" si="27"/>
        <v>15610</v>
      </c>
      <c r="Y57" s="244">
        <f t="shared" si="2"/>
        <v>1</v>
      </c>
      <c r="Z57" s="99"/>
      <c r="AA57" s="249"/>
      <c r="HV57"/>
      <c r="HW57"/>
      <c r="HX57"/>
      <c r="HY57"/>
      <c r="HZ57"/>
      <c r="IA57"/>
      <c r="IB57"/>
      <c r="IC57"/>
      <c r="ID57"/>
      <c r="IE57"/>
      <c r="IF57"/>
    </row>
    <row r="58" spans="1:240" ht="15" customHeight="1" x14ac:dyDescent="0.4">
      <c r="A58" s="142" t="s">
        <v>37</v>
      </c>
      <c r="B58" s="194">
        <f t="shared" ref="B58:F58" si="28">SUM(B49:B57)</f>
        <v>223730.29999999993</v>
      </c>
      <c r="C58" s="194">
        <f t="shared" si="28"/>
        <v>235500.79</v>
      </c>
      <c r="D58" s="194">
        <f t="shared" si="28"/>
        <v>178104.63999999998</v>
      </c>
      <c r="E58" s="194">
        <f t="shared" si="28"/>
        <v>315854.13000000006</v>
      </c>
      <c r="F58" s="194">
        <f t="shared" si="28"/>
        <v>358575.3</v>
      </c>
      <c r="G58" s="123"/>
      <c r="H58" s="96">
        <f>SUM(H49:H57)</f>
        <v>294010.88</v>
      </c>
      <c r="I58" s="96">
        <f>SUM(I49:I57)</f>
        <v>310295.88</v>
      </c>
      <c r="J58" s="234">
        <f t="shared" si="26"/>
        <v>5.5389106688840901E-2</v>
      </c>
      <c r="K58" s="194">
        <f t="shared" ref="K58:X58" si="29">SUM(K49:K57)</f>
        <v>10479.43</v>
      </c>
      <c r="L58" s="194">
        <f t="shared" si="29"/>
        <v>29616.829999999998</v>
      </c>
      <c r="M58" s="194">
        <f t="shared" si="29"/>
        <v>27167.769999999997</v>
      </c>
      <c r="N58" s="194">
        <f t="shared" si="29"/>
        <v>29033.11</v>
      </c>
      <c r="O58" s="238">
        <f t="shared" si="29"/>
        <v>16731.68</v>
      </c>
      <c r="P58" s="238">
        <f t="shared" si="29"/>
        <v>14066.14</v>
      </c>
      <c r="Q58" s="194">
        <f t="shared" si="29"/>
        <v>38214.17</v>
      </c>
      <c r="R58" s="194">
        <f t="shared" si="29"/>
        <v>46109.56</v>
      </c>
      <c r="S58" s="194">
        <f t="shared" si="29"/>
        <v>21457.63</v>
      </c>
      <c r="T58" s="194">
        <f t="shared" si="29"/>
        <v>23394.61</v>
      </c>
      <c r="U58" s="194">
        <f t="shared" si="29"/>
        <v>22604.78</v>
      </c>
      <c r="V58" s="194">
        <f t="shared" si="29"/>
        <v>22659.18</v>
      </c>
      <c r="W58" s="194">
        <f t="shared" si="29"/>
        <v>0</v>
      </c>
      <c r="X58" s="195">
        <f t="shared" si="29"/>
        <v>301534.89</v>
      </c>
      <c r="Y58" s="211">
        <f t="shared" si="2"/>
        <v>0.97176569021799453</v>
      </c>
      <c r="HV58"/>
      <c r="HW58"/>
      <c r="HX58"/>
      <c r="HY58"/>
      <c r="HZ58"/>
      <c r="IA58"/>
      <c r="IB58"/>
      <c r="IC58"/>
      <c r="ID58"/>
      <c r="IE58"/>
      <c r="IF58"/>
    </row>
    <row r="59" spans="1:240" ht="15" customHeight="1" x14ac:dyDescent="0.4">
      <c r="A59" s="149" t="s">
        <v>173</v>
      </c>
      <c r="B59" s="184"/>
      <c r="C59" s="184"/>
      <c r="D59" s="184"/>
      <c r="E59" s="184"/>
      <c r="F59" s="184"/>
      <c r="G59" s="124"/>
      <c r="H59" s="60"/>
      <c r="I59" s="60"/>
      <c r="J59" s="234"/>
      <c r="K59" s="177"/>
      <c r="L59" s="177"/>
      <c r="M59" s="177"/>
      <c r="N59" s="177"/>
      <c r="O59" s="193"/>
      <c r="P59" s="193"/>
      <c r="Q59" s="177"/>
      <c r="R59" s="177"/>
      <c r="S59" s="177"/>
      <c r="T59" s="177"/>
      <c r="U59" s="177"/>
      <c r="V59" s="177"/>
      <c r="W59" s="177"/>
      <c r="X59" s="184"/>
      <c r="Y59" s="211"/>
      <c r="HV59"/>
      <c r="HW59"/>
      <c r="HX59"/>
      <c r="HY59"/>
      <c r="HZ59"/>
      <c r="IA59"/>
      <c r="IB59"/>
      <c r="IC59"/>
      <c r="ID59"/>
      <c r="IE59"/>
      <c r="IF59"/>
    </row>
    <row r="60" spans="1:240" ht="14.5" customHeight="1" x14ac:dyDescent="0.4">
      <c r="A60" s="142" t="s">
        <v>38</v>
      </c>
      <c r="B60" s="184">
        <v>2731289.85</v>
      </c>
      <c r="C60" s="184">
        <v>2933320.2</v>
      </c>
      <c r="D60" s="184">
        <v>2926511.41</v>
      </c>
      <c r="E60" s="184">
        <v>3279036.3100000005</v>
      </c>
      <c r="F60" s="184">
        <v>3361910.5199999996</v>
      </c>
      <c r="G60" s="123"/>
      <c r="H60" s="53">
        <f>3501677.55+100000</f>
        <v>3601677.55</v>
      </c>
      <c r="I60" s="53">
        <f>3537971+2500</f>
        <v>3540471</v>
      </c>
      <c r="J60" s="234">
        <f t="shared" si="26"/>
        <v>-1.6993900522827152E-2</v>
      </c>
      <c r="K60" s="176">
        <v>234713.88</v>
      </c>
      <c r="L60" s="177">
        <f>348454.13+2000</f>
        <v>350454.13</v>
      </c>
      <c r="M60" s="177">
        <v>300642.8</v>
      </c>
      <c r="N60" s="177">
        <v>306679.34000000003</v>
      </c>
      <c r="O60" s="193">
        <v>296311.01</v>
      </c>
      <c r="P60" s="193">
        <v>299909.03000000003</v>
      </c>
      <c r="Q60" s="177">
        <f>287405.08+2000</f>
        <v>289405.08</v>
      </c>
      <c r="R60" s="177">
        <f>301915.08</f>
        <v>301915.08</v>
      </c>
      <c r="S60" s="177">
        <v>289515.08</v>
      </c>
      <c r="T60" s="177">
        <v>289395.08</v>
      </c>
      <c r="U60" s="177">
        <v>289605.08</v>
      </c>
      <c r="V60" s="177">
        <v>291203.25</v>
      </c>
      <c r="W60" s="177"/>
      <c r="X60" s="184">
        <f t="shared" ref="X60:X69" si="30">SUM(K60:W60)</f>
        <v>3539748.8400000003</v>
      </c>
      <c r="Y60" s="211">
        <f t="shared" si="2"/>
        <v>0.99979602713876214</v>
      </c>
      <c r="Z60" s="275"/>
      <c r="HV60"/>
      <c r="HW60"/>
      <c r="HX60"/>
      <c r="HY60"/>
      <c r="HZ60"/>
      <c r="IA60"/>
      <c r="IB60"/>
      <c r="IC60"/>
      <c r="ID60"/>
      <c r="IE60"/>
      <c r="IF60"/>
    </row>
    <row r="61" spans="1:240" ht="14.5" customHeight="1" x14ac:dyDescent="0.4">
      <c r="A61" s="142" t="s">
        <v>39</v>
      </c>
      <c r="B61" s="184">
        <v>83281.350000000006</v>
      </c>
      <c r="C61" s="184">
        <v>55930</v>
      </c>
      <c r="D61" s="184">
        <v>56292.800000000003</v>
      </c>
      <c r="E61" s="184">
        <v>121090</v>
      </c>
      <c r="F61" s="184">
        <v>88380</v>
      </c>
      <c r="G61" s="123"/>
      <c r="H61" s="53">
        <v>60000</v>
      </c>
      <c r="I61" s="53">
        <f>105000+17500</f>
        <v>122500</v>
      </c>
      <c r="J61" s="234">
        <f t="shared" si="26"/>
        <v>1.0416666666666667</v>
      </c>
      <c r="K61" s="176"/>
      <c r="L61" s="177"/>
      <c r="M61" s="177">
        <v>11675</v>
      </c>
      <c r="N61" s="177">
        <v>6330</v>
      </c>
      <c r="O61" s="193">
        <v>11530</v>
      </c>
      <c r="P61" s="193">
        <v>10275</v>
      </c>
      <c r="Q61" s="177">
        <v>4810</v>
      </c>
      <c r="R61" s="177">
        <v>18285</v>
      </c>
      <c r="S61" s="177">
        <v>15010</v>
      </c>
      <c r="T61" s="177">
        <v>13920</v>
      </c>
      <c r="U61" s="177">
        <v>20670</v>
      </c>
      <c r="V61" s="177">
        <v>9905</v>
      </c>
      <c r="W61" s="177"/>
      <c r="X61" s="184">
        <f t="shared" si="30"/>
        <v>122410</v>
      </c>
      <c r="Y61" s="244">
        <f t="shared" si="2"/>
        <v>0.99926530612244902</v>
      </c>
      <c r="Z61" s="250"/>
      <c r="HV61"/>
      <c r="HW61"/>
      <c r="HX61"/>
      <c r="HY61"/>
      <c r="HZ61"/>
      <c r="IA61"/>
      <c r="IB61"/>
      <c r="IC61"/>
      <c r="ID61"/>
      <c r="IE61"/>
      <c r="IF61"/>
    </row>
    <row r="62" spans="1:240" ht="15" customHeight="1" x14ac:dyDescent="0.4">
      <c r="A62" s="142" t="s">
        <v>41</v>
      </c>
      <c r="B62" s="184">
        <v>2984.5</v>
      </c>
      <c r="C62" s="184">
        <v>5123.5</v>
      </c>
      <c r="D62" s="184">
        <v>8241</v>
      </c>
      <c r="E62" s="184">
        <v>2497</v>
      </c>
      <c r="F62" s="184">
        <v>0</v>
      </c>
      <c r="G62" s="123"/>
      <c r="H62" s="60">
        <v>5400</v>
      </c>
      <c r="I62" s="60">
        <v>0</v>
      </c>
      <c r="J62" s="234">
        <f t="shared" si="26"/>
        <v>-1</v>
      </c>
      <c r="K62" s="177"/>
      <c r="L62" s="177"/>
      <c r="M62" s="177"/>
      <c r="N62" s="177"/>
      <c r="O62" s="193"/>
      <c r="P62" s="193"/>
      <c r="Q62" s="177"/>
      <c r="R62" s="177"/>
      <c r="S62" s="177"/>
      <c r="T62" s="177"/>
      <c r="U62" s="177"/>
      <c r="V62" s="177"/>
      <c r="W62" s="177"/>
      <c r="X62" s="184">
        <f t="shared" si="30"/>
        <v>0</v>
      </c>
      <c r="Y62" s="211"/>
      <c r="Z62" s="243"/>
      <c r="AA62" s="249"/>
      <c r="AB62" s="249"/>
      <c r="AC62" s="249"/>
      <c r="HV62"/>
      <c r="HW62"/>
      <c r="HX62"/>
      <c r="HY62"/>
      <c r="HZ62"/>
      <c r="IA62"/>
      <c r="IB62"/>
      <c r="IC62"/>
      <c r="ID62"/>
      <c r="IE62"/>
      <c r="IF62"/>
    </row>
    <row r="63" spans="1:240" ht="15" customHeight="1" x14ac:dyDescent="0.4">
      <c r="A63" s="142" t="s">
        <v>42</v>
      </c>
      <c r="B63" s="184">
        <v>251998.25</v>
      </c>
      <c r="C63" s="184">
        <v>261890.76</v>
      </c>
      <c r="D63" s="184">
        <v>259994.68999999997</v>
      </c>
      <c r="E63" s="184">
        <v>317760.71000000002</v>
      </c>
      <c r="F63" s="184">
        <v>327317.78999999998</v>
      </c>
      <c r="G63" s="123"/>
      <c r="H63" s="53">
        <f>(56*0.9)*((647.87*5)+(584.96*7))</f>
        <v>369637.12799999997</v>
      </c>
      <c r="I63" s="53">
        <v>374543</v>
      </c>
      <c r="J63" s="234">
        <f t="shared" si="26"/>
        <v>1.327212995768118E-2</v>
      </c>
      <c r="K63" s="176">
        <v>21380.6</v>
      </c>
      <c r="L63" s="177">
        <v>22486.22</v>
      </c>
      <c r="M63" s="177">
        <v>31576.32</v>
      </c>
      <c r="N63" s="176">
        <v>35575</v>
      </c>
      <c r="O63" s="193">
        <v>27451.439999999999</v>
      </c>
      <c r="P63" s="193">
        <v>33704.879999999997</v>
      </c>
      <c r="Q63" s="177">
        <v>33733.160000000003</v>
      </c>
      <c r="R63" s="177">
        <v>33727</v>
      </c>
      <c r="S63" s="177">
        <v>33727</v>
      </c>
      <c r="T63" s="177">
        <v>33727</v>
      </c>
      <c r="U63" s="177">
        <v>33727</v>
      </c>
      <c r="V63" s="177">
        <v>33727</v>
      </c>
      <c r="W63" s="177"/>
      <c r="X63" s="184">
        <f t="shared" si="30"/>
        <v>374542.62</v>
      </c>
      <c r="Y63" s="211">
        <f t="shared" si="2"/>
        <v>0.99999898543024435</v>
      </c>
      <c r="Z63" s="248"/>
      <c r="HV63"/>
      <c r="HW63"/>
      <c r="HX63"/>
      <c r="HY63"/>
      <c r="HZ63"/>
      <c r="IA63"/>
      <c r="IB63"/>
      <c r="IC63"/>
      <c r="ID63"/>
      <c r="IE63"/>
      <c r="IF63"/>
    </row>
    <row r="64" spans="1:240" ht="15" customHeight="1" x14ac:dyDescent="0.4">
      <c r="A64" s="142" t="s">
        <v>43</v>
      </c>
      <c r="B64" s="184">
        <v>74022.78</v>
      </c>
      <c r="C64" s="184">
        <v>70871.360000000001</v>
      </c>
      <c r="D64" s="184">
        <v>62706.33</v>
      </c>
      <c r="E64" s="184">
        <v>60694.369999999988</v>
      </c>
      <c r="F64" s="184">
        <v>50494.31</v>
      </c>
      <c r="G64" s="123"/>
      <c r="H64" s="53">
        <f>(H60*0.03)*0.65</f>
        <v>70232.712224999996</v>
      </c>
      <c r="I64" s="53">
        <f>(I60*0.03)*0.5353</f>
        <v>56856.423788999993</v>
      </c>
      <c r="J64" s="234">
        <f t="shared" si="26"/>
        <v>-0.19045666915364529</v>
      </c>
      <c r="K64" s="176">
        <v>3488.55</v>
      </c>
      <c r="L64" s="177">
        <v>3649.52</v>
      </c>
      <c r="M64" s="177">
        <v>4591.05</v>
      </c>
      <c r="N64" s="177">
        <v>4676.2299999999996</v>
      </c>
      <c r="O64" s="193">
        <v>5239.0600000000004</v>
      </c>
      <c r="P64" s="193">
        <v>5126.0600000000004</v>
      </c>
      <c r="Q64" s="177">
        <v>4852.74</v>
      </c>
      <c r="R64" s="177">
        <v>5004.99</v>
      </c>
      <c r="S64" s="177">
        <v>5050.7700000000004</v>
      </c>
      <c r="T64" s="177">
        <v>5045.5200000000004</v>
      </c>
      <c r="U64" s="177">
        <v>5062.32</v>
      </c>
      <c r="V64" s="177">
        <v>5004.97</v>
      </c>
      <c r="W64" s="177"/>
      <c r="X64" s="184">
        <f t="shared" si="30"/>
        <v>56791.780000000006</v>
      </c>
      <c r="Y64" s="211">
        <f>X64/I64</f>
        <v>0.99886303455806702</v>
      </c>
      <c r="Z64" s="224"/>
      <c r="HV64"/>
      <c r="HW64"/>
      <c r="HX64"/>
      <c r="HY64"/>
      <c r="HZ64"/>
      <c r="IA64"/>
      <c r="IB64"/>
      <c r="IC64"/>
      <c r="ID64"/>
      <c r="IE64"/>
      <c r="IF64"/>
    </row>
    <row r="65" spans="1:240" ht="15" customHeight="1" x14ac:dyDescent="0.4">
      <c r="A65" s="142" t="s">
        <v>44</v>
      </c>
      <c r="B65" s="184">
        <v>221645.64</v>
      </c>
      <c r="C65" s="184">
        <v>223003.15</v>
      </c>
      <c r="D65" s="184">
        <v>222140.75000000003</v>
      </c>
      <c r="E65" s="184">
        <v>252584.79500000004</v>
      </c>
      <c r="F65" s="184">
        <v>282705.36</v>
      </c>
      <c r="G65" s="123"/>
      <c r="H65" s="53">
        <f>H60*0.0765</f>
        <v>275528.33257500001</v>
      </c>
      <c r="I65" s="53">
        <f>(I60+I61)*0.07525</f>
        <v>275638.56774999999</v>
      </c>
      <c r="J65" s="234">
        <f t="shared" si="26"/>
        <v>4.000865318268977E-4</v>
      </c>
      <c r="K65" s="193">
        <v>17241.830000000002</v>
      </c>
      <c r="L65" s="177">
        <v>26224.87</v>
      </c>
      <c r="M65" s="177">
        <v>23301.82</v>
      </c>
      <c r="N65" s="177">
        <v>24226.29</v>
      </c>
      <c r="O65" s="193">
        <v>24294.26</v>
      </c>
      <c r="P65" s="193">
        <v>23135.9</v>
      </c>
      <c r="Q65" s="177">
        <v>21852.63</v>
      </c>
      <c r="R65" s="177">
        <v>23889.49</v>
      </c>
      <c r="S65" s="177">
        <v>22697.62</v>
      </c>
      <c r="T65" s="177">
        <v>22606.080000000002</v>
      </c>
      <c r="U65" s="177">
        <v>23139.919999999998</v>
      </c>
      <c r="V65" s="177">
        <v>22671</v>
      </c>
      <c r="W65" s="177"/>
      <c r="X65" s="184">
        <f t="shared" si="30"/>
        <v>275281.70999999996</v>
      </c>
      <c r="Y65" s="211">
        <f t="shared" si="2"/>
        <v>0.9987053417346019</v>
      </c>
      <c r="AA65" s="243"/>
      <c r="AB65" s="213"/>
      <c r="AC65" s="213"/>
      <c r="AD65" s="213"/>
      <c r="AE65" s="213"/>
      <c r="AF65" s="213"/>
      <c r="AG65" s="213"/>
      <c r="AH65" s="213"/>
      <c r="HV65"/>
      <c r="HW65"/>
      <c r="HX65"/>
      <c r="HY65"/>
      <c r="HZ65"/>
      <c r="IA65"/>
      <c r="IB65"/>
      <c r="IC65"/>
      <c r="ID65"/>
      <c r="IE65"/>
      <c r="IF65"/>
    </row>
    <row r="66" spans="1:240" ht="15" customHeight="1" x14ac:dyDescent="0.4">
      <c r="A66" s="142" t="s">
        <v>45</v>
      </c>
      <c r="B66" s="184">
        <v>2942</v>
      </c>
      <c r="C66" s="184">
        <v>3414</v>
      </c>
      <c r="D66" s="184">
        <v>4427</v>
      </c>
      <c r="E66" s="184">
        <v>4947</v>
      </c>
      <c r="F66" s="184">
        <v>4487</v>
      </c>
      <c r="G66" s="123"/>
      <c r="H66" s="53">
        <v>6000</v>
      </c>
      <c r="I66" s="53">
        <f>4500-50</f>
        <v>4450</v>
      </c>
      <c r="J66" s="234">
        <f t="shared" si="26"/>
        <v>-0.25833333333333336</v>
      </c>
      <c r="K66" s="193">
        <v>357</v>
      </c>
      <c r="L66" s="177">
        <v>278</v>
      </c>
      <c r="M66" s="177">
        <v>289</v>
      </c>
      <c r="N66" s="177">
        <v>374</v>
      </c>
      <c r="O66" s="193"/>
      <c r="P66" s="193">
        <v>359</v>
      </c>
      <c r="Q66" s="177">
        <v>366</v>
      </c>
      <c r="R66" s="177">
        <v>407</v>
      </c>
      <c r="S66" s="177">
        <v>793</v>
      </c>
      <c r="T66" s="177">
        <v>409</v>
      </c>
      <c r="U66" s="177">
        <v>407</v>
      </c>
      <c r="V66" s="177">
        <v>407</v>
      </c>
      <c r="W66" s="177"/>
      <c r="X66" s="184">
        <f t="shared" si="30"/>
        <v>4446</v>
      </c>
      <c r="Y66" s="211">
        <f t="shared" si="2"/>
        <v>0.99910112359550562</v>
      </c>
      <c r="Z66" s="99"/>
      <c r="AB66" s="213"/>
      <c r="AC66" s="230"/>
      <c r="AD66" s="230"/>
      <c r="HV66"/>
      <c r="HW66"/>
      <c r="HX66"/>
      <c r="HY66"/>
      <c r="HZ66"/>
      <c r="IA66"/>
      <c r="IB66"/>
      <c r="IC66"/>
      <c r="ID66"/>
      <c r="IE66"/>
      <c r="IF66"/>
    </row>
    <row r="67" spans="1:240" ht="15" customHeight="1" x14ac:dyDescent="0.4">
      <c r="A67" s="142" t="s">
        <v>46</v>
      </c>
      <c r="B67" s="184">
        <v>6775.52</v>
      </c>
      <c r="C67" s="184">
        <v>3830.29</v>
      </c>
      <c r="D67" s="184">
        <v>8037.29</v>
      </c>
      <c r="E67" s="184">
        <v>9552.59</v>
      </c>
      <c r="F67" s="184">
        <v>9341.2899999999991</v>
      </c>
      <c r="G67" s="123"/>
      <c r="H67" s="53">
        <f>56*30600*0.0047*1.35</f>
        <v>10872.792000000001</v>
      </c>
      <c r="I67" s="53">
        <f>10872.79+2527</f>
        <v>13399.79</v>
      </c>
      <c r="J67" s="234">
        <f t="shared" si="26"/>
        <v>0.23241482040675471</v>
      </c>
      <c r="K67" s="193"/>
      <c r="L67" s="177"/>
      <c r="M67" s="177"/>
      <c r="N67" s="177">
        <v>1123.1099999999999</v>
      </c>
      <c r="O67" s="193"/>
      <c r="P67" s="193"/>
      <c r="Q67" s="177">
        <v>1079.83</v>
      </c>
      <c r="R67" s="177"/>
      <c r="S67" s="177"/>
      <c r="T67" s="177">
        <v>5675.69</v>
      </c>
      <c r="U67" s="177"/>
      <c r="V67" s="177">
        <v>4295.07</v>
      </c>
      <c r="W67" s="177"/>
      <c r="X67" s="184">
        <f t="shared" si="30"/>
        <v>12173.699999999999</v>
      </c>
      <c r="Y67" s="211">
        <f t="shared" si="2"/>
        <v>0.90849931230265535</v>
      </c>
      <c r="Z67" s="233"/>
      <c r="AH67" s="213"/>
      <c r="HV67"/>
      <c r="HW67"/>
      <c r="HX67"/>
      <c r="HY67"/>
      <c r="HZ67"/>
      <c r="IA67"/>
      <c r="IB67"/>
      <c r="IC67"/>
      <c r="ID67"/>
      <c r="IE67"/>
      <c r="IF67"/>
    </row>
    <row r="68" spans="1:240" ht="15" customHeight="1" x14ac:dyDescent="0.4">
      <c r="A68" s="142" t="s">
        <v>47</v>
      </c>
      <c r="B68" s="184">
        <v>9802.61</v>
      </c>
      <c r="C68" s="184">
        <v>9770</v>
      </c>
      <c r="D68" s="184">
        <v>13720.85</v>
      </c>
      <c r="E68" s="184">
        <v>11476.56</v>
      </c>
      <c r="F68" s="184">
        <v>16759</v>
      </c>
      <c r="G68" s="123"/>
      <c r="H68" s="53">
        <v>14000</v>
      </c>
      <c r="I68" s="53">
        <f>14000-4338</f>
        <v>9662</v>
      </c>
      <c r="J68" s="234">
        <f t="shared" si="26"/>
        <v>-0.30985714285714283</v>
      </c>
      <c r="K68" s="193"/>
      <c r="L68" s="177"/>
      <c r="M68" s="177"/>
      <c r="N68" s="177"/>
      <c r="O68" s="193"/>
      <c r="P68" s="193"/>
      <c r="Q68" s="177">
        <v>827</v>
      </c>
      <c r="R68" s="177">
        <v>827</v>
      </c>
      <c r="S68" s="177"/>
      <c r="T68" s="177">
        <v>-827</v>
      </c>
      <c r="U68" s="177"/>
      <c r="V68" s="177">
        <v>8835</v>
      </c>
      <c r="W68" s="177"/>
      <c r="X68" s="184">
        <f t="shared" si="30"/>
        <v>9662</v>
      </c>
      <c r="Y68" s="211">
        <f t="shared" si="2"/>
        <v>1</v>
      </c>
      <c r="Z68" s="99"/>
      <c r="AH68" s="230"/>
      <c r="HV68"/>
      <c r="HW68"/>
      <c r="HX68"/>
      <c r="HY68"/>
      <c r="HZ68"/>
      <c r="IA68"/>
      <c r="IB68"/>
      <c r="IC68"/>
      <c r="ID68"/>
      <c r="IE68"/>
      <c r="IF68"/>
    </row>
    <row r="69" spans="1:240" ht="15" customHeight="1" x14ac:dyDescent="0.4">
      <c r="A69" s="142" t="s">
        <v>48</v>
      </c>
      <c r="B69" s="184">
        <v>171246.73</v>
      </c>
      <c r="C69" s="184">
        <v>120823.798</v>
      </c>
      <c r="D69" s="184">
        <v>93494.22</v>
      </c>
      <c r="E69" s="184">
        <v>267265.45500000002</v>
      </c>
      <c r="F69" s="184">
        <v>217147.40999999997</v>
      </c>
      <c r="G69" s="123"/>
      <c r="H69" s="53">
        <v>70000</v>
      </c>
      <c r="I69" s="53">
        <f>14500+18408</f>
        <v>32908</v>
      </c>
      <c r="J69" s="234">
        <f t="shared" si="26"/>
        <v>-0.52988571428571429</v>
      </c>
      <c r="K69" s="193"/>
      <c r="L69" s="177"/>
      <c r="M69" s="177"/>
      <c r="N69" s="177"/>
      <c r="O69" s="193">
        <v>14500</v>
      </c>
      <c r="P69" s="193"/>
      <c r="Q69" s="177">
        <f>17100+1308.17</f>
        <v>18408.169999999998</v>
      </c>
      <c r="R69" s="177"/>
      <c r="S69" s="177"/>
      <c r="T69" s="177"/>
      <c r="U69" s="177"/>
      <c r="V69" s="177"/>
      <c r="W69" s="177"/>
      <c r="X69" s="184">
        <f t="shared" si="30"/>
        <v>32908.17</v>
      </c>
      <c r="Y69" s="211">
        <f t="shared" si="2"/>
        <v>1.0000051659171021</v>
      </c>
      <c r="Z69" s="232"/>
      <c r="HV69"/>
      <c r="HW69"/>
      <c r="HX69"/>
      <c r="HY69"/>
      <c r="HZ69"/>
      <c r="IA69"/>
      <c r="IB69"/>
      <c r="IC69"/>
      <c r="ID69"/>
      <c r="IE69"/>
      <c r="IF69"/>
    </row>
    <row r="70" spans="1:240" ht="15" customHeight="1" x14ac:dyDescent="0.4">
      <c r="A70" s="142" t="s">
        <v>176</v>
      </c>
      <c r="B70" s="181">
        <f t="shared" ref="B70:F70" si="31">SUM(B60:B69)</f>
        <v>3555989.23</v>
      </c>
      <c r="C70" s="181">
        <f t="shared" si="31"/>
        <v>3687977.0579999997</v>
      </c>
      <c r="D70" s="181">
        <f t="shared" si="31"/>
        <v>3655566.3400000003</v>
      </c>
      <c r="E70" s="181">
        <f t="shared" si="31"/>
        <v>4326904.79</v>
      </c>
      <c r="F70" s="181">
        <f t="shared" si="31"/>
        <v>4358542.68</v>
      </c>
      <c r="G70" s="123"/>
      <c r="H70" s="97">
        <f>SUM(H60:H69)</f>
        <v>4483348.5148</v>
      </c>
      <c r="I70" s="97">
        <f>SUM(I60:I69)</f>
        <v>4430428.7815390006</v>
      </c>
      <c r="J70" s="234">
        <f t="shared" si="26"/>
        <v>-1.1803618007011029E-2</v>
      </c>
      <c r="K70" s="181">
        <f t="shared" ref="K70:X70" si="32">SUM(K60:K69)</f>
        <v>277181.86</v>
      </c>
      <c r="L70" s="181">
        <f t="shared" si="32"/>
        <v>403092.74</v>
      </c>
      <c r="M70" s="181">
        <f t="shared" si="32"/>
        <v>372075.99</v>
      </c>
      <c r="N70" s="181">
        <f t="shared" si="32"/>
        <v>378983.97</v>
      </c>
      <c r="O70" s="239">
        <f t="shared" si="32"/>
        <v>379325.77</v>
      </c>
      <c r="P70" s="239">
        <f t="shared" si="32"/>
        <v>372509.87000000005</v>
      </c>
      <c r="Q70" s="181">
        <f t="shared" si="32"/>
        <v>375334.61</v>
      </c>
      <c r="R70" s="181">
        <f t="shared" si="32"/>
        <v>384055.56</v>
      </c>
      <c r="S70" s="181">
        <f t="shared" si="32"/>
        <v>366793.47000000003</v>
      </c>
      <c r="T70" s="181">
        <f t="shared" si="32"/>
        <v>369951.37000000005</v>
      </c>
      <c r="U70" s="181">
        <f t="shared" si="32"/>
        <v>372611.32</v>
      </c>
      <c r="V70" s="181">
        <f t="shared" si="32"/>
        <v>376048.29</v>
      </c>
      <c r="W70" s="181">
        <f t="shared" si="32"/>
        <v>0</v>
      </c>
      <c r="X70" s="182">
        <f t="shared" si="32"/>
        <v>4427964.82</v>
      </c>
      <c r="Y70" s="211">
        <f t="shared" si="2"/>
        <v>0.99944385483651887</v>
      </c>
      <c r="Z70" s="225"/>
      <c r="AA70" s="99"/>
      <c r="HV70"/>
      <c r="HW70"/>
      <c r="HX70"/>
      <c r="HY70"/>
      <c r="HZ70"/>
      <c r="IA70"/>
      <c r="IB70"/>
      <c r="IC70"/>
      <c r="ID70"/>
      <c r="IE70"/>
      <c r="IF70"/>
    </row>
    <row r="71" spans="1:240" ht="15" customHeight="1" x14ac:dyDescent="0.4">
      <c r="A71" s="151" t="s">
        <v>161</v>
      </c>
      <c r="B71" s="184"/>
      <c r="C71" s="184"/>
      <c r="D71" s="184"/>
      <c r="E71" s="184"/>
      <c r="F71" s="184"/>
      <c r="G71" s="126"/>
      <c r="H71" s="53"/>
      <c r="I71" s="53"/>
      <c r="J71" s="234"/>
      <c r="K71" s="193"/>
      <c r="L71" s="177"/>
      <c r="M71" s="177"/>
      <c r="N71" s="177"/>
      <c r="O71" s="193"/>
      <c r="P71" s="193"/>
      <c r="Q71" s="177"/>
      <c r="R71" s="177"/>
      <c r="S71" s="177"/>
      <c r="T71" s="177"/>
      <c r="U71" s="177"/>
      <c r="V71" s="177"/>
      <c r="W71" s="177"/>
      <c r="X71" s="184"/>
      <c r="Y71" s="211"/>
      <c r="HV71"/>
      <c r="HW71"/>
      <c r="HX71"/>
      <c r="HY71"/>
      <c r="HZ71"/>
      <c r="IA71"/>
      <c r="IB71"/>
      <c r="IC71"/>
      <c r="ID71"/>
      <c r="IE71"/>
      <c r="IF71"/>
    </row>
    <row r="72" spans="1:240" ht="15" customHeight="1" x14ac:dyDescent="0.4">
      <c r="A72" s="142" t="s">
        <v>49</v>
      </c>
      <c r="B72" s="184">
        <v>21154.5</v>
      </c>
      <c r="C72" s="184">
        <v>41015.89</v>
      </c>
      <c r="D72" s="184">
        <v>27779.279999999999</v>
      </c>
      <c r="E72" s="184">
        <v>52877.239999999991</v>
      </c>
      <c r="F72" s="184">
        <v>126544.65999999999</v>
      </c>
      <c r="G72" s="123"/>
      <c r="H72" s="53">
        <v>40000</v>
      </c>
      <c r="I72" s="53">
        <v>72000</v>
      </c>
      <c r="J72" s="234">
        <f t="shared" si="26"/>
        <v>0.8</v>
      </c>
      <c r="K72" s="193">
        <v>4575.67</v>
      </c>
      <c r="L72" s="177">
        <v>19570.18</v>
      </c>
      <c r="M72" s="177">
        <v>11580.44</v>
      </c>
      <c r="N72" s="177">
        <v>14744.17</v>
      </c>
      <c r="O72" s="193">
        <v>1768.89</v>
      </c>
      <c r="P72" s="193">
        <v>2977.79</v>
      </c>
      <c r="Q72" s="177">
        <v>13447.53</v>
      </c>
      <c r="R72" s="177">
        <v>2844.31</v>
      </c>
      <c r="S72" s="177">
        <v>-1260.53</v>
      </c>
      <c r="T72" s="177">
        <v>5060.1000000000004</v>
      </c>
      <c r="U72" s="177">
        <v>-944.4</v>
      </c>
      <c r="V72" s="177">
        <v>-3857.23</v>
      </c>
      <c r="W72" s="177"/>
      <c r="X72" s="184">
        <f>SUM(K72:W72)</f>
        <v>70506.920000000013</v>
      </c>
      <c r="Y72" s="244">
        <f t="shared" si="2"/>
        <v>0.97926277777777793</v>
      </c>
      <c r="Z72" s="251"/>
      <c r="HV72"/>
      <c r="HW72"/>
      <c r="HX72"/>
      <c r="HY72"/>
      <c r="HZ72"/>
      <c r="IA72"/>
      <c r="IB72"/>
      <c r="IC72"/>
      <c r="ID72"/>
      <c r="IE72"/>
      <c r="IF72"/>
    </row>
    <row r="73" spans="1:240" ht="15" customHeight="1" x14ac:dyDescent="0.4">
      <c r="A73" s="142" t="s">
        <v>52</v>
      </c>
      <c r="B73" s="184">
        <v>37722.82</v>
      </c>
      <c r="C73" s="184">
        <v>30895.119999999999</v>
      </c>
      <c r="D73" s="184">
        <v>45610.409999999996</v>
      </c>
      <c r="E73" s="184">
        <v>53088.380000000005</v>
      </c>
      <c r="F73" s="184">
        <v>44228.09</v>
      </c>
      <c r="G73" s="123"/>
      <c r="H73" s="53">
        <f>51000-7566</f>
        <v>43434</v>
      </c>
      <c r="I73" s="53">
        <f>43434-2500</f>
        <v>40934</v>
      </c>
      <c r="J73" s="234">
        <f t="shared" si="26"/>
        <v>-5.7558594649353041E-2</v>
      </c>
      <c r="K73" s="193">
        <f>5203</f>
        <v>5203</v>
      </c>
      <c r="L73" s="177">
        <f>3752.76+1654.34</f>
        <v>5407.1</v>
      </c>
      <c r="M73" s="177">
        <f>11.98+2099.5</f>
        <v>2111.48</v>
      </c>
      <c r="N73" s="177">
        <f>306.04+507.34</f>
        <v>813.38</v>
      </c>
      <c r="O73" s="193">
        <v>9657.61</v>
      </c>
      <c r="P73" s="193">
        <v>3608.42</v>
      </c>
      <c r="Q73" s="177">
        <v>10788.77</v>
      </c>
      <c r="R73" s="177">
        <v>565.34</v>
      </c>
      <c r="S73" s="177">
        <v>565.34</v>
      </c>
      <c r="T73" s="177">
        <v>540.89</v>
      </c>
      <c r="U73" s="177">
        <v>552.79</v>
      </c>
      <c r="V73" s="177">
        <v>1095.1500000000001</v>
      </c>
      <c r="W73" s="177"/>
      <c r="X73" s="184">
        <f>SUM(K73:W73)</f>
        <v>40909.26999999999</v>
      </c>
      <c r="Y73" s="211">
        <f t="shared" si="2"/>
        <v>0.99939585674500386</v>
      </c>
      <c r="Z73" s="99"/>
      <c r="HV73"/>
      <c r="HW73"/>
      <c r="HX73"/>
      <c r="HY73"/>
      <c r="HZ73"/>
      <c r="IA73"/>
      <c r="IB73"/>
      <c r="IC73"/>
      <c r="ID73"/>
      <c r="IE73"/>
      <c r="IF73"/>
    </row>
    <row r="74" spans="1:240" ht="15" customHeight="1" x14ac:dyDescent="0.4">
      <c r="A74" s="152" t="s">
        <v>172</v>
      </c>
      <c r="B74" s="181">
        <f t="shared" ref="B74:F74" si="33">SUM(B72:B73)</f>
        <v>58877.32</v>
      </c>
      <c r="C74" s="181">
        <f t="shared" si="33"/>
        <v>71911.009999999995</v>
      </c>
      <c r="D74" s="181">
        <f t="shared" si="33"/>
        <v>73389.69</v>
      </c>
      <c r="E74" s="181">
        <f t="shared" si="33"/>
        <v>105965.62</v>
      </c>
      <c r="F74" s="181">
        <f t="shared" si="33"/>
        <v>170772.75</v>
      </c>
      <c r="G74" s="127"/>
      <c r="H74" s="97">
        <f>SUM(H72:H73)</f>
        <v>83434</v>
      </c>
      <c r="I74" s="97">
        <f>SUM(I72:I73)</f>
        <v>112934</v>
      </c>
      <c r="J74" s="234">
        <f t="shared" si="26"/>
        <v>0.35357288395618092</v>
      </c>
      <c r="K74" s="181">
        <f t="shared" ref="K74:X74" si="34">SUM(K72:K73)</f>
        <v>9778.67</v>
      </c>
      <c r="L74" s="181">
        <f t="shared" si="34"/>
        <v>24977.279999999999</v>
      </c>
      <c r="M74" s="181">
        <f t="shared" si="34"/>
        <v>13691.92</v>
      </c>
      <c r="N74" s="181">
        <f t="shared" si="34"/>
        <v>15557.55</v>
      </c>
      <c r="O74" s="239">
        <f t="shared" si="34"/>
        <v>11426.5</v>
      </c>
      <c r="P74" s="239">
        <f t="shared" si="34"/>
        <v>6586.21</v>
      </c>
      <c r="Q74" s="181">
        <f t="shared" si="34"/>
        <v>24236.300000000003</v>
      </c>
      <c r="R74" s="181">
        <f t="shared" si="34"/>
        <v>3409.65</v>
      </c>
      <c r="S74" s="181">
        <f t="shared" si="34"/>
        <v>-695.18999999999994</v>
      </c>
      <c r="T74" s="181">
        <f t="shared" si="34"/>
        <v>5600.9900000000007</v>
      </c>
      <c r="U74" s="181">
        <f t="shared" si="34"/>
        <v>-391.61</v>
      </c>
      <c r="V74" s="181">
        <f t="shared" si="34"/>
        <v>-2762.08</v>
      </c>
      <c r="W74" s="181">
        <f t="shared" si="34"/>
        <v>0</v>
      </c>
      <c r="X74" s="182">
        <f t="shared" si="34"/>
        <v>111416.19</v>
      </c>
      <c r="Y74" s="211">
        <f t="shared" si="2"/>
        <v>0.98656020330458505</v>
      </c>
      <c r="HV74"/>
      <c r="HW74"/>
      <c r="HX74"/>
      <c r="HY74"/>
      <c r="HZ74"/>
      <c r="IA74"/>
      <c r="IB74"/>
      <c r="IC74"/>
      <c r="ID74"/>
      <c r="IE74"/>
      <c r="IF74"/>
    </row>
    <row r="75" spans="1:240" ht="15" customHeight="1" x14ac:dyDescent="0.4">
      <c r="A75" s="151" t="s">
        <v>175</v>
      </c>
      <c r="B75" s="184"/>
      <c r="C75" s="184"/>
      <c r="D75" s="184"/>
      <c r="E75" s="184"/>
      <c r="F75" s="184"/>
      <c r="G75" s="126"/>
      <c r="H75" s="53"/>
      <c r="I75" s="53"/>
      <c r="J75" s="234"/>
      <c r="K75" s="193"/>
      <c r="L75" s="177"/>
      <c r="M75" s="177"/>
      <c r="N75" s="177"/>
      <c r="O75" s="193"/>
      <c r="P75" s="193"/>
      <c r="Q75" s="177"/>
      <c r="R75" s="177"/>
      <c r="S75" s="177"/>
      <c r="T75" s="177"/>
      <c r="U75" s="177"/>
      <c r="V75" s="177"/>
      <c r="W75" s="177"/>
      <c r="X75" s="184"/>
      <c r="Y75" s="211"/>
      <c r="HV75"/>
      <c r="HW75"/>
      <c r="HX75"/>
      <c r="HY75"/>
      <c r="HZ75"/>
      <c r="IA75"/>
      <c r="IB75"/>
      <c r="IC75"/>
      <c r="ID75"/>
      <c r="IE75"/>
      <c r="IF75"/>
    </row>
    <row r="76" spans="1:240" ht="15" customHeight="1" x14ac:dyDescent="0.4">
      <c r="A76" s="142" t="s">
        <v>53</v>
      </c>
      <c r="B76" s="184">
        <v>29164.25</v>
      </c>
      <c r="C76" s="184">
        <v>36153.800000000003</v>
      </c>
      <c r="D76" s="184">
        <v>19358.04</v>
      </c>
      <c r="E76" s="184">
        <v>35479.919999999998</v>
      </c>
      <c r="F76" s="184">
        <f>33156.92-F80-F77</f>
        <v>30253.91</v>
      </c>
      <c r="G76" s="123"/>
      <c r="H76" s="53">
        <v>19000</v>
      </c>
      <c r="I76" s="53">
        <f>15000-2500</f>
        <v>12500</v>
      </c>
      <c r="J76" s="234">
        <f t="shared" si="26"/>
        <v>-0.34210526315789475</v>
      </c>
      <c r="K76" s="176">
        <v>125</v>
      </c>
      <c r="L76" s="177">
        <v>1050</v>
      </c>
      <c r="M76" s="177">
        <v>658.41</v>
      </c>
      <c r="N76" s="177">
        <v>1920.86</v>
      </c>
      <c r="O76" s="193"/>
      <c r="P76" s="193">
        <v>1190.3499999999999</v>
      </c>
      <c r="Q76" s="177">
        <v>2031.4</v>
      </c>
      <c r="R76" s="177">
        <v>1122</v>
      </c>
      <c r="S76" s="177">
        <v>2424.9699999999998</v>
      </c>
      <c r="T76" s="177"/>
      <c r="U76" s="177">
        <v>1350</v>
      </c>
      <c r="V76" s="177">
        <f>179-V77</f>
        <v>35</v>
      </c>
      <c r="W76" s="177"/>
      <c r="X76" s="184">
        <f t="shared" ref="X76:X101" si="35">SUM(K76:W76)</f>
        <v>11907.989999999998</v>
      </c>
      <c r="Y76" s="211">
        <f t="shared" ref="Y76:Y137" si="36">X76/I76</f>
        <v>0.9526391999999998</v>
      </c>
      <c r="Z76" s="99"/>
      <c r="HV76"/>
      <c r="HW76"/>
      <c r="HX76"/>
      <c r="HY76"/>
      <c r="HZ76"/>
      <c r="IA76"/>
      <c r="IB76"/>
      <c r="IC76"/>
      <c r="ID76"/>
      <c r="IE76"/>
      <c r="IF76"/>
    </row>
    <row r="77" spans="1:240" ht="15" customHeight="1" x14ac:dyDescent="0.4">
      <c r="A77" s="142" t="s">
        <v>143</v>
      </c>
      <c r="B77" s="184"/>
      <c r="C77" s="184"/>
      <c r="D77" s="184"/>
      <c r="E77" s="184"/>
      <c r="F77" s="184">
        <v>1195.44</v>
      </c>
      <c r="G77" s="123"/>
      <c r="H77" s="53">
        <v>1500</v>
      </c>
      <c r="I77" s="53">
        <f>1500-1356</f>
        <v>144</v>
      </c>
      <c r="J77" s="234">
        <f t="shared" si="26"/>
        <v>-0.90400000000000003</v>
      </c>
      <c r="K77" s="177"/>
      <c r="L77" s="177"/>
      <c r="M77" s="177"/>
      <c r="N77" s="177"/>
      <c r="O77" s="193"/>
      <c r="P77" s="193"/>
      <c r="Q77" s="177"/>
      <c r="R77" s="177"/>
      <c r="S77" s="177"/>
      <c r="T77" s="177"/>
      <c r="U77" s="177"/>
      <c r="V77" s="177">
        <v>144</v>
      </c>
      <c r="W77" s="177"/>
      <c r="X77" s="184">
        <f t="shared" si="35"/>
        <v>144</v>
      </c>
      <c r="Y77" s="211">
        <f t="shared" si="36"/>
        <v>1</v>
      </c>
      <c r="Z77" s="99"/>
      <c r="HV77"/>
      <c r="HW77"/>
      <c r="HX77"/>
      <c r="HY77"/>
      <c r="HZ77"/>
      <c r="IA77"/>
      <c r="IB77"/>
      <c r="IC77"/>
      <c r="ID77"/>
      <c r="IE77"/>
      <c r="IF77"/>
    </row>
    <row r="78" spans="1:240" ht="15" customHeight="1" x14ac:dyDescent="0.4">
      <c r="A78" s="142" t="s">
        <v>127</v>
      </c>
      <c r="B78" s="184"/>
      <c r="C78" s="184"/>
      <c r="D78" s="184"/>
      <c r="E78" s="184"/>
      <c r="F78" s="184"/>
      <c r="G78" s="123"/>
      <c r="H78" s="53">
        <v>5000</v>
      </c>
      <c r="I78" s="53">
        <f>3000-2000</f>
        <v>1000</v>
      </c>
      <c r="J78" s="234">
        <f t="shared" si="26"/>
        <v>-0.8</v>
      </c>
      <c r="K78" s="177"/>
      <c r="L78" s="177"/>
      <c r="M78" s="177"/>
      <c r="N78" s="177"/>
      <c r="O78" s="193">
        <v>9.93</v>
      </c>
      <c r="P78" s="193">
        <v>-9.93</v>
      </c>
      <c r="Q78" s="177"/>
      <c r="R78" s="177"/>
      <c r="S78" s="177">
        <v>370.1</v>
      </c>
      <c r="T78" s="177"/>
      <c r="U78" s="177"/>
      <c r="V78" s="177">
        <v>403.75</v>
      </c>
      <c r="W78" s="177"/>
      <c r="X78" s="184">
        <f t="shared" si="35"/>
        <v>773.85</v>
      </c>
      <c r="Y78" s="211">
        <f t="shared" si="36"/>
        <v>0.77385000000000004</v>
      </c>
      <c r="Z78" s="99"/>
      <c r="HV78"/>
      <c r="HW78"/>
      <c r="HX78"/>
      <c r="HY78"/>
      <c r="HZ78"/>
      <c r="IA78"/>
      <c r="IB78"/>
      <c r="IC78"/>
      <c r="ID78"/>
      <c r="IE78"/>
      <c r="IF78"/>
    </row>
    <row r="79" spans="1:240" ht="15" customHeight="1" x14ac:dyDescent="0.4">
      <c r="A79" s="142" t="s">
        <v>128</v>
      </c>
      <c r="B79" s="184"/>
      <c r="C79" s="184"/>
      <c r="D79" s="184"/>
      <c r="E79" s="184"/>
      <c r="F79" s="184">
        <v>6380.48</v>
      </c>
      <c r="G79" s="123"/>
      <c r="H79" s="53">
        <v>10000</v>
      </c>
      <c r="I79" s="53">
        <f>10000+1600</f>
        <v>11600</v>
      </c>
      <c r="J79" s="234">
        <f t="shared" si="26"/>
        <v>0.16</v>
      </c>
      <c r="K79" s="177"/>
      <c r="L79" s="177">
        <v>2285.31</v>
      </c>
      <c r="M79" s="177">
        <v>587.20000000000005</v>
      </c>
      <c r="N79" s="177">
        <v>1001.6</v>
      </c>
      <c r="O79" s="193">
        <v>889.24</v>
      </c>
      <c r="P79" s="193"/>
      <c r="Q79" s="177">
        <v>2175.11</v>
      </c>
      <c r="R79" s="177">
        <v>438.88</v>
      </c>
      <c r="S79" s="177">
        <v>1717.48</v>
      </c>
      <c r="T79" s="177"/>
      <c r="U79" s="177">
        <v>1136.6400000000001</v>
      </c>
      <c r="V79" s="177">
        <v>1306.3800000000001</v>
      </c>
      <c r="W79" s="177"/>
      <c r="X79" s="184">
        <f t="shared" si="35"/>
        <v>11537.84</v>
      </c>
      <c r="Y79" s="211">
        <f t="shared" si="36"/>
        <v>0.9946413793103448</v>
      </c>
      <c r="Z79" s="99"/>
      <c r="HV79"/>
      <c r="HW79"/>
      <c r="HX79"/>
      <c r="HY79"/>
      <c r="HZ79"/>
      <c r="IA79"/>
      <c r="IB79"/>
      <c r="IC79"/>
      <c r="ID79"/>
      <c r="IE79"/>
      <c r="IF79"/>
    </row>
    <row r="80" spans="1:240" ht="15" customHeight="1" x14ac:dyDescent="0.4">
      <c r="A80" s="142" t="s">
        <v>136</v>
      </c>
      <c r="B80" s="184"/>
      <c r="C80" s="184"/>
      <c r="D80" s="184"/>
      <c r="E80" s="184"/>
      <c r="F80" s="184">
        <v>1707.57</v>
      </c>
      <c r="G80" s="128"/>
      <c r="H80" s="53">
        <v>2000</v>
      </c>
      <c r="I80" s="53">
        <f>500-500</f>
        <v>0</v>
      </c>
      <c r="J80" s="234">
        <f t="shared" si="26"/>
        <v>-1</v>
      </c>
      <c r="K80" s="177"/>
      <c r="L80" s="177"/>
      <c r="M80" s="177"/>
      <c r="N80" s="177"/>
      <c r="O80" s="193"/>
      <c r="P80" s="193"/>
      <c r="Q80" s="177"/>
      <c r="R80" s="177"/>
      <c r="S80" s="177"/>
      <c r="T80" s="177"/>
      <c r="U80" s="177"/>
      <c r="V80" s="177"/>
      <c r="W80" s="177"/>
      <c r="X80" s="184">
        <f t="shared" si="35"/>
        <v>0</v>
      </c>
      <c r="Y80" s="211"/>
      <c r="Z80" s="233"/>
      <c r="HV80"/>
      <c r="HW80"/>
      <c r="HX80"/>
      <c r="HY80"/>
      <c r="HZ80"/>
      <c r="IA80"/>
      <c r="IB80"/>
      <c r="IC80"/>
      <c r="ID80"/>
      <c r="IE80"/>
      <c r="IF80"/>
    </row>
    <row r="81" spans="1:240" ht="15" customHeight="1" x14ac:dyDescent="0.4">
      <c r="A81" s="142" t="s">
        <v>50</v>
      </c>
      <c r="B81" s="184">
        <v>33690.21</v>
      </c>
      <c r="C81" s="184">
        <v>46596.73</v>
      </c>
      <c r="D81" s="184">
        <v>19178.38</v>
      </c>
      <c r="E81" s="184">
        <v>66819.13</v>
      </c>
      <c r="F81" s="184">
        <f>39567.53-F82-F83-F84-F85-F86-F87-F88-F89</f>
        <v>31043.810000000005</v>
      </c>
      <c r="G81" s="123"/>
      <c r="H81" s="53">
        <f>50000-H82-H83-H84-H85-H86-H87-H88</f>
        <v>29000</v>
      </c>
      <c r="I81" s="53">
        <f>53000-I82-I83-I84-I85-I86-I87-I88</f>
        <v>13027</v>
      </c>
      <c r="J81" s="234">
        <f t="shared" si="26"/>
        <v>-0.55079310344827581</v>
      </c>
      <c r="K81" s="177"/>
      <c r="L81" s="177">
        <v>4597.3</v>
      </c>
      <c r="M81" s="177">
        <v>2073.19</v>
      </c>
      <c r="N81" s="177">
        <v>646.38</v>
      </c>
      <c r="O81" s="193">
        <v>137.38</v>
      </c>
      <c r="P81" s="193">
        <v>1974.31</v>
      </c>
      <c r="Q81" s="177">
        <v>1111.42</v>
      </c>
      <c r="R81" s="177">
        <v>408.89</v>
      </c>
      <c r="S81" s="177">
        <v>1222</v>
      </c>
      <c r="T81" s="177">
        <v>325.85000000000002</v>
      </c>
      <c r="U81" s="177">
        <v>62.45</v>
      </c>
      <c r="V81" s="177">
        <v>116.95</v>
      </c>
      <c r="W81" s="177"/>
      <c r="X81" s="184">
        <f t="shared" si="35"/>
        <v>12676.12</v>
      </c>
      <c r="Y81" s="211">
        <f>X81/I81</f>
        <v>0.9730651723343825</v>
      </c>
      <c r="Z81" s="233"/>
      <c r="HV81"/>
      <c r="HW81"/>
      <c r="HX81"/>
      <c r="HY81"/>
      <c r="HZ81"/>
      <c r="IA81"/>
      <c r="IB81"/>
      <c r="IC81"/>
      <c r="ID81"/>
      <c r="IE81"/>
      <c r="IF81"/>
    </row>
    <row r="82" spans="1:240" ht="15" customHeight="1" x14ac:dyDescent="0.4">
      <c r="A82" s="142" t="s">
        <v>129</v>
      </c>
      <c r="B82" s="184"/>
      <c r="C82" s="184"/>
      <c r="D82" s="184"/>
      <c r="E82" s="184"/>
      <c r="F82" s="184">
        <v>4832.99</v>
      </c>
      <c r="G82" s="123"/>
      <c r="H82" s="53">
        <v>5000</v>
      </c>
      <c r="I82" s="53">
        <v>6700</v>
      </c>
      <c r="J82" s="234">
        <f t="shared" si="26"/>
        <v>0.34</v>
      </c>
      <c r="K82" s="177"/>
      <c r="L82" s="177">
        <v>611.70000000000005</v>
      </c>
      <c r="M82" s="177">
        <v>1355.82</v>
      </c>
      <c r="N82" s="177">
        <v>1095.6300000000001</v>
      </c>
      <c r="O82" s="193">
        <v>154.03</v>
      </c>
      <c r="P82" s="193">
        <v>1632.46</v>
      </c>
      <c r="Q82" s="177">
        <v>78.34</v>
      </c>
      <c r="R82" s="177">
        <v>200.43</v>
      </c>
      <c r="S82" s="177">
        <v>557.5</v>
      </c>
      <c r="T82" s="177"/>
      <c r="U82" s="177">
        <v>507.5</v>
      </c>
      <c r="V82" s="177">
        <v>489.39</v>
      </c>
      <c r="W82" s="177"/>
      <c r="X82" s="184">
        <f t="shared" si="35"/>
        <v>6682.8000000000011</v>
      </c>
      <c r="Y82" s="211">
        <f t="shared" si="36"/>
        <v>0.9974328358208957</v>
      </c>
      <c r="Z82" s="225"/>
      <c r="HV82"/>
      <c r="HW82"/>
      <c r="HX82"/>
      <c r="HY82"/>
      <c r="HZ82"/>
      <c r="IA82"/>
      <c r="IB82"/>
      <c r="IC82"/>
      <c r="ID82"/>
      <c r="IE82"/>
      <c r="IF82"/>
    </row>
    <row r="83" spans="1:240" ht="15" customHeight="1" x14ac:dyDescent="0.4">
      <c r="A83" s="142" t="s">
        <v>130</v>
      </c>
      <c r="B83" s="184"/>
      <c r="C83" s="184"/>
      <c r="D83" s="184"/>
      <c r="E83" s="184"/>
      <c r="F83" s="184">
        <v>2685.53</v>
      </c>
      <c r="G83" s="123"/>
      <c r="H83" s="53">
        <v>3000</v>
      </c>
      <c r="I83" s="53">
        <v>8000</v>
      </c>
      <c r="J83" s="234">
        <f t="shared" si="26"/>
        <v>1.6666666666666667</v>
      </c>
      <c r="K83" s="177"/>
      <c r="L83" s="177">
        <v>1789.82</v>
      </c>
      <c r="M83" s="177">
        <v>3421.27</v>
      </c>
      <c r="N83" s="177">
        <v>207.05</v>
      </c>
      <c r="O83" s="193">
        <v>1176.55</v>
      </c>
      <c r="P83" s="193">
        <v>850.13</v>
      </c>
      <c r="Q83" s="177">
        <v>-1034.45</v>
      </c>
      <c r="R83" s="177">
        <v>163.69</v>
      </c>
      <c r="S83" s="177">
        <v>306.04000000000002</v>
      </c>
      <c r="T83" s="177">
        <v>334.16</v>
      </c>
      <c r="U83" s="177">
        <v>703.61</v>
      </c>
      <c r="V83" s="177">
        <v>27.99</v>
      </c>
      <c r="W83" s="177"/>
      <c r="X83" s="184">
        <f t="shared" si="35"/>
        <v>7945.86</v>
      </c>
      <c r="Y83" s="211">
        <f t="shared" si="36"/>
        <v>0.99323249999999996</v>
      </c>
      <c r="Z83" s="225"/>
      <c r="HV83"/>
      <c r="HW83"/>
      <c r="HX83"/>
      <c r="HY83"/>
      <c r="HZ83"/>
      <c r="IA83"/>
      <c r="IB83"/>
      <c r="IC83"/>
      <c r="ID83"/>
      <c r="IE83"/>
      <c r="IF83"/>
    </row>
    <row r="84" spans="1:240" ht="15" customHeight="1" x14ac:dyDescent="0.4">
      <c r="A84" s="142" t="s">
        <v>131</v>
      </c>
      <c r="B84" s="184"/>
      <c r="C84" s="184"/>
      <c r="D84" s="184"/>
      <c r="E84" s="184"/>
      <c r="F84" s="184">
        <v>168.25</v>
      </c>
      <c r="G84" s="123"/>
      <c r="H84" s="53">
        <v>2000</v>
      </c>
      <c r="I84" s="53">
        <v>5221</v>
      </c>
      <c r="J84" s="234">
        <f t="shared" si="26"/>
        <v>1.6105</v>
      </c>
      <c r="K84" s="177"/>
      <c r="L84" s="177">
        <v>1570.72</v>
      </c>
      <c r="M84" s="177">
        <v>3142.78</v>
      </c>
      <c r="N84" s="176"/>
      <c r="O84" s="193">
        <v>552.59</v>
      </c>
      <c r="P84" s="193"/>
      <c r="Q84" s="177">
        <v>-133.82</v>
      </c>
      <c r="R84" s="177"/>
      <c r="S84" s="177"/>
      <c r="T84" s="177"/>
      <c r="U84" s="177">
        <v>88.36</v>
      </c>
      <c r="V84" s="177"/>
      <c r="W84" s="177"/>
      <c r="X84" s="184">
        <f t="shared" si="35"/>
        <v>5220.63</v>
      </c>
      <c r="Y84" s="211">
        <f t="shared" si="36"/>
        <v>0.99992913235012448</v>
      </c>
      <c r="Z84" s="225"/>
      <c r="HV84"/>
      <c r="HW84"/>
      <c r="HX84"/>
      <c r="HY84"/>
      <c r="HZ84"/>
      <c r="IA84"/>
      <c r="IB84"/>
      <c r="IC84"/>
      <c r="ID84"/>
      <c r="IE84"/>
      <c r="IF84"/>
    </row>
    <row r="85" spans="1:240" ht="15" customHeight="1" x14ac:dyDescent="0.4">
      <c r="A85" s="142" t="s">
        <v>132</v>
      </c>
      <c r="B85" s="184"/>
      <c r="C85" s="184"/>
      <c r="D85" s="184"/>
      <c r="E85" s="184"/>
      <c r="F85" s="184">
        <v>6293.96</v>
      </c>
      <c r="G85" s="123"/>
      <c r="H85" s="53">
        <v>5000</v>
      </c>
      <c r="I85" s="53">
        <v>6600</v>
      </c>
      <c r="J85" s="234">
        <f t="shared" si="26"/>
        <v>0.32</v>
      </c>
      <c r="K85" s="177">
        <v>14.99</v>
      </c>
      <c r="L85" s="177">
        <v>-485.53</v>
      </c>
      <c r="M85" s="177">
        <v>2434.75</v>
      </c>
      <c r="N85" s="177">
        <v>205.42</v>
      </c>
      <c r="O85" s="193">
        <v>229.77</v>
      </c>
      <c r="P85" s="193">
        <v>556.53</v>
      </c>
      <c r="Q85" s="177">
        <v>21.74</v>
      </c>
      <c r="R85" s="177">
        <v>1766.24</v>
      </c>
      <c r="S85" s="177">
        <v>173.46</v>
      </c>
      <c r="T85" s="177">
        <v>434.6</v>
      </c>
      <c r="U85" s="177">
        <v>860.97</v>
      </c>
      <c r="V85" s="177">
        <v>229.51</v>
      </c>
      <c r="W85" s="177"/>
      <c r="X85" s="184">
        <f t="shared" si="35"/>
        <v>6442.4500000000007</v>
      </c>
      <c r="Y85" s="211">
        <f t="shared" si="36"/>
        <v>0.97612878787878798</v>
      </c>
      <c r="HV85"/>
      <c r="HW85"/>
      <c r="HX85"/>
      <c r="HY85"/>
      <c r="HZ85"/>
      <c r="IA85"/>
      <c r="IB85"/>
      <c r="IC85"/>
      <c r="ID85"/>
      <c r="IE85"/>
      <c r="IF85"/>
    </row>
    <row r="86" spans="1:240" ht="15" customHeight="1" x14ac:dyDescent="0.4">
      <c r="A86" s="142" t="s">
        <v>133</v>
      </c>
      <c r="B86" s="184"/>
      <c r="C86" s="184"/>
      <c r="D86" s="184"/>
      <c r="E86" s="184"/>
      <c r="F86" s="184">
        <v>441.35</v>
      </c>
      <c r="G86" s="123"/>
      <c r="H86" s="53">
        <v>2000</v>
      </c>
      <c r="I86" s="53">
        <v>2336</v>
      </c>
      <c r="J86" s="234">
        <f t="shared" si="26"/>
        <v>0.16800000000000001</v>
      </c>
      <c r="K86" s="177"/>
      <c r="L86" s="177">
        <v>218.73</v>
      </c>
      <c r="M86" s="177">
        <v>400.28</v>
      </c>
      <c r="N86" s="177">
        <v>43</v>
      </c>
      <c r="O86" s="193"/>
      <c r="P86" s="193">
        <v>74.78</v>
      </c>
      <c r="Q86" s="177">
        <v>1169.81</v>
      </c>
      <c r="R86" s="177">
        <v>69.38</v>
      </c>
      <c r="S86" s="177">
        <v>347.43</v>
      </c>
      <c r="T86" s="177">
        <v>12.65</v>
      </c>
      <c r="U86" s="177"/>
      <c r="V86" s="177"/>
      <c r="W86" s="177"/>
      <c r="X86" s="184">
        <f t="shared" si="35"/>
        <v>2336.06</v>
      </c>
      <c r="Y86" s="211">
        <f t="shared" si="36"/>
        <v>1.0000256849315068</v>
      </c>
      <c r="HV86"/>
      <c r="HW86"/>
      <c r="HX86"/>
      <c r="HY86"/>
      <c r="HZ86"/>
      <c r="IA86"/>
      <c r="IB86"/>
      <c r="IC86"/>
      <c r="ID86"/>
      <c r="IE86"/>
      <c r="IF86"/>
    </row>
    <row r="87" spans="1:240" ht="15" customHeight="1" x14ac:dyDescent="0.4">
      <c r="A87" s="142" t="s">
        <v>134</v>
      </c>
      <c r="B87" s="184"/>
      <c r="C87" s="184"/>
      <c r="D87" s="184"/>
      <c r="E87" s="184"/>
      <c r="F87" s="184">
        <v>426.1</v>
      </c>
      <c r="G87" s="123"/>
      <c r="H87" s="53">
        <v>2000</v>
      </c>
      <c r="I87" s="53">
        <v>7416</v>
      </c>
      <c r="J87" s="234">
        <f t="shared" si="26"/>
        <v>2.7080000000000002</v>
      </c>
      <c r="K87" s="177"/>
      <c r="L87" s="177">
        <v>60.43</v>
      </c>
      <c r="M87" s="177">
        <v>5957.47</v>
      </c>
      <c r="N87" s="177">
        <v>58.97</v>
      </c>
      <c r="O87" s="193">
        <v>783.94</v>
      </c>
      <c r="P87" s="193">
        <v>334.51</v>
      </c>
      <c r="Q87" s="177">
        <v>35.229999999999997</v>
      </c>
      <c r="R87" s="177"/>
      <c r="S87" s="177">
        <v>124.35</v>
      </c>
      <c r="T87" s="177">
        <v>47.3</v>
      </c>
      <c r="U87" s="177">
        <v>14.25</v>
      </c>
      <c r="V87" s="177"/>
      <c r="W87" s="177"/>
      <c r="X87" s="184">
        <f t="shared" si="35"/>
        <v>7416.4500000000016</v>
      </c>
      <c r="Y87" s="211">
        <f t="shared" si="36"/>
        <v>1.0000606796116507</v>
      </c>
      <c r="HV87"/>
      <c r="HW87"/>
      <c r="HX87"/>
      <c r="HY87"/>
      <c r="HZ87"/>
      <c r="IA87"/>
      <c r="IB87"/>
      <c r="IC87"/>
      <c r="ID87"/>
      <c r="IE87"/>
      <c r="IF87"/>
    </row>
    <row r="88" spans="1:240" ht="15" customHeight="1" x14ac:dyDescent="0.4">
      <c r="A88" s="142" t="s">
        <v>135</v>
      </c>
      <c r="B88" s="184"/>
      <c r="C88" s="184"/>
      <c r="D88" s="184"/>
      <c r="E88" s="184"/>
      <c r="F88" s="184">
        <v>59.54</v>
      </c>
      <c r="G88" s="123"/>
      <c r="H88" s="53">
        <v>2000</v>
      </c>
      <c r="I88" s="53">
        <v>3700</v>
      </c>
      <c r="J88" s="234">
        <f t="shared" si="26"/>
        <v>0.85</v>
      </c>
      <c r="K88" s="193"/>
      <c r="L88" s="193">
        <v>2273.33</v>
      </c>
      <c r="M88" s="193">
        <v>3.95</v>
      </c>
      <c r="N88" s="193"/>
      <c r="O88" s="193"/>
      <c r="P88" s="193"/>
      <c r="Q88" s="177"/>
      <c r="R88" s="177"/>
      <c r="S88" s="177"/>
      <c r="T88" s="177"/>
      <c r="U88" s="177"/>
      <c r="V88" s="177">
        <v>1423</v>
      </c>
      <c r="W88" s="177"/>
      <c r="X88" s="184">
        <f>SUM(K88:W88)</f>
        <v>3700.2799999999997</v>
      </c>
      <c r="Y88" s="211">
        <f t="shared" si="36"/>
        <v>1.0000756756756757</v>
      </c>
      <c r="HV88"/>
      <c r="HW88"/>
      <c r="HX88"/>
      <c r="HY88"/>
      <c r="HZ88"/>
      <c r="IA88"/>
      <c r="IB88"/>
      <c r="IC88"/>
      <c r="ID88"/>
      <c r="IE88"/>
      <c r="IF88"/>
    </row>
    <row r="89" spans="1:240" ht="15" customHeight="1" x14ac:dyDescent="0.4">
      <c r="A89" s="153" t="s">
        <v>156</v>
      </c>
      <c r="B89" s="184"/>
      <c r="C89" s="184"/>
      <c r="D89" s="184"/>
      <c r="E89" s="184"/>
      <c r="F89" s="184">
        <v>-6384</v>
      </c>
      <c r="G89" s="123"/>
      <c r="H89" s="53">
        <v>7566</v>
      </c>
      <c r="I89" s="53">
        <f>7566+819</f>
        <v>8385</v>
      </c>
      <c r="J89" s="234">
        <f t="shared" si="26"/>
        <v>0.10824742268041238</v>
      </c>
      <c r="K89" s="193">
        <v>7566</v>
      </c>
      <c r="L89" s="193"/>
      <c r="M89" s="193">
        <v>-2479</v>
      </c>
      <c r="N89" s="193"/>
      <c r="O89" s="193">
        <v>-475</v>
      </c>
      <c r="P89" s="193">
        <v>-3038</v>
      </c>
      <c r="Q89" s="177">
        <v>3090.16</v>
      </c>
      <c r="R89" s="177">
        <v>-40</v>
      </c>
      <c r="S89" s="177"/>
      <c r="T89" s="177"/>
      <c r="U89" s="177">
        <v>883</v>
      </c>
      <c r="V89" s="177">
        <v>2878</v>
      </c>
      <c r="W89" s="177"/>
      <c r="X89" s="184">
        <f t="shared" si="35"/>
        <v>8385.16</v>
      </c>
      <c r="Y89" s="211">
        <f t="shared" si="36"/>
        <v>1.0000190816935002</v>
      </c>
      <c r="Z89" s="99"/>
      <c r="HV89"/>
      <c r="HW89"/>
      <c r="HX89"/>
      <c r="HY89"/>
      <c r="HZ89"/>
      <c r="IA89"/>
      <c r="IB89"/>
      <c r="IC89"/>
      <c r="ID89"/>
      <c r="IE89"/>
      <c r="IF89"/>
    </row>
    <row r="90" spans="1:240" ht="15" customHeight="1" x14ac:dyDescent="0.4">
      <c r="A90" s="153" t="s">
        <v>51</v>
      </c>
      <c r="B90" s="184">
        <v>7907.19</v>
      </c>
      <c r="C90" s="184">
        <v>6066.65</v>
      </c>
      <c r="D90" s="184">
        <v>25140.51</v>
      </c>
      <c r="E90" s="184">
        <v>10333.699999999999</v>
      </c>
      <c r="F90" s="184">
        <v>4713.87</v>
      </c>
      <c r="G90" s="123"/>
      <c r="H90" s="53">
        <v>10000</v>
      </c>
      <c r="I90" s="53">
        <v>4500</v>
      </c>
      <c r="J90" s="234">
        <f t="shared" si="26"/>
        <v>-0.55000000000000004</v>
      </c>
      <c r="K90" s="193"/>
      <c r="L90" s="193"/>
      <c r="M90" s="193">
        <v>909.15</v>
      </c>
      <c r="N90" s="193"/>
      <c r="O90" s="193"/>
      <c r="P90" s="193"/>
      <c r="Q90" s="177"/>
      <c r="R90" s="177">
        <v>1653.73</v>
      </c>
      <c r="S90" s="177">
        <v>-20</v>
      </c>
      <c r="T90" s="177">
        <v>-20</v>
      </c>
      <c r="U90" s="177">
        <v>1800</v>
      </c>
      <c r="V90" s="177"/>
      <c r="W90" s="177"/>
      <c r="X90" s="184">
        <f t="shared" si="35"/>
        <v>4322.88</v>
      </c>
      <c r="Y90" s="211">
        <f t="shared" si="36"/>
        <v>0.96064000000000005</v>
      </c>
      <c r="HV90"/>
      <c r="HW90"/>
      <c r="HX90"/>
      <c r="HY90"/>
      <c r="HZ90"/>
      <c r="IA90"/>
      <c r="IB90"/>
      <c r="IC90"/>
      <c r="ID90"/>
      <c r="IE90"/>
      <c r="IF90"/>
    </row>
    <row r="91" spans="1:240" ht="15" customHeight="1" x14ac:dyDescent="0.4">
      <c r="A91" s="153" t="s">
        <v>65</v>
      </c>
      <c r="B91" s="184"/>
      <c r="C91" s="184">
        <v>38</v>
      </c>
      <c r="D91" s="184"/>
      <c r="E91" s="184">
        <v>300</v>
      </c>
      <c r="F91" s="184"/>
      <c r="G91" s="123"/>
      <c r="H91" s="60">
        <v>500</v>
      </c>
      <c r="I91" s="60">
        <f>500-500</f>
        <v>0</v>
      </c>
      <c r="J91" s="234">
        <f t="shared" si="26"/>
        <v>-1</v>
      </c>
      <c r="K91" s="193"/>
      <c r="L91" s="193"/>
      <c r="M91" s="193"/>
      <c r="N91" s="193"/>
      <c r="O91" s="193"/>
      <c r="P91" s="193"/>
      <c r="Q91" s="177"/>
      <c r="R91" s="177"/>
      <c r="S91" s="177"/>
      <c r="T91" s="177"/>
      <c r="U91" s="177"/>
      <c r="V91" s="177"/>
      <c r="W91" s="177"/>
      <c r="X91" s="184">
        <f t="shared" si="35"/>
        <v>0</v>
      </c>
      <c r="Y91" s="211"/>
      <c r="Z91" s="99"/>
      <c r="HV91"/>
      <c r="HW91"/>
      <c r="HX91"/>
      <c r="HY91"/>
      <c r="HZ91"/>
      <c r="IA91"/>
      <c r="IB91"/>
      <c r="IC91"/>
      <c r="ID91"/>
      <c r="IE91"/>
      <c r="IF91"/>
    </row>
    <row r="92" spans="1:240" ht="15" customHeight="1" x14ac:dyDescent="0.4">
      <c r="A92" s="153" t="s">
        <v>54</v>
      </c>
      <c r="B92" s="184">
        <v>5987.27</v>
      </c>
      <c r="C92" s="184">
        <v>44172.65</v>
      </c>
      <c r="D92" s="184">
        <v>11540.52</v>
      </c>
      <c r="E92" s="184">
        <v>44411.969999999994</v>
      </c>
      <c r="F92" s="184">
        <v>27872.879999999997</v>
      </c>
      <c r="G92" s="123"/>
      <c r="H92" s="53">
        <v>5000</v>
      </c>
      <c r="I92" s="53">
        <f>5000-1554</f>
        <v>3446</v>
      </c>
      <c r="J92" s="234">
        <f t="shared" si="26"/>
        <v>-0.31080000000000002</v>
      </c>
      <c r="K92" s="193">
        <v>339.9</v>
      </c>
      <c r="L92" s="193">
        <v>1822.85</v>
      </c>
      <c r="M92" s="193">
        <v>272.02</v>
      </c>
      <c r="N92" s="193"/>
      <c r="O92" s="193"/>
      <c r="P92" s="193">
        <v>286.58999999999997</v>
      </c>
      <c r="Q92" s="177"/>
      <c r="R92" s="177"/>
      <c r="S92" s="177">
        <v>102.11</v>
      </c>
      <c r="T92" s="177"/>
      <c r="U92" s="177">
        <v>622.29999999999995</v>
      </c>
      <c r="V92" s="177"/>
      <c r="W92" s="177"/>
      <c r="X92" s="184">
        <f t="shared" si="35"/>
        <v>3445.7700000000004</v>
      </c>
      <c r="Y92" s="211">
        <f t="shared" si="36"/>
        <v>0.99993325594892646</v>
      </c>
      <c r="Z92" s="99"/>
      <c r="HV92"/>
      <c r="HW92"/>
      <c r="HX92"/>
      <c r="HY92"/>
      <c r="HZ92"/>
      <c r="IA92"/>
      <c r="IB92"/>
      <c r="IC92"/>
      <c r="ID92"/>
      <c r="IE92"/>
      <c r="IF92"/>
    </row>
    <row r="93" spans="1:240" ht="15" customHeight="1" x14ac:dyDescent="0.4">
      <c r="A93" s="153" t="s">
        <v>155</v>
      </c>
      <c r="B93" s="184">
        <v>13923.84</v>
      </c>
      <c r="C93" s="184">
        <v>9736.1200000000008</v>
      </c>
      <c r="D93" s="184">
        <v>9762.49</v>
      </c>
      <c r="E93" s="184">
        <v>16450.8</v>
      </c>
      <c r="F93" s="184">
        <v>14512.32</v>
      </c>
      <c r="G93" s="123"/>
      <c r="H93" s="53">
        <v>9000</v>
      </c>
      <c r="I93" s="53">
        <f>9000+3000+500</f>
        <v>12500</v>
      </c>
      <c r="J93" s="234">
        <f t="shared" si="26"/>
        <v>0.3888888888888889</v>
      </c>
      <c r="K93" s="193">
        <v>-29.69</v>
      </c>
      <c r="L93" s="193">
        <f>3406.62+50+2250</f>
        <v>5706.62</v>
      </c>
      <c r="M93" s="193">
        <f>338.79</f>
        <v>338.79</v>
      </c>
      <c r="N93" s="193">
        <v>155.18</v>
      </c>
      <c r="O93" s="193">
        <f>477.84+750</f>
        <v>1227.8399999999999</v>
      </c>
      <c r="P93" s="193">
        <v>3422.64</v>
      </c>
      <c r="Q93" s="177">
        <v>270</v>
      </c>
      <c r="R93" s="177">
        <v>167.38</v>
      </c>
      <c r="S93" s="177">
        <v>147.41</v>
      </c>
      <c r="T93" s="177">
        <v>235.13</v>
      </c>
      <c r="U93" s="177">
        <v>532.6</v>
      </c>
      <c r="V93" s="177">
        <v>381.25</v>
      </c>
      <c r="W93" s="177"/>
      <c r="X93" s="184">
        <f t="shared" si="35"/>
        <v>12555.15</v>
      </c>
      <c r="Y93" s="244">
        <f t="shared" si="36"/>
        <v>1.0044119999999999</v>
      </c>
      <c r="Z93" s="99"/>
      <c r="HV93"/>
      <c r="HW93"/>
      <c r="HX93"/>
      <c r="HY93"/>
      <c r="HZ93"/>
      <c r="IA93"/>
      <c r="IB93"/>
      <c r="IC93"/>
      <c r="ID93"/>
      <c r="IE93"/>
      <c r="IF93"/>
    </row>
    <row r="94" spans="1:240" ht="15" customHeight="1" x14ac:dyDescent="0.4">
      <c r="A94" s="142" t="s">
        <v>184</v>
      </c>
      <c r="B94" s="184">
        <f>20403.71-B95-B96-B97-B98-B99-B100-B101</f>
        <v>5603.3399999999983</v>
      </c>
      <c r="C94" s="184">
        <f>22446.73-C96-C99-C101-C95-C98-C97-C100</f>
        <v>1629.989999999998</v>
      </c>
      <c r="D94" s="184">
        <f>38197.44-D95-D96-D97-D98-D99-D100-D101</f>
        <v>290</v>
      </c>
      <c r="E94" s="184">
        <f>31696.43-E95-E96-E97-E98-E99-E100-E101</f>
        <v>6776.1100000000006</v>
      </c>
      <c r="F94" s="184">
        <f>52593.41-F95-F96-F97-F98-F99-F100-F101-F109</f>
        <v>16527.500000000007</v>
      </c>
      <c r="G94" s="125"/>
      <c r="H94" s="53"/>
      <c r="I94" s="53"/>
      <c r="J94" s="234"/>
      <c r="K94" s="193"/>
      <c r="L94" s="193"/>
      <c r="M94" s="193"/>
      <c r="N94" s="193"/>
      <c r="O94" s="193"/>
      <c r="P94" s="193"/>
      <c r="Q94" s="177"/>
      <c r="R94" s="177"/>
      <c r="S94" s="177"/>
      <c r="T94" s="177"/>
      <c r="U94" s="177"/>
      <c r="V94" s="177"/>
      <c r="W94" s="177"/>
      <c r="X94" s="184">
        <f t="shared" si="35"/>
        <v>0</v>
      </c>
      <c r="Y94" s="211"/>
      <c r="HV94"/>
      <c r="HW94"/>
      <c r="HX94"/>
      <c r="HY94"/>
      <c r="HZ94"/>
      <c r="IA94"/>
      <c r="IB94"/>
      <c r="IC94"/>
      <c r="ID94"/>
      <c r="IE94"/>
      <c r="IF94"/>
    </row>
    <row r="95" spans="1:240" ht="15" customHeight="1" x14ac:dyDescent="0.4">
      <c r="A95" s="150" t="s">
        <v>139</v>
      </c>
      <c r="B95" s="184"/>
      <c r="C95" s="184"/>
      <c r="D95" s="184"/>
      <c r="E95" s="184"/>
      <c r="F95" s="184"/>
      <c r="G95" s="128"/>
      <c r="H95" s="53">
        <v>8500</v>
      </c>
      <c r="I95" s="53">
        <f>8500+2200</f>
        <v>10700</v>
      </c>
      <c r="J95" s="234">
        <f t="shared" si="26"/>
        <v>0.25882352941176473</v>
      </c>
      <c r="K95" s="193"/>
      <c r="L95" s="193"/>
      <c r="M95" s="193">
        <v>110</v>
      </c>
      <c r="N95" s="193">
        <v>396</v>
      </c>
      <c r="O95" s="193">
        <v>352</v>
      </c>
      <c r="P95" s="193">
        <v>418</v>
      </c>
      <c r="Q95" s="177">
        <v>330</v>
      </c>
      <c r="R95" s="177">
        <v>286</v>
      </c>
      <c r="S95" s="177">
        <v>1803</v>
      </c>
      <c r="T95" s="177">
        <v>1426</v>
      </c>
      <c r="U95" s="177">
        <v>2691</v>
      </c>
      <c r="V95" s="177">
        <v>2745.5</v>
      </c>
      <c r="W95" s="177"/>
      <c r="X95" s="184">
        <f t="shared" si="35"/>
        <v>10557.5</v>
      </c>
      <c r="Y95" s="211">
        <f t="shared" si="36"/>
        <v>0.98668224299065421</v>
      </c>
      <c r="Z95" s="99"/>
      <c r="AA95" s="249"/>
      <c r="HV95"/>
      <c r="HW95"/>
      <c r="HX95"/>
      <c r="HY95"/>
      <c r="HZ95"/>
      <c r="IA95"/>
      <c r="IB95"/>
      <c r="IC95"/>
      <c r="ID95"/>
      <c r="IE95"/>
      <c r="IF95"/>
    </row>
    <row r="96" spans="1:240" ht="15" customHeight="1" x14ac:dyDescent="0.4">
      <c r="A96" s="150" t="s">
        <v>140</v>
      </c>
      <c r="B96" s="184">
        <v>8295.3700000000008</v>
      </c>
      <c r="C96" s="184">
        <v>18256.740000000002</v>
      </c>
      <c r="D96" s="184">
        <v>35057.440000000002</v>
      </c>
      <c r="E96" s="184">
        <v>21410.32</v>
      </c>
      <c r="F96" s="184">
        <v>15889.84</v>
      </c>
      <c r="G96" s="128"/>
      <c r="H96" s="53">
        <v>20000</v>
      </c>
      <c r="I96" s="53">
        <f>20000-950</f>
        <v>19050</v>
      </c>
      <c r="J96" s="234">
        <f t="shared" si="26"/>
        <v>-4.7500000000000001E-2</v>
      </c>
      <c r="K96" s="193"/>
      <c r="L96" s="193"/>
      <c r="M96" s="193">
        <v>1044.3599999999999</v>
      </c>
      <c r="N96" s="193">
        <v>2068.86</v>
      </c>
      <c r="O96" s="193">
        <v>4507.6000000000004</v>
      </c>
      <c r="P96" s="193">
        <v>1788.3</v>
      </c>
      <c r="Q96" s="177">
        <v>-998.42</v>
      </c>
      <c r="R96" s="177"/>
      <c r="S96" s="177">
        <v>2649.1</v>
      </c>
      <c r="T96" s="177">
        <v>4146.76</v>
      </c>
      <c r="U96" s="177"/>
      <c r="V96" s="177">
        <v>3349.42</v>
      </c>
      <c r="W96" s="177"/>
      <c r="X96" s="184">
        <f t="shared" si="35"/>
        <v>18555.980000000003</v>
      </c>
      <c r="Y96" s="211">
        <f t="shared" si="36"/>
        <v>0.97406719160105004</v>
      </c>
      <c r="Z96" s="99"/>
      <c r="AA96" s="249"/>
      <c r="HV96"/>
      <c r="HW96"/>
      <c r="HX96"/>
      <c r="HY96"/>
      <c r="HZ96"/>
      <c r="IA96"/>
      <c r="IB96"/>
      <c r="IC96"/>
      <c r="ID96"/>
      <c r="IE96"/>
      <c r="IF96"/>
    </row>
    <row r="97" spans="1:240" ht="15" customHeight="1" x14ac:dyDescent="0.4">
      <c r="A97" s="150" t="s">
        <v>141</v>
      </c>
      <c r="B97" s="184"/>
      <c r="C97" s="184"/>
      <c r="D97" s="184"/>
      <c r="E97" s="184"/>
      <c r="F97" s="184">
        <v>4475.16</v>
      </c>
      <c r="G97" s="128"/>
      <c r="H97" s="53">
        <v>10000</v>
      </c>
      <c r="I97" s="53">
        <v>0</v>
      </c>
      <c r="J97" s="234">
        <f t="shared" si="26"/>
        <v>-1</v>
      </c>
      <c r="K97" s="193"/>
      <c r="L97" s="193"/>
      <c r="M97" s="193"/>
      <c r="N97" s="193"/>
      <c r="O97" s="193"/>
      <c r="P97" s="193"/>
      <c r="Q97" s="177"/>
      <c r="R97" s="177"/>
      <c r="S97" s="177"/>
      <c r="T97" s="177"/>
      <c r="U97" s="177"/>
      <c r="V97" s="177"/>
      <c r="W97" s="177"/>
      <c r="X97" s="184">
        <f t="shared" si="35"/>
        <v>0</v>
      </c>
      <c r="Y97" s="244"/>
      <c r="AA97" s="249"/>
      <c r="HV97"/>
      <c r="HW97"/>
      <c r="HX97"/>
      <c r="HY97"/>
      <c r="HZ97"/>
      <c r="IA97"/>
      <c r="IB97"/>
      <c r="IC97"/>
      <c r="ID97"/>
      <c r="IE97"/>
      <c r="IF97"/>
    </row>
    <row r="98" spans="1:240" ht="15" customHeight="1" x14ac:dyDescent="0.4">
      <c r="A98" s="150" t="s">
        <v>142</v>
      </c>
      <c r="B98" s="184"/>
      <c r="C98" s="184"/>
      <c r="D98" s="184"/>
      <c r="E98" s="184"/>
      <c r="F98" s="184"/>
      <c r="G98" s="128"/>
      <c r="H98" s="53">
        <v>3825</v>
      </c>
      <c r="I98" s="53">
        <v>3825</v>
      </c>
      <c r="J98" s="234">
        <f t="shared" si="26"/>
        <v>0</v>
      </c>
      <c r="K98" s="193"/>
      <c r="L98" s="193"/>
      <c r="M98" s="193"/>
      <c r="N98" s="193"/>
      <c r="O98" s="193"/>
      <c r="P98" s="193">
        <v>3825</v>
      </c>
      <c r="Q98" s="177"/>
      <c r="R98" s="177"/>
      <c r="S98" s="177"/>
      <c r="T98" s="177"/>
      <c r="U98" s="177"/>
      <c r="V98" s="177"/>
      <c r="W98" s="177"/>
      <c r="X98" s="184">
        <f t="shared" si="35"/>
        <v>3825</v>
      </c>
      <c r="Y98" s="211">
        <f>X98/I98</f>
        <v>1</v>
      </c>
      <c r="AA98" s="249"/>
      <c r="HV98"/>
      <c r="HW98"/>
      <c r="HX98"/>
      <c r="HY98"/>
      <c r="HZ98"/>
      <c r="IA98"/>
      <c r="IB98"/>
      <c r="IC98"/>
      <c r="ID98"/>
      <c r="IE98"/>
      <c r="IF98"/>
    </row>
    <row r="99" spans="1:240" ht="15" customHeight="1" x14ac:dyDescent="0.4">
      <c r="A99" s="150" t="s">
        <v>138</v>
      </c>
      <c r="B99" s="184">
        <v>3030</v>
      </c>
      <c r="C99" s="184">
        <v>1560</v>
      </c>
      <c r="D99" s="184">
        <v>1350</v>
      </c>
      <c r="E99" s="184">
        <v>210</v>
      </c>
      <c r="F99" s="184">
        <v>1015</v>
      </c>
      <c r="G99" s="128"/>
      <c r="H99" s="53">
        <v>500</v>
      </c>
      <c r="I99" s="53">
        <v>2000</v>
      </c>
      <c r="J99" s="234">
        <f t="shared" si="26"/>
        <v>3</v>
      </c>
      <c r="K99" s="193"/>
      <c r="L99" s="193"/>
      <c r="M99" s="193"/>
      <c r="N99" s="193"/>
      <c r="O99" s="193"/>
      <c r="P99" s="193"/>
      <c r="Q99" s="177"/>
      <c r="R99" s="177">
        <v>315</v>
      </c>
      <c r="S99" s="177"/>
      <c r="T99" s="177">
        <v>1417.5</v>
      </c>
      <c r="U99" s="177"/>
      <c r="V99" s="177">
        <v>507.5</v>
      </c>
      <c r="W99" s="177"/>
      <c r="X99" s="184">
        <f t="shared" si="35"/>
        <v>2240</v>
      </c>
      <c r="Y99" s="211">
        <f t="shared" si="36"/>
        <v>1.1200000000000001</v>
      </c>
      <c r="Z99" s="99"/>
      <c r="AA99" s="249"/>
      <c r="HV99"/>
      <c r="HW99"/>
      <c r="HX99"/>
      <c r="HY99"/>
      <c r="HZ99"/>
      <c r="IA99"/>
      <c r="IB99"/>
      <c r="IC99"/>
      <c r="ID99"/>
      <c r="IE99"/>
      <c r="IF99"/>
    </row>
    <row r="100" spans="1:240" ht="15" customHeight="1" x14ac:dyDescent="0.4">
      <c r="A100" s="150" t="s">
        <v>149</v>
      </c>
      <c r="B100" s="184"/>
      <c r="C100" s="184"/>
      <c r="D100" s="184"/>
      <c r="E100" s="184"/>
      <c r="F100" s="184"/>
      <c r="G100" s="128"/>
      <c r="H100" s="53"/>
      <c r="I100" s="53"/>
      <c r="J100" s="234"/>
      <c r="K100" s="193"/>
      <c r="L100" s="193"/>
      <c r="M100" s="193"/>
      <c r="N100" s="193"/>
      <c r="O100" s="193"/>
      <c r="P100" s="193"/>
      <c r="Q100" s="177"/>
      <c r="R100" s="177"/>
      <c r="S100" s="177"/>
      <c r="T100" s="177"/>
      <c r="U100" s="177"/>
      <c r="V100" s="177"/>
      <c r="W100" s="177"/>
      <c r="X100" s="184">
        <f t="shared" si="35"/>
        <v>0</v>
      </c>
      <c r="Y100" s="211"/>
      <c r="AA100" s="249"/>
      <c r="HV100"/>
      <c r="HW100"/>
      <c r="HX100"/>
      <c r="HY100"/>
      <c r="HZ100"/>
      <c r="IA100"/>
      <c r="IB100"/>
      <c r="IC100"/>
      <c r="ID100"/>
      <c r="IE100"/>
      <c r="IF100"/>
    </row>
    <row r="101" spans="1:240" ht="15" customHeight="1" x14ac:dyDescent="0.4">
      <c r="A101" s="150" t="s">
        <v>137</v>
      </c>
      <c r="B101" s="184">
        <v>3475</v>
      </c>
      <c r="C101" s="184">
        <v>1000</v>
      </c>
      <c r="D101" s="184">
        <v>1500</v>
      </c>
      <c r="E101" s="184">
        <v>3300</v>
      </c>
      <c r="F101" s="184">
        <v>1000</v>
      </c>
      <c r="G101" s="128"/>
      <c r="H101" s="53">
        <v>6300</v>
      </c>
      <c r="I101" s="53">
        <f>6900+12100</f>
        <v>19000</v>
      </c>
      <c r="J101" s="234">
        <f t="shared" si="26"/>
        <v>2.0158730158730158</v>
      </c>
      <c r="K101" s="193"/>
      <c r="L101" s="193"/>
      <c r="M101" s="193">
        <v>5700</v>
      </c>
      <c r="N101" s="193"/>
      <c r="O101" s="193"/>
      <c r="P101" s="193"/>
      <c r="Q101" s="177"/>
      <c r="R101" s="177">
        <v>1200</v>
      </c>
      <c r="S101" s="177"/>
      <c r="T101" s="177"/>
      <c r="U101" s="177"/>
      <c r="V101" s="177">
        <v>12100</v>
      </c>
      <c r="W101" s="177"/>
      <c r="X101" s="184">
        <f t="shared" si="35"/>
        <v>19000</v>
      </c>
      <c r="Y101" s="244">
        <f t="shared" si="36"/>
        <v>1</v>
      </c>
      <c r="Z101" s="99"/>
      <c r="AA101" s="249"/>
      <c r="HV101"/>
      <c r="HW101"/>
      <c r="HX101"/>
      <c r="HY101"/>
      <c r="HZ101"/>
      <c r="IA101"/>
      <c r="IB101"/>
      <c r="IC101"/>
      <c r="ID101"/>
      <c r="IE101"/>
      <c r="IF101"/>
    </row>
    <row r="102" spans="1:240" ht="15" customHeight="1" x14ac:dyDescent="0.4">
      <c r="A102" s="142" t="s">
        <v>177</v>
      </c>
      <c r="B102" s="181">
        <f t="shared" ref="B102:F102" si="37">SUM(B76:B101)</f>
        <v>111076.46999999999</v>
      </c>
      <c r="C102" s="181">
        <f t="shared" si="37"/>
        <v>165210.67999999996</v>
      </c>
      <c r="D102" s="181">
        <f t="shared" si="37"/>
        <v>123177.38</v>
      </c>
      <c r="E102" s="181">
        <f t="shared" si="37"/>
        <v>205491.95</v>
      </c>
      <c r="F102" s="181">
        <f t="shared" si="37"/>
        <v>165111.50000000003</v>
      </c>
      <c r="G102" s="123"/>
      <c r="H102" s="97">
        <f>SUM(H76:H101)</f>
        <v>168691</v>
      </c>
      <c r="I102" s="97">
        <f>SUM(I76:I101)</f>
        <v>161650</v>
      </c>
      <c r="J102" s="234">
        <f t="shared" si="26"/>
        <v>-4.1739037648718662E-2</v>
      </c>
      <c r="K102" s="181">
        <f t="shared" ref="K102:X102" si="38">SUM(K76:K101)</f>
        <v>8016.2</v>
      </c>
      <c r="L102" s="181">
        <f t="shared" si="38"/>
        <v>21501.279999999999</v>
      </c>
      <c r="M102" s="181">
        <f t="shared" si="38"/>
        <v>25930.440000000006</v>
      </c>
      <c r="N102" s="181">
        <f t="shared" si="38"/>
        <v>7798.9500000000007</v>
      </c>
      <c r="O102" s="239">
        <f t="shared" si="38"/>
        <v>9545.8700000000008</v>
      </c>
      <c r="P102" s="239">
        <f t="shared" si="38"/>
        <v>13305.669999999998</v>
      </c>
      <c r="Q102" s="181">
        <f t="shared" si="38"/>
        <v>8146.52</v>
      </c>
      <c r="R102" s="181">
        <f t="shared" si="38"/>
        <v>7751.62</v>
      </c>
      <c r="S102" s="181">
        <f t="shared" si="38"/>
        <v>11924.949999999999</v>
      </c>
      <c r="T102" s="181">
        <f t="shared" si="38"/>
        <v>8359.9500000000007</v>
      </c>
      <c r="U102" s="181">
        <f t="shared" si="38"/>
        <v>11252.68</v>
      </c>
      <c r="V102" s="181">
        <f t="shared" si="38"/>
        <v>26137.64</v>
      </c>
      <c r="W102" s="181">
        <f t="shared" si="38"/>
        <v>0</v>
      </c>
      <c r="X102" s="182">
        <f t="shared" si="38"/>
        <v>159671.77000000002</v>
      </c>
      <c r="Y102" s="211">
        <f t="shared" si="36"/>
        <v>0.98776226415094348</v>
      </c>
      <c r="HV102"/>
      <c r="HW102"/>
      <c r="HX102"/>
      <c r="HY102"/>
      <c r="HZ102"/>
      <c r="IA102"/>
      <c r="IB102"/>
      <c r="IC102"/>
      <c r="ID102"/>
      <c r="IE102"/>
      <c r="IF102"/>
    </row>
    <row r="103" spans="1:240" ht="15" customHeight="1" x14ac:dyDescent="0.4">
      <c r="A103" s="151" t="s">
        <v>163</v>
      </c>
      <c r="B103" s="184"/>
      <c r="C103" s="184"/>
      <c r="D103" s="184"/>
      <c r="E103" s="184"/>
      <c r="F103" s="184"/>
      <c r="G103" s="126"/>
      <c r="H103" s="53"/>
      <c r="I103" s="53"/>
      <c r="J103" s="234"/>
      <c r="K103" s="193"/>
      <c r="L103" s="193"/>
      <c r="M103" s="193"/>
      <c r="N103" s="193"/>
      <c r="O103" s="193"/>
      <c r="P103" s="193"/>
      <c r="Q103" s="177"/>
      <c r="R103" s="177"/>
      <c r="S103" s="177"/>
      <c r="T103" s="177"/>
      <c r="U103" s="177"/>
      <c r="V103" s="177"/>
      <c r="W103" s="177"/>
      <c r="X103" s="184"/>
      <c r="Y103" s="211"/>
      <c r="HV103"/>
      <c r="HW103"/>
      <c r="HX103"/>
      <c r="HY103"/>
      <c r="HZ103"/>
      <c r="IA103"/>
      <c r="IB103"/>
      <c r="IC103"/>
      <c r="ID103"/>
      <c r="IE103"/>
      <c r="IF103"/>
    </row>
    <row r="104" spans="1:240" ht="15" customHeight="1" x14ac:dyDescent="0.4">
      <c r="A104" s="142" t="s">
        <v>164</v>
      </c>
      <c r="B104" s="184"/>
      <c r="C104" s="184"/>
      <c r="D104" s="184"/>
      <c r="E104" s="184"/>
      <c r="F104" s="184"/>
      <c r="G104" s="125"/>
      <c r="H104" s="53"/>
      <c r="I104" s="53"/>
      <c r="J104" s="234"/>
      <c r="K104" s="193"/>
      <c r="L104" s="193"/>
      <c r="M104" s="193"/>
      <c r="N104" s="193"/>
      <c r="O104" s="193"/>
      <c r="P104" s="193"/>
      <c r="Q104" s="177"/>
      <c r="R104" s="177"/>
      <c r="S104" s="177"/>
      <c r="T104" s="177"/>
      <c r="U104" s="177"/>
      <c r="V104" s="177"/>
      <c r="W104" s="177"/>
      <c r="X104" s="184">
        <f t="shared" ref="X104:X123" si="39">SUM(K104:W104)</f>
        <v>0</v>
      </c>
      <c r="Y104" s="211"/>
      <c r="HV104"/>
      <c r="HW104"/>
      <c r="HX104"/>
      <c r="HY104"/>
      <c r="HZ104"/>
      <c r="IA104"/>
      <c r="IB104"/>
      <c r="IC104"/>
      <c r="ID104"/>
      <c r="IE104"/>
      <c r="IF104"/>
    </row>
    <row r="105" spans="1:240" ht="15.75" customHeight="1" x14ac:dyDescent="0.4">
      <c r="A105" s="150" t="s">
        <v>62</v>
      </c>
      <c r="B105" s="184">
        <v>28790.84</v>
      </c>
      <c r="C105" s="184">
        <v>36477.78</v>
      </c>
      <c r="D105" s="184">
        <v>26367.31</v>
      </c>
      <c r="E105" s="184">
        <v>89842.64</v>
      </c>
      <c r="F105" s="184">
        <f>159465.52-F108</f>
        <v>139567.78999999998</v>
      </c>
      <c r="G105" s="123"/>
      <c r="H105" s="60">
        <v>50000</v>
      </c>
      <c r="I105" s="60">
        <f>50000+10000</f>
        <v>60000</v>
      </c>
      <c r="J105" s="234">
        <f t="shared" si="26"/>
        <v>0.2</v>
      </c>
      <c r="K105" s="193"/>
      <c r="L105" s="193">
        <f>20000+1960</f>
        <v>21960</v>
      </c>
      <c r="M105" s="193"/>
      <c r="N105" s="193">
        <f>12625+4538.62</f>
        <v>17163.62</v>
      </c>
      <c r="O105" s="193">
        <v>6750</v>
      </c>
      <c r="P105" s="193">
        <v>764.5</v>
      </c>
      <c r="Q105" s="177">
        <f>7500</f>
        <v>7500</v>
      </c>
      <c r="R105" s="177">
        <v>627</v>
      </c>
      <c r="S105" s="177">
        <v>1280.1199999999999</v>
      </c>
      <c r="T105" s="177">
        <v>52.25</v>
      </c>
      <c r="U105" s="177">
        <v>-1500</v>
      </c>
      <c r="V105" s="177">
        <f>914.37</f>
        <v>914.37</v>
      </c>
      <c r="W105" s="177"/>
      <c r="X105" s="184">
        <f t="shared" si="39"/>
        <v>55511.86</v>
      </c>
      <c r="Y105" s="244">
        <f t="shared" si="36"/>
        <v>0.9251976666666667</v>
      </c>
      <c r="HV105"/>
      <c r="HW105"/>
      <c r="HX105"/>
      <c r="HY105"/>
      <c r="HZ105"/>
      <c r="IA105"/>
      <c r="IB105"/>
      <c r="IC105"/>
      <c r="ID105"/>
      <c r="IE105"/>
      <c r="IF105"/>
    </row>
    <row r="106" spans="1:240" ht="15" customHeight="1" x14ac:dyDescent="0.4">
      <c r="A106" s="150" t="s">
        <v>40</v>
      </c>
      <c r="B106" s="184">
        <v>38745</v>
      </c>
      <c r="C106" s="184">
        <v>42000</v>
      </c>
      <c r="D106" s="184">
        <v>42999.960000000014</v>
      </c>
      <c r="E106" s="184">
        <v>44750.039999999986</v>
      </c>
      <c r="F106" s="184">
        <v>45099.960000000014</v>
      </c>
      <c r="G106" s="123"/>
      <c r="H106" s="60">
        <v>47355</v>
      </c>
      <c r="I106" s="60">
        <f>47355+7500</f>
        <v>54855</v>
      </c>
      <c r="J106" s="234">
        <f t="shared" si="26"/>
        <v>0.15837820715869497</v>
      </c>
      <c r="K106" s="193">
        <v>4571.25</v>
      </c>
      <c r="L106" s="193">
        <f>4571.25</f>
        <v>4571.25</v>
      </c>
      <c r="M106" s="193">
        <v>4571.25</v>
      </c>
      <c r="N106" s="193">
        <v>4571.25</v>
      </c>
      <c r="O106" s="193">
        <v>4571.25</v>
      </c>
      <c r="P106" s="193">
        <v>4571.25</v>
      </c>
      <c r="Q106" s="177">
        <v>4571.25</v>
      </c>
      <c r="R106" s="177">
        <v>4571.25</v>
      </c>
      <c r="S106" s="177">
        <v>4571.25</v>
      </c>
      <c r="T106" s="177">
        <v>4571.25</v>
      </c>
      <c r="U106" s="177">
        <v>4571.25</v>
      </c>
      <c r="V106" s="177">
        <v>4571.25</v>
      </c>
      <c r="W106" s="177"/>
      <c r="X106" s="184">
        <f t="shared" si="39"/>
        <v>54855</v>
      </c>
      <c r="Y106" s="211">
        <f t="shared" si="36"/>
        <v>1</v>
      </c>
      <c r="HV106"/>
      <c r="HW106"/>
      <c r="HX106"/>
      <c r="HY106"/>
      <c r="HZ106"/>
      <c r="IA106"/>
      <c r="IB106"/>
      <c r="IC106"/>
      <c r="ID106"/>
      <c r="IE106"/>
      <c r="IF106"/>
    </row>
    <row r="107" spans="1:240" ht="15" customHeight="1" x14ac:dyDescent="0.4">
      <c r="A107" s="150" t="s">
        <v>61</v>
      </c>
      <c r="B107" s="184">
        <v>3180</v>
      </c>
      <c r="C107" s="184">
        <v>4995</v>
      </c>
      <c r="D107" s="184">
        <v>4995</v>
      </c>
      <c r="E107" s="184">
        <v>4995</v>
      </c>
      <c r="F107" s="184">
        <v>4995</v>
      </c>
      <c r="G107" s="123"/>
      <c r="H107" s="60">
        <v>4995</v>
      </c>
      <c r="I107" s="60">
        <v>5494.5</v>
      </c>
      <c r="J107" s="234">
        <f t="shared" ref="J107:J137" si="40">(I107-H107)/H107</f>
        <v>0.1</v>
      </c>
      <c r="K107" s="193"/>
      <c r="L107" s="193"/>
      <c r="M107" s="193">
        <v>5494.5</v>
      </c>
      <c r="N107" s="193"/>
      <c r="O107" s="193"/>
      <c r="P107" s="193"/>
      <c r="Q107" s="177"/>
      <c r="R107" s="177"/>
      <c r="S107" s="177"/>
      <c r="T107" s="177"/>
      <c r="U107" s="177"/>
      <c r="V107" s="177"/>
      <c r="W107" s="177"/>
      <c r="X107" s="184">
        <f t="shared" si="39"/>
        <v>5494.5</v>
      </c>
      <c r="Y107" s="211">
        <f t="shared" si="36"/>
        <v>1</v>
      </c>
      <c r="Z107" s="225"/>
      <c r="HV107"/>
      <c r="HW107"/>
      <c r="HX107"/>
      <c r="HY107"/>
      <c r="HZ107"/>
      <c r="IA107"/>
      <c r="IB107"/>
      <c r="IC107"/>
      <c r="ID107"/>
      <c r="IE107"/>
      <c r="IF107"/>
    </row>
    <row r="108" spans="1:240" ht="15" customHeight="1" x14ac:dyDescent="0.4">
      <c r="A108" s="150" t="s">
        <v>121</v>
      </c>
      <c r="B108" s="184"/>
      <c r="C108" s="184"/>
      <c r="D108" s="184"/>
      <c r="E108" s="184"/>
      <c r="F108" s="184">
        <v>19897.73</v>
      </c>
      <c r="G108" s="123"/>
      <c r="H108" s="60">
        <v>26880</v>
      </c>
      <c r="I108" s="60">
        <v>23390</v>
      </c>
      <c r="J108" s="234">
        <f t="shared" si="40"/>
        <v>-0.12983630952380953</v>
      </c>
      <c r="K108" s="193"/>
      <c r="L108" s="193">
        <v>4480</v>
      </c>
      <c r="M108" s="193">
        <v>2290</v>
      </c>
      <c r="N108" s="193">
        <v>2240</v>
      </c>
      <c r="O108" s="193">
        <v>2240</v>
      </c>
      <c r="P108" s="193">
        <v>2240</v>
      </c>
      <c r="Q108" s="177">
        <v>1650</v>
      </c>
      <c r="R108" s="177">
        <v>1650</v>
      </c>
      <c r="S108" s="177">
        <v>1650</v>
      </c>
      <c r="T108" s="177">
        <v>1650</v>
      </c>
      <c r="U108" s="177">
        <v>1650</v>
      </c>
      <c r="V108" s="177">
        <v>1650</v>
      </c>
      <c r="W108" s="177"/>
      <c r="X108" s="184">
        <f t="shared" si="39"/>
        <v>23390</v>
      </c>
      <c r="Y108" s="211">
        <f t="shared" si="36"/>
        <v>1</v>
      </c>
      <c r="Z108" s="233"/>
      <c r="AA108" s="99"/>
      <c r="HV108"/>
      <c r="HW108"/>
      <c r="HX108"/>
      <c r="HY108"/>
      <c r="HZ108"/>
      <c r="IA108"/>
      <c r="IB108"/>
      <c r="IC108"/>
      <c r="ID108"/>
      <c r="IE108"/>
      <c r="IF108"/>
    </row>
    <row r="109" spans="1:240" ht="15" customHeight="1" x14ac:dyDescent="0.4">
      <c r="A109" s="150" t="s">
        <v>122</v>
      </c>
      <c r="B109" s="184"/>
      <c r="C109" s="184"/>
      <c r="D109" s="184"/>
      <c r="E109" s="184"/>
      <c r="F109" s="184">
        <v>13685.91</v>
      </c>
      <c r="G109" s="123"/>
      <c r="H109" s="53">
        <f>35*585</f>
        <v>20475</v>
      </c>
      <c r="I109" s="53">
        <f>20475+7000-2496</f>
        <v>24979</v>
      </c>
      <c r="J109" s="234">
        <f t="shared" si="40"/>
        <v>0.21997557997557998</v>
      </c>
      <c r="K109" s="193">
        <v>1668.33</v>
      </c>
      <c r="L109" s="193">
        <v>1668.33</v>
      </c>
      <c r="M109" s="193">
        <v>1668.33</v>
      </c>
      <c r="N109" s="193">
        <v>1668.33</v>
      </c>
      <c r="O109" s="193">
        <v>3249.18</v>
      </c>
      <c r="P109" s="193">
        <v>1624.59</v>
      </c>
      <c r="Q109" s="177">
        <v>1284.5</v>
      </c>
      <c r="R109" s="177"/>
      <c r="S109" s="177"/>
      <c r="T109" s="177">
        <v>1624.59</v>
      </c>
      <c r="U109" s="177">
        <v>6498.36</v>
      </c>
      <c r="V109" s="177">
        <v>4024.55</v>
      </c>
      <c r="W109" s="177"/>
      <c r="X109" s="184">
        <f t="shared" si="39"/>
        <v>24979.09</v>
      </c>
      <c r="Y109" s="211">
        <f t="shared" si="36"/>
        <v>1.0000036030265422</v>
      </c>
      <c r="Z109" s="233"/>
      <c r="AA109" s="249"/>
      <c r="HV109"/>
      <c r="HW109"/>
      <c r="HX109"/>
      <c r="HY109"/>
      <c r="HZ109"/>
      <c r="IA109"/>
      <c r="IB109"/>
      <c r="IC109"/>
      <c r="ID109"/>
      <c r="IE109"/>
      <c r="IF109"/>
    </row>
    <row r="110" spans="1:240" ht="15" customHeight="1" x14ac:dyDescent="0.4">
      <c r="A110" s="150" t="s">
        <v>123</v>
      </c>
      <c r="B110" s="184">
        <v>15933</v>
      </c>
      <c r="C110" s="184">
        <v>15448.03</v>
      </c>
      <c r="D110" s="184">
        <v>15612.789999999997</v>
      </c>
      <c r="E110" s="184">
        <v>17693.480000000003</v>
      </c>
      <c r="F110" s="184">
        <v>34400.58</v>
      </c>
      <c r="G110" s="123"/>
      <c r="H110" s="53">
        <f>((1813.95+284.61)*12)+10000</f>
        <v>35182.720000000001</v>
      </c>
      <c r="I110" s="53">
        <f>35182.72+1628</f>
        <v>36810.720000000001</v>
      </c>
      <c r="J110" s="234">
        <f t="shared" si="40"/>
        <v>4.6272715696796606E-2</v>
      </c>
      <c r="K110" s="193">
        <v>329.11</v>
      </c>
      <c r="L110" s="193">
        <v>4256.99</v>
      </c>
      <c r="M110" s="193">
        <v>2143.06</v>
      </c>
      <c r="N110" s="193">
        <v>1803.06</v>
      </c>
      <c r="O110" s="193">
        <v>3881.46</v>
      </c>
      <c r="P110" s="193">
        <v>2545.59</v>
      </c>
      <c r="Q110" s="177">
        <v>3196.86</v>
      </c>
      <c r="R110" s="177">
        <v>5022.83</v>
      </c>
      <c r="S110" s="177">
        <v>2622.98</v>
      </c>
      <c r="T110" s="177">
        <v>4166.07</v>
      </c>
      <c r="U110" s="177">
        <v>2171.2800000000002</v>
      </c>
      <c r="V110" s="177">
        <v>4877.49</v>
      </c>
      <c r="W110" s="177"/>
      <c r="X110" s="184">
        <f t="shared" si="39"/>
        <v>37016.78</v>
      </c>
      <c r="Y110" s="211">
        <f t="shared" si="36"/>
        <v>1.0055978258507303</v>
      </c>
      <c r="Z110" s="99"/>
      <c r="AA110" s="251"/>
      <c r="HV110"/>
      <c r="HW110"/>
      <c r="HX110"/>
      <c r="HY110"/>
      <c r="HZ110"/>
      <c r="IA110"/>
      <c r="IB110"/>
      <c r="IC110"/>
      <c r="ID110"/>
      <c r="IE110"/>
      <c r="IF110"/>
    </row>
    <row r="111" spans="1:240" ht="15" customHeight="1" x14ac:dyDescent="0.4">
      <c r="A111" s="150" t="s">
        <v>124</v>
      </c>
      <c r="B111" s="184">
        <v>14500</v>
      </c>
      <c r="C111" s="184">
        <v>15000</v>
      </c>
      <c r="D111" s="184">
        <v>15500</v>
      </c>
      <c r="E111" s="184">
        <v>15600</v>
      </c>
      <c r="F111" s="184">
        <v>22950</v>
      </c>
      <c r="G111" s="123"/>
      <c r="H111" s="53">
        <f>21000+2300</f>
        <v>23300</v>
      </c>
      <c r="I111" s="53">
        <v>27763</v>
      </c>
      <c r="J111" s="234">
        <f t="shared" si="40"/>
        <v>0.1915450643776824</v>
      </c>
      <c r="K111" s="193"/>
      <c r="L111" s="193">
        <v>10500</v>
      </c>
      <c r="M111" s="193"/>
      <c r="N111" s="193"/>
      <c r="O111" s="193">
        <v>12562.5</v>
      </c>
      <c r="P111" s="193"/>
      <c r="Q111" s="177"/>
      <c r="R111" s="177">
        <v>3500</v>
      </c>
      <c r="S111" s="177">
        <v>1200</v>
      </c>
      <c r="T111" s="177"/>
      <c r="U111" s="177"/>
      <c r="V111" s="177"/>
      <c r="W111" s="177"/>
      <c r="X111" s="184">
        <f t="shared" si="39"/>
        <v>27762.5</v>
      </c>
      <c r="Y111" s="247">
        <f t="shared" si="36"/>
        <v>0.9999819904189029</v>
      </c>
      <c r="HV111"/>
      <c r="HW111"/>
      <c r="HX111"/>
      <c r="HY111"/>
      <c r="HZ111"/>
      <c r="IA111"/>
      <c r="IB111"/>
      <c r="IC111"/>
      <c r="ID111"/>
      <c r="IE111"/>
      <c r="IF111"/>
    </row>
    <row r="112" spans="1:240" ht="15" customHeight="1" x14ac:dyDescent="0.4">
      <c r="A112" s="150" t="s">
        <v>180</v>
      </c>
      <c r="B112" s="184"/>
      <c r="C112" s="184"/>
      <c r="D112" s="184"/>
      <c r="E112" s="184"/>
      <c r="F112" s="184"/>
      <c r="G112" s="123"/>
      <c r="H112" s="53"/>
      <c r="I112" s="53"/>
      <c r="J112" s="234"/>
      <c r="K112" s="193"/>
      <c r="L112" s="193"/>
      <c r="M112" s="193"/>
      <c r="N112" s="193"/>
      <c r="O112" s="193"/>
      <c r="P112" s="193"/>
      <c r="Q112" s="177"/>
      <c r="R112" s="177"/>
      <c r="S112" s="177"/>
      <c r="T112" s="177"/>
      <c r="U112" s="177"/>
      <c r="V112" s="177"/>
      <c r="W112" s="177"/>
      <c r="X112" s="184">
        <f t="shared" si="39"/>
        <v>0</v>
      </c>
      <c r="Y112" s="211"/>
      <c r="HV112"/>
      <c r="HW112"/>
      <c r="HX112"/>
      <c r="HY112"/>
      <c r="HZ112"/>
      <c r="IA112"/>
      <c r="IB112"/>
      <c r="IC112"/>
      <c r="ID112"/>
      <c r="IE112"/>
      <c r="IF112"/>
    </row>
    <row r="113" spans="1:240" ht="15" customHeight="1" x14ac:dyDescent="0.4">
      <c r="A113" s="150" t="s">
        <v>182</v>
      </c>
      <c r="B113" s="184"/>
      <c r="C113" s="184"/>
      <c r="D113" s="184"/>
      <c r="E113" s="184"/>
      <c r="F113" s="184"/>
      <c r="G113" s="123"/>
      <c r="H113" s="53">
        <v>1000</v>
      </c>
      <c r="I113" s="53">
        <v>1500</v>
      </c>
      <c r="J113" s="234">
        <f t="shared" si="40"/>
        <v>0.5</v>
      </c>
      <c r="K113" s="193">
        <v>32.049999999999997</v>
      </c>
      <c r="L113" s="193"/>
      <c r="M113" s="193">
        <v>951.5</v>
      </c>
      <c r="N113" s="193"/>
      <c r="O113" s="193">
        <v>83.2</v>
      </c>
      <c r="P113" s="193"/>
      <c r="Q113" s="177">
        <v>46.15</v>
      </c>
      <c r="R113" s="177"/>
      <c r="S113" s="177"/>
      <c r="T113" s="177"/>
      <c r="U113" s="177"/>
      <c r="V113" s="177"/>
      <c r="W113" s="177"/>
      <c r="X113" s="184">
        <f t="shared" si="39"/>
        <v>1112.9000000000001</v>
      </c>
      <c r="Y113" s="211">
        <f t="shared" si="36"/>
        <v>0.74193333333333344</v>
      </c>
      <c r="HV113"/>
      <c r="HW113"/>
      <c r="HX113"/>
      <c r="HY113"/>
      <c r="HZ113"/>
      <c r="IA113"/>
      <c r="IB113"/>
      <c r="IC113"/>
      <c r="ID113"/>
      <c r="IE113"/>
      <c r="IF113"/>
    </row>
    <row r="114" spans="1:240" ht="15" customHeight="1" x14ac:dyDescent="0.4">
      <c r="A114" s="142" t="s">
        <v>56</v>
      </c>
      <c r="B114" s="184">
        <v>28867.27</v>
      </c>
      <c r="C114" s="184">
        <v>23122.44</v>
      </c>
      <c r="D114" s="184">
        <v>31249.97</v>
      </c>
      <c r="E114" s="184">
        <v>33260.28</v>
      </c>
      <c r="F114" s="184">
        <v>37981.82</v>
      </c>
      <c r="G114" s="123"/>
      <c r="H114" s="53">
        <f>33260+4740</f>
        <v>38000</v>
      </c>
      <c r="I114" s="53">
        <v>39790</v>
      </c>
      <c r="J114" s="234">
        <f t="shared" si="40"/>
        <v>4.7105263157894733E-2</v>
      </c>
      <c r="K114" s="193">
        <f>23906.34</f>
        <v>23906.34</v>
      </c>
      <c r="L114" s="193"/>
      <c r="M114" s="193"/>
      <c r="N114" s="193"/>
      <c r="O114" s="193"/>
      <c r="P114" s="193"/>
      <c r="Q114" s="177"/>
      <c r="R114" s="177">
        <v>15884</v>
      </c>
      <c r="S114" s="177"/>
      <c r="T114" s="177"/>
      <c r="U114" s="177"/>
      <c r="V114" s="177"/>
      <c r="W114" s="177"/>
      <c r="X114" s="184">
        <f t="shared" si="39"/>
        <v>39790.339999999997</v>
      </c>
      <c r="Y114" s="244">
        <f t="shared" si="36"/>
        <v>1.0000085448605176</v>
      </c>
      <c r="HV114"/>
      <c r="HW114"/>
      <c r="HX114"/>
      <c r="HY114"/>
      <c r="HZ114"/>
      <c r="IA114"/>
      <c r="IB114"/>
      <c r="IC114"/>
      <c r="ID114"/>
      <c r="IE114"/>
      <c r="IF114"/>
    </row>
    <row r="115" spans="1:240" ht="15" customHeight="1" x14ac:dyDescent="0.4">
      <c r="A115" s="142" t="s">
        <v>59</v>
      </c>
      <c r="B115" s="184">
        <v>10840.7</v>
      </c>
      <c r="C115" s="184">
        <v>9750</v>
      </c>
      <c r="D115" s="184">
        <v>19595</v>
      </c>
      <c r="E115" s="184">
        <v>12495</v>
      </c>
      <c r="F115" s="184">
        <v>0</v>
      </c>
      <c r="G115" s="123"/>
      <c r="H115" s="53">
        <f>5000+6500</f>
        <v>11500</v>
      </c>
      <c r="I115" s="53">
        <v>11500</v>
      </c>
      <c r="J115" s="234">
        <f t="shared" si="40"/>
        <v>0</v>
      </c>
      <c r="K115" s="193">
        <v>11495</v>
      </c>
      <c r="L115" s="193"/>
      <c r="M115" s="193"/>
      <c r="N115" s="193"/>
      <c r="O115" s="193"/>
      <c r="P115" s="193"/>
      <c r="Q115" s="177"/>
      <c r="R115" s="177"/>
      <c r="S115" s="177"/>
      <c r="T115" s="177"/>
      <c r="U115" s="177"/>
      <c r="V115" s="177"/>
      <c r="W115" s="177"/>
      <c r="X115" s="184">
        <f t="shared" si="39"/>
        <v>11495</v>
      </c>
      <c r="Y115" s="211">
        <f t="shared" si="36"/>
        <v>0.99956521739130433</v>
      </c>
      <c r="HV115"/>
      <c r="HW115"/>
      <c r="HX115"/>
      <c r="HY115"/>
      <c r="HZ115"/>
      <c r="IA115"/>
      <c r="IB115"/>
      <c r="IC115"/>
      <c r="ID115"/>
      <c r="IE115"/>
      <c r="IF115"/>
    </row>
    <row r="116" spans="1:240" ht="15" customHeight="1" x14ac:dyDescent="0.4">
      <c r="A116" s="142" t="s">
        <v>60</v>
      </c>
      <c r="B116" s="184">
        <v>2371.1999999999998</v>
      </c>
      <c r="C116" s="184">
        <v>972.87</v>
      </c>
      <c r="D116" s="184">
        <v>1189.8800000000001</v>
      </c>
      <c r="E116" s="184">
        <v>2012.6</v>
      </c>
      <c r="F116" s="184">
        <v>11690.72</v>
      </c>
      <c r="G116" s="123"/>
      <c r="H116" s="53">
        <v>5000</v>
      </c>
      <c r="I116" s="53">
        <f>1000-608</f>
        <v>392</v>
      </c>
      <c r="J116" s="234">
        <f t="shared" si="40"/>
        <v>-0.92159999999999997</v>
      </c>
      <c r="K116" s="193"/>
      <c r="L116" s="193"/>
      <c r="M116" s="193"/>
      <c r="N116" s="193">
        <v>228</v>
      </c>
      <c r="O116" s="193">
        <v>60.6</v>
      </c>
      <c r="P116" s="193"/>
      <c r="Q116" s="177"/>
      <c r="R116" s="177">
        <v>103.56</v>
      </c>
      <c r="S116" s="177"/>
      <c r="T116" s="177"/>
      <c r="U116" s="177"/>
      <c r="V116" s="177"/>
      <c r="W116" s="177"/>
      <c r="X116" s="184">
        <f t="shared" si="39"/>
        <v>392.16</v>
      </c>
      <c r="Y116" s="211">
        <f t="shared" si="36"/>
        <v>1.0004081632653061</v>
      </c>
      <c r="Z116" s="99"/>
      <c r="HV116"/>
      <c r="HW116"/>
      <c r="HX116"/>
      <c r="HY116"/>
      <c r="HZ116"/>
      <c r="IA116"/>
      <c r="IB116"/>
      <c r="IC116"/>
      <c r="ID116"/>
      <c r="IE116"/>
      <c r="IF116"/>
    </row>
    <row r="117" spans="1:240" ht="15" customHeight="1" x14ac:dyDescent="0.4">
      <c r="A117" s="142" t="s">
        <v>126</v>
      </c>
      <c r="B117" s="184">
        <v>7051.1</v>
      </c>
      <c r="C117" s="184">
        <v>2683.58</v>
      </c>
      <c r="D117" s="184">
        <v>5510.8099999999995</v>
      </c>
      <c r="E117" s="184">
        <v>106776.65000000001</v>
      </c>
      <c r="F117" s="184">
        <v>12937.41</v>
      </c>
      <c r="G117" s="123"/>
      <c r="H117" s="60">
        <v>8000</v>
      </c>
      <c r="I117" s="60">
        <f>8000-3000-1800</f>
        <v>3200</v>
      </c>
      <c r="J117" s="234">
        <f t="shared" si="40"/>
        <v>-0.6</v>
      </c>
      <c r="K117" s="193"/>
      <c r="L117" s="193">
        <f>198.44+571.69</f>
        <v>770.13000000000011</v>
      </c>
      <c r="M117" s="193">
        <f>1060+13.83</f>
        <v>1073.83</v>
      </c>
      <c r="N117" s="193">
        <f>178.4+97.67</f>
        <v>276.07</v>
      </c>
      <c r="O117" s="193"/>
      <c r="P117" s="193">
        <v>147.29</v>
      </c>
      <c r="Q117" s="177">
        <v>450</v>
      </c>
      <c r="R117" s="177">
        <v>107.45</v>
      </c>
      <c r="S117" s="177">
        <v>182.88</v>
      </c>
      <c r="T117" s="177">
        <v>184.84</v>
      </c>
      <c r="U117" s="177"/>
      <c r="V117" s="177"/>
      <c r="W117" s="177"/>
      <c r="X117" s="184">
        <f t="shared" si="39"/>
        <v>3192.4900000000002</v>
      </c>
      <c r="Y117" s="211">
        <f t="shared" si="36"/>
        <v>0.99765312500000003</v>
      </c>
      <c r="Z117" s="99"/>
      <c r="HV117"/>
      <c r="HW117"/>
      <c r="HX117"/>
      <c r="HY117"/>
      <c r="HZ117"/>
      <c r="IA117"/>
      <c r="IB117"/>
      <c r="IC117"/>
      <c r="ID117"/>
      <c r="IE117"/>
      <c r="IF117"/>
    </row>
    <row r="118" spans="1:240" ht="15" customHeight="1" x14ac:dyDescent="0.4">
      <c r="A118" s="142" t="s">
        <v>165</v>
      </c>
      <c r="B118" s="184"/>
      <c r="C118" s="184"/>
      <c r="D118" s="184"/>
      <c r="E118" s="184"/>
      <c r="F118" s="184"/>
      <c r="G118" s="123"/>
      <c r="H118" s="60"/>
      <c r="I118" s="60"/>
      <c r="J118" s="234"/>
      <c r="K118" s="193"/>
      <c r="L118" s="193"/>
      <c r="M118" s="193"/>
      <c r="N118" s="193"/>
      <c r="O118" s="193"/>
      <c r="P118" s="193"/>
      <c r="Q118" s="177"/>
      <c r="R118" s="177"/>
      <c r="S118" s="177"/>
      <c r="T118" s="177"/>
      <c r="U118" s="177"/>
      <c r="V118" s="177"/>
      <c r="W118" s="177"/>
      <c r="X118" s="184">
        <f t="shared" si="39"/>
        <v>0</v>
      </c>
      <c r="Y118" s="211"/>
      <c r="HV118"/>
      <c r="HW118"/>
      <c r="HX118"/>
      <c r="HY118"/>
      <c r="HZ118"/>
      <c r="IA118"/>
      <c r="IB118"/>
      <c r="IC118"/>
      <c r="ID118"/>
      <c r="IE118"/>
      <c r="IF118"/>
    </row>
    <row r="119" spans="1:240" ht="15" customHeight="1" x14ac:dyDescent="0.4">
      <c r="A119" s="150" t="s">
        <v>148</v>
      </c>
      <c r="B119" s="184">
        <v>0</v>
      </c>
      <c r="C119" s="184">
        <v>0</v>
      </c>
      <c r="D119" s="184">
        <v>0</v>
      </c>
      <c r="E119" s="184">
        <v>27136.2</v>
      </c>
      <c r="F119" s="184">
        <f>53357.39-F121-F122</f>
        <v>41387.200000000004</v>
      </c>
      <c r="G119" s="123"/>
      <c r="H119" s="60">
        <v>35000</v>
      </c>
      <c r="I119" s="60">
        <f>1650+(3745*11)</f>
        <v>42845</v>
      </c>
      <c r="J119" s="234">
        <f t="shared" si="40"/>
        <v>0.22414285714285714</v>
      </c>
      <c r="K119" s="193">
        <v>5395</v>
      </c>
      <c r="L119" s="193">
        <v>3745</v>
      </c>
      <c r="M119" s="193"/>
      <c r="N119" s="193">
        <v>7490</v>
      </c>
      <c r="O119" s="193">
        <v>3745</v>
      </c>
      <c r="P119" s="193">
        <v>3745</v>
      </c>
      <c r="Q119" s="177"/>
      <c r="R119" s="177"/>
      <c r="S119" s="177">
        <v>11235</v>
      </c>
      <c r="T119" s="177"/>
      <c r="U119" s="177">
        <v>3745</v>
      </c>
      <c r="V119" s="177">
        <v>3745</v>
      </c>
      <c r="W119" s="177"/>
      <c r="X119" s="184">
        <f t="shared" si="39"/>
        <v>42845</v>
      </c>
      <c r="Y119" s="211">
        <f t="shared" si="36"/>
        <v>1</v>
      </c>
      <c r="Z119" s="99"/>
      <c r="HV119"/>
      <c r="HW119"/>
      <c r="HX119"/>
      <c r="HY119"/>
      <c r="HZ119"/>
      <c r="IA119"/>
      <c r="IB119"/>
      <c r="IC119"/>
      <c r="ID119"/>
      <c r="IE119"/>
      <c r="IF119"/>
    </row>
    <row r="120" spans="1:240" ht="15" customHeight="1" x14ac:dyDescent="0.4">
      <c r="A120" s="150" t="s">
        <v>181</v>
      </c>
      <c r="B120" s="184"/>
      <c r="C120" s="184"/>
      <c r="D120" s="184"/>
      <c r="E120" s="184"/>
      <c r="F120" s="184"/>
      <c r="G120" s="123"/>
      <c r="H120" s="53">
        <v>3000</v>
      </c>
      <c r="I120" s="53">
        <f>3000-77</f>
        <v>2923</v>
      </c>
      <c r="J120" s="234">
        <f t="shared" si="40"/>
        <v>-2.5666666666666667E-2</v>
      </c>
      <c r="K120" s="196"/>
      <c r="L120" s="193"/>
      <c r="M120" s="193"/>
      <c r="N120" s="193">
        <v>1057.5</v>
      </c>
      <c r="O120" s="193">
        <v>720</v>
      </c>
      <c r="P120" s="193">
        <v>675</v>
      </c>
      <c r="Q120" s="177"/>
      <c r="R120" s="177">
        <v>225</v>
      </c>
      <c r="S120" s="177">
        <v>230</v>
      </c>
      <c r="T120" s="177">
        <v>15</v>
      </c>
      <c r="U120" s="177"/>
      <c r="V120" s="177"/>
      <c r="W120" s="177"/>
      <c r="X120" s="184">
        <f t="shared" si="39"/>
        <v>2922.5</v>
      </c>
      <c r="Y120" s="211">
        <f t="shared" si="36"/>
        <v>0.99982894286691759</v>
      </c>
      <c r="HV120"/>
      <c r="HW120"/>
      <c r="HX120"/>
      <c r="HY120"/>
      <c r="HZ120"/>
      <c r="IA120"/>
      <c r="IB120"/>
      <c r="IC120"/>
      <c r="ID120"/>
      <c r="IE120"/>
      <c r="IF120"/>
    </row>
    <row r="121" spans="1:240" ht="15" customHeight="1" x14ac:dyDescent="0.4">
      <c r="A121" s="142" t="s">
        <v>166</v>
      </c>
      <c r="B121" s="184"/>
      <c r="C121" s="184"/>
      <c r="D121" s="184"/>
      <c r="E121" s="184"/>
      <c r="F121" s="184">
        <v>6979.99</v>
      </c>
      <c r="G121" s="123"/>
      <c r="H121" s="53">
        <v>7000</v>
      </c>
      <c r="I121" s="53">
        <v>7000</v>
      </c>
      <c r="J121" s="234">
        <f t="shared" si="40"/>
        <v>0</v>
      </c>
      <c r="K121" s="197"/>
      <c r="L121" s="193"/>
      <c r="M121" s="193">
        <v>478.51</v>
      </c>
      <c r="N121" s="193"/>
      <c r="O121" s="193">
        <v>1650.07</v>
      </c>
      <c r="P121" s="193">
        <v>527.23</v>
      </c>
      <c r="Q121" s="177"/>
      <c r="R121" s="177">
        <v>1574.37</v>
      </c>
      <c r="S121" s="177">
        <v>481.22</v>
      </c>
      <c r="T121" s="177">
        <v>379.26</v>
      </c>
      <c r="U121" s="177">
        <v>717.08</v>
      </c>
      <c r="V121" s="177">
        <v>857.26</v>
      </c>
      <c r="W121" s="177"/>
      <c r="X121" s="184">
        <f t="shared" si="39"/>
        <v>6665.0000000000009</v>
      </c>
      <c r="Y121" s="211">
        <f t="shared" si="36"/>
        <v>0.95214285714285729</v>
      </c>
      <c r="HV121"/>
      <c r="HW121"/>
      <c r="HX121"/>
      <c r="HY121"/>
      <c r="HZ121"/>
      <c r="IA121"/>
      <c r="IB121"/>
      <c r="IC121"/>
      <c r="ID121"/>
      <c r="IE121"/>
      <c r="IF121"/>
    </row>
    <row r="122" spans="1:240" ht="15" customHeight="1" x14ac:dyDescent="0.4">
      <c r="A122" s="142" t="s">
        <v>167</v>
      </c>
      <c r="B122" s="184"/>
      <c r="C122" s="184"/>
      <c r="D122" s="184"/>
      <c r="E122" s="184"/>
      <c r="F122" s="184">
        <v>4990.2</v>
      </c>
      <c r="G122" s="123"/>
      <c r="H122" s="60">
        <v>2000</v>
      </c>
      <c r="I122" s="60">
        <v>4000</v>
      </c>
      <c r="J122" s="234">
        <f t="shared" si="40"/>
        <v>1</v>
      </c>
      <c r="K122" s="193"/>
      <c r="L122" s="197"/>
      <c r="M122" s="193">
        <v>252.86</v>
      </c>
      <c r="N122" s="193"/>
      <c r="O122" s="193"/>
      <c r="P122" s="193">
        <v>1520.42</v>
      </c>
      <c r="Q122" s="177">
        <v>252</v>
      </c>
      <c r="R122" s="177">
        <v>1106.1400000000001</v>
      </c>
      <c r="S122" s="177"/>
      <c r="T122" s="177">
        <v>645</v>
      </c>
      <c r="U122" s="177"/>
      <c r="V122" s="177"/>
      <c r="W122" s="177"/>
      <c r="X122" s="184">
        <f t="shared" si="39"/>
        <v>3776.42</v>
      </c>
      <c r="Y122" s="244">
        <f t="shared" si="36"/>
        <v>0.94410499999999997</v>
      </c>
      <c r="HV122"/>
      <c r="HW122"/>
      <c r="HX122"/>
      <c r="HY122"/>
      <c r="HZ122"/>
      <c r="IA122"/>
      <c r="IB122"/>
      <c r="IC122"/>
      <c r="ID122"/>
      <c r="IE122"/>
      <c r="IF122"/>
    </row>
    <row r="123" spans="1:240" ht="15" customHeight="1" x14ac:dyDescent="0.4">
      <c r="A123" s="142" t="s">
        <v>63</v>
      </c>
      <c r="B123" s="184">
        <v>17103.689999999999</v>
      </c>
      <c r="C123" s="184">
        <v>13497.9</v>
      </c>
      <c r="D123" s="184">
        <v>42221.03</v>
      </c>
      <c r="E123" s="184">
        <v>32282.050000000003</v>
      </c>
      <c r="F123" s="184">
        <v>20392.36</v>
      </c>
      <c r="G123" s="123"/>
      <c r="H123" s="53">
        <v>22000</v>
      </c>
      <c r="I123" s="53">
        <f>35000-2400</f>
        <v>32600</v>
      </c>
      <c r="J123" s="234">
        <f t="shared" si="40"/>
        <v>0.48181818181818181</v>
      </c>
      <c r="K123" s="193"/>
      <c r="L123" s="193">
        <v>1431.28</v>
      </c>
      <c r="M123" s="193">
        <v>2125</v>
      </c>
      <c r="N123" s="193">
        <v>4959.49</v>
      </c>
      <c r="O123" s="193">
        <v>4833.38</v>
      </c>
      <c r="P123" s="193">
        <v>2008.62</v>
      </c>
      <c r="Q123" s="177">
        <v>3545.9</v>
      </c>
      <c r="R123" s="177">
        <v>3587.59</v>
      </c>
      <c r="S123" s="177">
        <v>4256.1099999999997</v>
      </c>
      <c r="T123" s="177">
        <v>4395.99</v>
      </c>
      <c r="U123" s="177">
        <v>802</v>
      </c>
      <c r="V123" s="177">
        <v>-160.71</v>
      </c>
      <c r="W123" s="177"/>
      <c r="X123" s="184">
        <f t="shared" si="39"/>
        <v>31784.65</v>
      </c>
      <c r="Y123" s="244">
        <f t="shared" si="36"/>
        <v>0.97498926380368101</v>
      </c>
      <c r="Z123" s="99"/>
      <c r="HV123"/>
      <c r="HW123"/>
      <c r="HX123"/>
      <c r="HY123"/>
      <c r="HZ123"/>
      <c r="IA123"/>
      <c r="IB123"/>
      <c r="IC123"/>
      <c r="ID123"/>
      <c r="IE123"/>
      <c r="IF123"/>
    </row>
    <row r="124" spans="1:240" ht="15" customHeight="1" x14ac:dyDescent="0.4">
      <c r="A124" s="142" t="s">
        <v>168</v>
      </c>
      <c r="B124" s="181">
        <f t="shared" ref="B124:F124" si="41">SUM(B105:B123)</f>
        <v>167382.80000000002</v>
      </c>
      <c r="C124" s="181">
        <f t="shared" si="41"/>
        <v>163947.59999999998</v>
      </c>
      <c r="D124" s="181">
        <f t="shared" si="41"/>
        <v>205241.75000000003</v>
      </c>
      <c r="E124" s="181">
        <f t="shared" si="41"/>
        <v>386843.94</v>
      </c>
      <c r="F124" s="181">
        <f t="shared" si="41"/>
        <v>416956.67</v>
      </c>
      <c r="G124" s="123"/>
      <c r="H124" s="97">
        <f>SUM(H105:H123)</f>
        <v>340687.72</v>
      </c>
      <c r="I124" s="97">
        <f>SUM(I105:I123)</f>
        <v>379042.22</v>
      </c>
      <c r="J124" s="234">
        <f t="shared" si="40"/>
        <v>0.11257963744628073</v>
      </c>
      <c r="K124" s="181">
        <f t="shared" ref="K124:X124" si="42">SUM(K105:K123)</f>
        <v>47397.08</v>
      </c>
      <c r="L124" s="181">
        <f t="shared" si="42"/>
        <v>53382.979999999996</v>
      </c>
      <c r="M124" s="181">
        <f t="shared" si="42"/>
        <v>21048.84</v>
      </c>
      <c r="N124" s="181">
        <f t="shared" si="42"/>
        <v>41457.32</v>
      </c>
      <c r="O124" s="239">
        <f t="shared" si="42"/>
        <v>44346.639999999992</v>
      </c>
      <c r="P124" s="239">
        <f t="shared" si="42"/>
        <v>20369.490000000002</v>
      </c>
      <c r="Q124" s="181">
        <f t="shared" si="42"/>
        <v>22496.660000000003</v>
      </c>
      <c r="R124" s="181">
        <f t="shared" si="42"/>
        <v>37959.19</v>
      </c>
      <c r="S124" s="181">
        <f t="shared" si="42"/>
        <v>27709.56</v>
      </c>
      <c r="T124" s="181">
        <f t="shared" si="42"/>
        <v>17684.25</v>
      </c>
      <c r="U124" s="181">
        <f t="shared" si="42"/>
        <v>18654.97</v>
      </c>
      <c r="V124" s="181">
        <f t="shared" si="42"/>
        <v>20479.21</v>
      </c>
      <c r="W124" s="181">
        <f t="shared" si="42"/>
        <v>0</v>
      </c>
      <c r="X124" s="182">
        <f t="shared" si="42"/>
        <v>372986.18999999994</v>
      </c>
      <c r="Y124" s="211">
        <f t="shared" si="36"/>
        <v>0.98402280885754623</v>
      </c>
      <c r="HV124"/>
      <c r="HW124"/>
      <c r="HX124"/>
      <c r="HY124"/>
      <c r="HZ124"/>
      <c r="IA124"/>
      <c r="IB124"/>
      <c r="IC124"/>
      <c r="ID124"/>
      <c r="IE124"/>
      <c r="IF124"/>
    </row>
    <row r="125" spans="1:240" ht="15" customHeight="1" x14ac:dyDescent="0.4">
      <c r="A125" s="151" t="s">
        <v>57</v>
      </c>
      <c r="B125" s="184"/>
      <c r="C125" s="184"/>
      <c r="D125" s="184"/>
      <c r="E125" s="184"/>
      <c r="F125" s="184"/>
      <c r="G125" s="126"/>
      <c r="H125" s="53"/>
      <c r="I125" s="53"/>
      <c r="J125" s="234"/>
      <c r="K125" s="193"/>
      <c r="L125" s="193"/>
      <c r="M125" s="193"/>
      <c r="N125" s="193"/>
      <c r="O125" s="193"/>
      <c r="P125" s="193"/>
      <c r="Q125" s="177"/>
      <c r="R125" s="177"/>
      <c r="S125" s="177"/>
      <c r="T125" s="177"/>
      <c r="U125" s="177"/>
      <c r="V125" s="177"/>
      <c r="W125" s="177"/>
      <c r="X125" s="184"/>
      <c r="Y125" s="211"/>
      <c r="HV125"/>
      <c r="HW125"/>
      <c r="HX125"/>
      <c r="HY125"/>
      <c r="HZ125"/>
      <c r="IA125"/>
      <c r="IB125"/>
      <c r="IC125"/>
      <c r="ID125"/>
      <c r="IE125"/>
      <c r="IF125"/>
    </row>
    <row r="126" spans="1:240" ht="15" customHeight="1" x14ac:dyDescent="0.4">
      <c r="A126" s="142" t="s">
        <v>144</v>
      </c>
      <c r="B126" s="184">
        <v>56176.79</v>
      </c>
      <c r="C126" s="184">
        <v>62461.760000000002</v>
      </c>
      <c r="D126" s="184">
        <v>48861.440000000002</v>
      </c>
      <c r="E126" s="184">
        <v>64534.799999999996</v>
      </c>
      <c r="F126" s="184">
        <v>75106.64</v>
      </c>
      <c r="G126" s="123"/>
      <c r="H126" s="53">
        <v>56650</v>
      </c>
      <c r="I126" s="53">
        <f>56650+10000+2600</f>
        <v>69250</v>
      </c>
      <c r="J126" s="234">
        <f t="shared" si="40"/>
        <v>0.22241835834068843</v>
      </c>
      <c r="K126" s="193"/>
      <c r="L126" s="193">
        <f>2141.95+2000-2000</f>
        <v>2141.9499999999998</v>
      </c>
      <c r="M126" s="193">
        <v>3369.4</v>
      </c>
      <c r="N126" s="193">
        <v>780</v>
      </c>
      <c r="O126" s="193">
        <f>14351.49+1900</f>
        <v>16251.49</v>
      </c>
      <c r="P126" s="193">
        <v>3158.22</v>
      </c>
      <c r="Q126" s="177">
        <f>7804.53+2000-2000</f>
        <v>7804.5299999999988</v>
      </c>
      <c r="R126" s="177">
        <v>12579.72</v>
      </c>
      <c r="S126" s="177">
        <v>1883.85</v>
      </c>
      <c r="T126" s="177">
        <v>3016.06</v>
      </c>
      <c r="U126" s="177">
        <v>4278.76</v>
      </c>
      <c r="V126" s="177">
        <f>3649.4+10785</f>
        <v>14434.4</v>
      </c>
      <c r="W126" s="177"/>
      <c r="X126" s="184">
        <f t="shared" ref="X126:X135" si="43">SUM(K126:W126)</f>
        <v>69698.37999999999</v>
      </c>
      <c r="Y126" s="211">
        <f t="shared" si="36"/>
        <v>1.0064748014440432</v>
      </c>
      <c r="Z126" s="99"/>
      <c r="HV126"/>
      <c r="HW126"/>
      <c r="HX126"/>
      <c r="HY126"/>
      <c r="HZ126"/>
      <c r="IA126"/>
      <c r="IB126"/>
      <c r="IC126"/>
      <c r="ID126"/>
      <c r="IE126"/>
      <c r="IF126"/>
    </row>
    <row r="127" spans="1:240" ht="15" customHeight="1" x14ac:dyDescent="0.4">
      <c r="A127" s="142" t="s">
        <v>58</v>
      </c>
      <c r="B127" s="184"/>
      <c r="C127" s="184">
        <v>14783.5</v>
      </c>
      <c r="D127" s="184">
        <v>59589</v>
      </c>
      <c r="E127" s="184">
        <v>71424.330000000016</v>
      </c>
      <c r="F127" s="184">
        <v>24059.4</v>
      </c>
      <c r="G127" s="123"/>
      <c r="H127" s="53"/>
      <c r="I127" s="53"/>
      <c r="J127" s="234"/>
      <c r="K127" s="193"/>
      <c r="L127" s="193"/>
      <c r="M127" s="193"/>
      <c r="N127" s="193"/>
      <c r="O127" s="193"/>
      <c r="P127" s="193"/>
      <c r="Q127" s="177"/>
      <c r="R127" s="177"/>
      <c r="S127" s="177"/>
      <c r="T127" s="177"/>
      <c r="U127" s="177"/>
      <c r="V127" s="177"/>
      <c r="W127" s="177"/>
      <c r="X127" s="184">
        <f t="shared" si="43"/>
        <v>0</v>
      </c>
      <c r="Y127" s="211"/>
      <c r="HV127"/>
      <c r="HW127"/>
      <c r="HX127"/>
      <c r="HY127"/>
      <c r="HZ127"/>
      <c r="IA127"/>
      <c r="IB127"/>
      <c r="IC127"/>
      <c r="ID127"/>
      <c r="IE127"/>
      <c r="IF127"/>
    </row>
    <row r="128" spans="1:240" ht="15" customHeight="1" x14ac:dyDescent="0.4">
      <c r="A128" s="142" t="s">
        <v>157</v>
      </c>
      <c r="B128" s="184">
        <v>1681.46</v>
      </c>
      <c r="C128" s="184">
        <v>2282.88</v>
      </c>
      <c r="D128" s="184">
        <v>297.8</v>
      </c>
      <c r="E128" s="184">
        <v>45</v>
      </c>
      <c r="F128" s="184">
        <v>4177.0599999999995</v>
      </c>
      <c r="G128" s="123"/>
      <c r="H128" s="53">
        <v>5000</v>
      </c>
      <c r="I128" s="53">
        <f>5000-2000+500</f>
        <v>3500</v>
      </c>
      <c r="J128" s="234">
        <f t="shared" si="40"/>
        <v>-0.3</v>
      </c>
      <c r="K128" s="193">
        <f>150</f>
        <v>150</v>
      </c>
      <c r="L128" s="193">
        <v>640</v>
      </c>
      <c r="M128" s="193">
        <f>75</f>
        <v>75</v>
      </c>
      <c r="N128" s="193"/>
      <c r="O128" s="193">
        <v>189.72</v>
      </c>
      <c r="P128" s="193"/>
      <c r="Q128" s="177"/>
      <c r="R128" s="177"/>
      <c r="S128" s="177"/>
      <c r="T128" s="177">
        <f>150+1200+45.93</f>
        <v>1395.93</v>
      </c>
      <c r="U128" s="177">
        <f>75</f>
        <v>75</v>
      </c>
      <c r="V128" s="177">
        <f>966.52+100</f>
        <v>1066.52</v>
      </c>
      <c r="W128" s="177"/>
      <c r="X128" s="184">
        <f t="shared" si="43"/>
        <v>3592.17</v>
      </c>
      <c r="Y128" s="211">
        <f t="shared" si="36"/>
        <v>1.0263342857142856</v>
      </c>
      <c r="Z128" s="99"/>
      <c r="HV128"/>
      <c r="HW128"/>
      <c r="HX128"/>
      <c r="HY128"/>
      <c r="HZ128"/>
      <c r="IA128"/>
      <c r="IB128"/>
      <c r="IC128"/>
      <c r="ID128"/>
      <c r="IE128"/>
      <c r="IF128"/>
    </row>
    <row r="129" spans="1:250" ht="15" customHeight="1" x14ac:dyDescent="0.4">
      <c r="A129" s="153" t="s">
        <v>146</v>
      </c>
      <c r="B129" s="184">
        <v>3817.54</v>
      </c>
      <c r="C129" s="184">
        <v>2965.11</v>
      </c>
      <c r="D129" s="184">
        <v>2636.6000000000004</v>
      </c>
      <c r="E129" s="184">
        <v>11936.839999999998</v>
      </c>
      <c r="F129" s="184">
        <f>13957.02-F130</f>
        <v>9673.86</v>
      </c>
      <c r="G129" s="123"/>
      <c r="H129" s="53">
        <f>1500+3500</f>
        <v>5000</v>
      </c>
      <c r="I129" s="53">
        <f>5000+5000</f>
        <v>10000</v>
      </c>
      <c r="J129" s="234">
        <f t="shared" si="40"/>
        <v>1</v>
      </c>
      <c r="K129" s="193"/>
      <c r="L129" s="193"/>
      <c r="M129" s="193">
        <v>13.45</v>
      </c>
      <c r="N129" s="193">
        <v>1285</v>
      </c>
      <c r="O129" s="193"/>
      <c r="P129" s="193"/>
      <c r="Q129" s="177"/>
      <c r="R129" s="177">
        <v>164.77</v>
      </c>
      <c r="S129" s="177"/>
      <c r="T129" s="177">
        <v>4794.6499999999996</v>
      </c>
      <c r="U129" s="177">
        <v>637.20000000000005</v>
      </c>
      <c r="V129" s="177">
        <v>3337.06</v>
      </c>
      <c r="W129" s="177"/>
      <c r="X129" s="184">
        <f t="shared" si="43"/>
        <v>10232.129999999999</v>
      </c>
      <c r="Y129" s="211">
        <f t="shared" si="36"/>
        <v>1.0232129999999999</v>
      </c>
      <c r="HV129"/>
      <c r="HW129"/>
      <c r="HX129"/>
      <c r="HY129"/>
      <c r="HZ129"/>
      <c r="IA129"/>
      <c r="IB129"/>
      <c r="IC129"/>
      <c r="ID129"/>
      <c r="IE129"/>
      <c r="IF129"/>
    </row>
    <row r="130" spans="1:250" ht="15" customHeight="1" x14ac:dyDescent="0.4">
      <c r="A130" s="142" t="s">
        <v>145</v>
      </c>
      <c r="B130" s="184"/>
      <c r="C130" s="184"/>
      <c r="D130" s="184"/>
      <c r="E130" s="184"/>
      <c r="F130" s="184">
        <v>4283.16</v>
      </c>
      <c r="G130" s="123"/>
      <c r="H130" s="53">
        <v>1000</v>
      </c>
      <c r="I130" s="53">
        <f>1091</f>
        <v>1091</v>
      </c>
      <c r="J130" s="234">
        <f t="shared" si="40"/>
        <v>9.0999999999999998E-2</v>
      </c>
      <c r="K130" s="193"/>
      <c r="L130" s="193"/>
      <c r="M130" s="193"/>
      <c r="N130" s="193"/>
      <c r="O130" s="193"/>
      <c r="P130" s="193"/>
      <c r="Q130" s="177"/>
      <c r="R130" s="177"/>
      <c r="S130" s="177"/>
      <c r="T130" s="177"/>
      <c r="U130" s="177">
        <v>654.28</v>
      </c>
      <c r="V130" s="177">
        <v>608.94000000000005</v>
      </c>
      <c r="W130" s="177"/>
      <c r="X130" s="184">
        <f t="shared" si="43"/>
        <v>1263.22</v>
      </c>
      <c r="Y130" s="211">
        <f t="shared" si="36"/>
        <v>1.1578551787351055</v>
      </c>
      <c r="Z130" s="99"/>
      <c r="HV130"/>
      <c r="HW130"/>
      <c r="HX130"/>
      <c r="HY130"/>
      <c r="HZ130"/>
      <c r="IA130"/>
      <c r="IB130"/>
      <c r="IC130"/>
      <c r="ID130"/>
      <c r="IE130"/>
      <c r="IF130"/>
    </row>
    <row r="131" spans="1:250" ht="15" customHeight="1" x14ac:dyDescent="0.4">
      <c r="A131" s="142" t="s">
        <v>115</v>
      </c>
      <c r="B131" s="184"/>
      <c r="C131" s="184"/>
      <c r="D131" s="184"/>
      <c r="E131" s="184"/>
      <c r="F131" s="184">
        <v>28532.25</v>
      </c>
      <c r="G131" s="123"/>
      <c r="H131" s="53">
        <v>20000</v>
      </c>
      <c r="I131" s="53">
        <f>35000-665</f>
        <v>34335</v>
      </c>
      <c r="J131" s="234">
        <f t="shared" si="40"/>
        <v>0.71675</v>
      </c>
      <c r="K131" s="193"/>
      <c r="L131" s="193">
        <v>1575</v>
      </c>
      <c r="M131" s="193">
        <v>5287.5</v>
      </c>
      <c r="N131" s="193">
        <v>3701.25</v>
      </c>
      <c r="O131" s="193">
        <v>1867.5</v>
      </c>
      <c r="P131" s="193">
        <v>3060</v>
      </c>
      <c r="Q131" s="178">
        <v>1710</v>
      </c>
      <c r="R131" s="178">
        <v>3802.5</v>
      </c>
      <c r="S131" s="178">
        <v>5445</v>
      </c>
      <c r="T131" s="178">
        <v>4601.25</v>
      </c>
      <c r="U131" s="178">
        <v>3285</v>
      </c>
      <c r="V131" s="178"/>
      <c r="W131" s="178"/>
      <c r="X131" s="184">
        <f t="shared" si="43"/>
        <v>34335</v>
      </c>
      <c r="Y131" s="211">
        <f t="shared" si="36"/>
        <v>1</v>
      </c>
      <c r="Z131" s="99"/>
      <c r="HV131"/>
      <c r="HW131"/>
      <c r="HX131"/>
      <c r="HY131"/>
      <c r="HZ131"/>
      <c r="IA131"/>
      <c r="IB131"/>
      <c r="IC131"/>
      <c r="ID131"/>
      <c r="IE131"/>
      <c r="IF131"/>
    </row>
    <row r="132" spans="1:250" ht="15" customHeight="1" x14ac:dyDescent="0.4">
      <c r="A132" s="142" t="s">
        <v>147</v>
      </c>
      <c r="B132" s="184"/>
      <c r="C132" s="184"/>
      <c r="D132" s="184"/>
      <c r="E132" s="184"/>
      <c r="F132" s="184">
        <f>15825.88-F79</f>
        <v>9445.4</v>
      </c>
      <c r="G132" s="123"/>
      <c r="H132" s="53">
        <v>10000</v>
      </c>
      <c r="I132" s="53">
        <f>3000-1000</f>
        <v>2000</v>
      </c>
      <c r="J132" s="234">
        <f t="shared" si="40"/>
        <v>-0.8</v>
      </c>
      <c r="K132" s="193"/>
      <c r="L132" s="193">
        <v>887.19</v>
      </c>
      <c r="M132" s="193">
        <v>562.46</v>
      </c>
      <c r="N132" s="193">
        <v>302.49</v>
      </c>
      <c r="O132" s="193">
        <v>10.74</v>
      </c>
      <c r="P132" s="193">
        <v>159.93</v>
      </c>
      <c r="Q132" s="178">
        <v>10.74</v>
      </c>
      <c r="R132" s="178"/>
      <c r="S132" s="178"/>
      <c r="T132" s="178"/>
      <c r="U132" s="178"/>
      <c r="V132" s="178"/>
      <c r="W132" s="178"/>
      <c r="X132" s="184">
        <f t="shared" si="43"/>
        <v>1933.5500000000002</v>
      </c>
      <c r="Y132" s="211">
        <f t="shared" si="36"/>
        <v>0.96677500000000005</v>
      </c>
      <c r="Z132" s="99"/>
      <c r="HV132"/>
      <c r="HW132"/>
      <c r="HX132"/>
      <c r="HY132"/>
      <c r="HZ132"/>
      <c r="IA132"/>
      <c r="IB132"/>
      <c r="IC132"/>
      <c r="ID132"/>
      <c r="IE132"/>
      <c r="IF132"/>
    </row>
    <row r="133" spans="1:250" ht="15" customHeight="1" x14ac:dyDescent="0.4">
      <c r="A133" s="142" t="s">
        <v>64</v>
      </c>
      <c r="B133" s="184"/>
      <c r="C133" s="184">
        <v>17479.900000000001</v>
      </c>
      <c r="D133" s="184">
        <v>29483.64</v>
      </c>
      <c r="E133" s="184">
        <v>27095.229999999996</v>
      </c>
      <c r="F133" s="184">
        <v>24051.550000000003</v>
      </c>
      <c r="G133" s="123"/>
      <c r="H133" s="53">
        <v>25000</v>
      </c>
      <c r="I133" s="53">
        <f>25000-10000</f>
        <v>15000</v>
      </c>
      <c r="J133" s="234">
        <f t="shared" si="40"/>
        <v>-0.4</v>
      </c>
      <c r="K133" s="193">
        <v>208.81</v>
      </c>
      <c r="L133" s="193">
        <v>2062.1</v>
      </c>
      <c r="M133" s="193">
        <v>2918.45</v>
      </c>
      <c r="N133" s="193">
        <v>1937.79</v>
      </c>
      <c r="O133" s="193">
        <v>695.47</v>
      </c>
      <c r="P133" s="193">
        <v>1325.54</v>
      </c>
      <c r="Q133" s="178">
        <v>1804.95</v>
      </c>
      <c r="R133" s="178">
        <v>893.19</v>
      </c>
      <c r="S133" s="178">
        <v>500.75</v>
      </c>
      <c r="T133" s="178">
        <v>397.31</v>
      </c>
      <c r="U133" s="178">
        <v>757.57</v>
      </c>
      <c r="V133" s="178">
        <v>492.43</v>
      </c>
      <c r="W133" s="178"/>
      <c r="X133" s="184">
        <f t="shared" si="43"/>
        <v>13994.36</v>
      </c>
      <c r="Y133" s="211">
        <f t="shared" si="36"/>
        <v>0.93295733333333342</v>
      </c>
      <c r="Z133" s="99"/>
      <c r="HV133"/>
      <c r="HW133"/>
      <c r="HX133"/>
      <c r="HY133"/>
      <c r="HZ133"/>
      <c r="IA133"/>
      <c r="IB133"/>
      <c r="IC133"/>
      <c r="ID133"/>
      <c r="IE133"/>
      <c r="IF133"/>
    </row>
    <row r="134" spans="1:250" ht="15" customHeight="1" x14ac:dyDescent="0.4">
      <c r="A134" s="142" t="s">
        <v>66</v>
      </c>
      <c r="B134" s="184">
        <v>11748.17</v>
      </c>
      <c r="C134" s="184">
        <v>5000</v>
      </c>
      <c r="D134" s="184">
        <v>9000</v>
      </c>
      <c r="E134" s="184">
        <v>9000</v>
      </c>
      <c r="F134" s="184">
        <v>9000</v>
      </c>
      <c r="G134" s="123"/>
      <c r="H134" s="53">
        <v>9000</v>
      </c>
      <c r="I134" s="53">
        <v>9000</v>
      </c>
      <c r="J134" s="234">
        <f t="shared" si="40"/>
        <v>0</v>
      </c>
      <c r="K134" s="193"/>
      <c r="L134" s="193"/>
      <c r="M134" s="193"/>
      <c r="N134" s="193"/>
      <c r="O134" s="193"/>
      <c r="P134" s="193"/>
      <c r="Q134" s="178"/>
      <c r="R134" s="178"/>
      <c r="S134" s="178"/>
      <c r="T134" s="178">
        <v>9000</v>
      </c>
      <c r="U134" s="178"/>
      <c r="V134" s="178"/>
      <c r="W134" s="178"/>
      <c r="X134" s="184">
        <f t="shared" si="43"/>
        <v>9000</v>
      </c>
      <c r="Y134" s="211">
        <f t="shared" si="36"/>
        <v>1</v>
      </c>
      <c r="HU134"/>
      <c r="HV134"/>
      <c r="HW134"/>
      <c r="HX134"/>
      <c r="HY134"/>
      <c r="HZ134"/>
      <c r="IA134"/>
      <c r="IB134"/>
      <c r="IC134"/>
      <c r="ID134"/>
      <c r="IE134"/>
      <c r="IF134"/>
    </row>
    <row r="135" spans="1:250" ht="15" customHeight="1" x14ac:dyDescent="0.4">
      <c r="A135" s="142" t="s">
        <v>67</v>
      </c>
      <c r="B135" s="184">
        <v>100</v>
      </c>
      <c r="C135" s="184"/>
      <c r="D135" s="184">
        <v>100</v>
      </c>
      <c r="E135" s="184"/>
      <c r="F135" s="184">
        <v>100</v>
      </c>
      <c r="G135" s="123"/>
      <c r="H135" s="60">
        <v>100</v>
      </c>
      <c r="I135" s="60">
        <v>100</v>
      </c>
      <c r="J135" s="234">
        <f t="shared" si="40"/>
        <v>0</v>
      </c>
      <c r="K135" s="177"/>
      <c r="L135" s="177"/>
      <c r="M135" s="177"/>
      <c r="N135" s="177"/>
      <c r="O135" s="193"/>
      <c r="P135" s="193"/>
      <c r="Q135" s="178"/>
      <c r="R135" s="178"/>
      <c r="S135" s="178"/>
      <c r="T135" s="178"/>
      <c r="U135" s="178"/>
      <c r="V135" s="178">
        <v>100</v>
      </c>
      <c r="W135" s="178"/>
      <c r="X135" s="184">
        <f t="shared" si="43"/>
        <v>100</v>
      </c>
      <c r="Y135" s="211">
        <f t="shared" si="36"/>
        <v>1</v>
      </c>
      <c r="HU135"/>
      <c r="HV135"/>
      <c r="HW135"/>
      <c r="HX135"/>
      <c r="HY135"/>
      <c r="HZ135"/>
      <c r="IA135"/>
      <c r="IB135"/>
      <c r="IC135"/>
      <c r="ID135"/>
      <c r="IE135"/>
      <c r="IF135"/>
    </row>
    <row r="136" spans="1:250" ht="15" customHeight="1" thickBot="1" x14ac:dyDescent="0.45">
      <c r="A136" s="154" t="s">
        <v>178</v>
      </c>
      <c r="B136" s="228">
        <f t="shared" ref="B136:F136" si="44">SUM(B126:B135)</f>
        <v>73523.960000000006</v>
      </c>
      <c r="C136" s="228">
        <f t="shared" si="44"/>
        <v>104973.15000000002</v>
      </c>
      <c r="D136" s="228">
        <f t="shared" si="44"/>
        <v>149968.48000000001</v>
      </c>
      <c r="E136" s="228">
        <f t="shared" si="44"/>
        <v>184036.2</v>
      </c>
      <c r="F136" s="228">
        <f t="shared" si="44"/>
        <v>188429.32</v>
      </c>
      <c r="G136" s="129"/>
      <c r="H136" s="168">
        <f>SUM(H126:H135)</f>
        <v>131750</v>
      </c>
      <c r="I136" s="168">
        <f t="shared" ref="I136:W136" si="45">SUM(I126:I135)</f>
        <v>144276</v>
      </c>
      <c r="J136" s="234">
        <f t="shared" si="40"/>
        <v>9.507400379506642E-2</v>
      </c>
      <c r="K136" s="228">
        <f t="shared" si="45"/>
        <v>358.81</v>
      </c>
      <c r="L136" s="228">
        <f t="shared" si="45"/>
        <v>7306.24</v>
      </c>
      <c r="M136" s="228">
        <f t="shared" si="45"/>
        <v>12226.260000000002</v>
      </c>
      <c r="N136" s="228">
        <f t="shared" si="45"/>
        <v>8006.53</v>
      </c>
      <c r="O136" s="240">
        <f t="shared" si="45"/>
        <v>19014.920000000002</v>
      </c>
      <c r="P136" s="240">
        <f t="shared" si="45"/>
        <v>7703.69</v>
      </c>
      <c r="Q136" s="228">
        <f t="shared" si="45"/>
        <v>11330.22</v>
      </c>
      <c r="R136" s="228">
        <f t="shared" si="45"/>
        <v>17440.179999999997</v>
      </c>
      <c r="S136" s="228">
        <f t="shared" si="45"/>
        <v>7829.6</v>
      </c>
      <c r="T136" s="228">
        <f t="shared" si="45"/>
        <v>23205.199999999997</v>
      </c>
      <c r="U136" s="228">
        <f t="shared" si="45"/>
        <v>9687.81</v>
      </c>
      <c r="V136" s="228">
        <f t="shared" si="45"/>
        <v>20039.349999999999</v>
      </c>
      <c r="W136" s="228">
        <f t="shared" si="45"/>
        <v>0</v>
      </c>
      <c r="X136" s="202">
        <f>SUM(X126:X135)</f>
        <v>144148.81</v>
      </c>
      <c r="Y136" s="211">
        <f t="shared" si="36"/>
        <v>0.99911842579500398</v>
      </c>
      <c r="HU136"/>
      <c r="HV136"/>
      <c r="HW136"/>
      <c r="HX136"/>
      <c r="HY136"/>
      <c r="HZ136"/>
      <c r="IA136"/>
      <c r="IB136"/>
      <c r="IC136"/>
      <c r="ID136"/>
      <c r="IE136"/>
      <c r="IF136"/>
    </row>
    <row r="137" spans="1:250" ht="15" customHeight="1" thickBot="1" x14ac:dyDescent="0.45">
      <c r="A137" s="155" t="s">
        <v>68</v>
      </c>
      <c r="B137" s="187">
        <f t="shared" ref="B137:F137" si="46">B42+B43+B44+B58+B70+B102+B124+B74+B136+B45+B46</f>
        <v>5229047.93</v>
      </c>
      <c r="C137" s="187">
        <f t="shared" si="46"/>
        <v>5315417.5879999995</v>
      </c>
      <c r="D137" s="187">
        <f t="shared" si="46"/>
        <v>5891418.3400000008</v>
      </c>
      <c r="E137" s="187">
        <f t="shared" si="46"/>
        <v>6445907.7100000009</v>
      </c>
      <c r="F137" s="187">
        <f t="shared" si="46"/>
        <v>6549753.2000000002</v>
      </c>
      <c r="G137" s="167"/>
      <c r="H137" s="161">
        <f>H42+H43+H44+H58+H70+H102+H124+H74+H136+H45+H46</f>
        <v>6368747.1147999996</v>
      </c>
      <c r="I137" s="161">
        <f>I42+I43+I44+I58+I70+I102+I124+I74+I136+I45+I46+I47</f>
        <v>6430996.8815390002</v>
      </c>
      <c r="J137" s="235">
        <f t="shared" si="40"/>
        <v>9.7742563202645582E-3</v>
      </c>
      <c r="K137" s="187">
        <f t="shared" ref="K137:W137" si="47">K42+K43+K44+K58+K70+K102+K124+K74+K136+K45+K46</f>
        <v>417165.51</v>
      </c>
      <c r="L137" s="187">
        <f t="shared" si="47"/>
        <v>610976.82999999996</v>
      </c>
      <c r="M137" s="187">
        <f t="shared" si="47"/>
        <v>543240.69999999995</v>
      </c>
      <c r="N137" s="187">
        <f t="shared" si="47"/>
        <v>551936.91</v>
      </c>
      <c r="O137" s="187">
        <f t="shared" si="47"/>
        <v>552240.8600000001</v>
      </c>
      <c r="P137" s="187">
        <f t="shared" si="47"/>
        <v>505640.55000000005</v>
      </c>
      <c r="Q137" s="187">
        <f t="shared" si="47"/>
        <v>546823.21000000008</v>
      </c>
      <c r="R137" s="187">
        <f t="shared" si="47"/>
        <v>567825.24</v>
      </c>
      <c r="S137" s="187">
        <f t="shared" si="47"/>
        <v>506119.5</v>
      </c>
      <c r="T137" s="187">
        <f t="shared" si="47"/>
        <v>519295.85000000009</v>
      </c>
      <c r="U137" s="187">
        <f t="shared" si="47"/>
        <v>505519.43</v>
      </c>
      <c r="V137" s="187">
        <f t="shared" si="47"/>
        <v>542560.31999999995</v>
      </c>
      <c r="W137" s="187">
        <f t="shared" si="47"/>
        <v>0</v>
      </c>
      <c r="X137" s="188">
        <f>X42+X43+X44+X58+X70+X102+X124+X74+X136+X45+X46</f>
        <v>6369344.9100000001</v>
      </c>
      <c r="Y137" s="211">
        <f t="shared" si="36"/>
        <v>0.99041331030404012</v>
      </c>
      <c r="HU137"/>
      <c r="HV137"/>
      <c r="HW137"/>
      <c r="HX137"/>
      <c r="HY137"/>
      <c r="HZ137"/>
      <c r="IA137"/>
      <c r="IB137"/>
      <c r="IC137"/>
      <c r="ID137"/>
      <c r="IE137"/>
      <c r="IF137"/>
    </row>
    <row r="138" spans="1:250" ht="15" thickBot="1" x14ac:dyDescent="0.45">
      <c r="A138" s="155" t="s">
        <v>69</v>
      </c>
      <c r="B138" s="198">
        <f t="shared" ref="B138:F138" si="48">B40-B137</f>
        <v>137017.16999999993</v>
      </c>
      <c r="C138" s="198">
        <f t="shared" si="48"/>
        <v>182339.30200000107</v>
      </c>
      <c r="D138" s="198">
        <f t="shared" si="48"/>
        <v>158117.68999999762</v>
      </c>
      <c r="E138" s="198">
        <f t="shared" si="48"/>
        <v>155244.76999999862</v>
      </c>
      <c r="F138" s="198">
        <f t="shared" si="48"/>
        <v>64835.489999999292</v>
      </c>
      <c r="G138" s="63"/>
      <c r="H138" s="169">
        <f>H40-H137</f>
        <v>69133.975200000219</v>
      </c>
      <c r="I138" s="169">
        <f>I40-I137</f>
        <v>89402.665161000565</v>
      </c>
      <c r="J138" s="169"/>
      <c r="K138" s="198">
        <f t="shared" ref="K138:X138" si="49">K40-K137</f>
        <v>-138897.55000000005</v>
      </c>
      <c r="L138" s="187">
        <f t="shared" si="49"/>
        <v>-196227.20999999996</v>
      </c>
      <c r="M138" s="187">
        <f t="shared" si="49"/>
        <v>167602.88</v>
      </c>
      <c r="N138" s="187">
        <f t="shared" si="49"/>
        <v>80383.850000000093</v>
      </c>
      <c r="O138" s="187">
        <f t="shared" si="49"/>
        <v>18247.499999999884</v>
      </c>
      <c r="P138" s="187">
        <f t="shared" si="49"/>
        <v>144219.15000000002</v>
      </c>
      <c r="Q138" s="187">
        <f t="shared" si="49"/>
        <v>-151922.08000000007</v>
      </c>
      <c r="R138" s="187">
        <f t="shared" si="49"/>
        <v>127130</v>
      </c>
      <c r="S138" s="187">
        <f t="shared" si="49"/>
        <v>255862.63</v>
      </c>
      <c r="T138" s="187">
        <f t="shared" si="49"/>
        <v>-61251.960000000079</v>
      </c>
      <c r="U138" s="187">
        <f t="shared" si="49"/>
        <v>-1911.9400000000023</v>
      </c>
      <c r="V138" s="187">
        <f t="shared" si="49"/>
        <v>-223647.71999999997</v>
      </c>
      <c r="W138" s="187">
        <f t="shared" si="49"/>
        <v>15054.81</v>
      </c>
      <c r="X138" s="188">
        <f t="shared" si="49"/>
        <v>34642.359999998473</v>
      </c>
      <c r="Y138" s="119"/>
      <c r="Z138" s="225"/>
      <c r="HU138"/>
      <c r="HV138"/>
      <c r="HW138"/>
      <c r="HX138"/>
      <c r="HY138"/>
      <c r="HZ138"/>
      <c r="IA138"/>
      <c r="IB138"/>
      <c r="IC138"/>
      <c r="ID138"/>
      <c r="IE138"/>
      <c r="IF138"/>
    </row>
    <row r="139" spans="1:250" ht="15" hidden="1" customHeight="1" thickBot="1" x14ac:dyDescent="0.45">
      <c r="A139" s="156" t="s">
        <v>70</v>
      </c>
      <c r="B139" s="192"/>
      <c r="C139" s="192"/>
      <c r="D139" s="192"/>
      <c r="E139" s="192"/>
      <c r="F139" s="192"/>
      <c r="G139" s="64"/>
      <c r="H139" s="65"/>
      <c r="I139" s="65"/>
      <c r="J139" s="65"/>
      <c r="K139" s="191"/>
      <c r="L139" s="191"/>
      <c r="M139" s="191"/>
      <c r="N139" s="191"/>
      <c r="O139" s="191"/>
      <c r="P139" s="191"/>
      <c r="Q139" s="191"/>
      <c r="R139" s="191"/>
      <c r="S139" s="191"/>
      <c r="T139" s="191"/>
      <c r="U139" s="191"/>
      <c r="V139" s="191"/>
      <c r="W139" s="191"/>
      <c r="X139" s="192"/>
      <c r="Y139" s="119"/>
      <c r="HU139"/>
      <c r="HV139"/>
      <c r="HW139"/>
      <c r="HX139"/>
      <c r="HY139"/>
      <c r="HZ139"/>
      <c r="IA139"/>
      <c r="IB139"/>
      <c r="IC139"/>
      <c r="ID139"/>
      <c r="IE139"/>
      <c r="IF139"/>
    </row>
    <row r="140" spans="1:250" ht="15.75" customHeight="1" thickBot="1" x14ac:dyDescent="0.45">
      <c r="A140" s="170" t="s">
        <v>71</v>
      </c>
      <c r="B140" s="199">
        <v>1435545.87</v>
      </c>
      <c r="C140" s="199">
        <f>B141</f>
        <v>1572563.04</v>
      </c>
      <c r="D140" s="199">
        <f>C141</f>
        <v>1754902.3420000011</v>
      </c>
      <c r="E140" s="199">
        <f t="shared" ref="E140:F140" si="50">D141</f>
        <v>1913020.0319999987</v>
      </c>
      <c r="F140" s="199">
        <f t="shared" si="50"/>
        <v>2068264.8019999973</v>
      </c>
      <c r="G140" s="171"/>
      <c r="H140" s="172">
        <v>2133100.0499999998</v>
      </c>
      <c r="I140" s="172">
        <v>2133100.0499999998</v>
      </c>
      <c r="J140" s="172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99">
        <v>2133100.0499999998</v>
      </c>
      <c r="Y140" s="119"/>
      <c r="HU140"/>
      <c r="HV140"/>
      <c r="HW140"/>
      <c r="HX140"/>
      <c r="HY140"/>
      <c r="HZ140"/>
      <c r="IA140"/>
      <c r="IB140"/>
      <c r="IC140"/>
      <c r="ID140"/>
      <c r="IE140"/>
      <c r="IF140"/>
    </row>
    <row r="141" spans="1:250" ht="15" customHeight="1" thickBot="1" x14ac:dyDescent="0.45">
      <c r="A141" s="173" t="s">
        <v>72</v>
      </c>
      <c r="B141" s="201">
        <f>B138+B140</f>
        <v>1572563.04</v>
      </c>
      <c r="C141" s="201">
        <f t="shared" ref="C141:F141" si="51">C138+C140</f>
        <v>1754902.3420000011</v>
      </c>
      <c r="D141" s="201">
        <f t="shared" si="51"/>
        <v>1913020.0319999987</v>
      </c>
      <c r="E141" s="201">
        <f t="shared" si="51"/>
        <v>2068264.8019999973</v>
      </c>
      <c r="F141" s="201">
        <f t="shared" si="51"/>
        <v>2133100.2919999966</v>
      </c>
      <c r="G141" s="174"/>
      <c r="H141" s="175">
        <f>H138-H139+H140</f>
        <v>2202234.0252</v>
      </c>
      <c r="I141" s="175">
        <f>I138-I139+I140</f>
        <v>2222502.7151610004</v>
      </c>
      <c r="J141" s="175"/>
      <c r="K141" s="200">
        <f>K138+H140</f>
        <v>1994202.4999999998</v>
      </c>
      <c r="L141" s="200">
        <f>L138+K141</f>
        <v>1797975.2899999998</v>
      </c>
      <c r="M141" s="200">
        <f t="shared" ref="M141:W141" si="52">M138+L141</f>
        <v>1965578.17</v>
      </c>
      <c r="N141" s="200">
        <f t="shared" si="52"/>
        <v>2045962.02</v>
      </c>
      <c r="O141" s="200">
        <f t="shared" si="52"/>
        <v>2064209.52</v>
      </c>
      <c r="P141" s="200">
        <f t="shared" si="52"/>
        <v>2208428.67</v>
      </c>
      <c r="Q141" s="200">
        <f t="shared" si="52"/>
        <v>2056506.5899999999</v>
      </c>
      <c r="R141" s="200">
        <f t="shared" si="52"/>
        <v>2183636.59</v>
      </c>
      <c r="S141" s="200">
        <f t="shared" si="52"/>
        <v>2439499.2199999997</v>
      </c>
      <c r="T141" s="200">
        <f t="shared" si="52"/>
        <v>2378247.2599999998</v>
      </c>
      <c r="U141" s="200">
        <f t="shared" si="52"/>
        <v>2376335.3199999998</v>
      </c>
      <c r="V141" s="200">
        <f t="shared" si="52"/>
        <v>2152687.5999999996</v>
      </c>
      <c r="W141" s="200">
        <f t="shared" si="52"/>
        <v>2167742.4099999997</v>
      </c>
      <c r="X141" s="201">
        <f>X138+X140</f>
        <v>2167742.4099999983</v>
      </c>
      <c r="Y141" s="229"/>
      <c r="Z141" s="231"/>
      <c r="HU141"/>
      <c r="HV141"/>
      <c r="HW141"/>
      <c r="HX141"/>
      <c r="HY141"/>
      <c r="HZ141"/>
      <c r="IA141"/>
      <c r="IB141"/>
      <c r="IC141"/>
      <c r="ID141"/>
      <c r="IE141"/>
      <c r="IF141"/>
    </row>
    <row r="142" spans="1:250" ht="15.75" customHeight="1" x14ac:dyDescent="0.4">
      <c r="A142" s="44"/>
      <c r="B142" s="119"/>
      <c r="C142" s="119"/>
      <c r="D142" s="119"/>
      <c r="E142" s="119"/>
      <c r="F142" s="119"/>
      <c r="G142" s="44"/>
      <c r="H142" s="8"/>
      <c r="I142" s="8"/>
      <c r="J142" s="8"/>
      <c r="K142" s="219"/>
      <c r="L142" s="7"/>
      <c r="M142" s="9"/>
      <c r="N142" s="3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IC142"/>
      <c r="ID142"/>
      <c r="IE142"/>
      <c r="IF142"/>
    </row>
    <row r="143" spans="1:250" ht="16" customHeight="1" thickBot="1" x14ac:dyDescent="0.5">
      <c r="A143" s="4" t="s">
        <v>73</v>
      </c>
      <c r="G143" s="4"/>
      <c r="H143" s="5"/>
      <c r="I143" s="4" t="s">
        <v>74</v>
      </c>
      <c r="K143" s="220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Y143" s="12"/>
      <c r="IG143" s="1"/>
      <c r="IH143" s="1"/>
      <c r="II143" s="1"/>
      <c r="IJ143" s="1"/>
      <c r="IK143" s="1"/>
      <c r="IL143" s="1"/>
      <c r="IM143" s="1"/>
      <c r="IN143" s="1"/>
      <c r="IO143" s="1"/>
      <c r="IP143" s="1"/>
    </row>
    <row r="144" spans="1:250" ht="15.75" customHeight="1" x14ac:dyDescent="0.4">
      <c r="A144" s="13" t="s">
        <v>68</v>
      </c>
      <c r="B144" s="16"/>
      <c r="C144" s="16"/>
      <c r="D144" s="16"/>
      <c r="E144" s="16"/>
      <c r="F144" s="16"/>
      <c r="G144" s="103"/>
      <c r="H144" s="14">
        <f>I137</f>
        <v>6430996.8815390002</v>
      </c>
      <c r="I144" s="15" t="s">
        <v>75</v>
      </c>
      <c r="J144" s="16"/>
      <c r="K144" s="221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6"/>
      <c r="X144" s="16"/>
      <c r="Y144" s="14">
        <f>X138</f>
        <v>34642.359999998473</v>
      </c>
      <c r="IG144" s="1"/>
      <c r="IH144" s="1"/>
      <c r="II144" s="1"/>
      <c r="IJ144" s="1"/>
      <c r="IK144" s="1"/>
      <c r="IL144" s="1"/>
      <c r="IM144" s="1"/>
      <c r="IN144" s="1"/>
      <c r="IO144" s="1"/>
      <c r="IP144" s="1"/>
    </row>
    <row r="145" spans="1:250" ht="15.75" customHeight="1" x14ac:dyDescent="0.4">
      <c r="A145" s="17" t="s">
        <v>76</v>
      </c>
      <c r="B145" s="20"/>
      <c r="C145" s="20"/>
      <c r="D145" s="20"/>
      <c r="E145" s="20"/>
      <c r="F145" s="20"/>
      <c r="G145" s="104"/>
      <c r="H145" s="18">
        <v>450000</v>
      </c>
      <c r="I145" s="19" t="s">
        <v>77</v>
      </c>
      <c r="J145" s="20"/>
      <c r="K145" s="221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20"/>
      <c r="X145" s="20"/>
      <c r="Y145" s="18">
        <v>100</v>
      </c>
      <c r="IG145" s="1"/>
      <c r="IH145" s="1"/>
      <c r="II145" s="1"/>
      <c r="IJ145" s="1"/>
      <c r="IK145" s="1"/>
      <c r="IL145" s="1"/>
      <c r="IM145" s="1"/>
      <c r="IN145" s="1"/>
      <c r="IO145" s="1"/>
      <c r="IP145" s="1"/>
    </row>
    <row r="146" spans="1:250" ht="15.75" customHeight="1" x14ac:dyDescent="0.4">
      <c r="A146" s="17" t="s">
        <v>78</v>
      </c>
      <c r="B146" s="20"/>
      <c r="C146" s="20"/>
      <c r="D146" s="20"/>
      <c r="E146" s="20"/>
      <c r="F146" s="20"/>
      <c r="G146" s="104"/>
      <c r="H146" s="18">
        <f>-I46</f>
        <v>-7450</v>
      </c>
      <c r="I146" s="19" t="s">
        <v>79</v>
      </c>
      <c r="J146" s="20"/>
      <c r="K146" s="221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20"/>
      <c r="X146" s="20"/>
      <c r="Y146" s="282">
        <f>-2669.36-150-1052.27</f>
        <v>-3871.63</v>
      </c>
      <c r="IG146" s="1"/>
      <c r="IH146" s="1"/>
      <c r="II146" s="1"/>
      <c r="IJ146" s="1"/>
      <c r="IK146" s="1"/>
      <c r="IL146" s="1"/>
      <c r="IM146" s="1"/>
      <c r="IN146" s="1"/>
      <c r="IO146" s="1"/>
      <c r="IP146" s="1"/>
    </row>
    <row r="147" spans="1:250" ht="15.75" customHeight="1" x14ac:dyDescent="0.4">
      <c r="A147" s="17" t="s">
        <v>80</v>
      </c>
      <c r="B147" s="20"/>
      <c r="C147" s="20"/>
      <c r="D147" s="20"/>
      <c r="E147" s="20"/>
      <c r="F147" s="20"/>
      <c r="G147" s="104"/>
      <c r="H147" s="18">
        <f>-I42</f>
        <v>-240000</v>
      </c>
      <c r="I147" s="19" t="s">
        <v>81</v>
      </c>
      <c r="J147" s="20"/>
      <c r="K147" s="221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20"/>
      <c r="X147" s="20"/>
      <c r="Y147" s="283">
        <v>63.98</v>
      </c>
      <c r="Z147" s="225"/>
      <c r="IG147" s="1"/>
      <c r="IH147" s="1"/>
      <c r="II147" s="1"/>
      <c r="IJ147" s="1"/>
      <c r="IK147" s="1"/>
      <c r="IL147" s="1"/>
      <c r="IM147" s="1"/>
      <c r="IN147" s="1"/>
      <c r="IO147" s="1"/>
      <c r="IP147" s="1"/>
    </row>
    <row r="148" spans="1:250" ht="16" customHeight="1" thickBot="1" x14ac:dyDescent="0.45">
      <c r="A148" s="21" t="s">
        <v>82</v>
      </c>
      <c r="B148" s="20"/>
      <c r="C148" s="20"/>
      <c r="D148" s="20"/>
      <c r="E148" s="20"/>
      <c r="F148" s="20"/>
      <c r="G148" s="105"/>
      <c r="H148" s="22">
        <f>-I45</f>
        <v>-78650</v>
      </c>
      <c r="I148" s="19" t="s">
        <v>83</v>
      </c>
      <c r="J148" s="20"/>
      <c r="K148" s="221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20"/>
      <c r="X148" s="20"/>
      <c r="Y148" s="18">
        <f>I45</f>
        <v>78650</v>
      </c>
      <c r="IG148" s="1"/>
      <c r="IH148" s="1"/>
      <c r="II148" s="1"/>
      <c r="IJ148" s="1"/>
      <c r="IK148" s="1"/>
      <c r="IL148" s="1"/>
      <c r="IM148" s="1"/>
      <c r="IN148" s="1"/>
      <c r="IO148" s="1"/>
      <c r="IP148" s="1"/>
    </row>
    <row r="149" spans="1:250" ht="16" customHeight="1" thickBot="1" x14ac:dyDescent="0.45">
      <c r="A149" s="23" t="s">
        <v>84</v>
      </c>
      <c r="B149" s="20"/>
      <c r="C149" s="20"/>
      <c r="D149" s="20"/>
      <c r="E149" s="20"/>
      <c r="F149" s="20"/>
      <c r="G149" s="106"/>
      <c r="H149" s="24">
        <f>SUM(H144:H148)</f>
        <v>6554896.8815390002</v>
      </c>
      <c r="I149" s="19" t="s">
        <v>85</v>
      </c>
      <c r="J149" s="20"/>
      <c r="K149" s="222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20"/>
      <c r="X149" s="20"/>
      <c r="Y149" s="18">
        <f>X46+45068.57</f>
        <v>52518.57</v>
      </c>
      <c r="IG149" s="1"/>
      <c r="IH149" s="1"/>
      <c r="II149" s="1"/>
      <c r="IJ149" s="1"/>
      <c r="IK149" s="1"/>
      <c r="IL149" s="1"/>
      <c r="IM149" s="1"/>
      <c r="IN149" s="1"/>
      <c r="IO149" s="1"/>
      <c r="IP149" s="1"/>
    </row>
    <row r="150" spans="1:250" s="1" customFormat="1" ht="15.75" customHeight="1" x14ac:dyDescent="0.4">
      <c r="A150" s="13" t="s">
        <v>86</v>
      </c>
      <c r="B150" s="20"/>
      <c r="C150" s="20"/>
      <c r="D150" s="20"/>
      <c r="E150" s="20"/>
      <c r="F150" s="20"/>
      <c r="G150" s="103"/>
      <c r="H150" s="25">
        <v>365</v>
      </c>
      <c r="I150" s="19" t="s">
        <v>87</v>
      </c>
      <c r="J150" s="20"/>
      <c r="K150" s="221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20"/>
      <c r="X150" s="20"/>
      <c r="Y150" s="18">
        <f>I42</f>
        <v>240000</v>
      </c>
    </row>
    <row r="151" spans="1:250" s="1" customFormat="1" ht="15.75" customHeight="1" x14ac:dyDescent="0.4">
      <c r="A151" s="26" t="s">
        <v>88</v>
      </c>
      <c r="B151" s="20"/>
      <c r="C151" s="20"/>
      <c r="D151" s="20"/>
      <c r="E151" s="20"/>
      <c r="F151" s="20"/>
      <c r="G151" s="107"/>
      <c r="H151" s="27">
        <f>H149/H150</f>
        <v>17958.621593257536</v>
      </c>
      <c r="I151" s="19" t="s">
        <v>89</v>
      </c>
      <c r="J151" s="20"/>
      <c r="K151" s="222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20"/>
      <c r="X151" s="20"/>
      <c r="Y151" s="18">
        <v>-11869</v>
      </c>
    </row>
    <row r="152" spans="1:250" s="1" customFormat="1" ht="16" customHeight="1" thickBot="1" x14ac:dyDescent="0.45">
      <c r="A152" s="21" t="s">
        <v>90</v>
      </c>
      <c r="B152" s="29"/>
      <c r="C152" s="29"/>
      <c r="D152" s="29"/>
      <c r="E152" s="29"/>
      <c r="F152" s="29"/>
      <c r="G152" s="105"/>
      <c r="H152" s="22">
        <v>45</v>
      </c>
      <c r="I152" s="28" t="s">
        <v>91</v>
      </c>
      <c r="J152" s="29"/>
      <c r="K152" s="221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29"/>
      <c r="X152" s="29"/>
      <c r="Y152" s="22">
        <v>0</v>
      </c>
    </row>
    <row r="153" spans="1:250" s="1" customFormat="1" ht="33.75" customHeight="1" thickBot="1" x14ac:dyDescent="0.45">
      <c r="A153" s="50" t="s">
        <v>92</v>
      </c>
      <c r="B153" s="31"/>
      <c r="C153" s="31"/>
      <c r="D153" s="31"/>
      <c r="E153" s="31"/>
      <c r="F153" s="31"/>
      <c r="G153" s="108"/>
      <c r="H153" s="24">
        <f>H151*H152</f>
        <v>808137.97169658914</v>
      </c>
      <c r="I153" s="30" t="s">
        <v>93</v>
      </c>
      <c r="J153" s="31"/>
      <c r="K153" s="222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31"/>
      <c r="X153" s="31"/>
      <c r="Y153" s="24">
        <f>SUM(Y144:Y152)</f>
        <v>390234.27999999851</v>
      </c>
    </row>
    <row r="154" spans="1:250" s="1" customFormat="1" ht="15.75" customHeight="1" x14ac:dyDescent="0.4">
      <c r="A154" s="32"/>
      <c r="B154" s="16"/>
      <c r="C154" s="16"/>
      <c r="D154" s="16"/>
      <c r="E154" s="16"/>
      <c r="F154" s="16"/>
      <c r="G154" s="109"/>
      <c r="H154" s="33"/>
      <c r="I154" s="15" t="s">
        <v>94</v>
      </c>
      <c r="J154" s="16"/>
      <c r="K154" s="222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6"/>
      <c r="X154" s="16"/>
      <c r="Y154" s="14">
        <f>I43</f>
        <v>520248</v>
      </c>
    </row>
    <row r="155" spans="1:250" s="1" customFormat="1" ht="16" customHeight="1" thickBot="1" x14ac:dyDescent="0.45">
      <c r="A155" s="34"/>
      <c r="B155" s="110"/>
      <c r="C155" s="110"/>
      <c r="D155" s="110"/>
      <c r="E155" s="110"/>
      <c r="F155" s="110"/>
      <c r="G155" s="110"/>
      <c r="H155" s="22"/>
      <c r="I155" s="19" t="s">
        <v>95</v>
      </c>
      <c r="J155" s="20"/>
      <c r="K155" s="221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20"/>
      <c r="X155" s="20"/>
      <c r="Y155" s="18">
        <f>-Y151</f>
        <v>11869</v>
      </c>
    </row>
    <row r="156" spans="1:250" s="1" customFormat="1" ht="17.5" customHeight="1" thickBot="1" x14ac:dyDescent="0.45">
      <c r="A156" s="13" t="s">
        <v>72</v>
      </c>
      <c r="B156" s="103"/>
      <c r="C156" s="103"/>
      <c r="D156" s="103"/>
      <c r="E156" s="103"/>
      <c r="F156" s="103"/>
      <c r="G156" s="103"/>
      <c r="H156" s="14">
        <f>I141</f>
        <v>2222502.7151610004</v>
      </c>
      <c r="I156" s="28" t="s">
        <v>96</v>
      </c>
      <c r="J156" s="29"/>
      <c r="K156" s="221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29"/>
      <c r="X156" s="29"/>
      <c r="Y156" s="22">
        <f>-Y152</f>
        <v>0</v>
      </c>
    </row>
    <row r="157" spans="1:250" s="1" customFormat="1" ht="16" customHeight="1" thickBot="1" x14ac:dyDescent="0.45">
      <c r="A157" s="17" t="s">
        <v>97</v>
      </c>
      <c r="B157" s="104"/>
      <c r="C157" s="104"/>
      <c r="D157" s="104"/>
      <c r="E157" s="104"/>
      <c r="F157" s="104"/>
      <c r="G157" s="104"/>
      <c r="H157" s="18">
        <f>1190+Y145</f>
        <v>1290</v>
      </c>
      <c r="I157" s="30" t="s">
        <v>98</v>
      </c>
      <c r="J157" s="31"/>
      <c r="K157" s="221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31"/>
      <c r="X157" s="31"/>
      <c r="Y157" s="24">
        <f>SUM(Y153:Y156)</f>
        <v>922351.27999999851</v>
      </c>
    </row>
    <row r="158" spans="1:250" s="1" customFormat="1" ht="16" customHeight="1" thickBot="1" x14ac:dyDescent="0.45">
      <c r="A158" s="21" t="s">
        <v>99</v>
      </c>
      <c r="B158" s="105"/>
      <c r="C158" s="105"/>
      <c r="D158" s="105"/>
      <c r="E158" s="105"/>
      <c r="F158" s="105"/>
      <c r="G158" s="105"/>
      <c r="H158" s="22">
        <f>126226+Y146</f>
        <v>122354.37</v>
      </c>
      <c r="I158" s="35" t="s">
        <v>100</v>
      </c>
      <c r="J158" s="36"/>
      <c r="K158" s="221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36"/>
      <c r="X158" s="36"/>
      <c r="Y158" s="25">
        <v>762425</v>
      </c>
    </row>
    <row r="159" spans="1:250" s="1" customFormat="1" ht="16" customHeight="1" thickBot="1" x14ac:dyDescent="0.45">
      <c r="A159" s="23" t="s">
        <v>101</v>
      </c>
      <c r="B159" s="38"/>
      <c r="C159" s="38"/>
      <c r="D159" s="38"/>
      <c r="E159" s="38"/>
      <c r="F159" s="38"/>
      <c r="G159" s="106"/>
      <c r="H159" s="24">
        <f>SUM(H156:H158)</f>
        <v>2346147.0851610005</v>
      </c>
      <c r="I159" s="37" t="s">
        <v>102</v>
      </c>
      <c r="J159" s="38"/>
      <c r="K159" s="222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38"/>
      <c r="X159" s="38"/>
      <c r="Y159" s="39">
        <f>Y157/Y158</f>
        <v>1.2097600157392512</v>
      </c>
    </row>
    <row r="160" spans="1:250" s="1" customFormat="1" ht="21.75" customHeight="1" x14ac:dyDescent="0.4">
      <c r="A160" s="40" t="s">
        <v>103</v>
      </c>
      <c r="G160" s="111"/>
      <c r="H160" s="25">
        <f>H151</f>
        <v>17958.621593257536</v>
      </c>
      <c r="I160" s="48" t="s">
        <v>104</v>
      </c>
      <c r="K160" s="221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Y160" s="49">
        <f>-(Y158*1.2-Y157)</f>
        <v>7441.2799999985145</v>
      </c>
    </row>
    <row r="161" spans="1:240" s="1" customFormat="1" ht="16" customHeight="1" thickBot="1" x14ac:dyDescent="0.45">
      <c r="A161" s="41" t="s">
        <v>105</v>
      </c>
      <c r="G161" s="112"/>
      <c r="H161" s="42">
        <f>H159/H160</f>
        <v>130.64182420558649</v>
      </c>
      <c r="I161" s="45" t="s">
        <v>106</v>
      </c>
      <c r="K161" s="222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Y161" s="47">
        <v>1.2</v>
      </c>
    </row>
    <row r="162" spans="1:240" s="1" customFormat="1" ht="19.5" customHeight="1" x14ac:dyDescent="0.4">
      <c r="A162" s="91" t="s">
        <v>107</v>
      </c>
      <c r="B162" s="9"/>
      <c r="C162" s="9"/>
      <c r="D162" s="9"/>
      <c r="E162" s="9"/>
      <c r="F162" s="9"/>
      <c r="G162" s="91"/>
      <c r="H162" s="43">
        <v>45</v>
      </c>
      <c r="I162" s="134"/>
      <c r="J162" s="9"/>
      <c r="K162" s="222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9"/>
      <c r="Y162" s="277"/>
    </row>
    <row r="163" spans="1:240" s="1" customFormat="1" ht="15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130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3"/>
      <c r="Y163" s="278"/>
    </row>
    <row r="164" spans="1:240" s="1" customFormat="1" ht="15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K164" s="130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3"/>
      <c r="Y164" s="3"/>
      <c r="Z164" s="279"/>
    </row>
    <row r="165" spans="1:240" s="1" customFormat="1" ht="15.75" customHeight="1" x14ac:dyDescent="0.4">
      <c r="A165" s="3"/>
      <c r="B165" s="131"/>
      <c r="C165" s="131"/>
      <c r="D165" s="131"/>
      <c r="E165" s="131"/>
      <c r="F165" s="131"/>
      <c r="G165" s="3"/>
      <c r="H165" s="3"/>
      <c r="I165" s="3"/>
      <c r="J165" s="130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3"/>
      <c r="Y165" s="278"/>
      <c r="Z165" s="131"/>
    </row>
    <row r="166" spans="1:240" s="1" customFormat="1" ht="15" customHeight="1" x14ac:dyDescent="0.4">
      <c r="A166" s="3"/>
      <c r="B166" s="131"/>
      <c r="C166" s="131"/>
      <c r="D166" s="131"/>
      <c r="E166" s="131"/>
      <c r="F166" s="131"/>
      <c r="G166" s="3"/>
      <c r="H166" s="3"/>
      <c r="I166" s="3"/>
      <c r="J166" s="130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3"/>
      <c r="Y166" s="3"/>
      <c r="Z166" s="131"/>
    </row>
    <row r="167" spans="1:240" s="1" customFormat="1" ht="15" customHeight="1" x14ac:dyDescent="0.4">
      <c r="A167" s="3"/>
      <c r="B167" s="122"/>
      <c r="C167" s="122"/>
      <c r="D167" s="122"/>
      <c r="E167" s="122"/>
      <c r="F167" s="122"/>
      <c r="G167" s="3"/>
      <c r="J167" s="223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Y167" s="237"/>
      <c r="Z167" s="122"/>
    </row>
    <row r="168" spans="1:240" ht="14.5" customHeight="1" x14ac:dyDescent="0.4">
      <c r="B168" s="122"/>
      <c r="C168" s="122"/>
      <c r="D168" s="122"/>
      <c r="E168" s="122"/>
      <c r="F168" s="122"/>
      <c r="J168" s="223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Y168" s="225"/>
      <c r="Z168" s="122"/>
      <c r="IF168"/>
    </row>
    <row r="169" spans="1:240" ht="14.5" customHeight="1" x14ac:dyDescent="0.4">
      <c r="J169" s="224"/>
      <c r="K169" s="1"/>
      <c r="IF169"/>
    </row>
    <row r="178" spans="27:240" ht="14.5" customHeight="1" x14ac:dyDescent="0.4"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</row>
  </sheetData>
  <conditionalFormatting sqref="A1:A7 G1:G7">
    <cfRule type="cellIs" dxfId="5" priority="7" stopIfTrue="1" operator="lessThan">
      <formula>0</formula>
    </cfRule>
  </conditionalFormatting>
  <conditionalFormatting sqref="A9:A138 G9:G138">
    <cfRule type="cellIs" dxfId="4" priority="3" stopIfTrue="1" operator="lessThan">
      <formula>0</formula>
    </cfRule>
  </conditionalFormatting>
  <conditionalFormatting sqref="A141 G141 Y159">
    <cfRule type="cellIs" dxfId="3" priority="8" stopIfTrue="1" operator="lessThan">
      <formula>0</formula>
    </cfRule>
  </conditionalFormatting>
  <printOptions horizontalCentered="1"/>
  <pageMargins left="0.25" right="0.25" top="0.25" bottom="0.25" header="0.3" footer="0.3"/>
  <pageSetup scale="57" fitToHeight="4" orientation="portrait" horizontalDpi="4294967295" verticalDpi="4294967295" r:id="rId1"/>
  <headerFooter>
    <oddHeader>&amp;C&amp;F</oddHeader>
    <oddFooter xml:space="preserve">&amp;CPage &amp;P&amp;R&amp;A       </oddFooter>
  </headerFooter>
  <ignoredErrors>
    <ignoredError sqref="X9:X12 X19:X22 X28:X45 X119:X135 X115:X117 X16:X17 X24:X26 X48:X87 X89:X111" formulaRange="1"/>
    <ignoredError sqref="X27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094A-0F77-4E15-A19C-DB4EA571996B}">
  <sheetPr>
    <pageSetUpPr fitToPage="1"/>
  </sheetPr>
  <dimension ref="A1:ID69"/>
  <sheetViews>
    <sheetView topLeftCell="B13" workbookViewId="0">
      <selection activeCell="E13" sqref="E13"/>
    </sheetView>
  </sheetViews>
  <sheetFormatPr defaultColWidth="8.84375" defaultRowHeight="14.5" customHeight="1" x14ac:dyDescent="0.4"/>
  <cols>
    <col min="1" max="1" width="42" style="1" customWidth="1"/>
    <col min="2" max="2" width="5.15234375" style="1" bestFit="1" customWidth="1"/>
    <col min="3" max="3" width="17.3828125" style="1" hidden="1" customWidth="1"/>
    <col min="4" max="5" width="17.3828125" style="1" customWidth="1"/>
    <col min="6" max="6" width="16.84375" style="1" customWidth="1"/>
    <col min="7" max="7" width="18.53515625" style="1" customWidth="1"/>
    <col min="8" max="8" width="28.3046875" style="1" bestFit="1" customWidth="1"/>
    <col min="9" max="9" width="2.84375" style="1" customWidth="1"/>
    <col min="10" max="238" width="8.84375" style="1" customWidth="1"/>
  </cols>
  <sheetData>
    <row r="1" spans="1:238" s="120" customFormat="1" ht="48.75" customHeight="1" thickBot="1" x14ac:dyDescent="0.55000000000000004">
      <c r="A1" s="121" t="s">
        <v>0</v>
      </c>
      <c r="B1" s="88"/>
      <c r="C1" s="89" t="s">
        <v>199</v>
      </c>
      <c r="D1" s="89" t="s">
        <v>214</v>
      </c>
      <c r="E1" s="89" t="s">
        <v>212</v>
      </c>
      <c r="F1" s="135" t="str">
        <f>'FY 23-24 Budget '!X1</f>
        <v>Actuals as of 6.30.24</v>
      </c>
      <c r="G1" s="135" t="s">
        <v>202</v>
      </c>
      <c r="H1" s="135" t="s">
        <v>198</v>
      </c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</row>
    <row r="2" spans="1:238" ht="15" thickBot="1" x14ac:dyDescent="0.45">
      <c r="A2" s="100" t="s">
        <v>150</v>
      </c>
      <c r="B2" s="100"/>
      <c r="C2" s="101" t="s">
        <v>179</v>
      </c>
      <c r="D2" s="101">
        <v>562</v>
      </c>
      <c r="E2" s="101">
        <f>'FY 23-24 Budget '!I2</f>
        <v>562</v>
      </c>
      <c r="F2" s="101"/>
      <c r="G2" s="3"/>
      <c r="HV2"/>
      <c r="HW2"/>
      <c r="HX2"/>
      <c r="HY2"/>
      <c r="HZ2"/>
      <c r="IA2"/>
      <c r="IB2"/>
      <c r="IC2"/>
      <c r="ID2"/>
    </row>
    <row r="3" spans="1:238" ht="15" thickBot="1" x14ac:dyDescent="0.45">
      <c r="A3" s="100" t="s">
        <v>151</v>
      </c>
      <c r="B3" s="100"/>
      <c r="C3" s="102">
        <v>6337.2</v>
      </c>
      <c r="D3" s="102">
        <v>6581.22</v>
      </c>
      <c r="E3" s="102">
        <f>'FY 23-24 Budget '!I3</f>
        <v>6581.22</v>
      </c>
      <c r="F3" s="102"/>
      <c r="G3" s="3"/>
      <c r="HV3"/>
      <c r="HW3"/>
      <c r="HX3"/>
      <c r="HY3"/>
      <c r="HZ3"/>
      <c r="IA3"/>
      <c r="IB3"/>
      <c r="IC3"/>
      <c r="ID3"/>
    </row>
    <row r="4" spans="1:238" ht="15" thickBot="1" x14ac:dyDescent="0.45">
      <c r="A4" s="100" t="s">
        <v>152</v>
      </c>
      <c r="B4" s="100"/>
      <c r="C4" s="101" t="s">
        <v>183</v>
      </c>
      <c r="D4" s="101">
        <v>29</v>
      </c>
      <c r="E4" s="101">
        <f>'FY 23-24 Budget '!I4</f>
        <v>29</v>
      </c>
      <c r="F4" s="101"/>
      <c r="G4" s="3"/>
      <c r="HV4"/>
      <c r="HW4"/>
      <c r="HX4"/>
      <c r="HY4"/>
      <c r="HZ4"/>
      <c r="IA4"/>
      <c r="IB4"/>
      <c r="IC4"/>
      <c r="ID4"/>
    </row>
    <row r="5" spans="1:238" ht="15" thickBot="1" x14ac:dyDescent="0.45">
      <c r="A5" s="100" t="s">
        <v>153</v>
      </c>
      <c r="B5" s="100"/>
      <c r="C5" s="102">
        <v>5275.72</v>
      </c>
      <c r="D5" s="102">
        <v>5249.28</v>
      </c>
      <c r="E5" s="102">
        <f>'FY 23-24 Budget '!I5</f>
        <v>5249.28</v>
      </c>
      <c r="F5" s="102"/>
      <c r="G5" s="3"/>
      <c r="HV5"/>
      <c r="HW5"/>
      <c r="HX5"/>
      <c r="HY5"/>
      <c r="HZ5"/>
      <c r="IA5"/>
      <c r="IB5"/>
      <c r="IC5"/>
      <c r="ID5"/>
    </row>
    <row r="6" spans="1:238" ht="24" customHeight="1" x14ac:dyDescent="0.4">
      <c r="A6" s="51" t="s">
        <v>1</v>
      </c>
      <c r="B6" s="51"/>
      <c r="C6" s="93"/>
      <c r="D6" s="93"/>
      <c r="E6" s="93"/>
      <c r="F6" s="203"/>
      <c r="G6" s="119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</row>
    <row r="7" spans="1:238" s="117" customFormat="1" ht="15" customHeight="1" x14ac:dyDescent="0.4">
      <c r="A7" s="52" t="s">
        <v>169</v>
      </c>
      <c r="B7" s="52"/>
      <c r="C7" s="53">
        <f>'FY 23-24 Budget '!H14</f>
        <v>3935787.68</v>
      </c>
      <c r="D7" s="53">
        <v>3911910</v>
      </c>
      <c r="E7" s="53">
        <f>'FY 23-24 Budget '!I14</f>
        <v>3911910</v>
      </c>
      <c r="F7" s="204">
        <f>'FY 23-24 Budget '!X14</f>
        <v>3911910.17</v>
      </c>
      <c r="G7" s="212">
        <f>F7/E7</f>
        <v>1.0000000434570324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</row>
    <row r="8" spans="1:238" s="117" customFormat="1" ht="15" customHeight="1" x14ac:dyDescent="0.4">
      <c r="A8" s="54" t="s">
        <v>170</v>
      </c>
      <c r="B8" s="114"/>
      <c r="C8" s="53">
        <f>'FY 23-24 Budget '!H27</f>
        <v>2282991.41</v>
      </c>
      <c r="D8" s="53">
        <v>2384407.2167000002</v>
      </c>
      <c r="E8" s="53">
        <f>'FY 23-24 Budget '!I27</f>
        <v>2384407.2167000002</v>
      </c>
      <c r="F8" s="204">
        <f>'FY 23-24 Budget '!X27</f>
        <v>2269885.4799999995</v>
      </c>
      <c r="G8" s="212">
        <f t="shared" ref="G8:G28" si="0">F8/E8</f>
        <v>0.95197056278897785</v>
      </c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</row>
    <row r="9" spans="1:238" s="117" customFormat="1" ht="15" customHeight="1" x14ac:dyDescent="0.4">
      <c r="A9" s="54" t="s">
        <v>171</v>
      </c>
      <c r="B9" s="54"/>
      <c r="C9" s="53">
        <f>'FY 23-24 Budget '!H35</f>
        <v>142102</v>
      </c>
      <c r="D9" s="53">
        <v>189857.33000000002</v>
      </c>
      <c r="E9" s="53">
        <f>'FY 23-24 Budget '!I35</f>
        <v>189857.33000000002</v>
      </c>
      <c r="F9" s="204">
        <f>'FY 23-24 Budget '!X35</f>
        <v>189857.33000000002</v>
      </c>
      <c r="G9" s="212">
        <f t="shared" si="0"/>
        <v>1</v>
      </c>
      <c r="H9" s="27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</row>
    <row r="10" spans="1:238" ht="14.6" x14ac:dyDescent="0.4">
      <c r="A10" s="54" t="s">
        <v>24</v>
      </c>
      <c r="B10" s="54"/>
      <c r="C10" s="53">
        <f>'FY 23-24 Budget '!H36</f>
        <v>25000</v>
      </c>
      <c r="D10" s="53">
        <v>15000</v>
      </c>
      <c r="E10" s="53">
        <f>'FY 23-24 Budget '!I36</f>
        <v>15000</v>
      </c>
      <c r="F10" s="204">
        <f>'FY 23-24 Budget '!X36</f>
        <v>13560.22</v>
      </c>
      <c r="G10" s="212">
        <f t="shared" si="0"/>
        <v>0.90401466666666663</v>
      </c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</row>
    <row r="11" spans="1:238" ht="15" customHeight="1" x14ac:dyDescent="0.4">
      <c r="A11" s="54" t="s">
        <v>25</v>
      </c>
      <c r="B11" s="54"/>
      <c r="C11" s="53">
        <f>'FY 23-24 Budget '!H37</f>
        <v>50000</v>
      </c>
      <c r="D11" s="53">
        <v>13000</v>
      </c>
      <c r="E11" s="53">
        <f>'FY 23-24 Budget '!I37</f>
        <v>13000</v>
      </c>
      <c r="F11" s="204">
        <f>'FY 23-24 Budget '!X37</f>
        <v>12393.43</v>
      </c>
      <c r="G11" s="212">
        <f t="shared" si="0"/>
        <v>0.95334076923076927</v>
      </c>
      <c r="H11" s="99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</row>
    <row r="12" spans="1:238" ht="15" customHeight="1" x14ac:dyDescent="0.4">
      <c r="A12" s="54" t="s">
        <v>26</v>
      </c>
      <c r="B12" s="54"/>
      <c r="C12" s="53">
        <f>'FY 23-24 Budget '!H38</f>
        <v>2000</v>
      </c>
      <c r="D12" s="53">
        <v>2225</v>
      </c>
      <c r="E12" s="53">
        <f>'FY 23-24 Budget '!I38</f>
        <v>2225</v>
      </c>
      <c r="F12" s="204">
        <f>'FY 23-24 Budget '!X38</f>
        <v>2210.6400000000003</v>
      </c>
      <c r="G12" s="212">
        <f t="shared" si="0"/>
        <v>0.99354606741573048</v>
      </c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</row>
    <row r="13" spans="1:238" ht="15" customHeight="1" thickBot="1" x14ac:dyDescent="0.45">
      <c r="A13" s="55" t="s">
        <v>27</v>
      </c>
      <c r="B13" s="55"/>
      <c r="C13" s="53">
        <f>'FY 23-24 Budget '!H39</f>
        <v>0</v>
      </c>
      <c r="D13" s="53">
        <v>1130</v>
      </c>
      <c r="E13" s="60">
        <f>'FY 23-24 Budget '!I39</f>
        <v>4000</v>
      </c>
      <c r="F13" s="204">
        <f>'FY 23-24 Budget '!X39</f>
        <v>4170</v>
      </c>
      <c r="G13" s="212">
        <f t="shared" si="0"/>
        <v>1.0425</v>
      </c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</row>
    <row r="14" spans="1:238" ht="15" customHeight="1" thickBot="1" x14ac:dyDescent="0.45">
      <c r="A14" s="56" t="s">
        <v>28</v>
      </c>
      <c r="B14" s="56"/>
      <c r="C14" s="57">
        <f>C7+C8+C9+C10+C11+C12+C13</f>
        <v>6437881.0899999999</v>
      </c>
      <c r="D14" s="57">
        <f>D7+D8+D9+D10+D11+D12+D13</f>
        <v>6517529.5467000008</v>
      </c>
      <c r="E14" s="57">
        <f>E7+E8+E9+E10+E11+E12+E13</f>
        <v>6520399.5467000008</v>
      </c>
      <c r="F14" s="57">
        <f>F7+F8+F9+F10+F11+F12+F13</f>
        <v>6403987.2699999986</v>
      </c>
      <c r="G14" s="212">
        <f t="shared" si="0"/>
        <v>0.98214645040288695</v>
      </c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</row>
    <row r="15" spans="1:238" ht="21.75" customHeight="1" x14ac:dyDescent="0.4">
      <c r="A15" s="58" t="s">
        <v>29</v>
      </c>
      <c r="B15" s="58"/>
      <c r="C15" s="59"/>
      <c r="D15" s="59"/>
      <c r="E15" s="59"/>
      <c r="F15" s="205"/>
      <c r="G15" s="212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</row>
    <row r="16" spans="1:238" ht="14.25" customHeight="1" x14ac:dyDescent="0.4">
      <c r="A16" s="52" t="s">
        <v>30</v>
      </c>
      <c r="B16" s="52"/>
      <c r="C16" s="60">
        <f>'FY 23-24 Budget '!H42</f>
        <v>240000</v>
      </c>
      <c r="D16" s="60">
        <v>240000</v>
      </c>
      <c r="E16" s="60">
        <f>'FY 23-24 Budget '!I42</f>
        <v>240000</v>
      </c>
      <c r="F16" s="206">
        <f>'FY 23-24 Budget '!X42</f>
        <v>240000</v>
      </c>
      <c r="G16" s="212">
        <f t="shared" si="0"/>
        <v>1</v>
      </c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</row>
    <row r="17" spans="1:238" ht="15" customHeight="1" x14ac:dyDescent="0.4">
      <c r="A17" s="52" t="s">
        <v>31</v>
      </c>
      <c r="B17" s="52"/>
      <c r="C17" s="60">
        <f>'FY 23-24 Budget '!H43</f>
        <v>532425</v>
      </c>
      <c r="D17" s="60">
        <v>520248</v>
      </c>
      <c r="E17" s="60">
        <f>'FY 23-24 Budget '!I43</f>
        <v>520248</v>
      </c>
      <c r="F17" s="206">
        <f>'FY 23-24 Budget '!X43</f>
        <v>520247.73999999987</v>
      </c>
      <c r="G17" s="212">
        <f t="shared" si="0"/>
        <v>0.99999950023834761</v>
      </c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</row>
    <row r="18" spans="1:238" ht="15" customHeight="1" x14ac:dyDescent="0.4">
      <c r="A18" s="52" t="s">
        <v>32</v>
      </c>
      <c r="B18" s="52"/>
      <c r="C18" s="60">
        <f>'FY 23-24 Budget '!H44</f>
        <v>8600</v>
      </c>
      <c r="D18" s="60">
        <v>8600</v>
      </c>
      <c r="E18" s="60">
        <f>'FY 23-24 Budget '!I44</f>
        <v>8600</v>
      </c>
      <c r="F18" s="206">
        <f>'FY 23-24 Budget '!X44</f>
        <v>5274.5</v>
      </c>
      <c r="G18" s="212">
        <f t="shared" si="0"/>
        <v>0.61331395348837214</v>
      </c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</row>
    <row r="19" spans="1:238" ht="15" customHeight="1" x14ac:dyDescent="0.4">
      <c r="A19" s="52" t="s">
        <v>33</v>
      </c>
      <c r="B19" s="52"/>
      <c r="C19" s="60">
        <f>'FY 23-24 Budget '!H45</f>
        <v>85800</v>
      </c>
      <c r="D19" s="60">
        <v>78650</v>
      </c>
      <c r="E19" s="60">
        <f>'FY 23-24 Budget '!I45</f>
        <v>78650</v>
      </c>
      <c r="F19" s="206">
        <f>'FY 23-24 Budget '!X45</f>
        <v>78650</v>
      </c>
      <c r="G19" s="212">
        <f t="shared" si="0"/>
        <v>1</v>
      </c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</row>
    <row r="20" spans="1:238" ht="15" customHeight="1" x14ac:dyDescent="0.4">
      <c r="A20" s="52" t="s">
        <v>34</v>
      </c>
      <c r="B20" s="52"/>
      <c r="C20" s="60">
        <f>'FY 23-24 Budget '!H46</f>
        <v>0</v>
      </c>
      <c r="D20" s="60">
        <v>7450</v>
      </c>
      <c r="E20" s="60">
        <f>'FY 23-24 Budget '!I46</f>
        <v>7450</v>
      </c>
      <c r="F20" s="206">
        <f>'FY 23-24 Budget '!X46</f>
        <v>7450</v>
      </c>
      <c r="G20" s="212">
        <f t="shared" si="0"/>
        <v>1</v>
      </c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</row>
    <row r="21" spans="1:238" ht="15" customHeight="1" x14ac:dyDescent="0.4">
      <c r="A21" s="280" t="s">
        <v>213</v>
      </c>
      <c r="B21" s="52"/>
      <c r="C21" s="60">
        <f>'FY 23-24 Budget '!H47</f>
        <v>0</v>
      </c>
      <c r="D21" s="60"/>
      <c r="E21" s="60">
        <f>'FY 23-24 Budget '!I47</f>
        <v>37422</v>
      </c>
      <c r="F21" s="206">
        <f>'FY 23-24 Budget '!X47</f>
        <v>0</v>
      </c>
      <c r="G21" s="212">
        <f t="shared" si="0"/>
        <v>0</v>
      </c>
      <c r="H21" s="99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</row>
    <row r="22" spans="1:238" ht="15" customHeight="1" x14ac:dyDescent="0.4">
      <c r="A22" s="52" t="s">
        <v>35</v>
      </c>
      <c r="B22" s="52"/>
      <c r="C22" s="60">
        <f>'FY 23-24 Budget '!H58</f>
        <v>294010.88</v>
      </c>
      <c r="D22" s="60">
        <v>310295.88</v>
      </c>
      <c r="E22" s="60">
        <f>'FY 23-24 Budget '!I58</f>
        <v>310295.88</v>
      </c>
      <c r="F22" s="206">
        <f>'FY 23-24 Budget '!X58</f>
        <v>301534.89</v>
      </c>
      <c r="G22" s="212">
        <f t="shared" si="0"/>
        <v>0.97176569021799453</v>
      </c>
      <c r="H22" s="99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</row>
    <row r="23" spans="1:238" ht="15" customHeight="1" x14ac:dyDescent="0.4">
      <c r="A23" s="52" t="s">
        <v>173</v>
      </c>
      <c r="B23" s="52"/>
      <c r="C23" s="53">
        <f>'FY 23-24 Budget '!H70</f>
        <v>4483348.5148</v>
      </c>
      <c r="D23" s="53">
        <v>4430428.7815390006</v>
      </c>
      <c r="E23" s="53">
        <f>'FY 23-24 Budget '!I70</f>
        <v>4430428.7815390006</v>
      </c>
      <c r="F23" s="204">
        <f>'FY 23-24 Budget '!X70</f>
        <v>4427964.82</v>
      </c>
      <c r="G23" s="212">
        <f t="shared" si="0"/>
        <v>0.99944385483651887</v>
      </c>
      <c r="H23" s="99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</row>
    <row r="24" spans="1:238" ht="15" customHeight="1" x14ac:dyDescent="0.4">
      <c r="A24" s="52" t="s">
        <v>174</v>
      </c>
      <c r="B24" s="98"/>
      <c r="C24" s="53">
        <f>'FY 23-24 Budget '!H74</f>
        <v>83434</v>
      </c>
      <c r="D24" s="53">
        <v>112934</v>
      </c>
      <c r="E24" s="53">
        <f>'FY 23-24 Budget '!I74</f>
        <v>112934</v>
      </c>
      <c r="F24" s="204">
        <f>'FY 23-24 Budget '!X74</f>
        <v>111416.19</v>
      </c>
      <c r="G24" s="212">
        <f t="shared" si="0"/>
        <v>0.98656020330458505</v>
      </c>
      <c r="H24" s="99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</row>
    <row r="25" spans="1:238" ht="15" customHeight="1" x14ac:dyDescent="0.4">
      <c r="A25" s="52" t="s">
        <v>175</v>
      </c>
      <c r="B25" s="52"/>
      <c r="C25" s="53">
        <f>'FY 23-24 Budget '!H102</f>
        <v>168691</v>
      </c>
      <c r="D25" s="53">
        <v>161650</v>
      </c>
      <c r="E25" s="53">
        <f>'FY 23-24 Budget '!I102</f>
        <v>161650</v>
      </c>
      <c r="F25" s="204">
        <f>'FY 23-24 Budget '!X102</f>
        <v>159671.77000000002</v>
      </c>
      <c r="G25" s="212">
        <f t="shared" si="0"/>
        <v>0.98776226415094348</v>
      </c>
      <c r="H25" s="99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</row>
    <row r="26" spans="1:238" ht="15" customHeight="1" x14ac:dyDescent="0.4">
      <c r="A26" s="52" t="s">
        <v>163</v>
      </c>
      <c r="B26" s="52"/>
      <c r="C26" s="53">
        <f>'FY 23-24 Budget '!H124</f>
        <v>340687.72</v>
      </c>
      <c r="D26" s="53">
        <v>379042.22</v>
      </c>
      <c r="E26" s="53">
        <f>'FY 23-24 Budget '!I124</f>
        <v>379042.22</v>
      </c>
      <c r="F26" s="204">
        <f>'FY 23-24 Budget '!X124</f>
        <v>372986.18999999994</v>
      </c>
      <c r="G26" s="212">
        <f t="shared" si="0"/>
        <v>0.98402280885754623</v>
      </c>
      <c r="H26" s="99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</row>
    <row r="27" spans="1:238" ht="15" customHeight="1" thickBot="1" x14ac:dyDescent="0.45">
      <c r="A27" s="61" t="s">
        <v>57</v>
      </c>
      <c r="B27" s="61"/>
      <c r="C27" s="62">
        <f>'FY 23-24 Budget '!H136</f>
        <v>131750</v>
      </c>
      <c r="D27" s="62">
        <v>144276</v>
      </c>
      <c r="E27" s="62">
        <f>'FY 23-24 Budget '!I136</f>
        <v>144276</v>
      </c>
      <c r="F27" s="207">
        <f>'FY 23-24 Budget '!X136</f>
        <v>144148.81</v>
      </c>
      <c r="G27" s="212">
        <f t="shared" si="0"/>
        <v>0.99911842579500398</v>
      </c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</row>
    <row r="28" spans="1:238" ht="15" customHeight="1" thickBot="1" x14ac:dyDescent="0.45">
      <c r="A28" s="63" t="s">
        <v>68</v>
      </c>
      <c r="B28" s="63"/>
      <c r="C28" s="57">
        <f>SUM(C16:C27)</f>
        <v>6368747.1147999996</v>
      </c>
      <c r="D28" s="57">
        <f>SUM(D16:D27)</f>
        <v>6393574.8815390002</v>
      </c>
      <c r="E28" s="57">
        <f>SUM(E16:E27)</f>
        <v>6430996.8815390002</v>
      </c>
      <c r="F28" s="57">
        <f>SUM(F16:F27)</f>
        <v>6369344.9099999992</v>
      </c>
      <c r="G28" s="212">
        <f t="shared" si="0"/>
        <v>0.99041331030404001</v>
      </c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</row>
    <row r="29" spans="1:238" ht="15" thickBot="1" x14ac:dyDescent="0.45">
      <c r="A29" s="63" t="s">
        <v>69</v>
      </c>
      <c r="B29" s="63"/>
      <c r="C29" s="57">
        <f>C14-C28</f>
        <v>69133.975200000219</v>
      </c>
      <c r="D29" s="57">
        <f>D14-D28</f>
        <v>123954.66516100056</v>
      </c>
      <c r="E29" s="57">
        <f>E14-E28</f>
        <v>89402.665161000565</v>
      </c>
      <c r="F29" s="57">
        <f>F14-F28</f>
        <v>34642.359999999404</v>
      </c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</row>
    <row r="30" spans="1:238" ht="15" hidden="1" customHeight="1" thickBot="1" x14ac:dyDescent="0.45">
      <c r="A30" s="64" t="s">
        <v>70</v>
      </c>
      <c r="B30" s="64"/>
      <c r="C30" s="65"/>
      <c r="D30" s="65"/>
      <c r="E30" s="65"/>
      <c r="F30" s="65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</row>
    <row r="31" spans="1:238" ht="15.75" customHeight="1" x14ac:dyDescent="0.4">
      <c r="A31" s="66" t="s">
        <v>71</v>
      </c>
      <c r="B31" s="66"/>
      <c r="C31" s="67">
        <f>'FY 23-24 Budget '!H140</f>
        <v>2133100.0499999998</v>
      </c>
      <c r="D31" s="67">
        <v>2133100.0499999998</v>
      </c>
      <c r="E31" s="67">
        <f>'FY 23-24 Budget '!I140</f>
        <v>2133100.0499999998</v>
      </c>
      <c r="F31" s="67">
        <f>C31</f>
        <v>2133100.0499999998</v>
      </c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</row>
    <row r="32" spans="1:238" ht="15" customHeight="1" thickBot="1" x14ac:dyDescent="0.45">
      <c r="A32" s="68" t="s">
        <v>72</v>
      </c>
      <c r="B32" s="68"/>
      <c r="C32" s="69">
        <f>C29-C30+C31</f>
        <v>2202234.0252</v>
      </c>
      <c r="D32" s="69">
        <f>D29-D30+D31</f>
        <v>2257054.7151610004</v>
      </c>
      <c r="E32" s="69">
        <f>E29-E30+E31</f>
        <v>2222502.7151610004</v>
      </c>
      <c r="F32" s="69">
        <f>F29-F30+F31</f>
        <v>2167742.4099999992</v>
      </c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</row>
    <row r="33" spans="1:238" ht="15.75" customHeight="1" x14ac:dyDescent="0.4">
      <c r="A33" s="10"/>
      <c r="B33" s="10"/>
      <c r="C33" s="11"/>
      <c r="D33" s="11"/>
      <c r="E33" s="226"/>
      <c r="F33" s="119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</row>
    <row r="34" spans="1:238" ht="16" customHeight="1" thickBot="1" x14ac:dyDescent="0.5">
      <c r="A34" s="4" t="s">
        <v>73</v>
      </c>
      <c r="B34" s="4"/>
      <c r="C34" s="4"/>
      <c r="D34" s="5"/>
      <c r="E34" s="281"/>
      <c r="F34" s="4" t="s">
        <v>74</v>
      </c>
      <c r="G34" s="6"/>
      <c r="H34" s="12"/>
      <c r="ID34"/>
    </row>
    <row r="35" spans="1:238" ht="15.75" customHeight="1" x14ac:dyDescent="0.4">
      <c r="A35" s="13" t="s">
        <v>68</v>
      </c>
      <c r="B35" s="103"/>
      <c r="C35" s="103"/>
      <c r="D35" s="14">
        <f>E28</f>
        <v>6430996.8815390002</v>
      </c>
      <c r="E35" s="3"/>
      <c r="F35" s="15" t="s">
        <v>75</v>
      </c>
      <c r="G35" s="16"/>
      <c r="H35" s="14">
        <f>F29</f>
        <v>34642.359999999404</v>
      </c>
      <c r="ID35"/>
    </row>
    <row r="36" spans="1:238" ht="15.75" customHeight="1" x14ac:dyDescent="0.4">
      <c r="A36" s="17" t="s">
        <v>76</v>
      </c>
      <c r="B36" s="104"/>
      <c r="C36" s="104"/>
      <c r="D36" s="18">
        <v>450000</v>
      </c>
      <c r="E36" s="3"/>
      <c r="F36" s="19" t="s">
        <v>77</v>
      </c>
      <c r="G36" s="20"/>
      <c r="H36" s="18">
        <v>100</v>
      </c>
      <c r="ID36"/>
    </row>
    <row r="37" spans="1:238" ht="15.75" customHeight="1" x14ac:dyDescent="0.4">
      <c r="A37" s="17" t="s">
        <v>78</v>
      </c>
      <c r="B37" s="104"/>
      <c r="C37" s="104"/>
      <c r="D37" s="18">
        <f>E20</f>
        <v>7450</v>
      </c>
      <c r="E37" s="3"/>
      <c r="F37" s="19" t="s">
        <v>79</v>
      </c>
      <c r="G37" s="20"/>
      <c r="H37" s="18">
        <f>'FY 23-24 Budget '!Y146</f>
        <v>-3871.63</v>
      </c>
      <c r="ID37"/>
    </row>
    <row r="38" spans="1:238" ht="15.75" customHeight="1" x14ac:dyDescent="0.4">
      <c r="A38" s="17" t="s">
        <v>80</v>
      </c>
      <c r="B38" s="104"/>
      <c r="C38" s="104"/>
      <c r="D38" s="18">
        <f>-E16</f>
        <v>-240000</v>
      </c>
      <c r="E38" s="3"/>
      <c r="F38" s="19" t="s">
        <v>81</v>
      </c>
      <c r="G38" s="20"/>
      <c r="H38" s="18">
        <f>'FY 23-24 Budget '!Y147</f>
        <v>63.98</v>
      </c>
      <c r="ID38"/>
    </row>
    <row r="39" spans="1:238" ht="16" customHeight="1" thickBot="1" x14ac:dyDescent="0.45">
      <c r="A39" s="21" t="s">
        <v>82</v>
      </c>
      <c r="B39" s="105"/>
      <c r="C39" s="105"/>
      <c r="D39" s="22">
        <f>-E19</f>
        <v>-78650</v>
      </c>
      <c r="E39" s="3"/>
      <c r="F39" s="19" t="s">
        <v>83</v>
      </c>
      <c r="G39" s="20"/>
      <c r="H39" s="18">
        <f>E19</f>
        <v>78650</v>
      </c>
      <c r="ID39"/>
    </row>
    <row r="40" spans="1:238" ht="16" customHeight="1" thickBot="1" x14ac:dyDescent="0.45">
      <c r="A40" s="23" t="s">
        <v>84</v>
      </c>
      <c r="B40" s="106"/>
      <c r="C40" s="106"/>
      <c r="D40" s="24">
        <f>SUM(D35:D39)</f>
        <v>6569796.8815390002</v>
      </c>
      <c r="E40" s="3"/>
      <c r="F40" s="19" t="s">
        <v>85</v>
      </c>
      <c r="G40" s="20"/>
      <c r="H40" s="18">
        <f>'FY 23-24 Budget '!Y149</f>
        <v>52518.57</v>
      </c>
      <c r="ID40"/>
    </row>
    <row r="41" spans="1:238" s="1" customFormat="1" ht="15.75" customHeight="1" x14ac:dyDescent="0.4">
      <c r="A41" s="13" t="s">
        <v>86</v>
      </c>
      <c r="B41" s="103"/>
      <c r="C41" s="103"/>
      <c r="D41" s="25">
        <v>365</v>
      </c>
      <c r="E41" s="3"/>
      <c r="F41" s="19" t="s">
        <v>87</v>
      </c>
      <c r="G41" s="20"/>
      <c r="H41" s="18">
        <f>E16</f>
        <v>240000</v>
      </c>
    </row>
    <row r="42" spans="1:238" s="1" customFormat="1" ht="15.75" customHeight="1" x14ac:dyDescent="0.4">
      <c r="A42" s="26" t="s">
        <v>88</v>
      </c>
      <c r="B42" s="107"/>
      <c r="C42" s="107"/>
      <c r="D42" s="27">
        <f>D40/D41</f>
        <v>17999.443511065754</v>
      </c>
      <c r="E42" s="3"/>
      <c r="F42" s="19" t="s">
        <v>89</v>
      </c>
      <c r="G42" s="20"/>
      <c r="H42" s="18">
        <v>-11869</v>
      </c>
    </row>
    <row r="43" spans="1:238" s="1" customFormat="1" ht="16" customHeight="1" thickBot="1" x14ac:dyDescent="0.45">
      <c r="A43" s="21" t="s">
        <v>90</v>
      </c>
      <c r="B43" s="105"/>
      <c r="C43" s="105"/>
      <c r="D43" s="22">
        <v>45</v>
      </c>
      <c r="E43" s="3"/>
      <c r="F43" s="28" t="s">
        <v>91</v>
      </c>
      <c r="G43" s="29"/>
      <c r="H43" s="22">
        <v>0</v>
      </c>
    </row>
    <row r="44" spans="1:238" s="1" customFormat="1" ht="33.75" customHeight="1" thickBot="1" x14ac:dyDescent="0.45">
      <c r="A44" s="50" t="s">
        <v>92</v>
      </c>
      <c r="B44" s="108"/>
      <c r="C44" s="108"/>
      <c r="D44" s="24">
        <f>D42*D43</f>
        <v>809974.95799795899</v>
      </c>
      <c r="E44" s="3"/>
      <c r="F44" s="30" t="s">
        <v>93</v>
      </c>
      <c r="G44" s="31"/>
      <c r="H44" s="24">
        <f>SUM(H35:H43)</f>
        <v>390234.27999999945</v>
      </c>
    </row>
    <row r="45" spans="1:238" s="1" customFormat="1" ht="15.75" customHeight="1" x14ac:dyDescent="0.4">
      <c r="A45" s="32"/>
      <c r="B45" s="109"/>
      <c r="C45" s="109"/>
      <c r="D45" s="33"/>
      <c r="E45" s="3"/>
      <c r="F45" s="15" t="s">
        <v>94</v>
      </c>
      <c r="G45" s="16"/>
      <c r="H45" s="14">
        <f>E17</f>
        <v>520248</v>
      </c>
    </row>
    <row r="46" spans="1:238" s="1" customFormat="1" ht="16" customHeight="1" thickBot="1" x14ac:dyDescent="0.45">
      <c r="A46" s="34"/>
      <c r="B46" s="110"/>
      <c r="C46" s="110"/>
      <c r="D46" s="22"/>
      <c r="E46" s="3"/>
      <c r="F46" s="19" t="s">
        <v>95</v>
      </c>
      <c r="G46" s="20"/>
      <c r="H46" s="18">
        <f>-H42</f>
        <v>11869</v>
      </c>
    </row>
    <row r="47" spans="1:238" s="1" customFormat="1" ht="16" customHeight="1" thickBot="1" x14ac:dyDescent="0.45">
      <c r="A47" s="13" t="s">
        <v>72</v>
      </c>
      <c r="B47" s="103"/>
      <c r="C47" s="103"/>
      <c r="D47" s="14">
        <f>E32</f>
        <v>2222502.7151610004</v>
      </c>
      <c r="E47" s="3"/>
      <c r="F47" s="28" t="s">
        <v>96</v>
      </c>
      <c r="G47" s="29"/>
      <c r="H47" s="22">
        <f>-H43</f>
        <v>0</v>
      </c>
    </row>
    <row r="48" spans="1:238" s="1" customFormat="1" ht="16" customHeight="1" thickBot="1" x14ac:dyDescent="0.45">
      <c r="A48" s="17" t="s">
        <v>97</v>
      </c>
      <c r="B48" s="104"/>
      <c r="C48" s="104"/>
      <c r="D48" s="18">
        <f>1190+H36</f>
        <v>1290</v>
      </c>
      <c r="E48" s="3"/>
      <c r="F48" s="30" t="s">
        <v>98</v>
      </c>
      <c r="G48" s="31"/>
      <c r="H48" s="24">
        <f>SUM(H44:H47)</f>
        <v>922351.27999999945</v>
      </c>
    </row>
    <row r="49" spans="1:9" s="1" customFormat="1" ht="16" customHeight="1" thickBot="1" x14ac:dyDescent="0.45">
      <c r="A49" s="21" t="s">
        <v>99</v>
      </c>
      <c r="B49" s="105"/>
      <c r="C49" s="105"/>
      <c r="D49" s="22">
        <f>126226+H37</f>
        <v>122354.37</v>
      </c>
      <c r="E49" s="3"/>
      <c r="F49" s="35" t="s">
        <v>100</v>
      </c>
      <c r="G49" s="36"/>
      <c r="H49" s="25">
        <f>'FY 23-24 Budget '!Y158</f>
        <v>762425</v>
      </c>
    </row>
    <row r="50" spans="1:9" s="1" customFormat="1" ht="16" customHeight="1" thickBot="1" x14ac:dyDescent="0.45">
      <c r="A50" s="23" t="s">
        <v>101</v>
      </c>
      <c r="B50" s="106"/>
      <c r="C50" s="106"/>
      <c r="D50" s="24">
        <f>SUM(D47:D49)</f>
        <v>2346147.0851610005</v>
      </c>
      <c r="E50" s="3"/>
      <c r="F50" s="37" t="s">
        <v>102</v>
      </c>
      <c r="G50" s="38"/>
      <c r="H50" s="39">
        <f>H48/H49</f>
        <v>1.2097600157392523</v>
      </c>
    </row>
    <row r="51" spans="1:9" s="1" customFormat="1" ht="21.75" customHeight="1" x14ac:dyDescent="0.4">
      <c r="A51" s="40" t="s">
        <v>103</v>
      </c>
      <c r="B51" s="111"/>
      <c r="C51" s="111"/>
      <c r="D51" s="25">
        <f>D42</f>
        <v>17999.443511065754</v>
      </c>
      <c r="E51" s="3"/>
      <c r="F51" s="48" t="s">
        <v>104</v>
      </c>
      <c r="G51" s="49"/>
      <c r="H51" s="49">
        <f>-(H49*1.2-H48)</f>
        <v>7441.2799999994459</v>
      </c>
    </row>
    <row r="52" spans="1:9" s="1" customFormat="1" ht="16" customHeight="1" thickBot="1" x14ac:dyDescent="0.45">
      <c r="A52" s="41" t="s">
        <v>105</v>
      </c>
      <c r="B52" s="112"/>
      <c r="C52" s="112"/>
      <c r="D52" s="42">
        <f>D50/D51</f>
        <v>130.34553450047659</v>
      </c>
      <c r="E52" s="3"/>
      <c r="F52" s="45" t="s">
        <v>106</v>
      </c>
      <c r="G52" s="46"/>
      <c r="H52" s="47">
        <v>1.2</v>
      </c>
    </row>
    <row r="53" spans="1:9" s="1" customFormat="1" ht="19.5" customHeight="1" x14ac:dyDescent="0.4">
      <c r="A53" s="91" t="s">
        <v>107</v>
      </c>
      <c r="B53" s="91"/>
      <c r="C53" s="91"/>
      <c r="D53" s="43">
        <v>45</v>
      </c>
      <c r="E53" s="3"/>
      <c r="F53" s="9"/>
      <c r="G53" s="44"/>
      <c r="H53" s="9"/>
    </row>
    <row r="54" spans="1:9" s="1" customFormat="1" ht="0.65" customHeight="1" x14ac:dyDescent="0.4">
      <c r="A54" s="3"/>
      <c r="B54" s="3"/>
      <c r="C54" s="3"/>
      <c r="D54" s="3"/>
      <c r="E54" s="3"/>
      <c r="F54" s="3"/>
      <c r="G54" s="3"/>
      <c r="H54" s="3"/>
    </row>
    <row r="55" spans="1:9" s="1" customFormat="1" ht="15.75" customHeight="1" x14ac:dyDescent="0.4">
      <c r="A55" s="3"/>
      <c r="B55" s="3"/>
      <c r="C55" s="3"/>
      <c r="D55" s="3"/>
      <c r="E55" s="3"/>
      <c r="F55" s="3"/>
      <c r="G55" s="3"/>
      <c r="H55" s="3"/>
      <c r="I55" s="3"/>
    </row>
    <row r="56" spans="1:9" s="1" customFormat="1" ht="15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s="1" customFormat="1" ht="15" customHeight="1" x14ac:dyDescent="0.4">
      <c r="A57" s="3"/>
      <c r="B57" s="3"/>
      <c r="C57" s="3"/>
      <c r="D57" s="3"/>
      <c r="E57" s="3"/>
      <c r="F57" s="3"/>
      <c r="G57" s="3"/>
      <c r="H57" s="3"/>
      <c r="I57" s="3"/>
    </row>
    <row r="58" spans="1:9" s="1" customFormat="1" ht="15" customHeight="1" x14ac:dyDescent="0.4">
      <c r="A58" s="3"/>
      <c r="B58" s="3"/>
      <c r="C58" s="3"/>
      <c r="H58" s="3"/>
      <c r="I58" s="3"/>
    </row>
    <row r="69" spans="6:6" s="1" customFormat="1" ht="14.5" customHeight="1" x14ac:dyDescent="0.4">
      <c r="F69" s="94"/>
    </row>
  </sheetData>
  <conditionalFormatting sqref="A1:B29">
    <cfRule type="cellIs" dxfId="2" priority="1" stopIfTrue="1" operator="lessThan">
      <formula>0</formula>
    </cfRule>
  </conditionalFormatting>
  <conditionalFormatting sqref="A32:B32 H50">
    <cfRule type="cellIs" dxfId="1" priority="2" stopIfTrue="1" operator="lessThan">
      <formula>0</formula>
    </cfRule>
  </conditionalFormatting>
  <printOptions horizontalCentered="1" verticalCentered="1"/>
  <pageMargins left="0.25" right="0.25" top="0.75" bottom="0.75" header="0.3" footer="0.3"/>
  <pageSetup scale="54" orientation="landscape" horizontalDpi="4294967295" verticalDpi="4294967295" r:id="rId1"/>
  <headerFooter>
    <oddHeader>&amp;C&amp;F</oddHeader>
    <oddFooter xml:space="preserve">&amp;CPage &amp;P&amp;R&amp;A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V91"/>
  <sheetViews>
    <sheetView workbookViewId="0">
      <selection activeCell="A4" sqref="A4:A9"/>
    </sheetView>
  </sheetViews>
  <sheetFormatPr defaultColWidth="8.84375" defaultRowHeight="14.5" customHeight="1" x14ac:dyDescent="0.4"/>
  <cols>
    <col min="1" max="1" width="17.3828125" style="1" customWidth="1"/>
    <col min="2" max="2" width="31.53515625" style="1" customWidth="1"/>
    <col min="3" max="3" width="14.3828125" style="1" customWidth="1"/>
    <col min="4" max="4" width="35.3828125" style="1" customWidth="1"/>
    <col min="5" max="5" width="17.15234375" style="1" customWidth="1"/>
    <col min="6" max="7" width="11.15234375" style="1" hidden="1" customWidth="1"/>
    <col min="8" max="8" width="10.3828125" style="1" hidden="1" customWidth="1"/>
    <col min="9" max="9" width="11.15234375" style="1" hidden="1" customWidth="1"/>
    <col min="10" max="21" width="8.84375" style="1" customWidth="1"/>
    <col min="22" max="22" width="10" style="1" customWidth="1"/>
    <col min="23" max="23" width="2.15234375" style="1" hidden="1" customWidth="1"/>
    <col min="24" max="25" width="8.84375" style="1" hidden="1" customWidth="1"/>
    <col min="26" max="256" width="8.84375" style="1" customWidth="1"/>
  </cols>
  <sheetData>
    <row r="1" spans="1:25" ht="18.75" customHeight="1" x14ac:dyDescent="0.4">
      <c r="A1" s="285" t="s">
        <v>108</v>
      </c>
      <c r="B1" s="286"/>
      <c r="C1" s="286"/>
      <c r="D1" s="287"/>
      <c r="E1" s="287"/>
      <c r="F1" s="87"/>
      <c r="G1" s="87"/>
      <c r="H1" s="87"/>
      <c r="I1" s="87"/>
      <c r="J1" s="70"/>
      <c r="K1" s="70"/>
      <c r="L1" s="70"/>
      <c r="M1" s="70"/>
      <c r="N1" s="70"/>
      <c r="O1" s="70"/>
      <c r="P1" s="70"/>
      <c r="Q1" s="70"/>
      <c r="R1" s="70"/>
      <c r="S1" s="71"/>
      <c r="T1" s="71"/>
      <c r="U1" s="71"/>
      <c r="V1" s="71"/>
      <c r="W1" s="86"/>
      <c r="X1" s="86"/>
      <c r="Y1" s="86"/>
    </row>
    <row r="2" spans="1:25" ht="18.75" customHeight="1" x14ac:dyDescent="0.4">
      <c r="A2" s="2"/>
      <c r="B2" s="2"/>
      <c r="C2" s="2"/>
      <c r="D2" s="2"/>
      <c r="E2" s="2"/>
      <c r="F2" s="74"/>
      <c r="G2" s="74"/>
      <c r="H2" s="74"/>
      <c r="I2" s="74"/>
      <c r="J2" s="70"/>
      <c r="K2" s="70"/>
      <c r="L2" s="70"/>
      <c r="M2" s="70"/>
      <c r="N2" s="70"/>
      <c r="O2" s="70"/>
      <c r="P2" s="70"/>
      <c r="Q2" s="70"/>
      <c r="R2" s="70"/>
      <c r="S2" s="71"/>
      <c r="T2" s="71"/>
      <c r="U2" s="71"/>
      <c r="V2" s="71"/>
      <c r="W2" s="71"/>
      <c r="X2" s="71"/>
      <c r="Y2" s="71"/>
    </row>
    <row r="3" spans="1:25" ht="15" customHeight="1" x14ac:dyDescent="0.4">
      <c r="A3" s="75" t="s">
        <v>109</v>
      </c>
      <c r="B3" s="75" t="s">
        <v>110</v>
      </c>
      <c r="C3" s="75" t="s">
        <v>111</v>
      </c>
      <c r="D3" s="75" t="s">
        <v>112</v>
      </c>
      <c r="E3" s="76" t="s">
        <v>113</v>
      </c>
      <c r="F3" s="74"/>
      <c r="G3" s="74"/>
      <c r="H3" s="74"/>
      <c r="I3" s="74"/>
      <c r="J3" s="70"/>
      <c r="K3" s="70"/>
      <c r="L3" s="70"/>
      <c r="M3" s="70"/>
      <c r="N3" s="70"/>
      <c r="O3" s="70"/>
      <c r="P3" s="70"/>
      <c r="Q3" s="70"/>
      <c r="R3" s="70"/>
      <c r="S3" s="71"/>
      <c r="T3" s="71"/>
      <c r="U3" s="71"/>
      <c r="V3" s="71"/>
      <c r="W3" s="71"/>
      <c r="X3" s="71"/>
      <c r="Y3" s="71"/>
    </row>
    <row r="4" spans="1:25" ht="15" customHeight="1" x14ac:dyDescent="0.4">
      <c r="A4" s="83"/>
      <c r="B4" s="72"/>
      <c r="C4" s="77"/>
      <c r="D4" s="72"/>
      <c r="E4" s="73"/>
      <c r="F4" s="74"/>
      <c r="G4" s="78"/>
      <c r="H4" s="74"/>
      <c r="I4" s="74"/>
      <c r="J4" s="70"/>
      <c r="K4" s="70"/>
      <c r="L4" s="70"/>
      <c r="M4" s="70"/>
      <c r="N4" s="70"/>
      <c r="O4" s="70"/>
      <c r="P4" s="70"/>
      <c r="Q4" s="70"/>
      <c r="R4" s="70"/>
      <c r="S4" s="71"/>
      <c r="T4" s="71"/>
      <c r="U4" s="71"/>
      <c r="V4" s="71"/>
      <c r="W4" s="71"/>
      <c r="X4" s="71"/>
      <c r="Y4" s="71"/>
    </row>
    <row r="5" spans="1:25" ht="15" customHeight="1" x14ac:dyDescent="0.4">
      <c r="A5" s="83"/>
      <c r="B5" s="72"/>
      <c r="C5" s="77"/>
      <c r="D5" s="72"/>
      <c r="E5" s="73"/>
      <c r="F5" s="74"/>
      <c r="G5" s="73"/>
      <c r="H5" s="74"/>
      <c r="I5" s="74"/>
      <c r="J5" s="70"/>
      <c r="K5" s="70"/>
      <c r="L5" s="70"/>
      <c r="M5" s="70"/>
      <c r="N5" s="70"/>
      <c r="O5" s="70"/>
      <c r="P5" s="70"/>
      <c r="Q5" s="70"/>
      <c r="R5" s="70"/>
      <c r="S5" s="71"/>
      <c r="T5" s="71"/>
      <c r="U5" s="71"/>
      <c r="V5" s="71"/>
      <c r="W5" s="71"/>
      <c r="X5" s="71"/>
      <c r="Y5" s="71"/>
    </row>
    <row r="6" spans="1:25" ht="15" customHeight="1" x14ac:dyDescent="0.4">
      <c r="A6" s="83"/>
      <c r="B6" s="72"/>
      <c r="C6" s="77"/>
      <c r="D6" s="72"/>
      <c r="E6" s="73"/>
      <c r="F6" s="73"/>
      <c r="G6" s="78"/>
      <c r="H6" s="74"/>
      <c r="I6" s="74"/>
      <c r="J6" s="70"/>
      <c r="K6" s="70"/>
      <c r="L6" s="70"/>
      <c r="M6" s="70"/>
      <c r="N6" s="70"/>
      <c r="O6" s="70"/>
      <c r="P6" s="70"/>
      <c r="Q6" s="70"/>
      <c r="R6" s="70"/>
      <c r="S6" s="71"/>
      <c r="T6" s="71"/>
      <c r="U6" s="71"/>
      <c r="V6" s="71"/>
      <c r="W6" s="71"/>
      <c r="X6" s="71"/>
      <c r="Y6" s="71"/>
    </row>
    <row r="7" spans="1:25" ht="15" customHeight="1" x14ac:dyDescent="0.4">
      <c r="A7" s="85"/>
      <c r="B7" s="85"/>
      <c r="C7" s="77"/>
      <c r="D7" s="92"/>
      <c r="E7" s="73"/>
      <c r="F7" s="73"/>
      <c r="G7" s="73"/>
      <c r="H7" s="74"/>
      <c r="I7" s="74"/>
      <c r="J7" s="70"/>
      <c r="K7" s="70"/>
      <c r="L7" s="70"/>
      <c r="M7" s="70"/>
      <c r="N7" s="70"/>
      <c r="O7" s="70"/>
      <c r="P7" s="70"/>
      <c r="Q7" s="70"/>
      <c r="R7" s="70"/>
      <c r="S7" s="71"/>
      <c r="T7" s="71"/>
      <c r="U7" s="71"/>
      <c r="V7" s="71"/>
      <c r="W7" s="71"/>
      <c r="X7" s="71"/>
      <c r="Y7" s="71"/>
    </row>
    <row r="8" spans="1:25" ht="15" customHeight="1" x14ac:dyDescent="0.4">
      <c r="A8" s="85"/>
      <c r="B8" s="85"/>
      <c r="C8" s="77"/>
      <c r="D8" s="92"/>
      <c r="E8" s="73"/>
      <c r="F8" s="73"/>
      <c r="G8" s="74"/>
      <c r="H8" s="74"/>
      <c r="I8" s="74"/>
      <c r="J8" s="70"/>
      <c r="K8" s="70"/>
      <c r="L8" s="70"/>
      <c r="M8" s="70"/>
      <c r="N8" s="70"/>
      <c r="O8" s="70"/>
      <c r="P8" s="70"/>
      <c r="Q8" s="70"/>
      <c r="R8" s="70"/>
      <c r="S8" s="71"/>
      <c r="T8" s="71"/>
      <c r="U8" s="71"/>
      <c r="V8" s="71"/>
      <c r="W8" s="71"/>
      <c r="X8" s="71"/>
      <c r="Y8" s="71"/>
    </row>
    <row r="9" spans="1:25" ht="15" customHeight="1" x14ac:dyDescent="0.4">
      <c r="A9" s="85"/>
      <c r="B9" s="74"/>
      <c r="C9" s="77"/>
      <c r="D9" s="79"/>
      <c r="E9" s="73"/>
      <c r="F9" s="73"/>
      <c r="G9" s="74"/>
      <c r="H9" s="74"/>
      <c r="I9" s="74"/>
      <c r="J9" s="70"/>
      <c r="K9" s="70"/>
      <c r="L9" s="70"/>
      <c r="M9" s="70"/>
      <c r="N9" s="70"/>
      <c r="O9" s="70"/>
      <c r="P9" s="70"/>
      <c r="Q9" s="70"/>
      <c r="R9" s="70"/>
      <c r="S9" s="71"/>
      <c r="T9" s="71"/>
      <c r="U9" s="71"/>
      <c r="V9" s="71"/>
      <c r="W9" s="71"/>
      <c r="X9" s="71"/>
      <c r="Y9" s="71"/>
    </row>
    <row r="10" spans="1:25" ht="15" customHeight="1" x14ac:dyDescent="0.4">
      <c r="A10" s="85"/>
      <c r="B10" s="74"/>
      <c r="C10" s="77"/>
      <c r="D10" s="79"/>
      <c r="E10" s="73"/>
      <c r="F10" s="74"/>
      <c r="G10" s="74"/>
      <c r="H10" s="74"/>
      <c r="I10" s="74"/>
      <c r="J10" s="70"/>
      <c r="K10" s="70"/>
      <c r="L10" s="70"/>
      <c r="M10" s="70"/>
      <c r="N10" s="70"/>
      <c r="O10" s="70"/>
      <c r="P10" s="70"/>
      <c r="Q10" s="70"/>
      <c r="R10" s="70"/>
      <c r="S10" s="71"/>
      <c r="T10" s="71"/>
      <c r="U10" s="71"/>
      <c r="V10" s="71"/>
      <c r="W10" s="71"/>
      <c r="X10" s="71"/>
      <c r="Y10" s="71"/>
    </row>
    <row r="11" spans="1:25" ht="15" customHeight="1" x14ac:dyDescent="0.4">
      <c r="A11" s="85"/>
      <c r="B11" s="74"/>
      <c r="C11" s="77"/>
      <c r="D11" s="79"/>
      <c r="E11" s="73"/>
      <c r="F11" s="74"/>
      <c r="G11" s="74"/>
      <c r="H11" s="74"/>
      <c r="I11" s="74"/>
      <c r="J11" s="70"/>
      <c r="K11" s="70"/>
      <c r="L11" s="70"/>
      <c r="M11" s="70"/>
      <c r="N11" s="70"/>
      <c r="O11" s="70"/>
      <c r="P11" s="70"/>
      <c r="Q11" s="70"/>
      <c r="R11" s="70"/>
      <c r="S11" s="71"/>
      <c r="T11" s="71"/>
      <c r="U11" s="71"/>
      <c r="V11" s="71"/>
      <c r="W11" s="71"/>
      <c r="X11" s="71"/>
      <c r="Y11" s="71"/>
    </row>
    <row r="12" spans="1:25" ht="15" customHeight="1" x14ac:dyDescent="0.4">
      <c r="A12" s="85"/>
      <c r="B12" s="74"/>
      <c r="C12" s="77"/>
      <c r="D12" s="79"/>
      <c r="E12" s="73"/>
      <c r="F12" s="74"/>
      <c r="G12" s="74"/>
      <c r="H12" s="74"/>
      <c r="I12" s="74"/>
      <c r="J12" s="70"/>
      <c r="K12" s="70"/>
      <c r="L12" s="70"/>
      <c r="M12" s="70"/>
      <c r="N12" s="70"/>
      <c r="O12" s="70"/>
      <c r="P12" s="70"/>
      <c r="Q12" s="70"/>
      <c r="R12" s="70"/>
      <c r="S12" s="71"/>
      <c r="T12" s="71"/>
      <c r="U12" s="71"/>
      <c r="V12" s="71"/>
      <c r="W12" s="71"/>
      <c r="X12" s="71"/>
      <c r="Y12" s="71"/>
    </row>
    <row r="13" spans="1:25" ht="15" customHeight="1" x14ac:dyDescent="0.4">
      <c r="A13" s="85"/>
      <c r="B13" s="74"/>
      <c r="C13" s="77"/>
      <c r="D13" s="79"/>
      <c r="E13" s="73"/>
      <c r="F13" s="74"/>
      <c r="G13" s="74"/>
      <c r="H13" s="74"/>
      <c r="I13" s="74"/>
      <c r="J13" s="70"/>
      <c r="K13" s="70"/>
      <c r="L13" s="70"/>
      <c r="M13" s="70"/>
      <c r="N13" s="70"/>
      <c r="O13" s="70"/>
      <c r="P13" s="70"/>
      <c r="Q13" s="70"/>
      <c r="R13" s="70"/>
      <c r="S13" s="71"/>
      <c r="T13" s="71"/>
      <c r="U13" s="71"/>
      <c r="V13" s="71"/>
      <c r="W13" s="71"/>
      <c r="X13" s="71"/>
      <c r="Y13" s="71"/>
    </row>
    <row r="14" spans="1:25" ht="15" customHeight="1" x14ac:dyDescent="0.4">
      <c r="A14" s="85"/>
      <c r="B14" s="74"/>
      <c r="C14" s="77"/>
      <c r="D14" s="79"/>
      <c r="E14" s="73"/>
      <c r="F14" s="74"/>
      <c r="G14" s="74"/>
      <c r="H14" s="74"/>
      <c r="I14" s="74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71"/>
      <c r="U14" s="71"/>
      <c r="V14" s="71"/>
      <c r="W14" s="71"/>
      <c r="X14" s="71"/>
      <c r="Y14" s="71"/>
    </row>
    <row r="15" spans="1:25" ht="15" customHeight="1" x14ac:dyDescent="0.4">
      <c r="A15" s="80"/>
      <c r="B15" s="80"/>
      <c r="C15" s="80"/>
      <c r="D15" s="90" t="s">
        <v>114</v>
      </c>
      <c r="E15" s="81">
        <f>SUM(E4:E13)</f>
        <v>0</v>
      </c>
      <c r="F15" s="73"/>
      <c r="G15" s="73"/>
      <c r="H15" s="74"/>
      <c r="I15" s="73"/>
      <c r="J15" s="70"/>
      <c r="K15" s="70"/>
      <c r="L15" s="70"/>
      <c r="M15" s="70"/>
      <c r="N15" s="70"/>
      <c r="O15" s="70"/>
      <c r="P15" s="70"/>
      <c r="Q15" s="70"/>
      <c r="R15" s="70"/>
      <c r="S15" s="71"/>
      <c r="T15" s="71"/>
      <c r="U15" s="71"/>
      <c r="V15" s="71"/>
      <c r="W15" s="71"/>
      <c r="X15" s="71"/>
      <c r="Y15" s="71"/>
    </row>
    <row r="16" spans="1:25" ht="15" hidden="1" customHeight="1" x14ac:dyDescent="0.4">
      <c r="A16" s="85"/>
      <c r="B16" s="74"/>
      <c r="C16" s="74"/>
      <c r="D16" s="74"/>
      <c r="E16" s="73"/>
      <c r="F16" s="73"/>
      <c r="G16" s="74"/>
      <c r="H16" s="74"/>
      <c r="I16" s="74"/>
      <c r="J16" s="70"/>
      <c r="K16" s="70"/>
      <c r="L16" s="70"/>
      <c r="M16" s="70"/>
      <c r="N16" s="70"/>
      <c r="O16" s="70"/>
      <c r="P16" s="70"/>
      <c r="Q16" s="70"/>
      <c r="R16" s="70"/>
      <c r="S16" s="71"/>
      <c r="T16" s="71"/>
      <c r="U16" s="71"/>
      <c r="V16" s="71"/>
      <c r="W16" s="71"/>
      <c r="X16" s="71"/>
      <c r="Y16" s="71"/>
    </row>
    <row r="17" spans="1:25" ht="15" hidden="1" customHeight="1" x14ac:dyDescent="0.4">
      <c r="A17" s="85"/>
      <c r="B17" s="74"/>
      <c r="C17" s="74"/>
      <c r="D17" s="79"/>
      <c r="E17" s="73"/>
      <c r="F17" s="74"/>
      <c r="G17" s="74"/>
      <c r="H17" s="74"/>
      <c r="I17" s="74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71"/>
      <c r="U17" s="71"/>
      <c r="V17" s="71"/>
      <c r="W17" s="71"/>
      <c r="X17" s="71"/>
      <c r="Y17" s="71"/>
    </row>
    <row r="18" spans="1:25" ht="15" hidden="1" customHeight="1" x14ac:dyDescent="0.4">
      <c r="A18" s="85"/>
      <c r="B18" s="74"/>
      <c r="C18" s="74"/>
      <c r="D18" s="74"/>
      <c r="E18" s="73"/>
      <c r="F18" s="74"/>
      <c r="G18" s="74"/>
      <c r="H18" s="74"/>
      <c r="I18" s="74"/>
      <c r="J18" s="70"/>
      <c r="K18" s="70"/>
      <c r="L18" s="70"/>
      <c r="M18" s="70"/>
      <c r="N18" s="70"/>
      <c r="O18" s="70"/>
      <c r="P18" s="70"/>
      <c r="Q18" s="70"/>
      <c r="R18" s="70"/>
      <c r="S18" s="71"/>
      <c r="T18" s="71"/>
      <c r="U18" s="71"/>
      <c r="V18" s="71"/>
      <c r="W18" s="71"/>
      <c r="X18" s="71"/>
      <c r="Y18" s="71"/>
    </row>
    <row r="19" spans="1:25" ht="15" hidden="1" customHeight="1" x14ac:dyDescent="0.4">
      <c r="A19" s="85"/>
      <c r="B19" s="74"/>
      <c r="C19" s="74"/>
      <c r="D19" s="74"/>
      <c r="E19" s="82"/>
      <c r="F19" s="74"/>
      <c r="G19" s="74"/>
      <c r="H19" s="74"/>
      <c r="I19" s="74"/>
      <c r="J19" s="70"/>
      <c r="K19" s="70"/>
      <c r="L19" s="70"/>
      <c r="M19" s="70"/>
      <c r="N19" s="70"/>
      <c r="O19" s="70"/>
      <c r="P19" s="70"/>
      <c r="Q19" s="70"/>
      <c r="R19" s="70"/>
      <c r="S19" s="71"/>
      <c r="T19" s="71"/>
      <c r="U19" s="71"/>
      <c r="V19" s="71"/>
      <c r="W19" s="71"/>
      <c r="X19" s="71"/>
      <c r="Y19" s="71"/>
    </row>
    <row r="20" spans="1:25" ht="15" hidden="1" customHeight="1" x14ac:dyDescent="0.4">
      <c r="A20" s="85"/>
      <c r="B20" s="74"/>
      <c r="C20" s="74"/>
      <c r="D20" s="74"/>
      <c r="E20" s="73"/>
      <c r="F20" s="74"/>
      <c r="G20" s="74"/>
      <c r="H20" s="74"/>
      <c r="I20" s="74"/>
      <c r="J20" s="70"/>
      <c r="K20" s="70"/>
      <c r="L20" s="70"/>
      <c r="M20" s="70"/>
      <c r="N20" s="70"/>
      <c r="O20" s="70"/>
      <c r="P20" s="70"/>
      <c r="Q20" s="70"/>
      <c r="R20" s="70"/>
      <c r="S20" s="71"/>
      <c r="T20" s="71"/>
      <c r="U20" s="71"/>
      <c r="V20" s="71"/>
      <c r="W20" s="71"/>
      <c r="X20" s="71"/>
      <c r="Y20" s="71"/>
    </row>
    <row r="21" spans="1:25" ht="14.5" customHeight="1" x14ac:dyDescent="0.4">
      <c r="A21" s="84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  <c r="T21" s="71"/>
      <c r="U21" s="71"/>
      <c r="V21" s="71"/>
      <c r="W21" s="71"/>
      <c r="X21" s="71"/>
      <c r="Y21" s="71"/>
    </row>
    <row r="22" spans="1:25" ht="14.5" customHeight="1" x14ac:dyDescent="0.4">
      <c r="A22" s="84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  <c r="T22" s="71"/>
      <c r="U22" s="71"/>
      <c r="V22" s="71"/>
      <c r="W22" s="71"/>
      <c r="X22" s="71"/>
      <c r="Y22" s="71"/>
    </row>
    <row r="23" spans="1:25" ht="14.5" customHeight="1" x14ac:dyDescent="0.4">
      <c r="A23" s="84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  <c r="T23" s="71"/>
      <c r="U23" s="71"/>
      <c r="V23" s="71"/>
      <c r="W23" s="71"/>
      <c r="X23" s="71"/>
      <c r="Y23" s="71"/>
    </row>
    <row r="24" spans="1:25" ht="14.5" customHeight="1" x14ac:dyDescent="0.4">
      <c r="A24" s="84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71"/>
      <c r="U24" s="71"/>
      <c r="V24" s="71"/>
      <c r="W24" s="71"/>
      <c r="X24" s="71"/>
      <c r="Y24" s="71"/>
    </row>
    <row r="25" spans="1:25" ht="14.5" customHeight="1" x14ac:dyDescent="0.4">
      <c r="A25" s="84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  <c r="T25" s="71"/>
      <c r="U25" s="71"/>
      <c r="V25" s="71"/>
      <c r="W25" s="71"/>
      <c r="X25" s="71"/>
      <c r="Y25" s="71"/>
    </row>
    <row r="26" spans="1:25" ht="14.5" customHeight="1" x14ac:dyDescent="0.4">
      <c r="A26" s="84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71"/>
      <c r="U26" s="71"/>
      <c r="V26" s="71"/>
      <c r="W26" s="71"/>
      <c r="X26" s="71"/>
      <c r="Y26" s="71"/>
    </row>
    <row r="27" spans="1:25" ht="14.5" customHeight="1" x14ac:dyDescent="0.4">
      <c r="A27" s="84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  <c r="T27" s="71"/>
      <c r="U27" s="71"/>
      <c r="V27" s="71"/>
      <c r="W27" s="71"/>
      <c r="X27" s="71"/>
      <c r="Y27" s="71"/>
    </row>
    <row r="28" spans="1:25" ht="14.5" customHeight="1" x14ac:dyDescent="0.4">
      <c r="A28" s="84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1"/>
      <c r="T28" s="71"/>
      <c r="U28" s="71"/>
      <c r="V28" s="71"/>
      <c r="W28" s="71"/>
      <c r="X28" s="71"/>
      <c r="Y28" s="71"/>
    </row>
    <row r="29" spans="1:25" ht="14.5" customHeight="1" x14ac:dyDescent="0.4">
      <c r="A29" s="84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1"/>
      <c r="T29" s="71"/>
      <c r="U29" s="71"/>
      <c r="V29" s="71"/>
      <c r="W29" s="71"/>
      <c r="X29" s="71"/>
      <c r="Y29" s="71"/>
    </row>
    <row r="30" spans="1:25" ht="14.5" customHeight="1" x14ac:dyDescent="0.4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1"/>
      <c r="T30" s="71"/>
      <c r="U30" s="71"/>
      <c r="V30" s="71"/>
      <c r="W30" s="71"/>
      <c r="X30" s="71"/>
      <c r="Y30" s="71"/>
    </row>
    <row r="31" spans="1:25" ht="14.5" customHeight="1" x14ac:dyDescent="0.4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1"/>
      <c r="T31" s="71"/>
      <c r="U31" s="71"/>
      <c r="V31" s="71"/>
      <c r="W31" s="71"/>
      <c r="X31" s="71"/>
      <c r="Y31" s="71"/>
    </row>
    <row r="32" spans="1:25" ht="14.5" customHeight="1" x14ac:dyDescent="0.4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1"/>
      <c r="T32" s="71"/>
      <c r="U32" s="71"/>
      <c r="V32" s="71"/>
      <c r="W32" s="71"/>
      <c r="X32" s="71"/>
      <c r="Y32" s="71"/>
    </row>
    <row r="33" spans="1:25" ht="14.5" customHeight="1" x14ac:dyDescent="0.4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1"/>
      <c r="T33" s="71"/>
      <c r="U33" s="71"/>
      <c r="V33" s="71"/>
      <c r="W33" s="71"/>
      <c r="X33" s="71"/>
      <c r="Y33" s="71"/>
    </row>
    <row r="34" spans="1:25" ht="14.5" customHeight="1" x14ac:dyDescent="0.4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1"/>
      <c r="T34" s="71"/>
      <c r="U34" s="71"/>
      <c r="V34" s="71"/>
      <c r="W34" s="71"/>
      <c r="X34" s="71"/>
      <c r="Y34" s="71"/>
    </row>
    <row r="35" spans="1:25" ht="14.5" customHeight="1" x14ac:dyDescent="0.4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1"/>
      <c r="T35" s="71"/>
      <c r="U35" s="71"/>
      <c r="V35" s="71"/>
      <c r="W35" s="71"/>
      <c r="X35" s="71"/>
      <c r="Y35" s="71"/>
    </row>
    <row r="36" spans="1:25" ht="14.5" customHeight="1" x14ac:dyDescent="0.4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1"/>
      <c r="T36" s="71"/>
      <c r="U36" s="71"/>
      <c r="V36" s="71"/>
      <c r="W36" s="71"/>
      <c r="X36" s="71"/>
      <c r="Y36" s="71"/>
    </row>
    <row r="37" spans="1:25" ht="14.5" customHeight="1" x14ac:dyDescent="0.4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71"/>
      <c r="U37" s="71"/>
      <c r="V37" s="71"/>
      <c r="W37" s="71"/>
      <c r="X37" s="71"/>
      <c r="Y37" s="71"/>
    </row>
    <row r="38" spans="1:25" ht="14.5" customHeight="1" x14ac:dyDescent="0.4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1"/>
      <c r="T38" s="71"/>
      <c r="U38" s="71"/>
      <c r="V38" s="71"/>
      <c r="W38" s="71"/>
      <c r="X38" s="71"/>
      <c r="Y38" s="71"/>
    </row>
    <row r="39" spans="1:25" ht="14.5" customHeight="1" x14ac:dyDescent="0.4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1"/>
      <c r="T39" s="71"/>
      <c r="U39" s="71"/>
      <c r="V39" s="71"/>
      <c r="W39" s="71"/>
      <c r="X39" s="71"/>
      <c r="Y39" s="71"/>
    </row>
    <row r="40" spans="1:25" ht="14.5" customHeight="1" x14ac:dyDescent="0.4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  <c r="T40" s="71"/>
      <c r="U40" s="71"/>
      <c r="V40" s="71"/>
      <c r="W40" s="71"/>
      <c r="X40" s="71"/>
      <c r="Y40" s="71"/>
    </row>
    <row r="41" spans="1:25" ht="14.5" customHeight="1" x14ac:dyDescent="0.4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1"/>
      <c r="T41" s="71"/>
      <c r="U41" s="71"/>
      <c r="V41" s="71"/>
      <c r="W41" s="71"/>
      <c r="X41" s="71"/>
      <c r="Y41" s="71"/>
    </row>
    <row r="42" spans="1:25" ht="32.25" customHeight="1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1"/>
      <c r="T42" s="71"/>
      <c r="U42" s="71"/>
      <c r="V42" s="71"/>
      <c r="W42" s="71"/>
      <c r="X42" s="71"/>
      <c r="Y42" s="71"/>
    </row>
    <row r="43" spans="1:25" ht="29.25" customHeight="1" x14ac:dyDescent="0.4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1"/>
      <c r="T43" s="71"/>
      <c r="U43" s="71"/>
      <c r="V43" s="71"/>
      <c r="W43" s="71"/>
      <c r="X43" s="71"/>
      <c r="Y43" s="71"/>
    </row>
    <row r="44" spans="1:25" ht="14.5" customHeight="1" x14ac:dyDescent="0.4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1"/>
      <c r="T44" s="71"/>
      <c r="U44" s="71"/>
      <c r="V44" s="71"/>
      <c r="W44" s="71"/>
      <c r="X44" s="71"/>
      <c r="Y44" s="71"/>
    </row>
    <row r="45" spans="1:25" ht="14.5" customHeight="1" x14ac:dyDescent="0.4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1"/>
      <c r="T45" s="71"/>
      <c r="U45" s="71"/>
      <c r="V45" s="71"/>
      <c r="W45" s="71"/>
      <c r="X45" s="71"/>
      <c r="Y45" s="71"/>
    </row>
    <row r="46" spans="1:25" ht="14.5" customHeight="1" x14ac:dyDescent="0.4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1"/>
      <c r="T46" s="71"/>
      <c r="U46" s="71"/>
      <c r="V46" s="71"/>
      <c r="W46" s="71"/>
      <c r="X46" s="71"/>
      <c r="Y46" s="71"/>
    </row>
    <row r="47" spans="1:25" ht="14.5" customHeight="1" x14ac:dyDescent="0.4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1"/>
      <c r="T47" s="71"/>
      <c r="U47" s="71"/>
      <c r="V47" s="71"/>
      <c r="W47" s="71"/>
      <c r="X47" s="71"/>
      <c r="Y47" s="71"/>
    </row>
    <row r="48" spans="1:25" ht="14.5" customHeight="1" x14ac:dyDescent="0.4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1"/>
      <c r="T48" s="71"/>
      <c r="U48" s="71"/>
      <c r="V48" s="71"/>
      <c r="W48" s="71"/>
      <c r="X48" s="71"/>
      <c r="Y48" s="71"/>
    </row>
    <row r="49" spans="1:25" ht="14.5" customHeight="1" x14ac:dyDescent="0.4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1"/>
      <c r="T49" s="71"/>
      <c r="U49" s="71"/>
      <c r="V49" s="71"/>
      <c r="W49" s="71"/>
      <c r="X49" s="71"/>
      <c r="Y49" s="71"/>
    </row>
    <row r="50" spans="1:25" ht="14.5" customHeight="1" x14ac:dyDescent="0.4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1"/>
      <c r="T50" s="71"/>
      <c r="U50" s="71"/>
      <c r="V50" s="71"/>
      <c r="W50" s="71"/>
      <c r="X50" s="71"/>
      <c r="Y50" s="71"/>
    </row>
    <row r="51" spans="1:25" ht="14.5" customHeight="1" x14ac:dyDescent="0.4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1"/>
      <c r="T51" s="71"/>
      <c r="U51" s="71"/>
      <c r="V51" s="71"/>
      <c r="W51" s="71"/>
      <c r="X51" s="71"/>
      <c r="Y51" s="71"/>
    </row>
    <row r="52" spans="1:25" ht="14.5" customHeight="1" x14ac:dyDescent="0.4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1"/>
      <c r="T52" s="71"/>
      <c r="U52" s="71"/>
      <c r="V52" s="71"/>
      <c r="W52" s="71"/>
      <c r="X52" s="71"/>
      <c r="Y52" s="71"/>
    </row>
    <row r="53" spans="1:25" ht="14.5" customHeight="1" x14ac:dyDescent="0.4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1"/>
      <c r="T53" s="71"/>
      <c r="U53" s="71"/>
      <c r="V53" s="71"/>
      <c r="W53" s="71"/>
      <c r="X53" s="71"/>
      <c r="Y53" s="71"/>
    </row>
    <row r="54" spans="1:25" ht="14.5" customHeight="1" x14ac:dyDescent="0.4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1"/>
      <c r="T54" s="71"/>
      <c r="U54" s="71"/>
      <c r="V54" s="71"/>
      <c r="W54" s="71"/>
      <c r="X54" s="71"/>
      <c r="Y54" s="71"/>
    </row>
    <row r="55" spans="1:25" ht="14.5" customHeight="1" x14ac:dyDescent="0.4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1"/>
      <c r="T55" s="71"/>
      <c r="U55" s="71"/>
      <c r="V55" s="71"/>
      <c r="W55" s="71"/>
      <c r="X55" s="71"/>
      <c r="Y55" s="71"/>
    </row>
    <row r="56" spans="1:25" ht="14.5" customHeight="1" x14ac:dyDescent="0.4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1"/>
      <c r="T56" s="71"/>
      <c r="U56" s="71"/>
      <c r="V56" s="71"/>
      <c r="W56" s="71"/>
      <c r="X56" s="71"/>
      <c r="Y56" s="71"/>
    </row>
    <row r="57" spans="1:25" ht="14.5" customHeight="1" x14ac:dyDescent="0.4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1"/>
      <c r="T57" s="71"/>
      <c r="U57" s="71"/>
      <c r="V57" s="71"/>
      <c r="W57" s="71"/>
      <c r="X57" s="71"/>
      <c r="Y57" s="71"/>
    </row>
    <row r="58" spans="1:25" ht="14.5" customHeight="1" x14ac:dyDescent="0.4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1"/>
      <c r="T58" s="71"/>
      <c r="U58" s="71"/>
      <c r="V58" s="71"/>
      <c r="W58" s="71"/>
      <c r="X58" s="71"/>
      <c r="Y58" s="71"/>
    </row>
    <row r="59" spans="1:25" ht="14.5" customHeight="1" x14ac:dyDescent="0.4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  <c r="T59" s="71"/>
      <c r="U59" s="71"/>
      <c r="V59" s="71"/>
      <c r="W59" s="71"/>
      <c r="X59" s="71"/>
      <c r="Y59" s="71"/>
    </row>
    <row r="60" spans="1:25" ht="14.5" customHeight="1" x14ac:dyDescent="0.4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1"/>
      <c r="T60" s="71"/>
      <c r="U60" s="71"/>
      <c r="V60" s="71"/>
      <c r="W60" s="71"/>
      <c r="X60" s="71"/>
      <c r="Y60" s="71"/>
    </row>
    <row r="61" spans="1:25" ht="14.5" customHeight="1" x14ac:dyDescent="0.4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1"/>
      <c r="T61" s="71"/>
      <c r="U61" s="71"/>
      <c r="V61" s="71"/>
      <c r="W61" s="71"/>
      <c r="X61" s="71"/>
      <c r="Y61" s="71"/>
    </row>
    <row r="62" spans="1:25" ht="14.5" customHeight="1" x14ac:dyDescent="0.4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1"/>
      <c r="T62" s="71"/>
      <c r="U62" s="71"/>
      <c r="V62" s="71"/>
      <c r="W62" s="71"/>
      <c r="X62" s="71"/>
      <c r="Y62" s="71"/>
    </row>
    <row r="63" spans="1:25" ht="14.5" customHeight="1" x14ac:dyDescent="0.4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1"/>
      <c r="T63" s="71"/>
      <c r="U63" s="71"/>
      <c r="V63" s="71"/>
      <c r="W63" s="71"/>
      <c r="X63" s="71"/>
      <c r="Y63" s="71"/>
    </row>
    <row r="64" spans="1:25" ht="14.5" customHeight="1" x14ac:dyDescent="0.4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1"/>
      <c r="T64" s="71"/>
      <c r="U64" s="71"/>
      <c r="V64" s="71"/>
      <c r="W64" s="71"/>
      <c r="X64" s="71"/>
      <c r="Y64" s="71"/>
    </row>
    <row r="65" spans="1:25" ht="14.5" customHeight="1" x14ac:dyDescent="0.4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1"/>
      <c r="T65" s="71"/>
      <c r="U65" s="71"/>
      <c r="V65" s="71"/>
      <c r="W65" s="71"/>
      <c r="X65" s="71"/>
      <c r="Y65" s="71"/>
    </row>
    <row r="66" spans="1:25" ht="14.5" customHeight="1" x14ac:dyDescent="0.4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1"/>
      <c r="T66" s="71"/>
      <c r="U66" s="71"/>
      <c r="V66" s="71"/>
      <c r="W66" s="71"/>
      <c r="X66" s="71"/>
      <c r="Y66" s="71"/>
    </row>
    <row r="67" spans="1:25" ht="14.5" customHeight="1" x14ac:dyDescent="0.4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1"/>
      <c r="T67" s="71"/>
      <c r="U67" s="71"/>
      <c r="V67" s="71"/>
      <c r="W67" s="71"/>
      <c r="X67" s="71"/>
      <c r="Y67" s="71"/>
    </row>
    <row r="68" spans="1:25" ht="14.5" customHeight="1" x14ac:dyDescent="0.4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1"/>
      <c r="T68" s="71"/>
      <c r="U68" s="71"/>
      <c r="V68" s="71"/>
      <c r="W68" s="71"/>
      <c r="X68" s="71"/>
      <c r="Y68" s="71"/>
    </row>
    <row r="69" spans="1:25" ht="14.5" customHeight="1" x14ac:dyDescent="0.4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1"/>
      <c r="T69" s="71"/>
      <c r="U69" s="71"/>
      <c r="V69" s="71"/>
      <c r="W69" s="71"/>
      <c r="X69" s="71"/>
      <c r="Y69" s="71"/>
    </row>
    <row r="70" spans="1:25" ht="14.5" customHeight="1" x14ac:dyDescent="0.4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1"/>
      <c r="T70" s="71"/>
      <c r="U70" s="71"/>
      <c r="V70" s="71"/>
      <c r="W70" s="71"/>
      <c r="X70" s="71"/>
      <c r="Y70" s="71"/>
    </row>
    <row r="71" spans="1:25" ht="14.5" customHeight="1" x14ac:dyDescent="0.4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1"/>
      <c r="T71" s="71"/>
      <c r="U71" s="71"/>
      <c r="V71" s="71"/>
      <c r="W71" s="71"/>
      <c r="X71" s="71"/>
      <c r="Y71" s="71"/>
    </row>
    <row r="72" spans="1:25" ht="14.5" customHeight="1" x14ac:dyDescent="0.4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1"/>
      <c r="T72" s="71"/>
      <c r="U72" s="71"/>
      <c r="V72" s="71"/>
      <c r="W72" s="71"/>
      <c r="X72" s="71"/>
      <c r="Y72" s="71"/>
    </row>
    <row r="73" spans="1:25" ht="14.5" customHeight="1" x14ac:dyDescent="0.4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1"/>
      <c r="T73" s="71"/>
      <c r="U73" s="71"/>
      <c r="V73" s="71"/>
      <c r="W73" s="71"/>
      <c r="X73" s="71"/>
      <c r="Y73" s="71"/>
    </row>
    <row r="74" spans="1:25" ht="14.5" customHeight="1" x14ac:dyDescent="0.4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1"/>
      <c r="T74" s="71"/>
      <c r="U74" s="71"/>
      <c r="V74" s="71"/>
      <c r="W74" s="71"/>
      <c r="X74" s="71"/>
      <c r="Y74" s="71"/>
    </row>
    <row r="75" spans="1:25" ht="14.5" customHeight="1" x14ac:dyDescent="0.4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1"/>
      <c r="T75" s="71"/>
      <c r="U75" s="71"/>
      <c r="V75" s="71"/>
      <c r="W75" s="71"/>
      <c r="X75" s="71"/>
      <c r="Y75" s="71"/>
    </row>
    <row r="76" spans="1:25" ht="14.5" customHeight="1" x14ac:dyDescent="0.4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1"/>
      <c r="T76" s="71"/>
      <c r="U76" s="71"/>
      <c r="V76" s="71"/>
      <c r="W76" s="71"/>
      <c r="X76" s="71"/>
      <c r="Y76" s="71"/>
    </row>
    <row r="77" spans="1:25" ht="14.5" customHeight="1" x14ac:dyDescent="0.4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1"/>
      <c r="T77" s="71"/>
      <c r="U77" s="71"/>
      <c r="V77" s="71"/>
      <c r="W77" s="71"/>
      <c r="X77" s="71"/>
      <c r="Y77" s="71"/>
    </row>
    <row r="78" spans="1:25" ht="14.5" customHeight="1" x14ac:dyDescent="0.4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1"/>
      <c r="T78" s="71"/>
      <c r="U78" s="71"/>
      <c r="V78" s="71"/>
      <c r="W78" s="71"/>
      <c r="X78" s="71"/>
      <c r="Y78" s="71"/>
    </row>
    <row r="79" spans="1:25" ht="14.5" customHeight="1" x14ac:dyDescent="0.4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1"/>
      <c r="T79" s="71"/>
      <c r="U79" s="71"/>
      <c r="V79" s="71"/>
      <c r="W79" s="71"/>
      <c r="X79" s="71"/>
      <c r="Y79" s="71"/>
    </row>
    <row r="80" spans="1:25" ht="14.5" customHeight="1" x14ac:dyDescent="0.4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1"/>
      <c r="T80" s="71"/>
      <c r="U80" s="71"/>
      <c r="V80" s="71"/>
      <c r="W80" s="71"/>
      <c r="X80" s="71"/>
      <c r="Y80" s="71"/>
    </row>
    <row r="81" spans="1:25" ht="14.5" customHeight="1" x14ac:dyDescent="0.4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1"/>
      <c r="T81" s="71"/>
      <c r="U81" s="71"/>
      <c r="V81" s="71"/>
      <c r="W81" s="71"/>
      <c r="X81" s="71"/>
      <c r="Y81" s="71"/>
    </row>
    <row r="82" spans="1:25" ht="14.5" customHeight="1" x14ac:dyDescent="0.4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1"/>
      <c r="T82" s="71"/>
      <c r="U82" s="71"/>
      <c r="V82" s="71"/>
      <c r="W82" s="71"/>
      <c r="X82" s="71"/>
      <c r="Y82" s="71"/>
    </row>
    <row r="83" spans="1:25" ht="14.5" customHeight="1" x14ac:dyDescent="0.4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1"/>
      <c r="T83" s="71"/>
      <c r="U83" s="71"/>
      <c r="V83" s="71"/>
      <c r="W83" s="71"/>
      <c r="X83" s="71"/>
      <c r="Y83" s="71"/>
    </row>
    <row r="84" spans="1:25" ht="14.5" customHeight="1" x14ac:dyDescent="0.4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1"/>
      <c r="T84" s="71"/>
      <c r="U84" s="71"/>
      <c r="V84" s="71"/>
      <c r="W84" s="71"/>
      <c r="X84" s="71"/>
      <c r="Y84" s="71"/>
    </row>
    <row r="85" spans="1:25" ht="14.5" customHeight="1" x14ac:dyDescent="0.4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1"/>
      <c r="T85" s="71"/>
      <c r="U85" s="71"/>
      <c r="V85" s="71"/>
      <c r="W85" s="71"/>
      <c r="X85" s="71"/>
      <c r="Y85" s="71"/>
    </row>
    <row r="86" spans="1:25" ht="14.5" customHeight="1" x14ac:dyDescent="0.4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1"/>
      <c r="T86" s="71"/>
      <c r="U86" s="71"/>
      <c r="V86" s="71"/>
      <c r="W86" s="71"/>
      <c r="X86" s="71"/>
      <c r="Y86" s="71"/>
    </row>
    <row r="87" spans="1:25" ht="14.5" customHeight="1" x14ac:dyDescent="0.4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1"/>
      <c r="T87" s="71"/>
      <c r="U87" s="71"/>
      <c r="V87" s="71"/>
      <c r="W87" s="71"/>
      <c r="X87" s="71"/>
      <c r="Y87" s="71"/>
    </row>
    <row r="88" spans="1:25" ht="14.5" customHeight="1" x14ac:dyDescent="0.4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</row>
    <row r="89" spans="1:25" ht="14.5" customHeight="1" x14ac:dyDescent="0.4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</row>
    <row r="90" spans="1:25" ht="14.5" customHeight="1" x14ac:dyDescent="0.4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</row>
    <row r="91" spans="1:25" ht="14.5" customHeight="1" x14ac:dyDescent="0.4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</row>
  </sheetData>
  <mergeCells count="1">
    <mergeCell ref="A1:E1"/>
  </mergeCells>
  <conditionalFormatting sqref="E19">
    <cfRule type="cellIs" dxfId="0" priority="1" stopIfTrue="1" operator="lessThan">
      <formula>0</formula>
    </cfRule>
  </conditionalFormatting>
  <pageMargins left="0.25" right="0.25" top="0.75" bottom="0.75" header="0.3" footer="0.3"/>
  <pageSetup scale="87" fitToHeight="0" orientation="portrait" r:id="rId1"/>
  <headerFooter>
    <oddHeader>&amp;C&amp;F</oddHeader>
    <oddFooter xml:space="preserve">&amp;CPage &amp;P&amp;R&amp;A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FY 23-24 Budget </vt:lpstr>
      <vt:lpstr>FY 23-24 Budget Condensed</vt:lpstr>
      <vt:lpstr>Cap. Assets</vt:lpstr>
      <vt:lpstr>'FY 23-24 Budget '!Print_Area</vt:lpstr>
      <vt:lpstr>'FY 23-24 Budget Condensed'!Print_Area</vt:lpstr>
      <vt:lpstr>'FY 23-24 Budget '!Print_Titles</vt:lpstr>
      <vt:lpstr>'FY 23-24 Budget Condensed'!Print_Titles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Lightner</dc:creator>
  <cp:lastModifiedBy>Elizabeth Kolb Cunningham</cp:lastModifiedBy>
  <cp:lastPrinted>2024-06-25T20:46:23Z</cp:lastPrinted>
  <dcterms:created xsi:type="dcterms:W3CDTF">2022-01-11T18:19:16Z</dcterms:created>
  <dcterms:modified xsi:type="dcterms:W3CDTF">2024-08-19T17:00:14Z</dcterms:modified>
</cp:coreProperties>
</file>