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RTHS Administration\Director of Operations\Budget\FY24\FY 24 Budget Updates\"/>
    </mc:Choice>
  </mc:AlternateContent>
  <xr:revisionPtr revIDLastSave="0" documentId="8_{492A7689-A188-431B-9B5B-8113FC9D4A9E}" xr6:coauthVersionLast="47" xr6:coauthVersionMax="47" xr10:uidLastSave="{00000000-0000-0000-0000-000000000000}"/>
  <bookViews>
    <workbookView xWindow="-110" yWindow="-110" windowWidth="24220" windowHeight="15500" xr2:uid="{540F5D0F-C056-4399-8365-725FDD23EC52}"/>
  </bookViews>
  <sheets>
    <sheet name="FY 23-24 Budget " sheetId="5" r:id="rId1"/>
    <sheet name="FY 23-24 Budget Condensed" sheetId="6" r:id="rId2"/>
    <sheet name="Cap. Assets" sheetId="2" state="hidden" r:id="rId3"/>
  </sheets>
  <definedNames>
    <definedName name="_xlnm.Print_Area" localSheetId="0">'FY 23-24 Budget '!$A$1:$T$160</definedName>
    <definedName name="_xlnm.Print_Area" localSheetId="1">'FY 23-24 Budget Condensed'!$A$1:$F$52</definedName>
    <definedName name="_xlnm.Print_Titles" localSheetId="0">'FY 23-24 Budget '!$1:$1</definedName>
    <definedName name="_xlnm.Print_Titles" localSheetId="1">'FY 23-24 Budget Condensed'!$1:$1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5" l="1"/>
  <c r="D62" i="5"/>
  <c r="D60" i="5" l="1"/>
  <c r="D133" i="5" l="1"/>
  <c r="G133" i="5"/>
  <c r="H133" i="5"/>
  <c r="I133" i="5"/>
  <c r="J133" i="5"/>
  <c r="K133" i="5"/>
  <c r="L133" i="5"/>
  <c r="M133" i="5"/>
  <c r="N133" i="5"/>
  <c r="O133" i="5"/>
  <c r="P133" i="5"/>
  <c r="Q133" i="5"/>
  <c r="D121" i="5"/>
  <c r="D99" i="5"/>
  <c r="D55" i="5"/>
  <c r="D71" i="5"/>
  <c r="D61" i="5"/>
  <c r="D67" i="5" s="1"/>
  <c r="D20" i="5"/>
  <c r="D24" i="5"/>
  <c r="D17" i="5" l="1"/>
  <c r="B25" i="5"/>
  <c r="D23" i="5" l="1"/>
  <c r="D22" i="5"/>
  <c r="D21" i="5"/>
  <c r="D19" i="5"/>
  <c r="D18" i="5"/>
  <c r="D16" i="5"/>
  <c r="D15" i="5"/>
  <c r="D14" i="5"/>
  <c r="D25" i="5" s="1"/>
  <c r="D5" i="5"/>
  <c r="D8" i="5"/>
  <c r="T151" i="5" l="1"/>
  <c r="T147" i="5"/>
  <c r="T146" i="5"/>
  <c r="T145" i="5"/>
  <c r="C155" i="5"/>
  <c r="C145" i="5"/>
  <c r="C144" i="5"/>
  <c r="C143" i="5"/>
  <c r="D134" i="5"/>
  <c r="C141" i="5" s="1"/>
  <c r="D33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D7" i="5"/>
  <c r="D13" i="5" s="1"/>
  <c r="D38" i="5" l="1"/>
  <c r="D135" i="5" s="1"/>
  <c r="F46" i="5"/>
  <c r="F70" i="5"/>
  <c r="F90" i="5"/>
  <c r="F41" i="5"/>
  <c r="F103" i="5"/>
  <c r="F102" i="5"/>
  <c r="F123" i="5"/>
  <c r="F133" i="5" s="1"/>
  <c r="F114" i="5"/>
  <c r="D1" i="6"/>
  <c r="S1" i="5"/>
  <c r="E1" i="6" s="1"/>
  <c r="D138" i="5" l="1"/>
  <c r="C153" i="5" s="1"/>
  <c r="T141" i="5"/>
  <c r="E70" i="5"/>
  <c r="R11" i="5" l="1"/>
  <c r="R109" i="5"/>
  <c r="R110" i="5"/>
  <c r="R115" i="5"/>
  <c r="S110" i="5"/>
  <c r="R132" i="5"/>
  <c r="S132" i="5" s="1"/>
  <c r="R131" i="5"/>
  <c r="S131" i="5" s="1"/>
  <c r="R130" i="5"/>
  <c r="S130" i="5" s="1"/>
  <c r="R129" i="5"/>
  <c r="S129" i="5" s="1"/>
  <c r="R128" i="5"/>
  <c r="S128" i="5" s="1"/>
  <c r="R127" i="5"/>
  <c r="S127" i="5" s="1"/>
  <c r="R126" i="5"/>
  <c r="R124" i="5"/>
  <c r="R123" i="5"/>
  <c r="S123" i="5" s="1"/>
  <c r="R120" i="5"/>
  <c r="S120" i="5" s="1"/>
  <c r="R119" i="5"/>
  <c r="S119" i="5" s="1"/>
  <c r="R118" i="5"/>
  <c r="S118" i="5" s="1"/>
  <c r="R117" i="5"/>
  <c r="S117" i="5" s="1"/>
  <c r="R116" i="5"/>
  <c r="S116" i="5" s="1"/>
  <c r="R114" i="5"/>
  <c r="S114" i="5" s="1"/>
  <c r="R113" i="5"/>
  <c r="S113" i="5" s="1"/>
  <c r="R112" i="5"/>
  <c r="R108" i="5"/>
  <c r="R107" i="5"/>
  <c r="R106" i="5"/>
  <c r="R105" i="5"/>
  <c r="S105" i="5" s="1"/>
  <c r="R104" i="5"/>
  <c r="S104" i="5" s="1"/>
  <c r="R103" i="5"/>
  <c r="S103" i="5" s="1"/>
  <c r="R102" i="5"/>
  <c r="S102" i="5" s="1"/>
  <c r="R101" i="5"/>
  <c r="R98" i="5"/>
  <c r="S98" i="5" s="1"/>
  <c r="R97" i="5"/>
  <c r="R96" i="5"/>
  <c r="S96" i="5" s="1"/>
  <c r="R95" i="5"/>
  <c r="S95" i="5" s="1"/>
  <c r="R94" i="5"/>
  <c r="S94" i="5" s="1"/>
  <c r="R93" i="5"/>
  <c r="S93" i="5" s="1"/>
  <c r="R92" i="5"/>
  <c r="S92" i="5" s="1"/>
  <c r="R91" i="5"/>
  <c r="R90" i="5"/>
  <c r="S90" i="5" s="1"/>
  <c r="R89" i="5"/>
  <c r="S89" i="5" s="1"/>
  <c r="R88" i="5"/>
  <c r="S88" i="5" s="1"/>
  <c r="R87" i="5"/>
  <c r="S87" i="5" s="1"/>
  <c r="R86" i="5"/>
  <c r="S86" i="5" s="1"/>
  <c r="R85" i="5"/>
  <c r="S85" i="5" s="1"/>
  <c r="R84" i="5"/>
  <c r="S84" i="5" s="1"/>
  <c r="R83" i="5"/>
  <c r="S83" i="5" s="1"/>
  <c r="R82" i="5"/>
  <c r="S82" i="5" s="1"/>
  <c r="R81" i="5"/>
  <c r="S81" i="5" s="1"/>
  <c r="R80" i="5"/>
  <c r="S80" i="5" s="1"/>
  <c r="R79" i="5"/>
  <c r="S79" i="5" s="1"/>
  <c r="R78" i="5"/>
  <c r="R77" i="5"/>
  <c r="S77" i="5" s="1"/>
  <c r="R76" i="5"/>
  <c r="S76" i="5" s="1"/>
  <c r="R75" i="5"/>
  <c r="S75" i="5" s="1"/>
  <c r="R74" i="5"/>
  <c r="S74" i="5" s="1"/>
  <c r="R73" i="5"/>
  <c r="S73" i="5" s="1"/>
  <c r="R69" i="5"/>
  <c r="S69" i="5" s="1"/>
  <c r="R66" i="5"/>
  <c r="S66" i="5" s="1"/>
  <c r="R65" i="5"/>
  <c r="S65" i="5" s="1"/>
  <c r="R64" i="5"/>
  <c r="R63" i="5"/>
  <c r="S63" i="5" s="1"/>
  <c r="R62" i="5"/>
  <c r="R61" i="5"/>
  <c r="R60" i="5"/>
  <c r="R59" i="5"/>
  <c r="S59" i="5" s="1"/>
  <c r="R58" i="5"/>
  <c r="S58" i="5" s="1"/>
  <c r="R57" i="5"/>
  <c r="R54" i="5"/>
  <c r="S54" i="5" s="1"/>
  <c r="R53" i="5"/>
  <c r="R52" i="5"/>
  <c r="S52" i="5" s="1"/>
  <c r="R51" i="5"/>
  <c r="S51" i="5" s="1"/>
  <c r="R50" i="5"/>
  <c r="R49" i="5"/>
  <c r="S49" i="5" s="1"/>
  <c r="R48" i="5"/>
  <c r="R47" i="5"/>
  <c r="S47" i="5" s="1"/>
  <c r="R44" i="5"/>
  <c r="R43" i="5"/>
  <c r="S43" i="5" s="1"/>
  <c r="R42" i="5"/>
  <c r="S42" i="5" s="1"/>
  <c r="R40" i="5"/>
  <c r="S40" i="5" s="1"/>
  <c r="E41" i="5"/>
  <c r="R41" i="5" s="1"/>
  <c r="S41" i="5" s="1"/>
  <c r="E46" i="5" l="1"/>
  <c r="R46" i="5" s="1"/>
  <c r="S46" i="5" s="1"/>
  <c r="R70" i="5"/>
  <c r="E111" i="5"/>
  <c r="R111" i="5" s="1"/>
  <c r="E125" i="5"/>
  <c r="E35" i="5"/>
  <c r="R125" i="5" l="1"/>
  <c r="S125" i="5" s="1"/>
  <c r="E133" i="5"/>
  <c r="C30" i="6"/>
  <c r="D30" i="6" s="1"/>
  <c r="D17" i="6"/>
  <c r="D18" i="6"/>
  <c r="D19" i="6"/>
  <c r="D20" i="6"/>
  <c r="D16" i="6"/>
  <c r="M13" i="5" l="1"/>
  <c r="R37" i="5"/>
  <c r="D13" i="6" s="1"/>
  <c r="R36" i="5"/>
  <c r="R35" i="5"/>
  <c r="R34" i="5"/>
  <c r="R31" i="5"/>
  <c r="R32" i="5"/>
  <c r="S32" i="5" s="1"/>
  <c r="R30" i="5"/>
  <c r="S30" i="5" s="1"/>
  <c r="R29" i="5"/>
  <c r="R28" i="5"/>
  <c r="S28" i="5" s="1"/>
  <c r="R27" i="5"/>
  <c r="R26" i="5"/>
  <c r="S26" i="5" s="1"/>
  <c r="R15" i="5"/>
  <c r="R16" i="5"/>
  <c r="R17" i="5"/>
  <c r="R18" i="5"/>
  <c r="R19" i="5"/>
  <c r="R20" i="5"/>
  <c r="R21" i="5"/>
  <c r="R22" i="5"/>
  <c r="R23" i="5"/>
  <c r="R24" i="5"/>
  <c r="R14" i="5"/>
  <c r="R9" i="5"/>
  <c r="S9" i="5" s="1"/>
  <c r="R8" i="5"/>
  <c r="R10" i="5"/>
  <c r="S10" i="5" s="1"/>
  <c r="R12" i="5"/>
  <c r="R7" i="5"/>
  <c r="E13" i="5"/>
  <c r="E38" i="5" s="1"/>
  <c r="F13" i="5"/>
  <c r="F38" i="5" s="1"/>
  <c r="G13" i="5"/>
  <c r="G38" i="5" s="1"/>
  <c r="H13" i="5"/>
  <c r="H38" i="5" s="1"/>
  <c r="I13" i="5"/>
  <c r="J13" i="5"/>
  <c r="K13" i="5"/>
  <c r="L13" i="5"/>
  <c r="N13" i="5"/>
  <c r="N38" i="5" s="1"/>
  <c r="O13" i="5"/>
  <c r="O38" i="5" s="1"/>
  <c r="P13" i="5"/>
  <c r="P38" i="5" s="1"/>
  <c r="Q13" i="5"/>
  <c r="Q38" i="5" s="1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133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R25" i="5" l="1"/>
  <c r="L38" i="5"/>
  <c r="K38" i="5"/>
  <c r="J38" i="5"/>
  <c r="I38" i="5"/>
  <c r="M38" i="5"/>
  <c r="D22" i="6"/>
  <c r="D26" i="6"/>
  <c r="D21" i="6"/>
  <c r="S34" i="5"/>
  <c r="D10" i="6"/>
  <c r="D24" i="6"/>
  <c r="D11" i="6"/>
  <c r="S35" i="5"/>
  <c r="D12" i="6"/>
  <c r="S36" i="5"/>
  <c r="D23" i="6"/>
  <c r="D25" i="6"/>
  <c r="M134" i="5"/>
  <c r="R33" i="5"/>
  <c r="N134" i="5"/>
  <c r="Q134" i="5"/>
  <c r="Q135" i="5" s="1"/>
  <c r="I134" i="5"/>
  <c r="I135" i="5" s="1"/>
  <c r="E134" i="5"/>
  <c r="K134" i="5"/>
  <c r="J134" i="5"/>
  <c r="F134" i="5"/>
  <c r="P134" i="5"/>
  <c r="H134" i="5"/>
  <c r="R134" i="5"/>
  <c r="L134" i="5"/>
  <c r="O134" i="5"/>
  <c r="G134" i="5"/>
  <c r="R13" i="5"/>
  <c r="O135" i="5" l="1"/>
  <c r="D27" i="6"/>
  <c r="D9" i="6"/>
  <c r="M135" i="5"/>
  <c r="D7" i="6"/>
  <c r="H135" i="5"/>
  <c r="D8" i="6"/>
  <c r="L135" i="5"/>
  <c r="N135" i="5"/>
  <c r="P135" i="5"/>
  <c r="G135" i="5"/>
  <c r="R38" i="5"/>
  <c r="K135" i="5"/>
  <c r="E135" i="5"/>
  <c r="E138" i="5" s="1"/>
  <c r="J135" i="5"/>
  <c r="F135" i="5"/>
  <c r="D14" i="6" l="1"/>
  <c r="R135" i="5"/>
  <c r="R138" i="5" s="1"/>
  <c r="F138" i="5"/>
  <c r="G138" i="5" s="1"/>
  <c r="H138" i="5" s="1"/>
  <c r="I138" i="5" s="1"/>
  <c r="J138" i="5" s="1"/>
  <c r="K138" i="5" s="1"/>
  <c r="L138" i="5" s="1"/>
  <c r="M138" i="5" s="1"/>
  <c r="N138" i="5" s="1"/>
  <c r="O138" i="5" s="1"/>
  <c r="P138" i="5" s="1"/>
  <c r="Q138" i="5" s="1"/>
  <c r="C17" i="6"/>
  <c r="E17" i="6" s="1"/>
  <c r="C18" i="6"/>
  <c r="E18" i="6" s="1"/>
  <c r="C19" i="6"/>
  <c r="E19" i="6" s="1"/>
  <c r="C20" i="6"/>
  <c r="C16" i="6"/>
  <c r="E16" i="6" s="1"/>
  <c r="C11" i="6"/>
  <c r="E11" i="6" s="1"/>
  <c r="C12" i="6"/>
  <c r="E12" i="6" s="1"/>
  <c r="C13" i="6"/>
  <c r="C10" i="6"/>
  <c r="E10" i="6" s="1"/>
  <c r="C8" i="5"/>
  <c r="S8" i="5" s="1"/>
  <c r="D28" i="6" l="1"/>
  <c r="D31" i="6" s="1"/>
  <c r="C106" i="5"/>
  <c r="S106" i="5" s="1"/>
  <c r="C70" i="5"/>
  <c r="S70" i="5" s="1"/>
  <c r="C107" i="5" l="1"/>
  <c r="S107" i="5" s="1"/>
  <c r="C78" i="5"/>
  <c r="S78" i="5" s="1"/>
  <c r="C64" i="5"/>
  <c r="S64" i="5" s="1"/>
  <c r="C60" i="5"/>
  <c r="S60" i="5" s="1"/>
  <c r="C57" i="5"/>
  <c r="C53" i="5"/>
  <c r="S23" i="5"/>
  <c r="S22" i="5"/>
  <c r="S21" i="5"/>
  <c r="S19" i="5"/>
  <c r="S18" i="5"/>
  <c r="S16" i="5"/>
  <c r="S15" i="5"/>
  <c r="S14" i="5"/>
  <c r="C7" i="5"/>
  <c r="S7" i="5" s="1"/>
  <c r="C61" i="5" l="1"/>
  <c r="C62" i="5"/>
  <c r="S57" i="5"/>
  <c r="C48" i="5"/>
  <c r="S48" i="5" s="1"/>
  <c r="S53" i="5"/>
  <c r="S62" i="5"/>
  <c r="C126" i="5"/>
  <c r="S126" i="5" s="1"/>
  <c r="C112" i="5"/>
  <c r="S112" i="5" s="1"/>
  <c r="C111" i="5"/>
  <c r="S111" i="5" s="1"/>
  <c r="C108" i="5"/>
  <c r="S108" i="5" s="1"/>
  <c r="C99" i="5"/>
  <c r="C71" i="5"/>
  <c r="C33" i="5"/>
  <c r="C13" i="5"/>
  <c r="C55" i="5" l="1"/>
  <c r="C21" i="6" s="1"/>
  <c r="E21" i="6" s="1"/>
  <c r="C23" i="6"/>
  <c r="E23" i="6" s="1"/>
  <c r="S71" i="5"/>
  <c r="C24" i="6"/>
  <c r="E24" i="6" s="1"/>
  <c r="S99" i="5"/>
  <c r="C133" i="5"/>
  <c r="C7" i="6"/>
  <c r="E7" i="6" s="1"/>
  <c r="S13" i="5"/>
  <c r="C9" i="6"/>
  <c r="E9" i="6" s="1"/>
  <c r="S33" i="5"/>
  <c r="C67" i="5"/>
  <c r="S61" i="5"/>
  <c r="C121" i="5"/>
  <c r="C134" i="5" l="1"/>
  <c r="S55" i="5"/>
  <c r="C146" i="5"/>
  <c r="S134" i="5"/>
  <c r="C25" i="6"/>
  <c r="E25" i="6" s="1"/>
  <c r="S121" i="5"/>
  <c r="C26" i="6"/>
  <c r="E26" i="6" s="1"/>
  <c r="S133" i="5"/>
  <c r="C22" i="6"/>
  <c r="E22" i="6" s="1"/>
  <c r="S67" i="5"/>
  <c r="C38" i="6"/>
  <c r="C37" i="6"/>
  <c r="F44" i="6"/>
  <c r="F40" i="6"/>
  <c r="F39" i="6"/>
  <c r="F38" i="6"/>
  <c r="C36" i="6"/>
  <c r="C48" i="6"/>
  <c r="C47" i="6"/>
  <c r="F46" i="6"/>
  <c r="F45" i="6"/>
  <c r="C154" i="5"/>
  <c r="T153" i="5"/>
  <c r="T152" i="5"/>
  <c r="C27" i="6" l="1"/>
  <c r="E27" i="6" s="1"/>
  <c r="C25" i="5" l="1"/>
  <c r="S25" i="5" s="1"/>
  <c r="S17" i="5"/>
  <c r="C8" i="6" l="1"/>
  <c r="C38" i="5"/>
  <c r="E15" i="2"/>
  <c r="C14" i="6" l="1"/>
  <c r="E14" i="6" s="1"/>
  <c r="E8" i="6"/>
  <c r="C135" i="5"/>
  <c r="S38" i="5"/>
  <c r="C34" i="6"/>
  <c r="C39" i="6" s="1"/>
  <c r="C41" i="6" s="1"/>
  <c r="C28" i="6" l="1"/>
  <c r="F34" i="6" s="1"/>
  <c r="F43" i="6" s="1"/>
  <c r="F47" i="6" s="1"/>
  <c r="C138" i="5"/>
  <c r="C148" i="5"/>
  <c r="C50" i="6"/>
  <c r="C43" i="6"/>
  <c r="C31" i="6" l="1"/>
  <c r="C46" i="6" s="1"/>
  <c r="C49" i="6" s="1"/>
  <c r="C51" i="6" s="1"/>
  <c r="F49" i="6"/>
  <c r="F50" i="6"/>
  <c r="T150" i="5"/>
  <c r="T154" i="5" s="1"/>
  <c r="C156" i="5"/>
  <c r="C157" i="5"/>
  <c r="C150" i="5"/>
  <c r="C158" i="5" l="1"/>
  <c r="T156" i="5"/>
  <c r="T15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Mitchell</author>
    <author>Nicole Lightner</author>
  </authors>
  <commentList>
    <comment ref="A51" authorId="0" shapeId="0" xr:uid="{5FCDBD58-FD78-4C7D-9C90-4E18CD2A82D5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Triad Total Care</t>
        </r>
      </text>
    </comment>
    <comment ref="A52" authorId="0" shapeId="0" xr:uid="{1C2E3234-052D-453D-865E-2D7A9B0BA21F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Triad Total Care</t>
        </r>
      </text>
    </comment>
    <comment ref="A53" authorId="0" shapeId="0" xr:uid="{C2FA07B8-DA6E-4031-BD90-DD372E15FA7F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CCAC</t>
        </r>
      </text>
    </comment>
    <comment ref="A54" authorId="0" shapeId="0" xr:uid="{548F5793-D39F-4D89-B4DA-498D8C77FD63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A&amp;H Lawncare</t>
        </r>
      </text>
    </comment>
    <comment ref="F85" authorId="1" shapeId="0" xr:uid="{D25AE564-83B0-495C-9F16-A9B330EEFF8A}">
      <text>
        <r>
          <rPr>
            <sz val="9"/>
            <color indexed="81"/>
            <rFont val="Tahoma"/>
            <family val="2"/>
          </rPr>
          <t>PRC 118 Purchase</t>
        </r>
      </text>
    </comment>
    <comment ref="A92" authorId="0" shapeId="0" xr:uid="{DA0C6439-05D7-4314-AA3D-E12798D56AEC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Invision Services</t>
        </r>
      </text>
    </comment>
    <comment ref="A93" authorId="0" shapeId="0" xr:uid="{E834478F-DCAD-4184-99FA-EDB3FFE24047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Triangle Development Services</t>
        </r>
      </text>
    </comment>
    <comment ref="A94" authorId="0" shapeId="0" xr:uid="{08E26947-3805-423B-B834-328C4D57CB98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Overcomers</t>
        </r>
      </text>
    </comment>
    <comment ref="A95" authorId="0" shapeId="0" xr:uid="{6AA0F791-43C4-4C90-BAF9-8FB2FEF6C9AA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Public Consulting Group</t>
        </r>
      </text>
    </comment>
    <comment ref="A96" authorId="0" shapeId="0" xr:uid="{47AD7B05-5CD4-4D43-A854-59EBF1AF88B5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Apex Occupational Therapy</t>
        </r>
      </text>
    </comment>
    <comment ref="A97" authorId="0" shapeId="0" xr:uid="{E232E103-D052-45B3-B362-389B843F2063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Full Circle Interpreting </t>
        </r>
      </text>
    </comment>
    <comment ref="A98" authorId="0" shapeId="0" xr:uid="{FBC812AF-0EDB-4E3F-A5B6-EB6E16EC5EFD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AHB Center for Behavioral Health &amp; Wellness</t>
        </r>
      </text>
    </comment>
    <comment ref="F102" authorId="1" shapeId="0" xr:uid="{19DE013A-5172-49FA-AC69-CA32D9EDEEC0}">
      <text>
        <r>
          <rPr>
            <sz val="9"/>
            <color indexed="81"/>
            <rFont val="Tahoma"/>
            <family val="2"/>
          </rPr>
          <t>$20K - Setser Group</t>
        </r>
      </text>
    </comment>
    <comment ref="A105" authorId="0" shapeId="0" xr:uid="{B896440E-8D0E-4AD3-8CCA-E9E2C0855F66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AltHR</t>
        </r>
      </text>
    </comment>
    <comment ref="A106" authorId="0" shapeId="0" xr:uid="{9AF350DD-5C7E-4BD7-9790-DBEE4C377AFC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Northstar New in FY23</t>
        </r>
      </text>
    </comment>
    <comment ref="A107" authorId="0" shapeId="0" xr:uid="{343FECA5-BC52-47AD-AD2A-5DEF955EE7E8}">
      <text>
        <r>
          <rPr>
            <b/>
            <sz val="9"/>
            <color indexed="81"/>
            <rFont val="Tahoma"/>
            <family val="2"/>
          </rPr>
          <t>Brandon Mitchell:</t>
        </r>
        <r>
          <rPr>
            <sz val="9"/>
            <color indexed="81"/>
            <rFont val="Tahoma"/>
            <family val="2"/>
          </rPr>
          <t xml:space="preserve">
Toshiba</t>
        </r>
      </text>
    </comment>
    <comment ref="R111" authorId="1" shapeId="0" xr:uid="{C521F2EC-E45F-42B6-96F8-83216A674E55}">
      <text>
        <r>
          <rPr>
            <sz val="9"/>
            <color indexed="81"/>
            <rFont val="Tahoma"/>
            <family val="2"/>
          </rPr>
          <t>Commercial $19,025.79
Cyber $4,880.55</t>
        </r>
      </text>
    </comment>
    <comment ref="R116" authorId="1" shapeId="0" xr:uid="{C6B359E7-2AA5-44E3-B34A-786079C629DF}">
      <text>
        <r>
          <rPr>
            <sz val="9"/>
            <color indexed="81"/>
            <rFont val="Tahoma"/>
            <family val="2"/>
          </rPr>
          <t>July/August</t>
        </r>
      </text>
    </comment>
  </commentList>
</comments>
</file>

<file path=xl/sharedStrings.xml><?xml version="1.0" encoding="utf-8"?>
<sst xmlns="http://schemas.openxmlformats.org/spreadsheetml/2006/main" count="289" uniqueCount="211">
  <si>
    <t>Research Triangle High School</t>
  </si>
  <si>
    <t>Revenue</t>
  </si>
  <si>
    <t>State Funds - Revenue</t>
  </si>
  <si>
    <t xml:space="preserve">State EC Funds </t>
  </si>
  <si>
    <t>State Funds - NCVPS</t>
  </si>
  <si>
    <t>State Funds - Fines &amp; Forfeitures</t>
  </si>
  <si>
    <t>State Funds - COVID-19</t>
  </si>
  <si>
    <t>State Funds - Other Funds (non-recurring)</t>
  </si>
  <si>
    <t>Alamance County Funds</t>
  </si>
  <si>
    <t>Chapel Hill Funds</t>
  </si>
  <si>
    <t>Chatham County Funds</t>
  </si>
  <si>
    <t>Durham County Funds</t>
  </si>
  <si>
    <t xml:space="preserve">Franklin County Funds   </t>
  </si>
  <si>
    <t>Granville County Funds</t>
  </si>
  <si>
    <t>Harnett County Funds</t>
  </si>
  <si>
    <t xml:space="preserve">Orange County Funds </t>
  </si>
  <si>
    <t>Wake County Funds</t>
  </si>
  <si>
    <t>Federal Funds - PRC 060 (EC)</t>
  </si>
  <si>
    <t>Federal Funds - PRC 050</t>
  </si>
  <si>
    <t>Federal Funds - PRC 103</t>
  </si>
  <si>
    <t>Federal Funds - PRC 108</t>
  </si>
  <si>
    <t>Federal Funds - PRC 118</t>
  </si>
  <si>
    <t>Federal Funds - COVID-19</t>
  </si>
  <si>
    <t xml:space="preserve">Grant Funds SRSA </t>
  </si>
  <si>
    <t>Sales &amp; Use Tax Refund</t>
  </si>
  <si>
    <t>Corporate/Board/Private Donations</t>
  </si>
  <si>
    <t>Interest Income</t>
  </si>
  <si>
    <t xml:space="preserve">Other </t>
  </si>
  <si>
    <t>Total Revenue</t>
  </si>
  <si>
    <t>Expenses</t>
  </si>
  <si>
    <t>Principal</t>
  </si>
  <si>
    <t>Interest</t>
  </si>
  <si>
    <t>Bond Costs</t>
  </si>
  <si>
    <t>Repair and Replacement Fund Transfer</t>
  </si>
  <si>
    <t>Capitalized Improvements/Purchases</t>
  </si>
  <si>
    <t>Building Expenses</t>
  </si>
  <si>
    <t xml:space="preserve">Utilities    - elec, water and trash                                  </t>
  </si>
  <si>
    <t xml:space="preserve">   Total Building Expenses</t>
  </si>
  <si>
    <t>Salaries</t>
  </si>
  <si>
    <t>Substitutes</t>
  </si>
  <si>
    <t>Contracted Financial Services</t>
  </si>
  <si>
    <t>Personal Leave</t>
  </si>
  <si>
    <t>Health Insurance - State Plan</t>
  </si>
  <si>
    <t xml:space="preserve">Retirement - State 457 Plan + Match </t>
  </si>
  <si>
    <t xml:space="preserve">Payroll Taxes - 7.65% </t>
  </si>
  <si>
    <t>NC Flex Plan Fees</t>
  </si>
  <si>
    <t>SUTA</t>
  </si>
  <si>
    <t>Workers Comp Insurance</t>
  </si>
  <si>
    <t>Bonus</t>
  </si>
  <si>
    <t>Technology</t>
  </si>
  <si>
    <t>Educational Programs</t>
  </si>
  <si>
    <t>Textbooks/Assessment</t>
  </si>
  <si>
    <t>Digital Resources &amp; SW Licenses</t>
  </si>
  <si>
    <t>Staff Development</t>
  </si>
  <si>
    <t>Furniture &amp; Fixtures</t>
  </si>
  <si>
    <t>Telephone/Communications</t>
  </si>
  <si>
    <t>General Insurance</t>
  </si>
  <si>
    <t>Other Expenses</t>
  </si>
  <si>
    <t>COVID-19 Expenses</t>
  </si>
  <si>
    <t>Board of Director Materials</t>
  </si>
  <si>
    <t>Fundraising/Development</t>
  </si>
  <si>
    <t>LINQ Software Support</t>
  </si>
  <si>
    <t xml:space="preserve">Legal &amp; Consulting </t>
  </si>
  <si>
    <t>Food Services</t>
  </si>
  <si>
    <t xml:space="preserve">Sales Tax </t>
  </si>
  <si>
    <t>Social Service Fund</t>
  </si>
  <si>
    <t>Robotics</t>
  </si>
  <si>
    <t>Transfer to Raptorium</t>
  </si>
  <si>
    <t>Total Expenses</t>
  </si>
  <si>
    <t>Surplus</t>
  </si>
  <si>
    <t>Security Deposit</t>
  </si>
  <si>
    <t>Surplus from Previous Years</t>
  </si>
  <si>
    <t>Ending Cash Balance</t>
  </si>
  <si>
    <t>Liquidity Requirement Calculation:</t>
  </si>
  <si>
    <t>Debt Service Coverage Ratio Calculation:</t>
  </si>
  <si>
    <t>Surplus (cash basis)</t>
  </si>
  <si>
    <t>Clubs, PTSO, Boosters Expenses (projected)</t>
  </si>
  <si>
    <t>Net Income - Raptorium</t>
  </si>
  <si>
    <t>Less: Capitalized Purchases</t>
  </si>
  <si>
    <t>Net Income - Clubs, PTSO, Boosters</t>
  </si>
  <si>
    <t>Less: Principal Payments</t>
  </si>
  <si>
    <t>Net Income - US Bank</t>
  </si>
  <si>
    <t xml:space="preserve">Less: Repair and Replacement Fund Transfer </t>
  </si>
  <si>
    <t>Add: Repair and Replacement Fund Transfer</t>
  </si>
  <si>
    <t>Total Operating Expenses</t>
  </si>
  <si>
    <t>Add: Capitalized Items</t>
  </si>
  <si>
    <t>Divided by 365 days</t>
  </si>
  <si>
    <t>Add: Principal Payments</t>
  </si>
  <si>
    <t>Operating Expense per Day</t>
  </si>
  <si>
    <t>Less: Amortization</t>
  </si>
  <si>
    <t>Multiplied by 45 days</t>
  </si>
  <si>
    <t>Less: Depreciation</t>
  </si>
  <si>
    <t>Minimum balance required for unrestricted cash and cash equivalents</t>
  </si>
  <si>
    <t>Change in Net Assets</t>
  </si>
  <si>
    <t>Add: Interest</t>
  </si>
  <si>
    <t>Add: Amortization</t>
  </si>
  <si>
    <t>Add: Depreciation</t>
  </si>
  <si>
    <t>Raptorium Cash</t>
  </si>
  <si>
    <t>Net Income Available for Debt Service</t>
  </si>
  <si>
    <t>Clubs, PTSO, Boosters Cash</t>
  </si>
  <si>
    <t>Maximum Annual Debt Service</t>
  </si>
  <si>
    <t>Total Unrestricted Cash and Cash Equivalents</t>
  </si>
  <si>
    <t>Projected Debt Service Coverage Ratio</t>
  </si>
  <si>
    <t>Divided by Operating Expense per Day</t>
  </si>
  <si>
    <t>Excess of DSCR Requirement</t>
  </si>
  <si>
    <t>Projected Days Cash on Hand</t>
  </si>
  <si>
    <t>Required DSCR in Covenants</t>
  </si>
  <si>
    <t>Liquidity Requirement for Days Cash on Hand</t>
  </si>
  <si>
    <t>Research Triangle High School - Capitalized Assets</t>
  </si>
  <si>
    <t>Account Code</t>
  </si>
  <si>
    <t>Account Name</t>
  </si>
  <si>
    <t>Date Paid</t>
  </si>
  <si>
    <t>Vendor</t>
  </si>
  <si>
    <t>Amount</t>
  </si>
  <si>
    <t>Totals</t>
  </si>
  <si>
    <t>Safety - Off Duty Officer</t>
  </si>
  <si>
    <t xml:space="preserve">Cumberland County Funds </t>
  </si>
  <si>
    <t>Maintenance &amp; Repair</t>
  </si>
  <si>
    <t>Grounds - Landscaping</t>
  </si>
  <si>
    <t>HVAC</t>
  </si>
  <si>
    <t>Carpet - Tile Cleaning</t>
  </si>
  <si>
    <t>Contracted HR Services</t>
  </si>
  <si>
    <t>Student Information Management Services</t>
  </si>
  <si>
    <t>Contracted Printing Services</t>
  </si>
  <si>
    <t>Contracted Audit Services</t>
  </si>
  <si>
    <t>Custodial - Supplies/Materials</t>
  </si>
  <si>
    <t>Marketing/Advertising</t>
  </si>
  <si>
    <t>Travel &amp; Mileage Reimbursement</t>
  </si>
  <si>
    <t>Staff Dev - PD Meals</t>
  </si>
  <si>
    <t>Edu Materials - Science Dept</t>
  </si>
  <si>
    <t>Edu Materials - Languages Dept</t>
  </si>
  <si>
    <t>Edu Materials - History Dept</t>
  </si>
  <si>
    <t>Edu Materials - Arts Dept</t>
  </si>
  <si>
    <t>Edu Materials - Math Dept</t>
  </si>
  <si>
    <t>Edu Materials - PE Dept</t>
  </si>
  <si>
    <t>Education Materials - EC Dept</t>
  </si>
  <si>
    <t>Staff Development - EC</t>
  </si>
  <si>
    <t>Psychoeducational Assessments</t>
  </si>
  <si>
    <t>Occupational Therapy</t>
  </si>
  <si>
    <t xml:space="preserve">Visually Impared &amp; Orientation </t>
  </si>
  <si>
    <t xml:space="preserve">Speech-Language Therapy </t>
  </si>
  <si>
    <t>Mental Health Service</t>
  </si>
  <si>
    <t>Web-based IEP Service</t>
  </si>
  <si>
    <t>Counseling - Staff Dev</t>
  </si>
  <si>
    <t>Athletics</t>
  </si>
  <si>
    <t>Senior Class Events</t>
  </si>
  <si>
    <t>Graduation</t>
  </si>
  <si>
    <t>Staff Snacks (Joy Room)</t>
  </si>
  <si>
    <t>Daily Bus Services</t>
  </si>
  <si>
    <t>Interpreting and Written Translation Service</t>
  </si>
  <si>
    <t>ADM</t>
  </si>
  <si>
    <t>State Funding per ADM</t>
  </si>
  <si>
    <t>EC ADM</t>
  </si>
  <si>
    <t>State EC Funding per ADM</t>
  </si>
  <si>
    <t>Custodial Services</t>
  </si>
  <si>
    <t>Administrative Expenses</t>
  </si>
  <si>
    <t>Testing (AP/PSAT)</t>
  </si>
  <si>
    <t xml:space="preserve">Counseling/College Dept </t>
  </si>
  <si>
    <t xml:space="preserve">   Total State Funding</t>
  </si>
  <si>
    <t xml:space="preserve">   Total County Funding</t>
  </si>
  <si>
    <t xml:space="preserve">   Total Federal Funding</t>
  </si>
  <si>
    <t xml:space="preserve">Information Technology </t>
  </si>
  <si>
    <t>Facility Contracted Services:</t>
  </si>
  <si>
    <t>Support Services</t>
  </si>
  <si>
    <t>Administration Contracted Services:</t>
  </si>
  <si>
    <t>Transportation Contracted Services:</t>
  </si>
  <si>
    <t>Transportation - Fuel</t>
  </si>
  <si>
    <t>Transportation Maintenance</t>
  </si>
  <si>
    <t xml:space="preserve">   Total Support Services</t>
  </si>
  <si>
    <t>Total State Funding</t>
  </si>
  <si>
    <t>Total County Funding</t>
  </si>
  <si>
    <t>Total Federal Funding</t>
  </si>
  <si>
    <t>Total Information Technology</t>
  </si>
  <si>
    <t>Personnel Costs</t>
  </si>
  <si>
    <t>Information Technology</t>
  </si>
  <si>
    <t>Instructional Services</t>
  </si>
  <si>
    <t xml:space="preserve">   Total Personnel Costs</t>
  </si>
  <si>
    <t xml:space="preserve">   Total Instructional Services</t>
  </si>
  <si>
    <t xml:space="preserve">   Total Other Expenses</t>
  </si>
  <si>
    <t>585</t>
  </si>
  <si>
    <t>Schoolmint</t>
  </si>
  <si>
    <t>Special Event Transportation Services</t>
  </si>
  <si>
    <t>Background Checks</t>
  </si>
  <si>
    <t>44</t>
  </si>
  <si>
    <r>
      <t xml:space="preserve">EC Contracted Services: </t>
    </r>
    <r>
      <rPr>
        <sz val="10"/>
        <color rgb="FF000000"/>
        <rFont val="Calibri"/>
        <family val="2"/>
      </rPr>
      <t>($50,000 FY23)</t>
    </r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</si>
  <si>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</si>
  <si>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</si>
  <si>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</si>
  <si>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</si>
  <si>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</si>
  <si>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</si>
  <si>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</si>
  <si>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</si>
  <si>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</si>
  <si>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</si>
  <si>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</si>
  <si>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</si>
  <si>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A/R &amp; A/P</t>
  </si>
  <si>
    <t>Comments:</t>
  </si>
  <si>
    <t>FY 2023-2024            Approved Budget</t>
  </si>
  <si>
    <t xml:space="preserve">FY 2023-2024           Approved Budget  </t>
  </si>
  <si>
    <t>Actuals as of 8.31.23</t>
  </si>
  <si>
    <t>FY 2023 -2024 Working Budget</t>
  </si>
  <si>
    <t>$/ADM DPI said Charters could use for planning purposes</t>
  </si>
  <si>
    <t>July/Aug Payment $395/ADM - Subject to Change</t>
  </si>
  <si>
    <t>Added 2% increase</t>
  </si>
  <si>
    <t>Changed to include only Signing Bonuses in Contracts</t>
  </si>
  <si>
    <t>Mecklenburg County Funds</t>
  </si>
  <si>
    <t>Adjusted ADM to current breakdown by county</t>
  </si>
  <si>
    <t>560</t>
  </si>
  <si>
    <t>Based on Current Staff 9/14 + Dean of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</si>
</sst>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* #,##0&quot; &quot;;&quot; &quot;* \(#,##0\);&quot; &quot;* &quot;-&quot;??&quot; &quot;"/>
    <numFmt numFmtId="165" formatCode="&quot; &quot;* #,##0.00&quot; &quot;;&quot; &quot;* \(#,##0.00\);&quot; &quot;* &quot;-&quot;??&quot; &quot;"/>
    <numFmt numFmtId="166" formatCode="&quot; &quot;&quot;$&quot;* #,##0.00&quot; &quot;;&quot; &quot;&quot;$&quot;* \(#,##0.00\);&quot; &quot;&quot;$&quot;* &quot;-&quot;??&quot; &quot;"/>
    <numFmt numFmtId="167" formatCode="#,##0&quot; &quot;;\(#,##0\)"/>
    <numFmt numFmtId="168" formatCode="#,##0.00&quot; &quot;;\(#,##0.00\)"/>
    <numFmt numFmtId="169" formatCode="_(* #,##0_);_(* \(#,##0\);_(* &quot;-&quot;??_);_(@_)"/>
    <numFmt numFmtId="170" formatCode="_(* #,##0.0000_);_(* \(#,##0.0000\);_(* &quot;-&quot;??_);_(@_)"/>
  </numFmts>
  <fonts count="26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sz val="9"/>
      <color indexed="8"/>
      <name val="Calibri"/>
      <family val="2"/>
    </font>
    <font>
      <sz val="7"/>
      <color rgb="FF5E5E5E"/>
      <name val="Ubuntu Medium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NumberFormat="1"/>
    <xf numFmtId="0" fontId="5" fillId="3" borderId="2" xfId="0" applyNumberFormat="1" applyFont="1" applyFill="1" applyBorder="1" applyAlignment="1">
      <alignment horizontal="center" vertical="top"/>
    </xf>
    <xf numFmtId="0" fontId="0" fillId="0" borderId="11" xfId="0" applyBorder="1"/>
    <xf numFmtId="49" fontId="3" fillId="3" borderId="18" xfId="0" applyNumberFormat="1" applyFont="1" applyFill="1" applyBorder="1"/>
    <xf numFmtId="164" fontId="4" fillId="3" borderId="18" xfId="0" applyNumberFormat="1" applyFont="1" applyFill="1" applyBorder="1"/>
    <xf numFmtId="164" fontId="3" fillId="3" borderId="18" xfId="0" applyNumberFormat="1" applyFont="1" applyFill="1" applyBorder="1"/>
    <xf numFmtId="0" fontId="2" fillId="3" borderId="11" xfId="0" applyNumberFormat="1" applyFont="1" applyFill="1" applyBorder="1"/>
    <xf numFmtId="164" fontId="7" fillId="3" borderId="11" xfId="0" applyNumberFormat="1" applyFont="1" applyFill="1" applyBorder="1"/>
    <xf numFmtId="0" fontId="7" fillId="0" borderId="11" xfId="0" applyFont="1" applyBorder="1"/>
    <xf numFmtId="0" fontId="7" fillId="3" borderId="8" xfId="0" applyNumberFormat="1" applyFont="1" applyFill="1" applyBorder="1"/>
    <xf numFmtId="164" fontId="7" fillId="3" borderId="8" xfId="0" applyNumberFormat="1" applyFont="1" applyFill="1" applyBorder="1"/>
    <xf numFmtId="0" fontId="7" fillId="0" borderId="18" xfId="0" applyFont="1" applyBorder="1"/>
    <xf numFmtId="49" fontId="12" fillId="6" borderId="6" xfId="0" applyNumberFormat="1" applyFont="1" applyFill="1" applyBorder="1"/>
    <xf numFmtId="164" fontId="12" fillId="6" borderId="7" xfId="0" applyNumberFormat="1" applyFont="1" applyFill="1" applyBorder="1"/>
    <xf numFmtId="49" fontId="12" fillId="6" borderId="6" xfId="0" applyNumberFormat="1" applyFont="1" applyFill="1" applyBorder="1" applyAlignment="1">
      <alignment horizontal="left"/>
    </xf>
    <xf numFmtId="164" fontId="12" fillId="6" borderId="8" xfId="0" applyNumberFormat="1" applyFont="1" applyFill="1" applyBorder="1" applyAlignment="1">
      <alignment horizontal="left"/>
    </xf>
    <xf numFmtId="49" fontId="12" fillId="6" borderId="9" xfId="0" applyNumberFormat="1" applyFont="1" applyFill="1" applyBorder="1"/>
    <xf numFmtId="164" fontId="12" fillId="6" borderId="10" xfId="0" applyNumberFormat="1" applyFont="1" applyFill="1" applyBorder="1"/>
    <xf numFmtId="49" fontId="12" fillId="6" borderId="9" xfId="0" applyNumberFormat="1" applyFont="1" applyFill="1" applyBorder="1" applyAlignment="1">
      <alignment horizontal="left"/>
    </xf>
    <xf numFmtId="164" fontId="12" fillId="6" borderId="11" xfId="0" applyNumberFormat="1" applyFont="1" applyFill="1" applyBorder="1" applyAlignment="1">
      <alignment horizontal="left"/>
    </xf>
    <xf numFmtId="49" fontId="12" fillId="6" borderId="12" xfId="0" applyNumberFormat="1" applyFont="1" applyFill="1" applyBorder="1"/>
    <xf numFmtId="164" fontId="12" fillId="6" borderId="13" xfId="0" applyNumberFormat="1" applyFont="1" applyFill="1" applyBorder="1"/>
    <xf numFmtId="49" fontId="10" fillId="6" borderId="14" xfId="0" applyNumberFormat="1" applyFont="1" applyFill="1" applyBorder="1"/>
    <xf numFmtId="164" fontId="10" fillId="6" borderId="15" xfId="0" applyNumberFormat="1" applyFont="1" applyFill="1" applyBorder="1"/>
    <xf numFmtId="167" fontId="7" fillId="3" borderId="11" xfId="0" applyNumberFormat="1" applyFont="1" applyFill="1" applyBorder="1"/>
    <xf numFmtId="164" fontId="12" fillId="6" borderId="16" xfId="0" applyNumberFormat="1" applyFont="1" applyFill="1" applyBorder="1"/>
    <xf numFmtId="49" fontId="10" fillId="6" borderId="9" xfId="0" applyNumberFormat="1" applyFont="1" applyFill="1" applyBorder="1"/>
    <xf numFmtId="164" fontId="10" fillId="6" borderId="17" xfId="0" applyNumberFormat="1" applyFont="1" applyFill="1" applyBorder="1"/>
    <xf numFmtId="49" fontId="12" fillId="6" borderId="12" xfId="0" applyNumberFormat="1" applyFont="1" applyFill="1" applyBorder="1" applyAlignment="1">
      <alignment horizontal="left"/>
    </xf>
    <xf numFmtId="164" fontId="12" fillId="6" borderId="18" xfId="0" applyNumberFormat="1" applyFont="1" applyFill="1" applyBorder="1" applyAlignment="1">
      <alignment horizontal="left"/>
    </xf>
    <xf numFmtId="49" fontId="10" fillId="6" borderId="14" xfId="0" applyNumberFormat="1" applyFont="1" applyFill="1" applyBorder="1" applyAlignment="1">
      <alignment horizontal="left"/>
    </xf>
    <xf numFmtId="164" fontId="10" fillId="6" borderId="19" xfId="0" applyNumberFormat="1" applyFont="1" applyFill="1" applyBorder="1" applyAlignment="1">
      <alignment horizontal="left"/>
    </xf>
    <xf numFmtId="0" fontId="10" fillId="6" borderId="6" xfId="0" applyNumberFormat="1" applyFont="1" applyFill="1" applyBorder="1"/>
    <xf numFmtId="164" fontId="10" fillId="6" borderId="7" xfId="0" applyNumberFormat="1" applyFont="1" applyFill="1" applyBorder="1"/>
    <xf numFmtId="0" fontId="12" fillId="6" borderId="12" xfId="0" applyNumberFormat="1" applyFont="1" applyFill="1" applyBorder="1"/>
    <xf numFmtId="49" fontId="12" fillId="6" borderId="20" xfId="0" applyNumberFormat="1" applyFont="1" applyFill="1" applyBorder="1" applyAlignment="1">
      <alignment horizontal="left"/>
    </xf>
    <xf numFmtId="164" fontId="12" fillId="6" borderId="21" xfId="0" applyNumberFormat="1" applyFont="1" applyFill="1" applyBorder="1" applyAlignment="1">
      <alignment horizontal="left"/>
    </xf>
    <xf numFmtId="49" fontId="10" fillId="6" borderId="22" xfId="0" applyNumberFormat="1" applyFont="1" applyFill="1" applyBorder="1" applyAlignment="1">
      <alignment horizontal="left"/>
    </xf>
    <xf numFmtId="164" fontId="10" fillId="6" borderId="23" xfId="0" applyNumberFormat="1" applyFont="1" applyFill="1" applyBorder="1" applyAlignment="1">
      <alignment horizontal="left"/>
    </xf>
    <xf numFmtId="168" fontId="10" fillId="6" borderId="24" xfId="0" applyNumberFormat="1" applyFont="1" applyFill="1" applyBorder="1"/>
    <xf numFmtId="49" fontId="12" fillId="6" borderId="20" xfId="0" applyNumberFormat="1" applyFont="1" applyFill="1" applyBorder="1"/>
    <xf numFmtId="49" fontId="10" fillId="6" borderId="22" xfId="0" applyNumberFormat="1" applyFont="1" applyFill="1" applyBorder="1"/>
    <xf numFmtId="164" fontId="10" fillId="6" borderId="24" xfId="0" applyNumberFormat="1" applyFont="1" applyFill="1" applyBorder="1"/>
    <xf numFmtId="164" fontId="10" fillId="3" borderId="8" xfId="0" applyNumberFormat="1" applyFont="1" applyFill="1" applyBorder="1"/>
    <xf numFmtId="0" fontId="7" fillId="3" borderId="11" xfId="0" applyNumberFormat="1" applyFont="1" applyFill="1" applyBorder="1"/>
    <xf numFmtId="49" fontId="10" fillId="3" borderId="11" xfId="0" applyNumberFormat="1" applyFont="1" applyFill="1" applyBorder="1"/>
    <xf numFmtId="164" fontId="10" fillId="3" borderId="11" xfId="0" applyNumberFormat="1" applyFont="1" applyFill="1" applyBorder="1"/>
    <xf numFmtId="165" fontId="10" fillId="3" borderId="11" xfId="0" applyNumberFormat="1" applyFont="1" applyFill="1" applyBorder="1"/>
    <xf numFmtId="49" fontId="13" fillId="3" borderId="8" xfId="0" applyNumberFormat="1" applyFont="1" applyFill="1" applyBorder="1"/>
    <xf numFmtId="164" fontId="13" fillId="3" borderId="8" xfId="0" applyNumberFormat="1" applyFont="1" applyFill="1" applyBorder="1"/>
    <xf numFmtId="49" fontId="10" fillId="6" borderId="14" xfId="0" applyNumberFormat="1" applyFont="1" applyFill="1" applyBorder="1" applyAlignment="1">
      <alignment wrapText="1"/>
    </xf>
    <xf numFmtId="49" fontId="11" fillId="3" borderId="3" xfId="0" applyNumberFormat="1" applyFont="1" applyFill="1" applyBorder="1" applyAlignment="1">
      <alignment horizontal="left" vertical="top" wrapText="1"/>
    </xf>
    <xf numFmtId="49" fontId="12" fillId="3" borderId="4" xfId="0" applyNumberFormat="1" applyFont="1" applyFill="1" applyBorder="1" applyAlignment="1">
      <alignment horizontal="left" vertical="top"/>
    </xf>
    <xf numFmtId="164" fontId="12" fillId="4" borderId="4" xfId="0" applyNumberFormat="1" applyFont="1" applyFill="1" applyBorder="1" applyAlignment="1">
      <alignment horizontal="right" vertical="top"/>
    </xf>
    <xf numFmtId="49" fontId="12" fillId="3" borderId="4" xfId="0" applyNumberFormat="1" applyFont="1" applyFill="1" applyBorder="1" applyAlignment="1">
      <alignment vertical="top"/>
    </xf>
    <xf numFmtId="49" fontId="12" fillId="3" borderId="5" xfId="0" applyNumberFormat="1" applyFont="1" applyFill="1" applyBorder="1" applyAlignment="1">
      <alignment vertical="top"/>
    </xf>
    <xf numFmtId="49" fontId="12" fillId="2" borderId="1" xfId="0" applyNumberFormat="1" applyFont="1" applyFill="1" applyBorder="1" applyAlignment="1">
      <alignment horizontal="left" vertical="top"/>
    </xf>
    <xf numFmtId="164" fontId="10" fillId="2" borderId="1" xfId="0" applyNumberFormat="1" applyFont="1" applyFill="1" applyBorder="1" applyAlignment="1">
      <alignment vertical="top"/>
    </xf>
    <xf numFmtId="49" fontId="11" fillId="3" borderId="3" xfId="0" applyNumberFormat="1" applyFont="1" applyFill="1" applyBorder="1" applyAlignment="1">
      <alignment horizontal="left" vertical="top"/>
    </xf>
    <xf numFmtId="164" fontId="11" fillId="4" borderId="3" xfId="0" applyNumberFormat="1" applyFont="1" applyFill="1" applyBorder="1" applyAlignment="1">
      <alignment horizontal="center" vertical="top" wrapText="1"/>
    </xf>
    <xf numFmtId="164" fontId="12" fillId="4" borderId="4" xfId="0" applyNumberFormat="1" applyFont="1" applyFill="1" applyBorder="1" applyAlignment="1">
      <alignment vertical="top"/>
    </xf>
    <xf numFmtId="49" fontId="12" fillId="3" borderId="5" xfId="0" applyNumberFormat="1" applyFont="1" applyFill="1" applyBorder="1" applyAlignment="1">
      <alignment horizontal="left" vertical="top"/>
    </xf>
    <xf numFmtId="164" fontId="12" fillId="4" borderId="5" xfId="0" applyNumberFormat="1" applyFont="1" applyFill="1" applyBorder="1" applyAlignment="1">
      <alignment vertical="top"/>
    </xf>
    <xf numFmtId="49" fontId="10" fillId="2" borderId="1" xfId="0" applyNumberFormat="1" applyFont="1" applyFill="1" applyBorder="1" applyAlignment="1">
      <alignment horizontal="left" vertical="top"/>
    </xf>
    <xf numFmtId="49" fontId="12" fillId="5" borderId="1" xfId="0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49" fontId="12" fillId="5" borderId="3" xfId="0" applyNumberFormat="1" applyFont="1" applyFill="1" applyBorder="1" applyAlignment="1">
      <alignment vertical="top"/>
    </xf>
    <xf numFmtId="164" fontId="12" fillId="5" borderId="3" xfId="0" applyNumberFormat="1" applyFont="1" applyFill="1" applyBorder="1" applyAlignment="1">
      <alignment vertical="top"/>
    </xf>
    <xf numFmtId="49" fontId="10" fillId="5" borderId="5" xfId="0" applyNumberFormat="1" applyFont="1" applyFill="1" applyBorder="1" applyAlignment="1">
      <alignment horizontal="left" vertical="top"/>
    </xf>
    <xf numFmtId="164" fontId="10" fillId="4" borderId="5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49" fontId="0" fillId="3" borderId="2" xfId="0" applyNumberFormat="1" applyFill="1" applyBorder="1" applyAlignment="1">
      <alignment vertical="top"/>
    </xf>
    <xf numFmtId="165" fontId="0" fillId="3" borderId="2" xfId="0" applyNumberFormat="1" applyFill="1" applyBorder="1" applyAlignment="1">
      <alignment vertical="top"/>
    </xf>
    <xf numFmtId="0" fontId="0" fillId="3" borderId="2" xfId="0" applyFill="1" applyBorder="1" applyAlignment="1">
      <alignment vertical="top"/>
    </xf>
    <xf numFmtId="49" fontId="6" fillId="3" borderId="2" xfId="0" applyNumberFormat="1" applyFont="1" applyFill="1" applyBorder="1" applyAlignment="1">
      <alignment vertical="top"/>
    </xf>
    <xf numFmtId="49" fontId="6" fillId="3" borderId="2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vertical="top"/>
    </xf>
    <xf numFmtId="43" fontId="0" fillId="3" borderId="2" xfId="0" applyNumberFormat="1" applyFill="1" applyBorder="1" applyAlignment="1">
      <alignment vertical="top"/>
    </xf>
    <xf numFmtId="166" fontId="0" fillId="3" borderId="2" xfId="0" applyNumberFormat="1" applyFill="1" applyBorder="1" applyAlignment="1">
      <alignment vertical="top"/>
    </xf>
    <xf numFmtId="0" fontId="1" fillId="3" borderId="2" xfId="0" applyNumberFormat="1" applyFont="1" applyFill="1" applyBorder="1" applyAlignment="1">
      <alignment vertical="top"/>
    </xf>
    <xf numFmtId="165" fontId="1" fillId="3" borderId="2" xfId="0" applyNumberFormat="1" applyFont="1" applyFill="1" applyBorder="1" applyAlignment="1">
      <alignment vertical="top"/>
    </xf>
    <xf numFmtId="167" fontId="0" fillId="3" borderId="2" xfId="0" applyNumberFormat="1" applyFill="1" applyBorder="1" applyAlignment="1">
      <alignment vertical="top"/>
    </xf>
    <xf numFmtId="49" fontId="7" fillId="3" borderId="2" xfId="0" applyNumberFormat="1" applyFont="1" applyFill="1" applyBorder="1" applyAlignment="1">
      <alignment vertical="top"/>
    </xf>
    <xf numFmtId="0" fontId="7" fillId="0" borderId="0" xfId="0" applyNumberFormat="1" applyFont="1" applyAlignment="1">
      <alignment vertical="top"/>
    </xf>
    <xf numFmtId="0" fontId="7" fillId="3" borderId="2" xfId="0" applyFont="1" applyFill="1" applyBorder="1" applyAlignment="1">
      <alignment vertical="top"/>
    </xf>
    <xf numFmtId="0" fontId="7" fillId="7" borderId="0" xfId="0" applyNumberFormat="1" applyFont="1" applyFill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49" fontId="14" fillId="7" borderId="1" xfId="0" applyNumberFormat="1" applyFont="1" applyFill="1" applyBorder="1" applyAlignment="1">
      <alignment horizontal="center" wrapText="1"/>
    </xf>
    <xf numFmtId="49" fontId="15" fillId="7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right" vertical="top"/>
    </xf>
    <xf numFmtId="49" fontId="10" fillId="3" borderId="8" xfId="0" applyNumberFormat="1" applyFont="1" applyFill="1" applyBorder="1"/>
    <xf numFmtId="166" fontId="7" fillId="3" borderId="2" xfId="0" applyNumberFormat="1" applyFont="1" applyFill="1" applyBorder="1" applyAlignment="1">
      <alignment vertical="top"/>
    </xf>
    <xf numFmtId="49" fontId="16" fillId="4" borderId="3" xfId="0" applyNumberFormat="1" applyFont="1" applyFill="1" applyBorder="1" applyAlignment="1">
      <alignment horizontal="center" vertical="top" wrapText="1"/>
    </xf>
    <xf numFmtId="4" fontId="17" fillId="0" borderId="0" xfId="0" applyNumberFormat="1" applyFont="1"/>
    <xf numFmtId="49" fontId="10" fillId="3" borderId="4" xfId="0" applyNumberFormat="1" applyFont="1" applyFill="1" applyBorder="1" applyAlignment="1">
      <alignment horizontal="left" vertical="top"/>
    </xf>
    <xf numFmtId="164" fontId="10" fillId="4" borderId="4" xfId="0" applyNumberFormat="1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49" fontId="12" fillId="9" borderId="4" xfId="0" applyNumberFormat="1" applyFont="1" applyFill="1" applyBorder="1" applyAlignment="1">
      <alignment horizontal="left" vertical="top" indent="1"/>
    </xf>
    <xf numFmtId="0" fontId="7" fillId="0" borderId="0" xfId="0" applyNumberFormat="1" applyFont="1"/>
    <xf numFmtId="49" fontId="21" fillId="10" borderId="25" xfId="0" applyNumberFormat="1" applyFont="1" applyFill="1" applyBorder="1" applyAlignment="1">
      <alignment horizontal="left" wrapText="1"/>
    </xf>
    <xf numFmtId="49" fontId="21" fillId="10" borderId="25" xfId="0" applyNumberFormat="1" applyFont="1" applyFill="1" applyBorder="1" applyAlignment="1">
      <alignment horizontal="center" wrapText="1"/>
    </xf>
    <xf numFmtId="44" fontId="21" fillId="10" borderId="25" xfId="3" applyFont="1" applyFill="1" applyBorder="1" applyAlignment="1">
      <alignment horizontal="center" wrapText="1"/>
    </xf>
    <xf numFmtId="49" fontId="12" fillId="6" borderId="8" xfId="0" applyNumberFormat="1" applyFont="1" applyFill="1" applyBorder="1"/>
    <xf numFmtId="49" fontId="12" fillId="6" borderId="11" xfId="0" applyNumberFormat="1" applyFont="1" applyFill="1" applyBorder="1"/>
    <xf numFmtId="49" fontId="12" fillId="6" borderId="18" xfId="0" applyNumberFormat="1" applyFont="1" applyFill="1" applyBorder="1"/>
    <xf numFmtId="49" fontId="10" fillId="6" borderId="19" xfId="0" applyNumberFormat="1" applyFont="1" applyFill="1" applyBorder="1"/>
    <xf numFmtId="49" fontId="10" fillId="6" borderId="11" xfId="0" applyNumberFormat="1" applyFont="1" applyFill="1" applyBorder="1"/>
    <xf numFmtId="49" fontId="10" fillId="6" borderId="19" xfId="0" applyNumberFormat="1" applyFont="1" applyFill="1" applyBorder="1" applyAlignment="1">
      <alignment wrapText="1"/>
    </xf>
    <xf numFmtId="0" fontId="10" fillId="6" borderId="8" xfId="0" applyNumberFormat="1" applyFont="1" applyFill="1" applyBorder="1"/>
    <xf numFmtId="0" fontId="12" fillId="6" borderId="18" xfId="0" applyNumberFormat="1" applyFont="1" applyFill="1" applyBorder="1"/>
    <xf numFmtId="49" fontId="12" fillId="6" borderId="21" xfId="0" applyNumberFormat="1" applyFont="1" applyFill="1" applyBorder="1"/>
    <xf numFmtId="49" fontId="10" fillId="6" borderId="23" xfId="0" applyNumberFormat="1" applyFont="1" applyFill="1" applyBorder="1"/>
    <xf numFmtId="169" fontId="12" fillId="3" borderId="4" xfId="2" applyNumberFormat="1" applyFont="1" applyFill="1" applyBorder="1" applyAlignment="1">
      <alignment horizontal="left" vertical="top"/>
    </xf>
    <xf numFmtId="169" fontId="12" fillId="3" borderId="4" xfId="2" applyNumberFormat="1" applyFont="1" applyFill="1" applyBorder="1" applyAlignment="1">
      <alignment vertical="top"/>
    </xf>
    <xf numFmtId="169" fontId="10" fillId="3" borderId="4" xfId="2" applyNumberFormat="1" applyFont="1" applyFill="1" applyBorder="1" applyAlignment="1">
      <alignment vertical="top"/>
    </xf>
    <xf numFmtId="0" fontId="1" fillId="0" borderId="0" xfId="0" applyNumberFormat="1" applyFont="1"/>
    <xf numFmtId="0" fontId="1" fillId="0" borderId="0" xfId="0" applyFont="1"/>
    <xf numFmtId="49" fontId="10" fillId="3" borderId="4" xfId="0" applyNumberFormat="1" applyFont="1" applyFill="1" applyBorder="1" applyAlignment="1">
      <alignment vertical="top"/>
    </xf>
    <xf numFmtId="0" fontId="0" fillId="0" borderId="11" xfId="0" applyNumberFormat="1" applyBorder="1"/>
    <xf numFmtId="0" fontId="7" fillId="0" borderId="0" xfId="0" applyFont="1"/>
    <xf numFmtId="49" fontId="25" fillId="7" borderId="1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49" fontId="12" fillId="0" borderId="4" xfId="0" applyNumberFormat="1" applyFont="1" applyFill="1" applyBorder="1" applyAlignment="1">
      <alignment horizontal="left" vertical="top"/>
    </xf>
    <xf numFmtId="49" fontId="11" fillId="0" borderId="4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/>
    </xf>
    <xf numFmtId="49" fontId="11" fillId="0" borderId="4" xfId="0" applyNumberFormat="1" applyFont="1" applyFill="1" applyBorder="1" applyAlignment="1">
      <alignment horizontal="left" vertical="top"/>
    </xf>
    <xf numFmtId="49" fontId="12" fillId="0" borderId="4" xfId="0" applyNumberFormat="1" applyFont="1" applyFill="1" applyBorder="1" applyAlignment="1">
      <alignment horizontal="left" vertical="top" indent="1"/>
    </xf>
    <xf numFmtId="49" fontId="12" fillId="0" borderId="4" xfId="0" applyNumberFormat="1" applyFont="1" applyFill="1" applyBorder="1" applyAlignment="1">
      <alignment horizontal="right" vertical="top"/>
    </xf>
    <xf numFmtId="49" fontId="12" fillId="0" borderId="5" xfId="0" applyNumberFormat="1" applyFont="1" applyFill="1" applyBorder="1" applyAlignment="1">
      <alignment horizontal="left" vertical="top"/>
    </xf>
    <xf numFmtId="169" fontId="0" fillId="0" borderId="11" xfId="0" applyNumberFormat="1" applyFill="1" applyBorder="1"/>
    <xf numFmtId="0" fontId="0" fillId="0" borderId="11" xfId="0" applyFill="1" applyBorder="1"/>
    <xf numFmtId="164" fontId="4" fillId="0" borderId="11" xfId="0" applyNumberFormat="1" applyFont="1" applyFill="1" applyBorder="1"/>
    <xf numFmtId="164" fontId="12" fillId="0" borderId="11" xfId="0" applyNumberFormat="1" applyFont="1" applyFill="1" applyBorder="1"/>
    <xf numFmtId="164" fontId="10" fillId="0" borderId="11" xfId="0" applyNumberFormat="1" applyFont="1" applyFill="1" applyBorder="1"/>
    <xf numFmtId="9" fontId="15" fillId="7" borderId="1" xfId="1" applyFont="1" applyFill="1" applyBorder="1" applyAlignment="1">
      <alignment horizontal="center" wrapText="1"/>
    </xf>
    <xf numFmtId="49" fontId="25" fillId="7" borderId="26" xfId="0" applyNumberFormat="1" applyFont="1" applyFill="1" applyBorder="1" applyAlignment="1">
      <alignment horizontal="center" wrapText="1"/>
    </xf>
    <xf numFmtId="49" fontId="14" fillId="7" borderId="27" xfId="0" applyNumberFormat="1" applyFont="1" applyFill="1" applyBorder="1" applyAlignment="1">
      <alignment horizontal="center" wrapText="1"/>
    </xf>
    <xf numFmtId="49" fontId="15" fillId="7" borderId="27" xfId="0" applyNumberFormat="1" applyFont="1" applyFill="1" applyBorder="1" applyAlignment="1">
      <alignment horizontal="center" wrapText="1"/>
    </xf>
    <xf numFmtId="49" fontId="15" fillId="7" borderId="28" xfId="0" applyNumberFormat="1" applyFont="1" applyFill="1" applyBorder="1" applyAlignment="1">
      <alignment horizontal="center" wrapText="1"/>
    </xf>
    <xf numFmtId="49" fontId="21" fillId="10" borderId="29" xfId="0" applyNumberFormat="1" applyFont="1" applyFill="1" applyBorder="1" applyAlignment="1">
      <alignment horizontal="left" wrapText="1"/>
    </xf>
    <xf numFmtId="49" fontId="11" fillId="3" borderId="30" xfId="0" applyNumberFormat="1" applyFont="1" applyFill="1" applyBorder="1" applyAlignment="1">
      <alignment horizontal="left" vertical="top" wrapText="1"/>
    </xf>
    <xf numFmtId="49" fontId="12" fillId="3" borderId="31" xfId="0" applyNumberFormat="1" applyFont="1" applyFill="1" applyBorder="1" applyAlignment="1">
      <alignment horizontal="left" vertical="top"/>
    </xf>
    <xf numFmtId="49" fontId="12" fillId="3" borderId="31" xfId="0" applyNumberFormat="1" applyFont="1" applyFill="1" applyBorder="1" applyAlignment="1">
      <alignment vertical="top"/>
    </xf>
    <xf numFmtId="49" fontId="10" fillId="3" borderId="31" xfId="0" applyNumberFormat="1" applyFont="1" applyFill="1" applyBorder="1" applyAlignment="1">
      <alignment horizontal="left" vertical="top"/>
    </xf>
    <xf numFmtId="49" fontId="10" fillId="3" borderId="31" xfId="0" applyNumberFormat="1" applyFont="1" applyFill="1" applyBorder="1" applyAlignment="1">
      <alignment vertical="top"/>
    </xf>
    <xf numFmtId="49" fontId="12" fillId="3" borderId="32" xfId="0" applyNumberFormat="1" applyFont="1" applyFill="1" applyBorder="1" applyAlignment="1">
      <alignment vertical="top"/>
    </xf>
    <xf numFmtId="49" fontId="12" fillId="2" borderId="33" xfId="0" applyNumberFormat="1" applyFont="1" applyFill="1" applyBorder="1" applyAlignment="1">
      <alignment horizontal="left" vertical="top"/>
    </xf>
    <xf numFmtId="49" fontId="11" fillId="3" borderId="30" xfId="0" applyNumberFormat="1" applyFont="1" applyFill="1" applyBorder="1" applyAlignment="1">
      <alignment horizontal="left" vertical="top"/>
    </xf>
    <xf numFmtId="49" fontId="11" fillId="3" borderId="31" xfId="0" applyNumberFormat="1" applyFont="1" applyFill="1" applyBorder="1" applyAlignment="1">
      <alignment horizontal="left" vertical="top" wrapText="1"/>
    </xf>
    <xf numFmtId="49" fontId="12" fillId="8" borderId="31" xfId="0" applyNumberFormat="1" applyFont="1" applyFill="1" applyBorder="1" applyAlignment="1">
      <alignment horizontal="right" vertical="top"/>
    </xf>
    <xf numFmtId="49" fontId="11" fillId="3" borderId="31" xfId="0" applyNumberFormat="1" applyFont="1" applyFill="1" applyBorder="1" applyAlignment="1">
      <alignment horizontal="left" vertical="top"/>
    </xf>
    <xf numFmtId="49" fontId="12" fillId="9" borderId="31" xfId="0" applyNumberFormat="1" applyFont="1" applyFill="1" applyBorder="1" applyAlignment="1">
      <alignment horizontal="left" vertical="top" indent="1"/>
    </xf>
    <xf numFmtId="49" fontId="12" fillId="0" borderId="31" xfId="0" applyNumberFormat="1" applyFont="1" applyFill="1" applyBorder="1" applyAlignment="1">
      <alignment horizontal="left" vertical="top"/>
    </xf>
    <xf numFmtId="49" fontId="12" fillId="3" borderId="32" xfId="0" applyNumberFormat="1" applyFont="1" applyFill="1" applyBorder="1" applyAlignment="1">
      <alignment horizontal="left" vertical="top"/>
    </xf>
    <xf numFmtId="49" fontId="10" fillId="2" borderId="33" xfId="0" applyNumberFormat="1" applyFont="1" applyFill="1" applyBorder="1" applyAlignment="1">
      <alignment horizontal="left" vertical="top"/>
    </xf>
    <xf numFmtId="49" fontId="12" fillId="5" borderId="33" xfId="0" applyNumberFormat="1" applyFont="1" applyFill="1" applyBorder="1" applyAlignment="1">
      <alignment vertical="top"/>
    </xf>
    <xf numFmtId="9" fontId="15" fillId="7" borderId="15" xfId="1" applyFont="1" applyFill="1" applyBorder="1" applyAlignment="1">
      <alignment horizontal="center" wrapText="1"/>
    </xf>
    <xf numFmtId="49" fontId="12" fillId="2" borderId="14" xfId="0" applyNumberFormat="1" applyFont="1" applyFill="1" applyBorder="1" applyAlignment="1">
      <alignment horizontal="left" vertical="top"/>
    </xf>
    <xf numFmtId="164" fontId="12" fillId="4" borderId="34" xfId="0" applyNumberFormat="1" applyFont="1" applyFill="1" applyBorder="1" applyAlignment="1">
      <alignment horizontal="right" vertical="top"/>
    </xf>
    <xf numFmtId="164" fontId="11" fillId="4" borderId="35" xfId="0" applyNumberFormat="1" applyFont="1" applyFill="1" applyBorder="1" applyAlignment="1">
      <alignment horizontal="center" vertical="top" wrapText="1"/>
    </xf>
    <xf numFmtId="164" fontId="10" fillId="2" borderId="36" xfId="0" applyNumberFormat="1" applyFont="1" applyFill="1" applyBorder="1" applyAlignment="1">
      <alignment vertical="top"/>
    </xf>
    <xf numFmtId="0" fontId="0" fillId="0" borderId="39" xfId="0" applyNumberFormat="1" applyFill="1" applyBorder="1"/>
    <xf numFmtId="43" fontId="0" fillId="0" borderId="39" xfId="0" applyNumberFormat="1" applyFill="1" applyBorder="1"/>
    <xf numFmtId="0" fontId="0" fillId="0" borderId="39" xfId="0" applyNumberFormat="1" applyBorder="1"/>
    <xf numFmtId="0" fontId="0" fillId="0" borderId="40" xfId="0" applyNumberFormat="1" applyBorder="1"/>
    <xf numFmtId="169" fontId="0" fillId="0" borderId="39" xfId="0" applyNumberFormat="1" applyFill="1" applyBorder="1"/>
    <xf numFmtId="49" fontId="10" fillId="2" borderId="14" xfId="0" applyNumberFormat="1" applyFont="1" applyFill="1" applyBorder="1" applyAlignment="1">
      <alignment horizontal="left" vertical="top"/>
    </xf>
    <xf numFmtId="164" fontId="10" fillId="4" borderId="34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49" fontId="12" fillId="5" borderId="29" xfId="0" applyNumberFormat="1" applyFont="1" applyFill="1" applyBorder="1" applyAlignment="1">
      <alignment vertical="top"/>
    </xf>
    <xf numFmtId="49" fontId="12" fillId="5" borderId="25" xfId="0" applyNumberFormat="1" applyFont="1" applyFill="1" applyBorder="1" applyAlignment="1">
      <alignment vertical="top"/>
    </xf>
    <xf numFmtId="164" fontId="12" fillId="5" borderId="25" xfId="0" applyNumberFormat="1" applyFont="1" applyFill="1" applyBorder="1" applyAlignment="1">
      <alignment vertical="top"/>
    </xf>
    <xf numFmtId="49" fontId="10" fillId="5" borderId="36" xfId="0" applyNumberFormat="1" applyFont="1" applyFill="1" applyBorder="1" applyAlignment="1">
      <alignment horizontal="left" vertical="top"/>
    </xf>
    <xf numFmtId="49" fontId="10" fillId="5" borderId="43" xfId="0" applyNumberFormat="1" applyFont="1" applyFill="1" applyBorder="1" applyAlignment="1">
      <alignment horizontal="left" vertical="top"/>
    </xf>
    <xf numFmtId="164" fontId="10" fillId="4" borderId="43" xfId="0" applyNumberFormat="1" applyFont="1" applyFill="1" applyBorder="1" applyAlignment="1">
      <alignment horizontal="right" vertical="top"/>
    </xf>
    <xf numFmtId="169" fontId="7" fillId="0" borderId="39" xfId="2" applyNumberFormat="1" applyFont="1" applyFill="1" applyBorder="1"/>
    <xf numFmtId="169" fontId="0" fillId="0" borderId="39" xfId="2" applyNumberFormat="1" applyFont="1" applyFill="1" applyBorder="1"/>
    <xf numFmtId="169" fontId="0" fillId="0" borderId="39" xfId="2" applyNumberFormat="1" applyFont="1" applyBorder="1"/>
    <xf numFmtId="169" fontId="0" fillId="0" borderId="40" xfId="2" applyNumberFormat="1" applyFont="1" applyBorder="1"/>
    <xf numFmtId="169" fontId="22" fillId="0" borderId="39" xfId="2" applyNumberFormat="1" applyFont="1" applyFill="1" applyBorder="1"/>
    <xf numFmtId="169" fontId="10" fillId="0" borderId="39" xfId="2" applyNumberFormat="1" applyFont="1" applyFill="1" applyBorder="1" applyAlignment="1">
      <alignment horizontal="right" vertical="top"/>
    </xf>
    <xf numFmtId="169" fontId="10" fillId="0" borderId="40" xfId="2" applyNumberFormat="1" applyFont="1" applyFill="1" applyBorder="1" applyAlignment="1">
      <alignment horizontal="right" vertical="top"/>
    </xf>
    <xf numFmtId="169" fontId="0" fillId="0" borderId="39" xfId="2" applyNumberFormat="1" applyFont="1" applyFill="1" applyBorder="1" applyAlignment="1"/>
    <xf numFmtId="169" fontId="0" fillId="0" borderId="40" xfId="2" applyNumberFormat="1" applyFont="1" applyFill="1" applyBorder="1"/>
    <xf numFmtId="169" fontId="0" fillId="0" borderId="41" xfId="2" applyNumberFormat="1" applyFont="1" applyFill="1" applyBorder="1"/>
    <xf numFmtId="169" fontId="0" fillId="0" borderId="41" xfId="2" applyNumberFormat="1" applyFont="1" applyBorder="1"/>
    <xf numFmtId="169" fontId="10" fillId="2" borderId="43" xfId="2" applyNumberFormat="1" applyFont="1" applyFill="1" applyBorder="1" applyAlignment="1">
      <alignment vertical="top"/>
    </xf>
    <xf numFmtId="169" fontId="10" fillId="2" borderId="37" xfId="2" applyNumberFormat="1" applyFont="1" applyFill="1" applyBorder="1" applyAlignment="1">
      <alignment vertical="top"/>
    </xf>
    <xf numFmtId="169" fontId="0" fillId="0" borderId="44" xfId="2" applyNumberFormat="1" applyFont="1" applyFill="1" applyBorder="1" applyAlignment="1"/>
    <xf numFmtId="169" fontId="0" fillId="0" borderId="44" xfId="2" applyNumberFormat="1" applyFont="1" applyFill="1" applyBorder="1"/>
    <xf numFmtId="169" fontId="0" fillId="0" borderId="44" xfId="2" applyNumberFormat="1" applyFont="1" applyBorder="1"/>
    <xf numFmtId="169" fontId="0" fillId="0" borderId="45" xfId="2" applyNumberFormat="1" applyFont="1" applyBorder="1"/>
    <xf numFmtId="169" fontId="24" fillId="0" borderId="39" xfId="2" applyNumberFormat="1" applyFont="1" applyFill="1" applyBorder="1"/>
    <xf numFmtId="169" fontId="10" fillId="0" borderId="39" xfId="2" applyNumberFormat="1" applyFont="1" applyFill="1" applyBorder="1" applyAlignment="1">
      <alignment vertical="top"/>
    </xf>
    <xf numFmtId="169" fontId="10" fillId="0" borderId="40" xfId="2" applyNumberFormat="1" applyFont="1" applyFill="1" applyBorder="1" applyAlignment="1">
      <alignment vertical="top"/>
    </xf>
    <xf numFmtId="169" fontId="23" fillId="0" borderId="39" xfId="2" applyNumberFormat="1" applyFont="1" applyFill="1" applyBorder="1"/>
    <xf numFmtId="169" fontId="24" fillId="0" borderId="39" xfId="2" applyNumberFormat="1" applyFont="1" applyFill="1" applyBorder="1" applyAlignment="1">
      <alignment horizontal="left"/>
    </xf>
    <xf numFmtId="169" fontId="24" fillId="0" borderId="39" xfId="2" applyNumberFormat="1" applyFont="1" applyFill="1" applyBorder="1" applyAlignment="1">
      <alignment horizontal="right"/>
    </xf>
    <xf numFmtId="169" fontId="10" fillId="2" borderId="36" xfId="2" applyNumberFormat="1" applyFont="1" applyFill="1" applyBorder="1" applyAlignment="1">
      <alignment vertical="top"/>
    </xf>
    <xf numFmtId="169" fontId="12" fillId="5" borderId="42" xfId="2" applyNumberFormat="1" applyFont="1" applyFill="1" applyBorder="1" applyAlignment="1">
      <alignment vertical="top"/>
    </xf>
    <xf numFmtId="169" fontId="10" fillId="4" borderId="43" xfId="2" applyNumberFormat="1" applyFont="1" applyFill="1" applyBorder="1" applyAlignment="1">
      <alignment horizontal="right" vertical="top"/>
    </xf>
    <xf numFmtId="169" fontId="10" fillId="4" borderId="37" xfId="2" applyNumberFormat="1" applyFont="1" applyFill="1" applyBorder="1" applyAlignment="1">
      <alignment horizontal="right" vertical="top"/>
    </xf>
    <xf numFmtId="169" fontId="10" fillId="0" borderId="42" xfId="2" applyNumberFormat="1" applyFont="1" applyFill="1" applyBorder="1" applyAlignment="1">
      <alignment vertical="top"/>
    </xf>
    <xf numFmtId="49" fontId="16" fillId="0" borderId="3" xfId="0" applyNumberFormat="1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horizontal="right" vertical="top"/>
    </xf>
    <xf numFmtId="164" fontId="11" fillId="0" borderId="3" xfId="0" applyNumberFormat="1" applyFont="1" applyFill="1" applyBorder="1" applyAlignment="1">
      <alignment horizontal="center" vertical="top" wrapText="1"/>
    </xf>
    <xf numFmtId="164" fontId="12" fillId="0" borderId="4" xfId="0" applyNumberFormat="1" applyFont="1" applyFill="1" applyBorder="1" applyAlignment="1">
      <alignment vertical="top"/>
    </xf>
    <xf numFmtId="164" fontId="12" fillId="0" borderId="5" xfId="0" applyNumberFormat="1" applyFont="1" applyFill="1" applyBorder="1" applyAlignment="1">
      <alignment vertical="top"/>
    </xf>
    <xf numFmtId="44" fontId="21" fillId="10" borderId="38" xfId="3" applyFont="1" applyFill="1" applyBorder="1" applyAlignment="1">
      <alignment horizontal="center" wrapText="1"/>
    </xf>
    <xf numFmtId="49" fontId="21" fillId="10" borderId="38" xfId="0" applyNumberFormat="1" applyFont="1" applyFill="1" applyBorder="1" applyAlignment="1">
      <alignment horizontal="center" wrapText="1"/>
    </xf>
    <xf numFmtId="44" fontId="21" fillId="10" borderId="44" xfId="3" applyFont="1" applyFill="1" applyBorder="1" applyAlignment="1">
      <alignment horizontal="center" wrapText="1"/>
    </xf>
    <xf numFmtId="9" fontId="0" fillId="0" borderId="11" xfId="1" applyFont="1" applyBorder="1"/>
    <xf numFmtId="9" fontId="1" fillId="0" borderId="0" xfId="1" applyFont="1"/>
    <xf numFmtId="43" fontId="0" fillId="0" borderId="0" xfId="0" applyNumberFormat="1"/>
    <xf numFmtId="169" fontId="15" fillId="7" borderId="27" xfId="0" applyNumberFormat="1" applyFont="1" applyFill="1" applyBorder="1" applyAlignment="1">
      <alignment horizontal="center" wrapText="1"/>
    </xf>
    <xf numFmtId="169" fontId="21" fillId="10" borderId="25" xfId="0" applyNumberFormat="1" applyFont="1" applyFill="1" applyBorder="1" applyAlignment="1">
      <alignment horizontal="center" wrapText="1"/>
    </xf>
    <xf numFmtId="169" fontId="21" fillId="10" borderId="38" xfId="3" applyNumberFormat="1" applyFont="1" applyFill="1" applyBorder="1" applyAlignment="1">
      <alignment horizontal="center" wrapText="1"/>
    </xf>
    <xf numFmtId="169" fontId="21" fillId="10" borderId="38" xfId="0" applyNumberFormat="1" applyFont="1" applyFill="1" applyBorder="1" applyAlignment="1">
      <alignment horizontal="center" wrapText="1"/>
    </xf>
    <xf numFmtId="169" fontId="21" fillId="10" borderId="44" xfId="3" applyNumberFormat="1" applyFont="1" applyFill="1" applyBorder="1" applyAlignment="1">
      <alignment horizontal="center" wrapText="1"/>
    </xf>
    <xf numFmtId="169" fontId="7" fillId="3" borderId="11" xfId="0" applyNumberFormat="1" applyFont="1" applyFill="1" applyBorder="1"/>
    <xf numFmtId="169" fontId="4" fillId="0" borderId="11" xfId="0" applyNumberFormat="1" applyFont="1" applyFill="1" applyBorder="1"/>
    <xf numFmtId="169" fontId="12" fillId="0" borderId="11" xfId="0" applyNumberFormat="1" applyFont="1" applyFill="1" applyBorder="1"/>
    <xf numFmtId="169" fontId="10" fillId="0" borderId="11" xfId="0" applyNumberFormat="1" applyFont="1" applyFill="1" applyBorder="1"/>
    <xf numFmtId="169" fontId="0" fillId="0" borderId="0" xfId="0" applyNumberFormat="1" applyFill="1"/>
    <xf numFmtId="169" fontId="0" fillId="0" borderId="0" xfId="0" applyNumberFormat="1"/>
    <xf numFmtId="164" fontId="0" fillId="0" borderId="0" xfId="0" applyNumberFormat="1"/>
    <xf numFmtId="43" fontId="0" fillId="0" borderId="0" xfId="2" applyFont="1"/>
    <xf numFmtId="44" fontId="0" fillId="0" borderId="0" xfId="0" applyNumberFormat="1"/>
    <xf numFmtId="43" fontId="1" fillId="0" borderId="0" xfId="0" applyNumberFormat="1" applyFont="1"/>
    <xf numFmtId="49" fontId="21" fillId="11" borderId="25" xfId="0" applyNumberFormat="1" applyFont="1" applyFill="1" applyBorder="1" applyAlignment="1">
      <alignment horizontal="center" wrapText="1"/>
    </xf>
    <xf numFmtId="44" fontId="21" fillId="11" borderId="25" xfId="3" applyFont="1" applyFill="1" applyBorder="1" applyAlignment="1">
      <alignment horizontal="center" wrapText="1"/>
    </xf>
    <xf numFmtId="164" fontId="12" fillId="11" borderId="4" xfId="0" applyNumberFormat="1" applyFont="1" applyFill="1" applyBorder="1" applyAlignment="1">
      <alignment horizontal="right" vertical="top"/>
    </xf>
    <xf numFmtId="169" fontId="10" fillId="11" borderId="4" xfId="2" applyNumberFormat="1" applyFont="1" applyFill="1" applyBorder="1" applyAlignment="1">
      <alignment vertical="top"/>
    </xf>
    <xf numFmtId="170" fontId="0" fillId="0" borderId="39" xfId="2" applyNumberFormat="1" applyFont="1" applyFill="1" applyBorder="1"/>
    <xf numFmtId="164" fontId="12" fillId="0" borderId="9" xfId="0" applyNumberFormat="1" applyFont="1" applyFill="1" applyBorder="1"/>
    <xf numFmtId="164" fontId="10" fillId="0" borderId="9" xfId="0" applyNumberFormat="1" applyFont="1" applyFill="1" applyBorder="1"/>
    <xf numFmtId="49" fontId="14" fillId="7" borderId="2" xfId="0" applyNumberFormat="1" applyFont="1" applyFill="1" applyBorder="1" applyAlignment="1">
      <alignment horizontal="center" vertical="center" wrapText="1"/>
    </xf>
    <xf numFmtId="0" fontId="15" fillId="7" borderId="2" xfId="0" applyNumberFormat="1" applyFont="1" applyFill="1" applyBorder="1" applyAlignment="1">
      <alignment horizontal="center" vertical="center" wrapText="1"/>
    </xf>
    <xf numFmtId="0" fontId="14" fillId="7" borderId="2" xfId="0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FF0000"/>
      <rgbColor rgb="FFBFBFBF"/>
      <rgbColor rgb="FFFFFFFF"/>
      <rgbColor rgb="FFAAAAAA"/>
      <rgbColor rgb="FFF7CAAC"/>
      <rgbColor rgb="FFFEFB00"/>
      <rgbColor rgb="FFF2F2F2"/>
      <rgbColor rgb="FFFBE4D5"/>
      <rgbColor rgb="FFFFFF0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C0754-EAE6-4BC9-B162-1216C07730E8}">
  <sheetPr>
    <pageSetUpPr fitToPage="1"/>
  </sheetPr>
  <dimension ref="A1:IO175"/>
  <sheetViews>
    <sheetView tabSelected="1" topLeftCell="A78" zoomScaleNormal="100" workbookViewId="0">
      <selection activeCell="R78" sqref="R78"/>
    </sheetView>
  </sheetViews>
  <sheetFormatPr defaultColWidth="8.81640625" defaultRowHeight="14.5" customHeight="1" x14ac:dyDescent="0.35"/>
  <cols>
    <col min="1" max="1" width="53.1796875" style="1" customWidth="1"/>
    <col min="2" max="2" width="4.6328125" style="1" bestFit="1" customWidth="1"/>
    <col min="3" max="4" width="17.81640625" style="1" customWidth="1"/>
    <col min="5" max="5" width="10" style="226" hidden="1" customWidth="1"/>
    <col min="6" max="6" width="10" style="1" hidden="1" customWidth="1"/>
    <col min="7" max="7" width="11" style="1" hidden="1" customWidth="1"/>
    <col min="8" max="8" width="10" style="1" hidden="1" customWidth="1"/>
    <col min="9" max="9" width="10.7265625" style="1" hidden="1" customWidth="1"/>
    <col min="10" max="10" width="10.26953125" style="1" hidden="1" customWidth="1"/>
    <col min="11" max="16" width="10" style="1" hidden="1" customWidth="1"/>
    <col min="17" max="17" width="10.81640625" style="1" hidden="1" customWidth="1"/>
    <col min="18" max="19" width="11.453125" style="1" customWidth="1"/>
    <col min="20" max="20" width="49.36328125" style="1" bestFit="1" customWidth="1"/>
    <col min="21" max="21" width="12.54296875" style="1" bestFit="1" customWidth="1"/>
    <col min="22" max="23" width="10.08984375" style="1" bestFit="1" customWidth="1"/>
    <col min="24" max="238" width="8.81640625" style="1" customWidth="1"/>
  </cols>
  <sheetData>
    <row r="1" spans="1:238" ht="63.75" customHeight="1" thickBot="1" x14ac:dyDescent="0.5">
      <c r="A1" s="137" t="s">
        <v>0</v>
      </c>
      <c r="B1" s="138"/>
      <c r="C1" s="139" t="s">
        <v>200</v>
      </c>
      <c r="D1" s="139" t="s">
        <v>202</v>
      </c>
      <c r="E1" s="216" t="s">
        <v>185</v>
      </c>
      <c r="F1" s="139" t="s">
        <v>186</v>
      </c>
      <c r="G1" s="139" t="s">
        <v>187</v>
      </c>
      <c r="H1" s="139" t="s">
        <v>188</v>
      </c>
      <c r="I1" s="139" t="s">
        <v>189</v>
      </c>
      <c r="J1" s="139" t="s">
        <v>190</v>
      </c>
      <c r="K1" s="139" t="s">
        <v>191</v>
      </c>
      <c r="L1" s="139" t="s">
        <v>192</v>
      </c>
      <c r="M1" s="139" t="s">
        <v>193</v>
      </c>
      <c r="N1" s="139" t="s">
        <v>194</v>
      </c>
      <c r="O1" s="139" t="s">
        <v>195</v>
      </c>
      <c r="P1" s="139" t="s">
        <v>196</v>
      </c>
      <c r="Q1" s="139" t="s">
        <v>197</v>
      </c>
      <c r="R1" s="140" t="s">
        <v>201</v>
      </c>
      <c r="S1" s="158">
        <f>2/12</f>
        <v>0.16666666666666666</v>
      </c>
      <c r="T1" s="90" t="s">
        <v>198</v>
      </c>
      <c r="HU1"/>
      <c r="HV1"/>
      <c r="HW1"/>
      <c r="HX1"/>
      <c r="HY1"/>
      <c r="HZ1"/>
      <c r="IA1"/>
      <c r="IB1"/>
      <c r="IC1"/>
      <c r="ID1"/>
    </row>
    <row r="2" spans="1:238" ht="15" thickBot="1" x14ac:dyDescent="0.4">
      <c r="A2" s="141" t="s">
        <v>150</v>
      </c>
      <c r="B2" s="101"/>
      <c r="C2" s="102" t="s">
        <v>179</v>
      </c>
      <c r="D2" s="231" t="s">
        <v>209</v>
      </c>
      <c r="E2" s="217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20"/>
      <c r="U2" s="228"/>
      <c r="HU2"/>
      <c r="HV2"/>
      <c r="HW2"/>
      <c r="HX2"/>
      <c r="HY2"/>
      <c r="HZ2"/>
      <c r="IA2"/>
      <c r="IB2"/>
      <c r="IC2"/>
      <c r="ID2"/>
    </row>
    <row r="3" spans="1:238" ht="15" thickBot="1" x14ac:dyDescent="0.4">
      <c r="A3" s="141" t="s">
        <v>151</v>
      </c>
      <c r="B3" s="101"/>
      <c r="C3" s="103">
        <v>6337.2</v>
      </c>
      <c r="D3" s="232">
        <v>6439</v>
      </c>
      <c r="E3" s="218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120"/>
      <c r="T3" s="100" t="s">
        <v>203</v>
      </c>
      <c r="U3" s="228"/>
      <c r="V3" s="229"/>
      <c r="W3" s="229"/>
      <c r="HU3"/>
      <c r="HV3"/>
      <c r="HW3"/>
      <c r="HX3"/>
      <c r="HY3"/>
      <c r="HZ3"/>
      <c r="IA3"/>
      <c r="IB3"/>
      <c r="IC3"/>
      <c r="ID3"/>
    </row>
    <row r="4" spans="1:238" ht="15" thickBot="1" x14ac:dyDescent="0.4">
      <c r="A4" s="141" t="s">
        <v>152</v>
      </c>
      <c r="B4" s="101"/>
      <c r="C4" s="102" t="s">
        <v>183</v>
      </c>
      <c r="D4" s="102" t="s">
        <v>183</v>
      </c>
      <c r="E4" s="219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120"/>
      <c r="U4" s="215"/>
      <c r="W4" s="228"/>
      <c r="HU4"/>
      <c r="HV4"/>
      <c r="HW4"/>
      <c r="HX4"/>
      <c r="HY4"/>
      <c r="HZ4"/>
      <c r="IA4"/>
      <c r="IB4"/>
      <c r="IC4"/>
      <c r="ID4"/>
    </row>
    <row r="5" spans="1:238" ht="15" thickBot="1" x14ac:dyDescent="0.4">
      <c r="A5" s="141" t="s">
        <v>153</v>
      </c>
      <c r="B5" s="101"/>
      <c r="C5" s="103">
        <v>5275.72</v>
      </c>
      <c r="D5" s="103">
        <f>5275.72*1.02</f>
        <v>5381.2344000000003</v>
      </c>
      <c r="E5" s="220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120"/>
      <c r="T5" s="100" t="s">
        <v>205</v>
      </c>
      <c r="U5" s="229"/>
      <c r="HU5"/>
      <c r="HV5"/>
      <c r="HW5"/>
      <c r="HX5"/>
      <c r="HY5"/>
      <c r="HZ5"/>
      <c r="IA5"/>
      <c r="IB5"/>
      <c r="IC5"/>
      <c r="ID5"/>
    </row>
    <row r="6" spans="1:238" ht="24" customHeight="1" x14ac:dyDescent="0.35">
      <c r="A6" s="142" t="s">
        <v>1</v>
      </c>
      <c r="B6" s="52"/>
      <c r="C6" s="94"/>
      <c r="D6" s="94"/>
      <c r="E6" s="167"/>
      <c r="F6" s="164"/>
      <c r="G6" s="163"/>
      <c r="H6" s="163"/>
      <c r="I6" s="163"/>
      <c r="J6" s="163"/>
      <c r="K6" s="165"/>
      <c r="L6" s="165"/>
      <c r="M6" s="165"/>
      <c r="N6" s="165"/>
      <c r="O6" s="165"/>
      <c r="P6" s="165"/>
      <c r="Q6" s="165"/>
      <c r="R6" s="166"/>
      <c r="S6" s="120"/>
      <c r="U6" s="229"/>
      <c r="HU6"/>
      <c r="HV6"/>
      <c r="HW6"/>
      <c r="HX6"/>
      <c r="HY6"/>
      <c r="HZ6"/>
      <c r="IA6"/>
      <c r="IB6"/>
      <c r="IC6"/>
      <c r="ID6"/>
    </row>
    <row r="7" spans="1:238" ht="15" customHeight="1" x14ac:dyDescent="0.35">
      <c r="A7" s="143" t="s">
        <v>2</v>
      </c>
      <c r="B7" s="53"/>
      <c r="C7" s="54">
        <f>C2*C3</f>
        <v>3707262</v>
      </c>
      <c r="D7" s="54">
        <f>D2*D3</f>
        <v>3605840</v>
      </c>
      <c r="E7" s="177">
        <v>277812.03999999998</v>
      </c>
      <c r="F7" s="178">
        <v>414416.05</v>
      </c>
      <c r="G7" s="178"/>
      <c r="H7" s="178"/>
      <c r="I7" s="178"/>
      <c r="J7" s="178"/>
      <c r="K7" s="179"/>
      <c r="L7" s="179"/>
      <c r="M7" s="179"/>
      <c r="N7" s="179"/>
      <c r="O7" s="179"/>
      <c r="P7" s="179"/>
      <c r="Q7" s="179"/>
      <c r="R7" s="180">
        <f>SUM(E7:Q7)</f>
        <v>692228.09</v>
      </c>
      <c r="S7" s="213">
        <f>R7/C7</f>
        <v>0.18672219282046965</v>
      </c>
      <c r="U7" s="227"/>
      <c r="HU7"/>
      <c r="HV7"/>
      <c r="HW7"/>
      <c r="HX7"/>
      <c r="HY7"/>
      <c r="HZ7"/>
      <c r="IA7"/>
      <c r="IB7"/>
      <c r="IC7"/>
      <c r="ID7"/>
    </row>
    <row r="8" spans="1:238" ht="15" customHeight="1" x14ac:dyDescent="0.35">
      <c r="A8" s="144" t="s">
        <v>3</v>
      </c>
      <c r="B8" s="55"/>
      <c r="C8" s="54">
        <f>C4*C5</f>
        <v>232131.68000000002</v>
      </c>
      <c r="D8" s="54">
        <f>D4*D5</f>
        <v>236774.31360000002</v>
      </c>
      <c r="E8" s="181"/>
      <c r="F8" s="178"/>
      <c r="G8" s="178"/>
      <c r="H8" s="178"/>
      <c r="I8" s="178"/>
      <c r="J8" s="178"/>
      <c r="K8" s="179"/>
      <c r="L8" s="179"/>
      <c r="M8" s="179"/>
      <c r="N8" s="179"/>
      <c r="O8" s="179"/>
      <c r="P8" s="179"/>
      <c r="Q8" s="179"/>
      <c r="R8" s="180">
        <f t="shared" ref="R8:R12" si="0">SUM(E8:Q8)</f>
        <v>0</v>
      </c>
      <c r="S8" s="213">
        <f t="shared" ref="S8:S71" si="1">R8/C8</f>
        <v>0</v>
      </c>
      <c r="HU8"/>
      <c r="HV8"/>
      <c r="HW8"/>
      <c r="HX8"/>
      <c r="HY8"/>
      <c r="HZ8"/>
      <c r="IA8"/>
      <c r="IB8"/>
      <c r="IC8"/>
      <c r="ID8"/>
    </row>
    <row r="9" spans="1:238" ht="15" customHeight="1" x14ac:dyDescent="0.35">
      <c r="A9" s="143" t="s">
        <v>4</v>
      </c>
      <c r="B9" s="53"/>
      <c r="C9" s="54">
        <v>-10306</v>
      </c>
      <c r="D9" s="54">
        <v>-10306</v>
      </c>
      <c r="E9" s="178"/>
      <c r="F9" s="178"/>
      <c r="G9" s="178"/>
      <c r="H9" s="178"/>
      <c r="I9" s="178"/>
      <c r="J9" s="178"/>
      <c r="K9" s="179"/>
      <c r="L9" s="179"/>
      <c r="M9" s="179"/>
      <c r="N9" s="179"/>
      <c r="O9" s="179"/>
      <c r="P9" s="179"/>
      <c r="Q9" s="179"/>
      <c r="R9" s="180">
        <f>SUM(E9:Q9)</f>
        <v>0</v>
      </c>
      <c r="S9" s="213">
        <f t="shared" si="1"/>
        <v>0</v>
      </c>
      <c r="HU9"/>
      <c r="HV9"/>
      <c r="HW9"/>
      <c r="HX9"/>
      <c r="HY9"/>
      <c r="HZ9"/>
      <c r="IA9"/>
      <c r="IB9"/>
      <c r="IC9"/>
      <c r="ID9"/>
    </row>
    <row r="10" spans="1:238" ht="15" customHeight="1" x14ac:dyDescent="0.35">
      <c r="A10" s="143" t="s">
        <v>5</v>
      </c>
      <c r="B10" s="53"/>
      <c r="C10" s="54">
        <v>6700</v>
      </c>
      <c r="D10" s="54">
        <v>6700</v>
      </c>
      <c r="E10" s="178"/>
      <c r="F10" s="178"/>
      <c r="G10" s="178"/>
      <c r="H10" s="178"/>
      <c r="I10" s="178"/>
      <c r="J10" s="178"/>
      <c r="K10" s="179"/>
      <c r="L10" s="179"/>
      <c r="M10" s="179"/>
      <c r="N10" s="179"/>
      <c r="O10" s="179"/>
      <c r="P10" s="179"/>
      <c r="Q10" s="179"/>
      <c r="R10" s="180">
        <f t="shared" si="0"/>
        <v>0</v>
      </c>
      <c r="S10" s="213">
        <f t="shared" si="1"/>
        <v>0</v>
      </c>
      <c r="HU10"/>
      <c r="HV10"/>
      <c r="HW10"/>
      <c r="HX10"/>
      <c r="HY10"/>
      <c r="HZ10"/>
      <c r="IA10"/>
      <c r="IB10"/>
      <c r="IC10"/>
      <c r="ID10"/>
    </row>
    <row r="11" spans="1:238" ht="15" customHeight="1" x14ac:dyDescent="0.35">
      <c r="A11" s="143" t="s">
        <v>6</v>
      </c>
      <c r="B11" s="53"/>
      <c r="C11" s="54">
        <v>0</v>
      </c>
      <c r="D11" s="54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80">
        <f t="shared" si="0"/>
        <v>0</v>
      </c>
      <c r="S11" s="213"/>
      <c r="U11" s="229"/>
      <c r="HU11"/>
      <c r="HV11"/>
      <c r="HW11"/>
      <c r="HX11"/>
      <c r="HY11"/>
      <c r="HZ11"/>
      <c r="IA11"/>
      <c r="IB11"/>
      <c r="IC11"/>
      <c r="ID11"/>
    </row>
    <row r="12" spans="1:238" ht="15" customHeight="1" x14ac:dyDescent="0.35">
      <c r="A12" s="143" t="s">
        <v>7</v>
      </c>
      <c r="B12" s="53"/>
      <c r="C12" s="54">
        <v>0</v>
      </c>
      <c r="D12" s="54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0">
        <f t="shared" si="0"/>
        <v>0</v>
      </c>
      <c r="S12" s="213"/>
      <c r="U12" s="229"/>
      <c r="HU12"/>
      <c r="HV12"/>
      <c r="HW12"/>
      <c r="HX12"/>
      <c r="HY12"/>
      <c r="HZ12"/>
      <c r="IA12"/>
      <c r="IB12"/>
      <c r="IC12"/>
      <c r="ID12"/>
    </row>
    <row r="13" spans="1:238" s="118" customFormat="1" ht="15" customHeight="1" x14ac:dyDescent="0.35">
      <c r="A13" s="145" t="s">
        <v>158</v>
      </c>
      <c r="B13" s="96"/>
      <c r="C13" s="98">
        <f t="shared" ref="C13:R13" si="2">SUM(C7:C12)</f>
        <v>3935787.68</v>
      </c>
      <c r="D13" s="98">
        <f t="shared" si="2"/>
        <v>3839008.3136</v>
      </c>
      <c r="E13" s="182">
        <f t="shared" si="2"/>
        <v>277812.03999999998</v>
      </c>
      <c r="F13" s="182">
        <f t="shared" si="2"/>
        <v>414416.05</v>
      </c>
      <c r="G13" s="182">
        <f t="shared" si="2"/>
        <v>0</v>
      </c>
      <c r="H13" s="182">
        <f t="shared" si="2"/>
        <v>0</v>
      </c>
      <c r="I13" s="182">
        <f t="shared" si="2"/>
        <v>0</v>
      </c>
      <c r="J13" s="182">
        <f t="shared" si="2"/>
        <v>0</v>
      </c>
      <c r="K13" s="182">
        <f t="shared" si="2"/>
        <v>0</v>
      </c>
      <c r="L13" s="182">
        <f t="shared" si="2"/>
        <v>0</v>
      </c>
      <c r="M13" s="182">
        <f t="shared" si="2"/>
        <v>0</v>
      </c>
      <c r="N13" s="182">
        <f t="shared" si="2"/>
        <v>0</v>
      </c>
      <c r="O13" s="182">
        <f t="shared" si="2"/>
        <v>0</v>
      </c>
      <c r="P13" s="182">
        <f t="shared" si="2"/>
        <v>0</v>
      </c>
      <c r="Q13" s="182">
        <f t="shared" si="2"/>
        <v>0</v>
      </c>
      <c r="R13" s="182">
        <f t="shared" si="2"/>
        <v>692228.09</v>
      </c>
      <c r="S13" s="213">
        <f t="shared" si="1"/>
        <v>0.17588044535979644</v>
      </c>
      <c r="T13" s="117"/>
      <c r="U13" s="230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</row>
    <row r="14" spans="1:238" ht="15" customHeight="1" x14ac:dyDescent="0.35">
      <c r="A14" s="143" t="s">
        <v>8</v>
      </c>
      <c r="B14" s="114">
        <v>2</v>
      </c>
      <c r="C14" s="54">
        <v>1903.05</v>
      </c>
      <c r="D14" s="233">
        <f>$B14*(211.45*9)*1.02</f>
        <v>3882.2219999999998</v>
      </c>
      <c r="E14" s="177"/>
      <c r="F14" s="184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85">
        <f>SUM(E14:Q14)</f>
        <v>0</v>
      </c>
      <c r="S14" s="213">
        <f t="shared" si="1"/>
        <v>0</v>
      </c>
      <c r="T14" s="100" t="s">
        <v>205</v>
      </c>
      <c r="HU14"/>
      <c r="HV14"/>
      <c r="HW14"/>
      <c r="HX14"/>
      <c r="HY14"/>
      <c r="HZ14"/>
      <c r="IA14"/>
      <c r="IB14"/>
      <c r="IC14"/>
      <c r="ID14"/>
    </row>
    <row r="15" spans="1:238" ht="15" customHeight="1" x14ac:dyDescent="0.35">
      <c r="A15" s="143" t="s">
        <v>9</v>
      </c>
      <c r="B15" s="114">
        <v>9</v>
      </c>
      <c r="C15" s="54">
        <v>53537</v>
      </c>
      <c r="D15" s="233">
        <f>$B15*4867*1.02</f>
        <v>44679.06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85">
        <f t="shared" ref="R15:R32" si="3">SUM(E15:Q15)</f>
        <v>0</v>
      </c>
      <c r="S15" s="213">
        <f t="shared" si="1"/>
        <v>0</v>
      </c>
      <c r="T15" s="100" t="s">
        <v>205</v>
      </c>
      <c r="HU15"/>
      <c r="HV15"/>
      <c r="HW15"/>
      <c r="HX15"/>
      <c r="HY15"/>
      <c r="HZ15"/>
      <c r="IA15"/>
      <c r="IB15"/>
      <c r="IC15"/>
      <c r="ID15"/>
    </row>
    <row r="16" spans="1:238" ht="15" customHeight="1" x14ac:dyDescent="0.35">
      <c r="A16" s="143" t="s">
        <v>10</v>
      </c>
      <c r="B16" s="114">
        <v>5</v>
      </c>
      <c r="C16" s="54">
        <v>33665.760000000002</v>
      </c>
      <c r="D16" s="233">
        <f>$B16*3740.64*1.02</f>
        <v>19077.264000000003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85">
        <f t="shared" si="3"/>
        <v>0</v>
      </c>
      <c r="S16" s="213">
        <f t="shared" si="1"/>
        <v>0</v>
      </c>
      <c r="T16" s="100" t="s">
        <v>205</v>
      </c>
      <c r="HU16"/>
      <c r="HV16"/>
      <c r="HW16"/>
      <c r="HX16"/>
      <c r="HY16"/>
      <c r="HZ16"/>
      <c r="IA16"/>
      <c r="IB16"/>
      <c r="IC16"/>
      <c r="ID16"/>
    </row>
    <row r="17" spans="1:238" ht="15" customHeight="1" x14ac:dyDescent="0.35">
      <c r="A17" s="143" t="s">
        <v>11</v>
      </c>
      <c r="B17" s="114">
        <v>281</v>
      </c>
      <c r="C17" s="54">
        <v>1216584</v>
      </c>
      <c r="D17" s="233">
        <f>($B17-6)*(395*12)</f>
        <v>1303500</v>
      </c>
      <c r="E17" s="177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5">
        <f t="shared" si="3"/>
        <v>0</v>
      </c>
      <c r="S17" s="213">
        <f t="shared" si="1"/>
        <v>0</v>
      </c>
      <c r="T17" s="100" t="s">
        <v>204</v>
      </c>
      <c r="HU17"/>
      <c r="HV17"/>
      <c r="HW17"/>
      <c r="HX17"/>
      <c r="HY17"/>
      <c r="HZ17"/>
      <c r="IA17"/>
      <c r="IB17"/>
      <c r="IC17"/>
      <c r="ID17"/>
    </row>
    <row r="18" spans="1:238" ht="15" customHeight="1" x14ac:dyDescent="0.35">
      <c r="A18" s="143" t="s">
        <v>12</v>
      </c>
      <c r="B18" s="114">
        <v>0</v>
      </c>
      <c r="C18" s="54">
        <v>2166.6</v>
      </c>
      <c r="D18" s="233">
        <f>$B18*2166.6*1.02</f>
        <v>0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5">
        <f t="shared" si="3"/>
        <v>0</v>
      </c>
      <c r="S18" s="213">
        <f t="shared" si="1"/>
        <v>0</v>
      </c>
      <c r="T18" s="100" t="s">
        <v>205</v>
      </c>
      <c r="HU18"/>
      <c r="HV18"/>
      <c r="HW18"/>
      <c r="HX18"/>
      <c r="HY18"/>
      <c r="HZ18"/>
      <c r="IA18"/>
      <c r="IB18"/>
      <c r="IC18"/>
      <c r="ID18"/>
    </row>
    <row r="19" spans="1:238" ht="15" customHeight="1" x14ac:dyDescent="0.35">
      <c r="A19" s="143" t="s">
        <v>13</v>
      </c>
      <c r="B19" s="114">
        <v>2</v>
      </c>
      <c r="C19" s="54">
        <v>6300</v>
      </c>
      <c r="D19" s="233">
        <f>$B19*2100*1.02</f>
        <v>4284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85">
        <f t="shared" si="3"/>
        <v>0</v>
      </c>
      <c r="S19" s="213">
        <f t="shared" si="1"/>
        <v>0</v>
      </c>
      <c r="T19" s="100" t="s">
        <v>205</v>
      </c>
      <c r="HU19"/>
      <c r="HV19"/>
      <c r="HW19"/>
      <c r="HX19"/>
      <c r="HY19"/>
      <c r="HZ19"/>
      <c r="IA19"/>
      <c r="IB19"/>
      <c r="IC19"/>
      <c r="ID19"/>
    </row>
    <row r="20" spans="1:238" ht="15" customHeight="1" x14ac:dyDescent="0.35">
      <c r="A20" s="143" t="s">
        <v>14</v>
      </c>
      <c r="B20" s="114">
        <v>1</v>
      </c>
      <c r="C20" s="54">
        <v>0</v>
      </c>
      <c r="D20" s="233">
        <f>B20*1800</f>
        <v>1800</v>
      </c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85">
        <f t="shared" si="3"/>
        <v>0</v>
      </c>
      <c r="S20" s="213"/>
      <c r="T20" s="100"/>
      <c r="U20" s="227"/>
      <c r="HU20"/>
      <c r="HV20"/>
      <c r="HW20"/>
      <c r="HX20"/>
      <c r="HY20"/>
      <c r="HZ20"/>
      <c r="IA20"/>
      <c r="IB20"/>
      <c r="IC20"/>
      <c r="ID20"/>
    </row>
    <row r="21" spans="1:238" ht="15" customHeight="1" x14ac:dyDescent="0.35">
      <c r="A21" s="144" t="s">
        <v>116</v>
      </c>
      <c r="B21" s="115">
        <v>1</v>
      </c>
      <c r="C21" s="54">
        <v>1638</v>
      </c>
      <c r="D21" s="233">
        <f>$B21*(182*9)*1.02</f>
        <v>1670.76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85">
        <f t="shared" si="3"/>
        <v>0</v>
      </c>
      <c r="S21" s="213">
        <f t="shared" si="1"/>
        <v>0</v>
      </c>
      <c r="T21" s="100" t="s">
        <v>205</v>
      </c>
      <c r="HU21"/>
      <c r="HV21"/>
      <c r="HW21"/>
      <c r="HX21"/>
      <c r="HY21"/>
      <c r="HZ21"/>
      <c r="IA21"/>
      <c r="IB21"/>
      <c r="IC21"/>
      <c r="ID21"/>
    </row>
    <row r="22" spans="1:238" ht="15" customHeight="1" x14ac:dyDescent="0.35">
      <c r="A22" s="144" t="s">
        <v>15</v>
      </c>
      <c r="B22" s="115">
        <v>13</v>
      </c>
      <c r="C22" s="54">
        <v>61425</v>
      </c>
      <c r="D22" s="233">
        <f>$B22*525*9*1.02</f>
        <v>62653.5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85">
        <f t="shared" si="3"/>
        <v>0</v>
      </c>
      <c r="S22" s="213">
        <f t="shared" si="1"/>
        <v>0</v>
      </c>
      <c r="T22" s="100" t="s">
        <v>205</v>
      </c>
      <c r="HU22"/>
      <c r="HV22"/>
      <c r="HW22"/>
      <c r="HX22"/>
      <c r="HY22"/>
      <c r="HZ22"/>
      <c r="IA22"/>
      <c r="IB22"/>
      <c r="IC22"/>
      <c r="ID22"/>
    </row>
    <row r="23" spans="1:238" ht="15" customHeight="1" x14ac:dyDescent="0.35">
      <c r="A23" s="144" t="s">
        <v>16</v>
      </c>
      <c r="B23" s="115">
        <v>250</v>
      </c>
      <c r="C23" s="54">
        <v>905772</v>
      </c>
      <c r="D23" s="233">
        <f>$B23*(287*12)*1.02</f>
        <v>878220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85">
        <f t="shared" si="3"/>
        <v>0</v>
      </c>
      <c r="S23" s="213">
        <f t="shared" si="1"/>
        <v>0</v>
      </c>
      <c r="T23" s="100" t="s">
        <v>205</v>
      </c>
      <c r="HU23"/>
      <c r="HV23"/>
      <c r="HW23"/>
      <c r="HX23"/>
      <c r="HY23"/>
      <c r="HZ23"/>
      <c r="IA23"/>
      <c r="IB23"/>
      <c r="IC23"/>
      <c r="ID23"/>
    </row>
    <row r="24" spans="1:238" ht="15" customHeight="1" x14ac:dyDescent="0.35">
      <c r="A24" s="144" t="s">
        <v>207</v>
      </c>
      <c r="B24" s="115">
        <v>1</v>
      </c>
      <c r="C24" s="54">
        <v>0</v>
      </c>
      <c r="D24" s="233">
        <f>B24*1800</f>
        <v>1800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85">
        <f t="shared" si="3"/>
        <v>0</v>
      </c>
      <c r="S24" s="213"/>
      <c r="HU24"/>
      <c r="HV24"/>
      <c r="HW24"/>
      <c r="HX24"/>
      <c r="HY24"/>
      <c r="HZ24"/>
      <c r="IA24"/>
      <c r="IB24"/>
      <c r="IC24"/>
      <c r="ID24"/>
    </row>
    <row r="25" spans="1:238" s="118" customFormat="1" ht="15" customHeight="1" x14ac:dyDescent="0.35">
      <c r="A25" s="146" t="s">
        <v>159</v>
      </c>
      <c r="B25" s="234">
        <f>SUM(B14:B24)</f>
        <v>565</v>
      </c>
      <c r="C25" s="98">
        <f>SUM(C14:C24)</f>
        <v>2282991.41</v>
      </c>
      <c r="D25" s="98">
        <f>SUM(D14:D24)</f>
        <v>2321566.8059999999</v>
      </c>
      <c r="E25" s="182">
        <f t="shared" ref="E25:R25" si="4">SUM(E14:E24)</f>
        <v>0</v>
      </c>
      <c r="F25" s="182">
        <f t="shared" si="4"/>
        <v>0</v>
      </c>
      <c r="G25" s="182">
        <f t="shared" si="4"/>
        <v>0</v>
      </c>
      <c r="H25" s="182">
        <f t="shared" si="4"/>
        <v>0</v>
      </c>
      <c r="I25" s="182">
        <f t="shared" si="4"/>
        <v>0</v>
      </c>
      <c r="J25" s="182">
        <f t="shared" si="4"/>
        <v>0</v>
      </c>
      <c r="K25" s="182">
        <f t="shared" si="4"/>
        <v>0</v>
      </c>
      <c r="L25" s="182">
        <f t="shared" si="4"/>
        <v>0</v>
      </c>
      <c r="M25" s="182">
        <f t="shared" si="4"/>
        <v>0</v>
      </c>
      <c r="N25" s="182">
        <f t="shared" si="4"/>
        <v>0</v>
      </c>
      <c r="O25" s="182">
        <f t="shared" si="4"/>
        <v>0</v>
      </c>
      <c r="P25" s="182">
        <f t="shared" si="4"/>
        <v>0</v>
      </c>
      <c r="Q25" s="182">
        <f t="shared" si="4"/>
        <v>0</v>
      </c>
      <c r="R25" s="182">
        <f t="shared" si="4"/>
        <v>0</v>
      </c>
      <c r="S25" s="213">
        <f t="shared" si="1"/>
        <v>0</v>
      </c>
      <c r="T25" s="100" t="s">
        <v>208</v>
      </c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</row>
    <row r="26" spans="1:238" ht="15" customHeight="1" x14ac:dyDescent="0.35">
      <c r="A26" s="144" t="s">
        <v>17</v>
      </c>
      <c r="B26" s="116"/>
      <c r="C26" s="54">
        <v>85433</v>
      </c>
      <c r="D26" s="54">
        <v>85433</v>
      </c>
      <c r="E26" s="177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85">
        <f t="shared" si="3"/>
        <v>0</v>
      </c>
      <c r="S26" s="213">
        <f t="shared" si="1"/>
        <v>0</v>
      </c>
      <c r="HU26"/>
      <c r="HV26"/>
      <c r="HW26"/>
      <c r="HX26"/>
      <c r="HY26"/>
      <c r="HZ26"/>
      <c r="IA26"/>
      <c r="IB26"/>
      <c r="IC26"/>
      <c r="ID26"/>
    </row>
    <row r="27" spans="1:238" ht="15" customHeight="1" x14ac:dyDescent="0.35">
      <c r="A27" s="144" t="s">
        <v>18</v>
      </c>
      <c r="B27" s="55"/>
      <c r="C27" s="54">
        <v>0</v>
      </c>
      <c r="D27" s="54">
        <v>0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85">
        <f t="shared" si="3"/>
        <v>0</v>
      </c>
      <c r="S27" s="213"/>
      <c r="HU27"/>
      <c r="HV27"/>
      <c r="HW27"/>
      <c r="HX27"/>
      <c r="HY27"/>
      <c r="HZ27"/>
      <c r="IA27"/>
      <c r="IB27"/>
      <c r="IC27"/>
      <c r="ID27"/>
    </row>
    <row r="28" spans="1:238" ht="15" customHeight="1" x14ac:dyDescent="0.35">
      <c r="A28" s="144" t="s">
        <v>19</v>
      </c>
      <c r="B28" s="55"/>
      <c r="C28" s="54">
        <v>6098</v>
      </c>
      <c r="D28" s="54">
        <v>6098</v>
      </c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85">
        <f t="shared" si="3"/>
        <v>0</v>
      </c>
      <c r="S28" s="213">
        <f t="shared" si="1"/>
        <v>0</v>
      </c>
      <c r="HU28"/>
      <c r="HV28"/>
      <c r="HW28"/>
      <c r="HX28"/>
      <c r="HY28"/>
      <c r="HZ28"/>
      <c r="IA28"/>
      <c r="IB28"/>
      <c r="IC28"/>
      <c r="ID28"/>
    </row>
    <row r="29" spans="1:238" ht="15" customHeight="1" x14ac:dyDescent="0.35">
      <c r="A29" s="144" t="s">
        <v>20</v>
      </c>
      <c r="B29" s="55"/>
      <c r="C29" s="54">
        <v>0</v>
      </c>
      <c r="D29" s="54">
        <v>0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85">
        <f t="shared" si="3"/>
        <v>0</v>
      </c>
      <c r="S29" s="213"/>
      <c r="HU29"/>
      <c r="HV29"/>
      <c r="HW29"/>
      <c r="HX29"/>
      <c r="HY29"/>
      <c r="HZ29"/>
      <c r="IA29"/>
      <c r="IB29"/>
      <c r="IC29"/>
      <c r="ID29"/>
    </row>
    <row r="30" spans="1:238" ht="15" customHeight="1" x14ac:dyDescent="0.35">
      <c r="A30" s="144" t="s">
        <v>21</v>
      </c>
      <c r="B30" s="55"/>
      <c r="C30" s="54">
        <v>1100</v>
      </c>
      <c r="D30" s="54">
        <v>1100</v>
      </c>
      <c r="E30" s="177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85">
        <f t="shared" si="3"/>
        <v>0</v>
      </c>
      <c r="S30" s="213">
        <f t="shared" si="1"/>
        <v>0</v>
      </c>
      <c r="HU30"/>
      <c r="HV30"/>
      <c r="HW30"/>
      <c r="HX30"/>
      <c r="HY30"/>
      <c r="HZ30"/>
      <c r="IA30"/>
      <c r="IB30"/>
      <c r="IC30"/>
      <c r="ID30"/>
    </row>
    <row r="31" spans="1:238" ht="15" customHeight="1" x14ac:dyDescent="0.35">
      <c r="A31" s="144" t="s">
        <v>22</v>
      </c>
      <c r="B31" s="55"/>
      <c r="C31" s="54"/>
      <c r="D31" s="54"/>
      <c r="E31" s="177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85">
        <f>SUM(E31:Q31)</f>
        <v>0</v>
      </c>
      <c r="S31" s="213"/>
      <c r="HU31"/>
      <c r="HV31"/>
      <c r="HW31"/>
      <c r="HX31"/>
      <c r="HY31"/>
      <c r="HZ31"/>
      <c r="IA31"/>
      <c r="IB31"/>
      <c r="IC31"/>
      <c r="ID31"/>
    </row>
    <row r="32" spans="1:238" ht="15" customHeight="1" x14ac:dyDescent="0.35">
      <c r="A32" s="144" t="s">
        <v>23</v>
      </c>
      <c r="B32" s="55"/>
      <c r="C32" s="54">
        <v>49471</v>
      </c>
      <c r="D32" s="54">
        <v>49471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85">
        <f t="shared" si="3"/>
        <v>0</v>
      </c>
      <c r="S32" s="213">
        <f t="shared" si="1"/>
        <v>0</v>
      </c>
      <c r="HU32"/>
      <c r="HV32"/>
      <c r="HW32"/>
      <c r="HX32"/>
      <c r="HY32"/>
      <c r="HZ32"/>
      <c r="IA32"/>
      <c r="IB32"/>
      <c r="IC32"/>
      <c r="ID32"/>
    </row>
    <row r="33" spans="1:238" s="118" customFormat="1" ht="15" customHeight="1" x14ac:dyDescent="0.35">
      <c r="A33" s="146" t="s">
        <v>160</v>
      </c>
      <c r="B33" s="119"/>
      <c r="C33" s="98">
        <f>SUM(C26:C32)</f>
        <v>142102</v>
      </c>
      <c r="D33" s="98">
        <f>SUM(D26:D32)</f>
        <v>142102</v>
      </c>
      <c r="E33" s="182">
        <f t="shared" ref="E33:R33" si="5">SUM(E26:E32)</f>
        <v>0</v>
      </c>
      <c r="F33" s="182">
        <f t="shared" si="5"/>
        <v>0</v>
      </c>
      <c r="G33" s="182">
        <f t="shared" si="5"/>
        <v>0</v>
      </c>
      <c r="H33" s="182">
        <f t="shared" si="5"/>
        <v>0</v>
      </c>
      <c r="I33" s="182">
        <f t="shared" si="5"/>
        <v>0</v>
      </c>
      <c r="J33" s="182">
        <f t="shared" si="5"/>
        <v>0</v>
      </c>
      <c r="K33" s="182">
        <f t="shared" si="5"/>
        <v>0</v>
      </c>
      <c r="L33" s="182">
        <f t="shared" si="5"/>
        <v>0</v>
      </c>
      <c r="M33" s="182">
        <f t="shared" si="5"/>
        <v>0</v>
      </c>
      <c r="N33" s="182">
        <f t="shared" si="5"/>
        <v>0</v>
      </c>
      <c r="O33" s="182">
        <f t="shared" si="5"/>
        <v>0</v>
      </c>
      <c r="P33" s="182">
        <f t="shared" si="5"/>
        <v>0</v>
      </c>
      <c r="Q33" s="182">
        <f t="shared" si="5"/>
        <v>0</v>
      </c>
      <c r="R33" s="182">
        <f t="shared" si="5"/>
        <v>0</v>
      </c>
      <c r="S33" s="213">
        <f t="shared" si="1"/>
        <v>0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</row>
    <row r="34" spans="1:238" x14ac:dyDescent="0.35">
      <c r="A34" s="144" t="s">
        <v>24</v>
      </c>
      <c r="B34" s="55"/>
      <c r="C34" s="54">
        <v>25000</v>
      </c>
      <c r="D34" s="54">
        <v>25000</v>
      </c>
      <c r="E34" s="177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85">
        <f t="shared" ref="R34:R37" si="6">SUM(E34:Q34)</f>
        <v>0</v>
      </c>
      <c r="S34" s="213">
        <f t="shared" si="1"/>
        <v>0</v>
      </c>
      <c r="HU34"/>
      <c r="HV34"/>
      <c r="HW34"/>
      <c r="HX34"/>
      <c r="HY34"/>
      <c r="HZ34"/>
      <c r="IA34"/>
      <c r="IB34"/>
      <c r="IC34"/>
      <c r="ID34"/>
    </row>
    <row r="35" spans="1:238" ht="15" customHeight="1" x14ac:dyDescent="0.35">
      <c r="A35" s="144" t="s">
        <v>25</v>
      </c>
      <c r="B35" s="55"/>
      <c r="C35" s="54">
        <v>50000</v>
      </c>
      <c r="D35" s="54">
        <v>50000</v>
      </c>
      <c r="E35" s="178">
        <f>272.29</f>
        <v>272.29000000000002</v>
      </c>
      <c r="F35" s="178">
        <v>174.49</v>
      </c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85">
        <f t="shared" si="6"/>
        <v>446.78000000000003</v>
      </c>
      <c r="S35" s="213">
        <f t="shared" si="1"/>
        <v>8.9356000000000001E-3</v>
      </c>
      <c r="HU35"/>
      <c r="HV35"/>
      <c r="HW35"/>
      <c r="HX35"/>
      <c r="HY35"/>
      <c r="HZ35"/>
      <c r="IA35"/>
      <c r="IB35"/>
      <c r="IC35"/>
      <c r="ID35"/>
    </row>
    <row r="36" spans="1:238" ht="15" customHeight="1" x14ac:dyDescent="0.35">
      <c r="A36" s="144" t="s">
        <v>26</v>
      </c>
      <c r="B36" s="55"/>
      <c r="C36" s="54">
        <v>2000</v>
      </c>
      <c r="D36" s="54">
        <v>2000</v>
      </c>
      <c r="E36" s="178">
        <v>183.63</v>
      </c>
      <c r="F36" s="178">
        <v>158.78</v>
      </c>
      <c r="G36" s="178"/>
      <c r="H36" s="178"/>
      <c r="I36" s="178"/>
      <c r="J36" s="178"/>
      <c r="K36" s="179"/>
      <c r="L36" s="179"/>
      <c r="M36" s="179"/>
      <c r="N36" s="179"/>
      <c r="O36" s="179"/>
      <c r="P36" s="179"/>
      <c r="Q36" s="179"/>
      <c r="R36" s="185">
        <f t="shared" si="6"/>
        <v>342.40999999999997</v>
      </c>
      <c r="S36" s="213">
        <f t="shared" si="1"/>
        <v>0.171205</v>
      </c>
      <c r="HU36"/>
      <c r="HV36"/>
      <c r="HW36"/>
      <c r="HX36"/>
      <c r="HY36"/>
      <c r="HZ36"/>
      <c r="IA36"/>
      <c r="IB36"/>
      <c r="IC36"/>
      <c r="ID36"/>
    </row>
    <row r="37" spans="1:238" ht="15" customHeight="1" thickBot="1" x14ac:dyDescent="0.4">
      <c r="A37" s="147" t="s">
        <v>27</v>
      </c>
      <c r="B37" s="56"/>
      <c r="C37" s="160">
        <v>0</v>
      </c>
      <c r="D37" s="160"/>
      <c r="E37" s="186"/>
      <c r="F37" s="186"/>
      <c r="G37" s="186"/>
      <c r="H37" s="186"/>
      <c r="I37" s="186"/>
      <c r="J37" s="186"/>
      <c r="K37" s="187"/>
      <c r="L37" s="187"/>
      <c r="M37" s="187"/>
      <c r="N37" s="187"/>
      <c r="O37" s="187"/>
      <c r="P37" s="187"/>
      <c r="Q37" s="187"/>
      <c r="R37" s="185">
        <f t="shared" si="6"/>
        <v>0</v>
      </c>
      <c r="S37" s="213"/>
      <c r="HT37"/>
      <c r="HU37"/>
      <c r="HV37"/>
      <c r="HW37"/>
      <c r="HX37"/>
      <c r="HY37"/>
      <c r="HZ37"/>
      <c r="IA37"/>
      <c r="IB37"/>
      <c r="IC37"/>
      <c r="ID37"/>
    </row>
    <row r="38" spans="1:238" ht="15" customHeight="1" thickBot="1" x14ac:dyDescent="0.4">
      <c r="A38" s="148" t="s">
        <v>28</v>
      </c>
      <c r="B38" s="159"/>
      <c r="C38" s="162">
        <f>C13+C25+C33+C34+C35+C36+C37</f>
        <v>6437881.0899999999</v>
      </c>
      <c r="D38" s="162">
        <f>D13+D25+D33+D34+D35+D36+D37</f>
        <v>6379677.1195999999</v>
      </c>
      <c r="E38" s="162">
        <f t="shared" ref="E38:Q38" si="7">E13+E25+E33+E34+E35+E36+E37</f>
        <v>278267.95999999996</v>
      </c>
      <c r="F38" s="162">
        <f t="shared" si="7"/>
        <v>414749.32</v>
      </c>
      <c r="G38" s="162">
        <f t="shared" si="7"/>
        <v>0</v>
      </c>
      <c r="H38" s="162">
        <f t="shared" si="7"/>
        <v>0</v>
      </c>
      <c r="I38" s="162">
        <f t="shared" si="7"/>
        <v>0</v>
      </c>
      <c r="J38" s="162">
        <f t="shared" si="7"/>
        <v>0</v>
      </c>
      <c r="K38" s="162">
        <f t="shared" si="7"/>
        <v>0</v>
      </c>
      <c r="L38" s="162">
        <f t="shared" si="7"/>
        <v>0</v>
      </c>
      <c r="M38" s="162">
        <f t="shared" si="7"/>
        <v>0</v>
      </c>
      <c r="N38" s="162">
        <f t="shared" si="7"/>
        <v>0</v>
      </c>
      <c r="O38" s="162">
        <f t="shared" si="7"/>
        <v>0</v>
      </c>
      <c r="P38" s="162">
        <f t="shared" si="7"/>
        <v>0</v>
      </c>
      <c r="Q38" s="162">
        <f t="shared" si="7"/>
        <v>0</v>
      </c>
      <c r="R38" s="188">
        <f t="shared" ref="R38" si="8">R13+R25+R33+R34+R35+R36+R37</f>
        <v>693017.28</v>
      </c>
      <c r="S38" s="213">
        <f t="shared" si="1"/>
        <v>0.10764679718556282</v>
      </c>
      <c r="T38" s="227"/>
      <c r="HT38"/>
      <c r="HU38"/>
      <c r="HV38"/>
      <c r="HW38"/>
      <c r="HX38"/>
      <c r="HY38"/>
      <c r="HZ38"/>
      <c r="IA38"/>
      <c r="IB38"/>
      <c r="IC38"/>
      <c r="ID38"/>
    </row>
    <row r="39" spans="1:238" ht="21.75" customHeight="1" x14ac:dyDescent="0.35">
      <c r="A39" s="149" t="s">
        <v>29</v>
      </c>
      <c r="B39" s="59"/>
      <c r="C39" s="161"/>
      <c r="D39" s="161"/>
      <c r="E39" s="190"/>
      <c r="F39" s="191"/>
      <c r="G39" s="191"/>
      <c r="H39" s="191"/>
      <c r="I39" s="191"/>
      <c r="J39" s="191"/>
      <c r="K39" s="192"/>
      <c r="L39" s="192"/>
      <c r="M39" s="192"/>
      <c r="N39" s="192"/>
      <c r="O39" s="192"/>
      <c r="P39" s="192"/>
      <c r="Q39" s="192"/>
      <c r="R39" s="193"/>
      <c r="S39" s="213"/>
      <c r="HT39"/>
      <c r="HU39"/>
      <c r="HV39"/>
      <c r="HW39"/>
      <c r="HX39"/>
      <c r="HY39"/>
      <c r="HZ39"/>
      <c r="IA39"/>
      <c r="IB39"/>
      <c r="IC39"/>
      <c r="ID39"/>
    </row>
    <row r="40" spans="1:238" ht="14.25" customHeight="1" x14ac:dyDescent="0.35">
      <c r="A40" s="143" t="s">
        <v>30</v>
      </c>
      <c r="B40" s="124"/>
      <c r="C40" s="54">
        <v>240000</v>
      </c>
      <c r="D40" s="54">
        <v>240000</v>
      </c>
      <c r="E40" s="178">
        <v>20000</v>
      </c>
      <c r="F40" s="178">
        <v>20000</v>
      </c>
      <c r="G40" s="178"/>
      <c r="H40" s="178"/>
      <c r="I40" s="178"/>
      <c r="J40" s="178"/>
      <c r="K40" s="179"/>
      <c r="L40" s="179"/>
      <c r="M40" s="179"/>
      <c r="N40" s="179"/>
      <c r="O40" s="179"/>
      <c r="P40" s="179"/>
      <c r="Q40" s="179"/>
      <c r="R40" s="185">
        <f t="shared" ref="R40:R54" si="9">SUM(E40:Q40)</f>
        <v>40000</v>
      </c>
      <c r="S40" s="213">
        <f t="shared" si="1"/>
        <v>0.16666666666666666</v>
      </c>
      <c r="HT40"/>
      <c r="HU40"/>
      <c r="HV40"/>
      <c r="HW40"/>
      <c r="HX40"/>
      <c r="HY40"/>
      <c r="HZ40"/>
      <c r="IA40"/>
      <c r="IB40"/>
      <c r="IC40"/>
      <c r="ID40"/>
    </row>
    <row r="41" spans="1:238" ht="15" customHeight="1" x14ac:dyDescent="0.35">
      <c r="A41" s="143" t="s">
        <v>31</v>
      </c>
      <c r="B41" s="124"/>
      <c r="C41" s="54">
        <v>532425</v>
      </c>
      <c r="D41" s="54">
        <v>532425</v>
      </c>
      <c r="E41" s="178">
        <f>63953.46-E40-E43</f>
        <v>36803.46</v>
      </c>
      <c r="F41" s="178">
        <f>71099.48-F40-F43</f>
        <v>43949.479999999996</v>
      </c>
      <c r="G41" s="178"/>
      <c r="H41" s="178"/>
      <c r="I41" s="178"/>
      <c r="J41" s="178"/>
      <c r="K41" s="179"/>
      <c r="L41" s="179"/>
      <c r="M41" s="179"/>
      <c r="N41" s="179"/>
      <c r="O41" s="179"/>
      <c r="P41" s="179"/>
      <c r="Q41" s="179"/>
      <c r="R41" s="185">
        <f t="shared" si="9"/>
        <v>80752.94</v>
      </c>
      <c r="S41" s="213">
        <f t="shared" si="1"/>
        <v>0.15167007559750201</v>
      </c>
      <c r="HT41"/>
      <c r="HU41"/>
      <c r="HV41"/>
      <c r="HW41"/>
      <c r="HX41"/>
      <c r="HY41"/>
      <c r="HZ41"/>
      <c r="IA41"/>
      <c r="IB41"/>
      <c r="IC41"/>
      <c r="ID41"/>
    </row>
    <row r="42" spans="1:238" ht="15" customHeight="1" x14ac:dyDescent="0.35">
      <c r="A42" s="143" t="s">
        <v>32</v>
      </c>
      <c r="B42" s="124"/>
      <c r="C42" s="61">
        <v>8600</v>
      </c>
      <c r="D42" s="61">
        <v>8600</v>
      </c>
      <c r="E42" s="178"/>
      <c r="F42" s="178"/>
      <c r="G42" s="178"/>
      <c r="H42" s="178"/>
      <c r="I42" s="178"/>
      <c r="J42" s="178"/>
      <c r="K42" s="179"/>
      <c r="L42" s="179"/>
      <c r="M42" s="179"/>
      <c r="N42" s="179"/>
      <c r="O42" s="179"/>
      <c r="P42" s="179"/>
      <c r="Q42" s="179"/>
      <c r="R42" s="185">
        <f t="shared" si="9"/>
        <v>0</v>
      </c>
      <c r="S42" s="213">
        <f t="shared" si="1"/>
        <v>0</v>
      </c>
      <c r="U42" s="226"/>
      <c r="HT42"/>
      <c r="HU42"/>
      <c r="HV42"/>
      <c r="HW42"/>
      <c r="HX42"/>
      <c r="HY42"/>
      <c r="HZ42"/>
      <c r="IA42"/>
      <c r="IB42"/>
      <c r="IC42"/>
      <c r="ID42"/>
    </row>
    <row r="43" spans="1:238" ht="15" customHeight="1" x14ac:dyDescent="0.35">
      <c r="A43" s="143" t="s">
        <v>33</v>
      </c>
      <c r="B43" s="124"/>
      <c r="C43" s="61">
        <v>85800</v>
      </c>
      <c r="D43" s="61">
        <v>85800</v>
      </c>
      <c r="E43" s="178">
        <v>7150</v>
      </c>
      <c r="F43" s="178">
        <v>7150</v>
      </c>
      <c r="G43" s="178"/>
      <c r="H43" s="178"/>
      <c r="I43" s="178"/>
      <c r="J43" s="178"/>
      <c r="K43" s="179"/>
      <c r="L43" s="179"/>
      <c r="M43" s="179"/>
      <c r="N43" s="179"/>
      <c r="O43" s="179"/>
      <c r="P43" s="179"/>
      <c r="Q43" s="179"/>
      <c r="R43" s="185">
        <f t="shared" si="9"/>
        <v>14300</v>
      </c>
      <c r="S43" s="213">
        <f t="shared" si="1"/>
        <v>0.16666666666666666</v>
      </c>
      <c r="U43" s="226"/>
      <c r="HT43"/>
      <c r="HU43"/>
      <c r="HV43"/>
      <c r="HW43"/>
      <c r="HX43"/>
      <c r="HY43"/>
      <c r="HZ43"/>
      <c r="IA43"/>
      <c r="IB43"/>
      <c r="IC43"/>
      <c r="ID43"/>
    </row>
    <row r="44" spans="1:238" ht="15" customHeight="1" x14ac:dyDescent="0.35">
      <c r="A44" s="143" t="s">
        <v>34</v>
      </c>
      <c r="B44" s="124"/>
      <c r="C44" s="61">
        <v>0</v>
      </c>
      <c r="D44" s="61">
        <v>0</v>
      </c>
      <c r="E44" s="178"/>
      <c r="F44" s="178"/>
      <c r="G44" s="178"/>
      <c r="H44" s="178"/>
      <c r="I44" s="178"/>
      <c r="J44" s="178"/>
      <c r="K44" s="179"/>
      <c r="L44" s="179"/>
      <c r="M44" s="179"/>
      <c r="N44" s="179"/>
      <c r="O44" s="179"/>
      <c r="P44" s="179"/>
      <c r="Q44" s="179"/>
      <c r="R44" s="185">
        <f t="shared" si="9"/>
        <v>0</v>
      </c>
      <c r="S44" s="213"/>
      <c r="HT44"/>
      <c r="HU44"/>
      <c r="HV44"/>
      <c r="HW44"/>
      <c r="HX44"/>
      <c r="HY44"/>
      <c r="HZ44"/>
      <c r="IA44"/>
      <c r="IB44"/>
      <c r="IC44"/>
      <c r="ID44"/>
    </row>
    <row r="45" spans="1:238" ht="15" customHeight="1" x14ac:dyDescent="0.35">
      <c r="A45" s="150" t="s">
        <v>35</v>
      </c>
      <c r="B45" s="124"/>
      <c r="C45" s="61"/>
      <c r="D45" s="61"/>
      <c r="E45" s="178"/>
      <c r="F45" s="178"/>
      <c r="G45" s="178"/>
      <c r="H45" s="178"/>
      <c r="I45" s="178"/>
      <c r="J45" s="178"/>
      <c r="K45" s="179"/>
      <c r="L45" s="179"/>
      <c r="M45" s="179"/>
      <c r="N45" s="179"/>
      <c r="O45" s="179"/>
      <c r="P45" s="179"/>
      <c r="Q45" s="179"/>
      <c r="R45" s="180"/>
      <c r="S45" s="213"/>
      <c r="HT45"/>
      <c r="HU45"/>
      <c r="HV45"/>
      <c r="HW45"/>
      <c r="HX45"/>
      <c r="HY45"/>
      <c r="HZ45"/>
      <c r="IA45"/>
      <c r="IB45"/>
      <c r="IC45"/>
      <c r="ID45"/>
    </row>
    <row r="46" spans="1:238" ht="15" customHeight="1" x14ac:dyDescent="0.35">
      <c r="A46" s="143" t="s">
        <v>36</v>
      </c>
      <c r="B46" s="124"/>
      <c r="C46" s="54">
        <v>90000</v>
      </c>
      <c r="D46" s="54">
        <v>90000</v>
      </c>
      <c r="E46" s="177">
        <f>4928.54+2402.08</f>
        <v>7330.62</v>
      </c>
      <c r="F46" s="194">
        <f>279.16+4941.3+962.01+304.43</f>
        <v>6486.9000000000005</v>
      </c>
      <c r="G46" s="178"/>
      <c r="H46" s="178"/>
      <c r="I46" s="178"/>
      <c r="J46" s="178"/>
      <c r="K46" s="179"/>
      <c r="L46" s="179"/>
      <c r="M46" s="179"/>
      <c r="N46" s="179"/>
      <c r="O46" s="179"/>
      <c r="P46" s="179"/>
      <c r="Q46" s="179"/>
      <c r="R46" s="185">
        <f t="shared" si="9"/>
        <v>13817.52</v>
      </c>
      <c r="S46" s="213">
        <f t="shared" si="1"/>
        <v>0.153528</v>
      </c>
      <c r="HT46"/>
      <c r="HU46"/>
      <c r="HV46"/>
      <c r="HW46"/>
      <c r="HX46"/>
      <c r="HY46"/>
      <c r="HZ46"/>
      <c r="IA46"/>
      <c r="IB46"/>
      <c r="IC46"/>
      <c r="ID46"/>
    </row>
    <row r="47" spans="1:238" ht="15" customHeight="1" x14ac:dyDescent="0.35">
      <c r="A47" s="143" t="s">
        <v>55</v>
      </c>
      <c r="B47" s="124"/>
      <c r="C47" s="54">
        <v>4010.88</v>
      </c>
      <c r="D47" s="54">
        <v>4010.88</v>
      </c>
      <c r="E47" s="178">
        <v>213.81</v>
      </c>
      <c r="F47" s="178">
        <v>215.2</v>
      </c>
      <c r="G47" s="178"/>
      <c r="H47" s="178"/>
      <c r="I47" s="178"/>
      <c r="J47" s="178"/>
      <c r="K47" s="179"/>
      <c r="L47" s="179"/>
      <c r="M47" s="179"/>
      <c r="N47" s="179"/>
      <c r="O47" s="179"/>
      <c r="P47" s="179"/>
      <c r="Q47" s="179"/>
      <c r="R47" s="185">
        <f t="shared" si="9"/>
        <v>429.01</v>
      </c>
      <c r="S47" s="213">
        <f t="shared" si="1"/>
        <v>0.10696156454443911</v>
      </c>
      <c r="HT47"/>
      <c r="HU47"/>
      <c r="HV47"/>
      <c r="HW47"/>
      <c r="HX47"/>
      <c r="HY47"/>
      <c r="HZ47"/>
      <c r="IA47"/>
      <c r="IB47"/>
      <c r="IC47"/>
      <c r="ID47"/>
    </row>
    <row r="48" spans="1:238" ht="15" customHeight="1" x14ac:dyDescent="0.35">
      <c r="A48" s="143" t="s">
        <v>117</v>
      </c>
      <c r="B48" s="124"/>
      <c r="C48" s="54">
        <f>200000-C49-C51-C52-C53-C54</f>
        <v>52922</v>
      </c>
      <c r="D48" s="54">
        <v>52922</v>
      </c>
      <c r="E48" s="177">
        <v>2935</v>
      </c>
      <c r="F48" s="178">
        <v>7163.57</v>
      </c>
      <c r="G48" s="178"/>
      <c r="H48" s="178"/>
      <c r="I48" s="178"/>
      <c r="J48" s="178"/>
      <c r="K48" s="179"/>
      <c r="L48" s="179"/>
      <c r="M48" s="179"/>
      <c r="N48" s="179"/>
      <c r="O48" s="179"/>
      <c r="P48" s="179"/>
      <c r="Q48" s="179"/>
      <c r="R48" s="185">
        <f t="shared" si="9"/>
        <v>10098.57</v>
      </c>
      <c r="S48" s="213">
        <f t="shared" si="1"/>
        <v>0.19081988586977061</v>
      </c>
      <c r="HT48"/>
      <c r="HU48"/>
      <c r="HV48"/>
      <c r="HW48"/>
      <c r="HX48"/>
      <c r="HY48"/>
      <c r="HZ48"/>
      <c r="IA48"/>
      <c r="IB48"/>
      <c r="IC48"/>
      <c r="ID48"/>
    </row>
    <row r="49" spans="1:238" ht="15" customHeight="1" x14ac:dyDescent="0.35">
      <c r="A49" s="143" t="s">
        <v>125</v>
      </c>
      <c r="B49" s="124"/>
      <c r="C49" s="54">
        <v>24000</v>
      </c>
      <c r="D49" s="54">
        <v>24000</v>
      </c>
      <c r="E49" s="177"/>
      <c r="F49" s="178">
        <v>2127.69</v>
      </c>
      <c r="G49" s="178"/>
      <c r="H49" s="178"/>
      <c r="I49" s="178"/>
      <c r="J49" s="178"/>
      <c r="K49" s="179"/>
      <c r="L49" s="179"/>
      <c r="M49" s="179"/>
      <c r="N49" s="179"/>
      <c r="O49" s="179"/>
      <c r="P49" s="179"/>
      <c r="Q49" s="179"/>
      <c r="R49" s="185">
        <f t="shared" si="9"/>
        <v>2127.69</v>
      </c>
      <c r="S49" s="213">
        <f t="shared" si="1"/>
        <v>8.8653750000000003E-2</v>
      </c>
      <c r="HT49"/>
      <c r="HU49"/>
      <c r="HV49"/>
      <c r="HW49"/>
      <c r="HX49"/>
      <c r="HY49"/>
      <c r="HZ49"/>
      <c r="IA49"/>
      <c r="IB49"/>
      <c r="IC49"/>
      <c r="ID49"/>
    </row>
    <row r="50" spans="1:238" ht="15" customHeight="1" x14ac:dyDescent="0.35">
      <c r="A50" s="143" t="s">
        <v>162</v>
      </c>
      <c r="B50" s="124"/>
      <c r="C50" s="61"/>
      <c r="D50" s="61"/>
      <c r="E50" s="178"/>
      <c r="F50" s="178"/>
      <c r="G50" s="178"/>
      <c r="H50" s="178"/>
      <c r="I50" s="178"/>
      <c r="J50" s="178"/>
      <c r="K50" s="179"/>
      <c r="L50" s="179"/>
      <c r="M50" s="179"/>
      <c r="N50" s="179"/>
      <c r="O50" s="179"/>
      <c r="P50" s="179"/>
      <c r="Q50" s="179"/>
      <c r="R50" s="185">
        <f t="shared" si="9"/>
        <v>0</v>
      </c>
      <c r="S50" s="213"/>
      <c r="HT50"/>
      <c r="HU50"/>
      <c r="HV50"/>
      <c r="HW50"/>
      <c r="HX50"/>
      <c r="HY50"/>
      <c r="HZ50"/>
      <c r="IA50"/>
      <c r="IB50"/>
      <c r="IC50"/>
      <c r="ID50"/>
    </row>
    <row r="51" spans="1:238" ht="15" customHeight="1" x14ac:dyDescent="0.35">
      <c r="A51" s="151" t="s">
        <v>154</v>
      </c>
      <c r="B51" s="124"/>
      <c r="C51" s="61">
        <v>88772</v>
      </c>
      <c r="D51" s="61">
        <v>88772</v>
      </c>
      <c r="E51" s="177"/>
      <c r="F51" s="178">
        <v>7397.67</v>
      </c>
      <c r="G51" s="178"/>
      <c r="H51" s="178"/>
      <c r="I51" s="178"/>
      <c r="J51" s="178"/>
      <c r="K51" s="179"/>
      <c r="L51" s="179"/>
      <c r="M51" s="179"/>
      <c r="N51" s="179"/>
      <c r="O51" s="179"/>
      <c r="P51" s="179"/>
      <c r="Q51" s="179"/>
      <c r="R51" s="185">
        <f t="shared" si="9"/>
        <v>7397.67</v>
      </c>
      <c r="S51" s="213">
        <f t="shared" si="1"/>
        <v>8.3333370882710769E-2</v>
      </c>
      <c r="HT51"/>
      <c r="HU51"/>
      <c r="HV51"/>
      <c r="HW51"/>
      <c r="HX51"/>
      <c r="HY51"/>
      <c r="HZ51"/>
      <c r="IA51"/>
      <c r="IB51"/>
      <c r="IC51"/>
      <c r="ID51"/>
    </row>
    <row r="52" spans="1:238" ht="15" customHeight="1" x14ac:dyDescent="0.35">
      <c r="A52" s="151" t="s">
        <v>120</v>
      </c>
      <c r="B52" s="124"/>
      <c r="C52" s="61">
        <v>12450</v>
      </c>
      <c r="D52" s="61">
        <v>12450</v>
      </c>
      <c r="E52" s="178"/>
      <c r="F52" s="178">
        <v>6225.8</v>
      </c>
      <c r="G52" s="178"/>
      <c r="H52" s="178"/>
      <c r="I52" s="178"/>
      <c r="J52" s="178"/>
      <c r="K52" s="179"/>
      <c r="L52" s="179"/>
      <c r="M52" s="179"/>
      <c r="N52" s="179"/>
      <c r="O52" s="179"/>
      <c r="P52" s="179"/>
      <c r="Q52" s="179"/>
      <c r="R52" s="185">
        <f t="shared" si="9"/>
        <v>6225.8</v>
      </c>
      <c r="S52" s="213">
        <f t="shared" si="1"/>
        <v>0.50006425702811241</v>
      </c>
      <c r="HT52"/>
      <c r="HU52"/>
      <c r="HV52"/>
      <c r="HW52"/>
      <c r="HX52"/>
      <c r="HY52"/>
      <c r="HZ52"/>
      <c r="IA52"/>
      <c r="IB52"/>
      <c r="IC52"/>
      <c r="ID52"/>
    </row>
    <row r="53" spans="1:238" ht="15" customHeight="1" x14ac:dyDescent="0.35">
      <c r="A53" s="151" t="s">
        <v>119</v>
      </c>
      <c r="B53" s="124"/>
      <c r="C53" s="61">
        <f>(1050+1414)*4</f>
        <v>9856</v>
      </c>
      <c r="D53" s="61">
        <v>9856</v>
      </c>
      <c r="E53" s="177"/>
      <c r="F53" s="178"/>
      <c r="G53" s="178"/>
      <c r="H53" s="177"/>
      <c r="I53" s="178"/>
      <c r="J53" s="178"/>
      <c r="K53" s="179"/>
      <c r="L53" s="179"/>
      <c r="M53" s="179"/>
      <c r="N53" s="179"/>
      <c r="O53" s="179"/>
      <c r="P53" s="179"/>
      <c r="Q53" s="179"/>
      <c r="R53" s="185">
        <f t="shared" si="9"/>
        <v>0</v>
      </c>
      <c r="S53" s="213">
        <f t="shared" si="1"/>
        <v>0</v>
      </c>
      <c r="HT53"/>
      <c r="HU53"/>
      <c r="HV53"/>
      <c r="HW53"/>
      <c r="HX53"/>
      <c r="HY53"/>
      <c r="HZ53"/>
      <c r="IA53"/>
      <c r="IB53"/>
      <c r="IC53"/>
      <c r="ID53"/>
    </row>
    <row r="54" spans="1:238" ht="15" customHeight="1" x14ac:dyDescent="0.35">
      <c r="A54" s="151" t="s">
        <v>118</v>
      </c>
      <c r="B54" s="124"/>
      <c r="C54" s="61">
        <v>12000</v>
      </c>
      <c r="D54" s="61">
        <v>12000</v>
      </c>
      <c r="E54" s="177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85">
        <f t="shared" si="9"/>
        <v>0</v>
      </c>
      <c r="S54" s="213">
        <f t="shared" si="1"/>
        <v>0</v>
      </c>
      <c r="HT54"/>
      <c r="HU54"/>
      <c r="HV54"/>
      <c r="HW54"/>
      <c r="HX54"/>
      <c r="HY54"/>
      <c r="HZ54"/>
      <c r="IA54"/>
      <c r="IB54"/>
      <c r="IC54"/>
      <c r="ID54"/>
    </row>
    <row r="55" spans="1:238" ht="15" customHeight="1" x14ac:dyDescent="0.35">
      <c r="A55" s="143" t="s">
        <v>37</v>
      </c>
      <c r="B55" s="124"/>
      <c r="C55" s="97">
        <f>SUM(C46:C54)</f>
        <v>294010.88</v>
      </c>
      <c r="D55" s="97">
        <f>SUM(D46:D54)</f>
        <v>294010.88</v>
      </c>
      <c r="E55" s="195">
        <f t="shared" ref="E55:R55" si="10">SUM(E46:E54)</f>
        <v>10479.43</v>
      </c>
      <c r="F55" s="195">
        <f t="shared" si="10"/>
        <v>29616.829999999998</v>
      </c>
      <c r="G55" s="195">
        <f t="shared" si="10"/>
        <v>0</v>
      </c>
      <c r="H55" s="195">
        <f t="shared" si="10"/>
        <v>0</v>
      </c>
      <c r="I55" s="195">
        <f t="shared" si="10"/>
        <v>0</v>
      </c>
      <c r="J55" s="195">
        <f t="shared" si="10"/>
        <v>0</v>
      </c>
      <c r="K55" s="195">
        <f t="shared" si="10"/>
        <v>0</v>
      </c>
      <c r="L55" s="195">
        <f t="shared" si="10"/>
        <v>0</v>
      </c>
      <c r="M55" s="195">
        <f t="shared" si="10"/>
        <v>0</v>
      </c>
      <c r="N55" s="195">
        <f t="shared" si="10"/>
        <v>0</v>
      </c>
      <c r="O55" s="195">
        <f t="shared" si="10"/>
        <v>0</v>
      </c>
      <c r="P55" s="195">
        <f t="shared" si="10"/>
        <v>0</v>
      </c>
      <c r="Q55" s="195">
        <f t="shared" si="10"/>
        <v>0</v>
      </c>
      <c r="R55" s="196">
        <f t="shared" si="10"/>
        <v>40096.26</v>
      </c>
      <c r="S55" s="213">
        <f t="shared" si="1"/>
        <v>0.13637678986573559</v>
      </c>
      <c r="HT55"/>
      <c r="HU55"/>
      <c r="HV55"/>
      <c r="HW55"/>
      <c r="HX55"/>
      <c r="HY55"/>
      <c r="HZ55"/>
      <c r="IA55"/>
      <c r="IB55"/>
      <c r="IC55"/>
      <c r="ID55"/>
    </row>
    <row r="56" spans="1:238" ht="15" customHeight="1" x14ac:dyDescent="0.35">
      <c r="A56" s="150" t="s">
        <v>173</v>
      </c>
      <c r="B56" s="125"/>
      <c r="C56" s="61"/>
      <c r="D56" s="61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85"/>
      <c r="S56" s="213"/>
      <c r="HT56"/>
      <c r="HU56"/>
      <c r="HV56"/>
      <c r="HW56"/>
      <c r="HX56"/>
      <c r="HY56"/>
      <c r="HZ56"/>
      <c r="IA56"/>
      <c r="IB56"/>
      <c r="IC56"/>
      <c r="ID56"/>
    </row>
    <row r="57" spans="1:238" ht="14.5" customHeight="1" x14ac:dyDescent="0.35">
      <c r="A57" s="143" t="s">
        <v>38</v>
      </c>
      <c r="B57" s="124"/>
      <c r="C57" s="54">
        <f>3501677.55+100000</f>
        <v>3601677.55</v>
      </c>
      <c r="D57" s="233">
        <f>3602518</f>
        <v>3602518</v>
      </c>
      <c r="E57" s="177">
        <v>234713.88</v>
      </c>
      <c r="F57" s="178">
        <v>348454.13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85">
        <f t="shared" ref="R57:R66" si="11">SUM(E57:Q57)</f>
        <v>583168.01</v>
      </c>
      <c r="S57" s="213">
        <f>R57/C57</f>
        <v>0.16191566343855518</v>
      </c>
      <c r="T57" s="100" t="s">
        <v>210</v>
      </c>
      <c r="U57" s="227"/>
      <c r="HT57"/>
      <c r="HU57"/>
      <c r="HV57"/>
      <c r="HW57"/>
      <c r="HX57"/>
      <c r="HY57"/>
      <c r="HZ57"/>
      <c r="IA57"/>
      <c r="IB57"/>
      <c r="IC57"/>
      <c r="ID57"/>
    </row>
    <row r="58" spans="1:238" ht="14.5" customHeight="1" x14ac:dyDescent="0.35">
      <c r="A58" s="143" t="s">
        <v>39</v>
      </c>
      <c r="B58" s="124"/>
      <c r="C58" s="54">
        <v>60000</v>
      </c>
      <c r="D58" s="54">
        <v>60000</v>
      </c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85">
        <f t="shared" si="11"/>
        <v>0</v>
      </c>
      <c r="S58" s="213">
        <f t="shared" si="1"/>
        <v>0</v>
      </c>
      <c r="HT58"/>
      <c r="HU58"/>
      <c r="HV58"/>
      <c r="HW58"/>
      <c r="HX58"/>
      <c r="HY58"/>
      <c r="HZ58"/>
      <c r="IA58"/>
      <c r="IB58"/>
      <c r="IC58"/>
      <c r="ID58"/>
    </row>
    <row r="59" spans="1:238" ht="15" customHeight="1" x14ac:dyDescent="0.35">
      <c r="A59" s="143" t="s">
        <v>41</v>
      </c>
      <c r="B59" s="124"/>
      <c r="C59" s="61">
        <v>5400</v>
      </c>
      <c r="D59" s="61">
        <v>5400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85">
        <f t="shared" si="11"/>
        <v>0</v>
      </c>
      <c r="S59" s="213">
        <f t="shared" si="1"/>
        <v>0</v>
      </c>
      <c r="HT59"/>
      <c r="HU59"/>
      <c r="HV59"/>
      <c r="HW59"/>
      <c r="HX59"/>
      <c r="HY59"/>
      <c r="HZ59"/>
      <c r="IA59"/>
      <c r="IB59"/>
      <c r="IC59"/>
      <c r="ID59"/>
    </row>
    <row r="60" spans="1:238" ht="15" customHeight="1" x14ac:dyDescent="0.35">
      <c r="A60" s="143" t="s">
        <v>42</v>
      </c>
      <c r="B60" s="124"/>
      <c r="C60" s="54">
        <f>(56*0.9)*((647.87*5)+(584.96*7))</f>
        <v>369637.12799999997</v>
      </c>
      <c r="D60" s="54">
        <f>(56*0.9)*((647.87*5)+(584.96*7))</f>
        <v>369637.12799999997</v>
      </c>
      <c r="E60" s="177">
        <v>21380.6</v>
      </c>
      <c r="F60" s="178">
        <v>22486.22</v>
      </c>
      <c r="G60" s="178"/>
      <c r="H60" s="177"/>
      <c r="I60" s="178"/>
      <c r="J60" s="178"/>
      <c r="K60" s="178"/>
      <c r="L60" s="178"/>
      <c r="M60" s="178"/>
      <c r="N60" s="178"/>
      <c r="O60" s="178"/>
      <c r="P60" s="178"/>
      <c r="Q60" s="178"/>
      <c r="R60" s="185">
        <f t="shared" si="11"/>
        <v>43866.82</v>
      </c>
      <c r="S60" s="213">
        <f t="shared" si="1"/>
        <v>0.11867536207023015</v>
      </c>
      <c r="HT60"/>
      <c r="HU60"/>
      <c r="HV60"/>
      <c r="HW60"/>
      <c r="HX60"/>
      <c r="HY60"/>
      <c r="HZ60"/>
      <c r="IA60"/>
      <c r="IB60"/>
      <c r="IC60"/>
      <c r="ID60"/>
    </row>
    <row r="61" spans="1:238" ht="15" customHeight="1" x14ac:dyDescent="0.35">
      <c r="A61" s="143" t="s">
        <v>43</v>
      </c>
      <c r="B61" s="124"/>
      <c r="C61" s="54">
        <f>(C57*0.03)*0.65</f>
        <v>70232.712224999996</v>
      </c>
      <c r="D61" s="233">
        <f>(D57*0.03)*0.65</f>
        <v>70249.100999999995</v>
      </c>
      <c r="E61" s="177">
        <v>3488.55</v>
      </c>
      <c r="F61" s="178">
        <v>3649.52</v>
      </c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85">
        <f t="shared" si="11"/>
        <v>7138.07</v>
      </c>
      <c r="S61" s="213">
        <f t="shared" si="1"/>
        <v>0.10163454854387834</v>
      </c>
      <c r="HT61"/>
      <c r="HU61"/>
      <c r="HV61"/>
      <c r="HW61"/>
      <c r="HX61"/>
      <c r="HY61"/>
      <c r="HZ61"/>
      <c r="IA61"/>
      <c r="IB61"/>
      <c r="IC61"/>
      <c r="ID61"/>
    </row>
    <row r="62" spans="1:238" ht="15" customHeight="1" x14ac:dyDescent="0.35">
      <c r="A62" s="143" t="s">
        <v>44</v>
      </c>
      <c r="B62" s="124"/>
      <c r="C62" s="54">
        <f>C57*0.0765</f>
        <v>275528.33257500001</v>
      </c>
      <c r="D62" s="233">
        <f>(D57)*0.0765</f>
        <v>275592.62699999998</v>
      </c>
      <c r="E62" s="194">
        <v>17241.830000000002</v>
      </c>
      <c r="F62" s="178">
        <v>26224.87</v>
      </c>
      <c r="G62" s="235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85">
        <f t="shared" si="11"/>
        <v>43466.7</v>
      </c>
      <c r="S62" s="213">
        <f t="shared" si="1"/>
        <v>0.15775764181408883</v>
      </c>
      <c r="HT62"/>
      <c r="HU62"/>
      <c r="HV62"/>
      <c r="HW62"/>
      <c r="HX62"/>
      <c r="HY62"/>
      <c r="HZ62"/>
      <c r="IA62"/>
      <c r="IB62"/>
      <c r="IC62"/>
      <c r="ID62"/>
    </row>
    <row r="63" spans="1:238" ht="15" customHeight="1" x14ac:dyDescent="0.35">
      <c r="A63" s="143" t="s">
        <v>45</v>
      </c>
      <c r="B63" s="124"/>
      <c r="C63" s="54">
        <v>6000</v>
      </c>
      <c r="D63" s="54">
        <v>6000</v>
      </c>
      <c r="E63" s="194">
        <v>357</v>
      </c>
      <c r="F63" s="178">
        <v>278</v>
      </c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85">
        <f t="shared" si="11"/>
        <v>635</v>
      </c>
      <c r="S63" s="213">
        <f t="shared" si="1"/>
        <v>0.10583333333333333</v>
      </c>
      <c r="HT63"/>
      <c r="HU63"/>
      <c r="HV63"/>
      <c r="HW63"/>
      <c r="HX63"/>
      <c r="HY63"/>
      <c r="HZ63"/>
      <c r="IA63"/>
      <c r="IB63"/>
      <c r="IC63"/>
      <c r="ID63"/>
    </row>
    <row r="64" spans="1:238" ht="15" customHeight="1" x14ac:dyDescent="0.35">
      <c r="A64" s="143" t="s">
        <v>46</v>
      </c>
      <c r="B64" s="124"/>
      <c r="C64" s="54">
        <f>56*30600*0.0047*1.35</f>
        <v>10872.792000000001</v>
      </c>
      <c r="D64" s="54">
        <v>10872.792000000001</v>
      </c>
      <c r="E64" s="194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85">
        <f t="shared" si="11"/>
        <v>0</v>
      </c>
      <c r="S64" s="213">
        <f t="shared" si="1"/>
        <v>0</v>
      </c>
      <c r="HT64"/>
      <c r="HU64"/>
      <c r="HV64"/>
      <c r="HW64"/>
      <c r="HX64"/>
      <c r="HY64"/>
      <c r="HZ64"/>
      <c r="IA64"/>
      <c r="IB64"/>
      <c r="IC64"/>
      <c r="ID64"/>
    </row>
    <row r="65" spans="1:238" ht="15" customHeight="1" x14ac:dyDescent="0.35">
      <c r="A65" s="143" t="s">
        <v>47</v>
      </c>
      <c r="B65" s="124"/>
      <c r="C65" s="54">
        <v>14000</v>
      </c>
      <c r="D65" s="54">
        <v>14000</v>
      </c>
      <c r="E65" s="194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85">
        <f t="shared" si="11"/>
        <v>0</v>
      </c>
      <c r="S65" s="213">
        <f t="shared" si="1"/>
        <v>0</v>
      </c>
      <c r="HT65"/>
      <c r="HU65"/>
      <c r="HV65"/>
      <c r="HW65"/>
      <c r="HX65"/>
      <c r="HY65"/>
      <c r="HZ65"/>
      <c r="IA65"/>
      <c r="IB65"/>
      <c r="IC65"/>
      <c r="ID65"/>
    </row>
    <row r="66" spans="1:238" ht="15" customHeight="1" x14ac:dyDescent="0.35">
      <c r="A66" s="143" t="s">
        <v>48</v>
      </c>
      <c r="B66" s="124"/>
      <c r="C66" s="54">
        <v>70000</v>
      </c>
      <c r="D66" s="233">
        <v>14500</v>
      </c>
      <c r="E66" s="194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85">
        <f t="shared" si="11"/>
        <v>0</v>
      </c>
      <c r="S66" s="213">
        <f t="shared" si="1"/>
        <v>0</v>
      </c>
      <c r="T66" s="100" t="s">
        <v>206</v>
      </c>
      <c r="HT66"/>
      <c r="HU66"/>
      <c r="HV66"/>
      <c r="HW66"/>
      <c r="HX66"/>
      <c r="HY66"/>
      <c r="HZ66"/>
      <c r="IA66"/>
      <c r="IB66"/>
      <c r="IC66"/>
      <c r="ID66"/>
    </row>
    <row r="67" spans="1:238" ht="15" customHeight="1" x14ac:dyDescent="0.35">
      <c r="A67" s="143" t="s">
        <v>176</v>
      </c>
      <c r="B67" s="124"/>
      <c r="C67" s="98">
        <f>SUM(C57:C66)</f>
        <v>4483348.5148</v>
      </c>
      <c r="D67" s="98">
        <f>SUM(D57:D66)</f>
        <v>4428769.648</v>
      </c>
      <c r="E67" s="182">
        <f t="shared" ref="E67:R67" si="12">SUM(E57:E66)</f>
        <v>277181.86</v>
      </c>
      <c r="F67" s="182">
        <f t="shared" si="12"/>
        <v>401092.74</v>
      </c>
      <c r="G67" s="182">
        <f t="shared" si="12"/>
        <v>0</v>
      </c>
      <c r="H67" s="182">
        <f t="shared" si="12"/>
        <v>0</v>
      </c>
      <c r="I67" s="182">
        <f t="shared" si="12"/>
        <v>0</v>
      </c>
      <c r="J67" s="182">
        <f t="shared" si="12"/>
        <v>0</v>
      </c>
      <c r="K67" s="182">
        <f t="shared" si="12"/>
        <v>0</v>
      </c>
      <c r="L67" s="182">
        <f t="shared" si="12"/>
        <v>0</v>
      </c>
      <c r="M67" s="182">
        <f t="shared" si="12"/>
        <v>0</v>
      </c>
      <c r="N67" s="182">
        <f t="shared" si="12"/>
        <v>0</v>
      </c>
      <c r="O67" s="182">
        <f t="shared" si="12"/>
        <v>0</v>
      </c>
      <c r="P67" s="182">
        <f t="shared" si="12"/>
        <v>0</v>
      </c>
      <c r="Q67" s="182">
        <f t="shared" si="12"/>
        <v>0</v>
      </c>
      <c r="R67" s="183">
        <f t="shared" si="12"/>
        <v>678274.59999999986</v>
      </c>
      <c r="S67" s="213">
        <f t="shared" si="1"/>
        <v>0.15128750258003473</v>
      </c>
      <c r="HT67"/>
      <c r="HU67"/>
      <c r="HV67"/>
      <c r="HW67"/>
      <c r="HX67"/>
      <c r="HY67"/>
      <c r="HZ67"/>
      <c r="IA67"/>
      <c r="IB67"/>
      <c r="IC67"/>
      <c r="ID67"/>
    </row>
    <row r="68" spans="1:238" ht="15" customHeight="1" x14ac:dyDescent="0.35">
      <c r="A68" s="152" t="s">
        <v>161</v>
      </c>
      <c r="B68" s="127"/>
      <c r="C68" s="54"/>
      <c r="D68" s="54"/>
      <c r="E68" s="194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85"/>
      <c r="S68" s="213"/>
      <c r="HT68"/>
      <c r="HU68"/>
      <c r="HV68"/>
      <c r="HW68"/>
      <c r="HX68"/>
      <c r="HY68"/>
      <c r="HZ68"/>
      <c r="IA68"/>
      <c r="IB68"/>
      <c r="IC68"/>
      <c r="ID68"/>
    </row>
    <row r="69" spans="1:238" ht="15" customHeight="1" x14ac:dyDescent="0.35">
      <c r="A69" s="143" t="s">
        <v>49</v>
      </c>
      <c r="B69" s="124"/>
      <c r="C69" s="54">
        <v>40000</v>
      </c>
      <c r="D69" s="54">
        <v>40000</v>
      </c>
      <c r="E69" s="194">
        <v>4575.67</v>
      </c>
      <c r="F69" s="178">
        <v>19570.18</v>
      </c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85">
        <f t="shared" ref="R69:R70" si="13">SUM(E69:Q69)</f>
        <v>24145.85</v>
      </c>
      <c r="S69" s="213">
        <f t="shared" si="1"/>
        <v>0.60364624999999994</v>
      </c>
      <c r="HT69"/>
      <c r="HU69"/>
      <c r="HV69"/>
      <c r="HW69"/>
      <c r="HX69"/>
      <c r="HY69"/>
      <c r="HZ69"/>
      <c r="IA69"/>
      <c r="IB69"/>
      <c r="IC69"/>
      <c r="ID69"/>
    </row>
    <row r="70" spans="1:238" ht="15" customHeight="1" x14ac:dyDescent="0.35">
      <c r="A70" s="143" t="s">
        <v>52</v>
      </c>
      <c r="B70" s="124"/>
      <c r="C70" s="54">
        <f>51000-7566</f>
        <v>43434</v>
      </c>
      <c r="D70" s="54">
        <v>43434</v>
      </c>
      <c r="E70" s="194">
        <f>5203</f>
        <v>5203</v>
      </c>
      <c r="F70" s="178">
        <f>3752.76+1654.34</f>
        <v>5407.1</v>
      </c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85">
        <f t="shared" si="13"/>
        <v>10610.1</v>
      </c>
      <c r="S70" s="213">
        <f t="shared" si="1"/>
        <v>0.24428097803564028</v>
      </c>
      <c r="HT70"/>
      <c r="HU70"/>
      <c r="HV70"/>
      <c r="HW70"/>
      <c r="HX70"/>
      <c r="HY70"/>
      <c r="HZ70"/>
      <c r="IA70"/>
      <c r="IB70"/>
      <c r="IC70"/>
      <c r="ID70"/>
    </row>
    <row r="71" spans="1:238" ht="15" customHeight="1" x14ac:dyDescent="0.35">
      <c r="A71" s="153" t="s">
        <v>172</v>
      </c>
      <c r="B71" s="128"/>
      <c r="C71" s="98">
        <f>SUM(C69:C70)</f>
        <v>83434</v>
      </c>
      <c r="D71" s="98">
        <f>SUM(D69:D70)</f>
        <v>83434</v>
      </c>
      <c r="E71" s="182">
        <f t="shared" ref="E71:R71" si="14">SUM(E69:E70)</f>
        <v>9778.67</v>
      </c>
      <c r="F71" s="182">
        <f t="shared" si="14"/>
        <v>24977.279999999999</v>
      </c>
      <c r="G71" s="182">
        <f t="shared" si="14"/>
        <v>0</v>
      </c>
      <c r="H71" s="182">
        <f t="shared" si="14"/>
        <v>0</v>
      </c>
      <c r="I71" s="182">
        <f t="shared" si="14"/>
        <v>0</v>
      </c>
      <c r="J71" s="182">
        <f t="shared" si="14"/>
        <v>0</v>
      </c>
      <c r="K71" s="182">
        <f t="shared" si="14"/>
        <v>0</v>
      </c>
      <c r="L71" s="182">
        <f t="shared" si="14"/>
        <v>0</v>
      </c>
      <c r="M71" s="182">
        <f t="shared" si="14"/>
        <v>0</v>
      </c>
      <c r="N71" s="182">
        <f t="shared" si="14"/>
        <v>0</v>
      </c>
      <c r="O71" s="182">
        <f t="shared" si="14"/>
        <v>0</v>
      </c>
      <c r="P71" s="182">
        <f t="shared" si="14"/>
        <v>0</v>
      </c>
      <c r="Q71" s="182">
        <f t="shared" si="14"/>
        <v>0</v>
      </c>
      <c r="R71" s="183">
        <f t="shared" si="14"/>
        <v>34755.949999999997</v>
      </c>
      <c r="S71" s="213">
        <f t="shared" si="1"/>
        <v>0.41656818563175679</v>
      </c>
      <c r="HT71"/>
      <c r="HU71"/>
      <c r="HV71"/>
      <c r="HW71"/>
      <c r="HX71"/>
      <c r="HY71"/>
      <c r="HZ71"/>
      <c r="IA71"/>
      <c r="IB71"/>
      <c r="IC71"/>
      <c r="ID71"/>
    </row>
    <row r="72" spans="1:238" ht="15" customHeight="1" x14ac:dyDescent="0.35">
      <c r="A72" s="152" t="s">
        <v>175</v>
      </c>
      <c r="B72" s="127"/>
      <c r="C72" s="54"/>
      <c r="D72" s="54"/>
      <c r="E72" s="194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85"/>
      <c r="S72" s="213"/>
      <c r="HT72"/>
      <c r="HU72"/>
      <c r="HV72"/>
      <c r="HW72"/>
      <c r="HX72"/>
      <c r="HY72"/>
      <c r="HZ72"/>
      <c r="IA72"/>
      <c r="IB72"/>
      <c r="IC72"/>
      <c r="ID72"/>
    </row>
    <row r="73" spans="1:238" ht="15" customHeight="1" x14ac:dyDescent="0.35">
      <c r="A73" s="143" t="s">
        <v>53</v>
      </c>
      <c r="B73" s="124"/>
      <c r="C73" s="54">
        <v>19000</v>
      </c>
      <c r="D73" s="54">
        <v>19000</v>
      </c>
      <c r="E73" s="177">
        <v>125</v>
      </c>
      <c r="F73" s="178">
        <v>1050</v>
      </c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85">
        <f t="shared" ref="R73:R98" si="15">SUM(E73:Q73)</f>
        <v>1175</v>
      </c>
      <c r="S73" s="213">
        <f t="shared" ref="S73:S134" si="16">R73/C73</f>
        <v>6.1842105263157893E-2</v>
      </c>
      <c r="HT73"/>
      <c r="HU73"/>
      <c r="HV73"/>
      <c r="HW73"/>
      <c r="HX73"/>
      <c r="HY73"/>
      <c r="HZ73"/>
      <c r="IA73"/>
      <c r="IB73"/>
      <c r="IC73"/>
      <c r="ID73"/>
    </row>
    <row r="74" spans="1:238" ht="15" customHeight="1" x14ac:dyDescent="0.35">
      <c r="A74" s="143" t="s">
        <v>143</v>
      </c>
      <c r="B74" s="124"/>
      <c r="C74" s="54">
        <v>1500</v>
      </c>
      <c r="D74" s="54">
        <v>1500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85">
        <f t="shared" si="15"/>
        <v>0</v>
      </c>
      <c r="S74" s="213">
        <f t="shared" si="16"/>
        <v>0</v>
      </c>
      <c r="HT74"/>
      <c r="HU74"/>
      <c r="HV74"/>
      <c r="HW74"/>
      <c r="HX74"/>
      <c r="HY74"/>
      <c r="HZ74"/>
      <c r="IA74"/>
      <c r="IB74"/>
      <c r="IC74"/>
      <c r="ID74"/>
    </row>
    <row r="75" spans="1:238" ht="15" customHeight="1" x14ac:dyDescent="0.35">
      <c r="A75" s="143" t="s">
        <v>127</v>
      </c>
      <c r="B75" s="124"/>
      <c r="C75" s="54">
        <v>5000</v>
      </c>
      <c r="D75" s="54">
        <v>5000</v>
      </c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85">
        <f t="shared" si="15"/>
        <v>0</v>
      </c>
      <c r="S75" s="213">
        <f t="shared" si="16"/>
        <v>0</v>
      </c>
      <c r="HT75"/>
      <c r="HU75"/>
      <c r="HV75"/>
      <c r="HW75"/>
      <c r="HX75"/>
      <c r="HY75"/>
      <c r="HZ75"/>
      <c r="IA75"/>
      <c r="IB75"/>
      <c r="IC75"/>
      <c r="ID75"/>
    </row>
    <row r="76" spans="1:238" ht="15" customHeight="1" x14ac:dyDescent="0.35">
      <c r="A76" s="143" t="s">
        <v>128</v>
      </c>
      <c r="B76" s="124"/>
      <c r="C76" s="54">
        <v>10000</v>
      </c>
      <c r="D76" s="54">
        <v>10000</v>
      </c>
      <c r="E76" s="178"/>
      <c r="F76" s="178">
        <v>2285.31</v>
      </c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85">
        <f t="shared" si="15"/>
        <v>2285.31</v>
      </c>
      <c r="S76" s="213">
        <f t="shared" si="16"/>
        <v>0.22853099999999998</v>
      </c>
      <c r="HT76"/>
      <c r="HU76"/>
      <c r="HV76"/>
      <c r="HW76"/>
      <c r="HX76"/>
      <c r="HY76"/>
      <c r="HZ76"/>
      <c r="IA76"/>
      <c r="IB76"/>
      <c r="IC76"/>
      <c r="ID76"/>
    </row>
    <row r="77" spans="1:238" ht="15" customHeight="1" x14ac:dyDescent="0.35">
      <c r="A77" s="143" t="s">
        <v>136</v>
      </c>
      <c r="B77" s="129"/>
      <c r="C77" s="54">
        <v>2000</v>
      </c>
      <c r="D77" s="54">
        <v>2000</v>
      </c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85">
        <f t="shared" si="15"/>
        <v>0</v>
      </c>
      <c r="S77" s="213">
        <f t="shared" si="16"/>
        <v>0</v>
      </c>
      <c r="HT77"/>
      <c r="HU77"/>
      <c r="HV77"/>
      <c r="HW77"/>
      <c r="HX77"/>
      <c r="HY77"/>
      <c r="HZ77"/>
      <c r="IA77"/>
      <c r="IB77"/>
      <c r="IC77"/>
      <c r="ID77"/>
    </row>
    <row r="78" spans="1:238" ht="15" customHeight="1" x14ac:dyDescent="0.35">
      <c r="A78" s="143" t="s">
        <v>50</v>
      </c>
      <c r="B78" s="124"/>
      <c r="C78" s="54">
        <f>50000-C79-C80-C81-C82-C83-C84-C85</f>
        <v>29000</v>
      </c>
      <c r="D78" s="54">
        <v>29000</v>
      </c>
      <c r="E78" s="178"/>
      <c r="F78" s="178">
        <v>4597.3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85">
        <f t="shared" si="15"/>
        <v>4597.3</v>
      </c>
      <c r="S78" s="213">
        <f t="shared" si="16"/>
        <v>0.15852758620689655</v>
      </c>
      <c r="HT78"/>
      <c r="HU78"/>
      <c r="HV78"/>
      <c r="HW78"/>
      <c r="HX78"/>
      <c r="HY78"/>
      <c r="HZ78"/>
      <c r="IA78"/>
      <c r="IB78"/>
      <c r="IC78"/>
      <c r="ID78"/>
    </row>
    <row r="79" spans="1:238" ht="15" customHeight="1" x14ac:dyDescent="0.35">
      <c r="A79" s="143" t="s">
        <v>129</v>
      </c>
      <c r="B79" s="124"/>
      <c r="C79" s="54">
        <v>5000</v>
      </c>
      <c r="D79" s="54">
        <v>5000</v>
      </c>
      <c r="E79" s="178"/>
      <c r="F79" s="178">
        <v>611.70000000000005</v>
      </c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85">
        <f t="shared" si="15"/>
        <v>611.70000000000005</v>
      </c>
      <c r="S79" s="213">
        <f t="shared" si="16"/>
        <v>0.12234</v>
      </c>
      <c r="HT79"/>
      <c r="HU79"/>
      <c r="HV79"/>
      <c r="HW79"/>
      <c r="HX79"/>
      <c r="HY79"/>
      <c r="HZ79"/>
      <c r="IA79"/>
      <c r="IB79"/>
      <c r="IC79"/>
      <c r="ID79"/>
    </row>
    <row r="80" spans="1:238" ht="15" customHeight="1" x14ac:dyDescent="0.35">
      <c r="A80" s="143" t="s">
        <v>130</v>
      </c>
      <c r="B80" s="124"/>
      <c r="C80" s="54">
        <v>3000</v>
      </c>
      <c r="D80" s="54">
        <v>3000</v>
      </c>
      <c r="E80" s="178"/>
      <c r="F80" s="178">
        <v>1789.82</v>
      </c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85">
        <f t="shared" si="15"/>
        <v>1789.82</v>
      </c>
      <c r="S80" s="213">
        <f t="shared" si="16"/>
        <v>0.59660666666666662</v>
      </c>
      <c r="HT80"/>
      <c r="HU80"/>
      <c r="HV80"/>
      <c r="HW80"/>
      <c r="HX80"/>
      <c r="HY80"/>
      <c r="HZ80"/>
      <c r="IA80"/>
      <c r="IB80"/>
      <c r="IC80"/>
      <c r="ID80"/>
    </row>
    <row r="81" spans="1:238" ht="15" customHeight="1" x14ac:dyDescent="0.35">
      <c r="A81" s="143" t="s">
        <v>131</v>
      </c>
      <c r="B81" s="124"/>
      <c r="C81" s="54">
        <v>2000</v>
      </c>
      <c r="D81" s="54">
        <v>2000</v>
      </c>
      <c r="E81" s="178"/>
      <c r="F81" s="178">
        <v>1570.72</v>
      </c>
      <c r="G81" s="178"/>
      <c r="H81" s="177"/>
      <c r="I81" s="178"/>
      <c r="J81" s="178"/>
      <c r="K81" s="178"/>
      <c r="L81" s="178"/>
      <c r="M81" s="178"/>
      <c r="N81" s="178"/>
      <c r="O81" s="178"/>
      <c r="P81" s="178"/>
      <c r="Q81" s="178"/>
      <c r="R81" s="185">
        <f t="shared" si="15"/>
        <v>1570.72</v>
      </c>
      <c r="S81" s="213">
        <f t="shared" si="16"/>
        <v>0.78536000000000006</v>
      </c>
      <c r="HT81"/>
      <c r="HU81"/>
      <c r="HV81"/>
      <c r="HW81"/>
      <c r="HX81"/>
      <c r="HY81"/>
      <c r="HZ81"/>
      <c r="IA81"/>
      <c r="IB81"/>
      <c r="IC81"/>
      <c r="ID81"/>
    </row>
    <row r="82" spans="1:238" ht="15" customHeight="1" x14ac:dyDescent="0.35">
      <c r="A82" s="143" t="s">
        <v>132</v>
      </c>
      <c r="B82" s="124"/>
      <c r="C82" s="54">
        <v>5000</v>
      </c>
      <c r="D82" s="54">
        <v>5000</v>
      </c>
      <c r="E82" s="178">
        <v>14.99</v>
      </c>
      <c r="F82" s="178">
        <v>-485.53</v>
      </c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85">
        <f t="shared" si="15"/>
        <v>-470.53999999999996</v>
      </c>
      <c r="S82" s="213">
        <f t="shared" si="16"/>
        <v>-9.4107999999999997E-2</v>
      </c>
      <c r="HT82"/>
      <c r="HU82"/>
      <c r="HV82"/>
      <c r="HW82"/>
      <c r="HX82"/>
      <c r="HY82"/>
      <c r="HZ82"/>
      <c r="IA82"/>
      <c r="IB82"/>
      <c r="IC82"/>
      <c r="ID82"/>
    </row>
    <row r="83" spans="1:238" ht="15" customHeight="1" x14ac:dyDescent="0.35">
      <c r="A83" s="143" t="s">
        <v>133</v>
      </c>
      <c r="B83" s="124"/>
      <c r="C83" s="54">
        <v>2000</v>
      </c>
      <c r="D83" s="54">
        <v>2000</v>
      </c>
      <c r="E83" s="178"/>
      <c r="F83" s="178">
        <v>218.73</v>
      </c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85">
        <f t="shared" si="15"/>
        <v>218.73</v>
      </c>
      <c r="S83" s="213">
        <f t="shared" si="16"/>
        <v>0.10936499999999999</v>
      </c>
      <c r="HT83"/>
      <c r="HU83"/>
      <c r="HV83"/>
      <c r="HW83"/>
      <c r="HX83"/>
      <c r="HY83"/>
      <c r="HZ83"/>
      <c r="IA83"/>
      <c r="IB83"/>
      <c r="IC83"/>
      <c r="ID83"/>
    </row>
    <row r="84" spans="1:238" ht="15" customHeight="1" x14ac:dyDescent="0.35">
      <c r="A84" s="143" t="s">
        <v>134</v>
      </c>
      <c r="B84" s="124"/>
      <c r="C84" s="54">
        <v>2000</v>
      </c>
      <c r="D84" s="54">
        <v>2000</v>
      </c>
      <c r="E84" s="178"/>
      <c r="F84" s="178">
        <v>60.43</v>
      </c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85">
        <f t="shared" si="15"/>
        <v>60.43</v>
      </c>
      <c r="S84" s="213">
        <f t="shared" si="16"/>
        <v>3.0214999999999999E-2</v>
      </c>
      <c r="HT84"/>
      <c r="HU84"/>
      <c r="HV84"/>
      <c r="HW84"/>
      <c r="HX84"/>
      <c r="HY84"/>
      <c r="HZ84"/>
      <c r="IA84"/>
      <c r="IB84"/>
      <c r="IC84"/>
      <c r="ID84"/>
    </row>
    <row r="85" spans="1:238" ht="15" customHeight="1" x14ac:dyDescent="0.35">
      <c r="A85" s="143" t="s">
        <v>135</v>
      </c>
      <c r="B85" s="124"/>
      <c r="C85" s="54">
        <v>2000</v>
      </c>
      <c r="D85" s="54">
        <v>2000</v>
      </c>
      <c r="E85" s="194"/>
      <c r="F85" s="194">
        <v>2273.33</v>
      </c>
      <c r="G85" s="194"/>
      <c r="H85" s="194"/>
      <c r="I85" s="178"/>
      <c r="J85" s="178"/>
      <c r="K85" s="178"/>
      <c r="L85" s="178"/>
      <c r="M85" s="178"/>
      <c r="N85" s="178"/>
      <c r="O85" s="178"/>
      <c r="P85" s="178"/>
      <c r="Q85" s="178"/>
      <c r="R85" s="185">
        <f t="shared" si="15"/>
        <v>2273.33</v>
      </c>
      <c r="S85" s="213">
        <f t="shared" si="16"/>
        <v>1.136665</v>
      </c>
      <c r="HT85"/>
      <c r="HU85"/>
      <c r="HV85"/>
      <c r="HW85"/>
      <c r="HX85"/>
      <c r="HY85"/>
      <c r="HZ85"/>
      <c r="IA85"/>
      <c r="IB85"/>
      <c r="IC85"/>
      <c r="ID85"/>
    </row>
    <row r="86" spans="1:238" ht="15" customHeight="1" x14ac:dyDescent="0.35">
      <c r="A86" s="154" t="s">
        <v>156</v>
      </c>
      <c r="B86" s="124"/>
      <c r="C86" s="54">
        <v>7566</v>
      </c>
      <c r="D86" s="54">
        <v>7566</v>
      </c>
      <c r="E86" s="194">
        <v>7566</v>
      </c>
      <c r="F86" s="194"/>
      <c r="G86" s="194"/>
      <c r="H86" s="194"/>
      <c r="I86" s="178"/>
      <c r="J86" s="178"/>
      <c r="K86" s="178"/>
      <c r="L86" s="178"/>
      <c r="M86" s="178"/>
      <c r="N86" s="178"/>
      <c r="O86" s="178"/>
      <c r="P86" s="178"/>
      <c r="Q86" s="178"/>
      <c r="R86" s="185">
        <f t="shared" si="15"/>
        <v>7566</v>
      </c>
      <c r="S86" s="213">
        <f t="shared" si="16"/>
        <v>1</v>
      </c>
      <c r="HT86"/>
      <c r="HU86"/>
      <c r="HV86"/>
      <c r="HW86"/>
      <c r="HX86"/>
      <c r="HY86"/>
      <c r="HZ86"/>
      <c r="IA86"/>
      <c r="IB86"/>
      <c r="IC86"/>
      <c r="ID86"/>
    </row>
    <row r="87" spans="1:238" ht="15" customHeight="1" x14ac:dyDescent="0.35">
      <c r="A87" s="154" t="s">
        <v>51</v>
      </c>
      <c r="B87" s="124"/>
      <c r="C87" s="54">
        <v>10000</v>
      </c>
      <c r="D87" s="54">
        <v>10000</v>
      </c>
      <c r="E87" s="194"/>
      <c r="F87" s="194"/>
      <c r="G87" s="194"/>
      <c r="H87" s="194"/>
      <c r="I87" s="178"/>
      <c r="J87" s="178"/>
      <c r="K87" s="178"/>
      <c r="L87" s="178"/>
      <c r="M87" s="178"/>
      <c r="N87" s="178"/>
      <c r="O87" s="178"/>
      <c r="P87" s="178"/>
      <c r="Q87" s="178"/>
      <c r="R87" s="185">
        <f t="shared" si="15"/>
        <v>0</v>
      </c>
      <c r="S87" s="213">
        <f t="shared" si="16"/>
        <v>0</v>
      </c>
      <c r="HT87"/>
      <c r="HU87"/>
      <c r="HV87"/>
      <c r="HW87"/>
      <c r="HX87"/>
      <c r="HY87"/>
      <c r="HZ87"/>
      <c r="IA87"/>
      <c r="IB87"/>
      <c r="IC87"/>
      <c r="ID87"/>
    </row>
    <row r="88" spans="1:238" ht="15" customHeight="1" x14ac:dyDescent="0.35">
      <c r="A88" s="154" t="s">
        <v>65</v>
      </c>
      <c r="B88" s="124"/>
      <c r="C88" s="61">
        <v>500</v>
      </c>
      <c r="D88" s="61">
        <v>500</v>
      </c>
      <c r="E88" s="194"/>
      <c r="F88" s="194"/>
      <c r="G88" s="194"/>
      <c r="H88" s="194"/>
      <c r="I88" s="178"/>
      <c r="J88" s="178"/>
      <c r="K88" s="178"/>
      <c r="L88" s="178"/>
      <c r="M88" s="178"/>
      <c r="N88" s="178"/>
      <c r="O88" s="178"/>
      <c r="P88" s="178"/>
      <c r="Q88" s="178"/>
      <c r="R88" s="185">
        <f t="shared" si="15"/>
        <v>0</v>
      </c>
      <c r="S88" s="213">
        <f t="shared" si="16"/>
        <v>0</v>
      </c>
      <c r="HT88"/>
      <c r="HU88"/>
      <c r="HV88"/>
      <c r="HW88"/>
      <c r="HX88"/>
      <c r="HY88"/>
      <c r="HZ88"/>
      <c r="IA88"/>
      <c r="IB88"/>
      <c r="IC88"/>
      <c r="ID88"/>
    </row>
    <row r="89" spans="1:238" ht="15" customHeight="1" x14ac:dyDescent="0.35">
      <c r="A89" s="154" t="s">
        <v>54</v>
      </c>
      <c r="B89" s="124"/>
      <c r="C89" s="54">
        <v>5000</v>
      </c>
      <c r="D89" s="54">
        <v>5000</v>
      </c>
      <c r="E89" s="194">
        <v>339.9</v>
      </c>
      <c r="F89" s="194">
        <v>1822.85</v>
      </c>
      <c r="G89" s="194"/>
      <c r="H89" s="194"/>
      <c r="I89" s="178"/>
      <c r="J89" s="178"/>
      <c r="K89" s="178"/>
      <c r="L89" s="178"/>
      <c r="M89" s="178"/>
      <c r="N89" s="178"/>
      <c r="O89" s="178"/>
      <c r="P89" s="178"/>
      <c r="Q89" s="178"/>
      <c r="R89" s="185">
        <f t="shared" si="15"/>
        <v>2162.75</v>
      </c>
      <c r="S89" s="213">
        <f t="shared" si="16"/>
        <v>0.43254999999999999</v>
      </c>
      <c r="HT89"/>
      <c r="HU89"/>
      <c r="HV89"/>
      <c r="HW89"/>
      <c r="HX89"/>
      <c r="HY89"/>
      <c r="HZ89"/>
      <c r="IA89"/>
      <c r="IB89"/>
      <c r="IC89"/>
      <c r="ID89"/>
    </row>
    <row r="90" spans="1:238" ht="15" customHeight="1" x14ac:dyDescent="0.35">
      <c r="A90" s="154" t="s">
        <v>155</v>
      </c>
      <c r="B90" s="124"/>
      <c r="C90" s="54">
        <v>9000</v>
      </c>
      <c r="D90" s="54">
        <v>9000</v>
      </c>
      <c r="E90" s="194">
        <v>-29.69</v>
      </c>
      <c r="F90" s="194">
        <f>3406.62+50</f>
        <v>3456.62</v>
      </c>
      <c r="G90" s="194"/>
      <c r="H90" s="194"/>
      <c r="I90" s="178"/>
      <c r="J90" s="178"/>
      <c r="K90" s="178"/>
      <c r="L90" s="178"/>
      <c r="M90" s="178"/>
      <c r="N90" s="178"/>
      <c r="O90" s="178"/>
      <c r="P90" s="178"/>
      <c r="Q90" s="178"/>
      <c r="R90" s="185">
        <f t="shared" si="15"/>
        <v>3426.93</v>
      </c>
      <c r="S90" s="213">
        <f t="shared" si="16"/>
        <v>0.38077</v>
      </c>
      <c r="HT90"/>
      <c r="HU90"/>
      <c r="HV90"/>
      <c r="HW90"/>
      <c r="HX90"/>
      <c r="HY90"/>
      <c r="HZ90"/>
      <c r="IA90"/>
      <c r="IB90"/>
      <c r="IC90"/>
      <c r="ID90"/>
    </row>
    <row r="91" spans="1:238" ht="15" customHeight="1" x14ac:dyDescent="0.35">
      <c r="A91" s="143" t="s">
        <v>184</v>
      </c>
      <c r="B91" s="126"/>
      <c r="C91" s="54"/>
      <c r="D91" s="54"/>
      <c r="E91" s="194"/>
      <c r="F91" s="194"/>
      <c r="G91" s="194"/>
      <c r="H91" s="194"/>
      <c r="I91" s="178"/>
      <c r="J91" s="178"/>
      <c r="K91" s="178"/>
      <c r="L91" s="178"/>
      <c r="M91" s="178"/>
      <c r="N91" s="178"/>
      <c r="O91" s="178"/>
      <c r="P91" s="178"/>
      <c r="Q91" s="178"/>
      <c r="R91" s="185">
        <f t="shared" si="15"/>
        <v>0</v>
      </c>
      <c r="S91" s="213"/>
      <c r="HT91"/>
      <c r="HU91"/>
      <c r="HV91"/>
      <c r="HW91"/>
      <c r="HX91"/>
      <c r="HY91"/>
      <c r="HZ91"/>
      <c r="IA91"/>
      <c r="IB91"/>
      <c r="IC91"/>
      <c r="ID91"/>
    </row>
    <row r="92" spans="1:238" ht="15" customHeight="1" x14ac:dyDescent="0.35">
      <c r="A92" s="151" t="s">
        <v>139</v>
      </c>
      <c r="B92" s="129"/>
      <c r="C92" s="54">
        <v>8500</v>
      </c>
      <c r="D92" s="54">
        <v>8500</v>
      </c>
      <c r="E92" s="194"/>
      <c r="F92" s="194"/>
      <c r="G92" s="194"/>
      <c r="H92" s="194"/>
      <c r="I92" s="178"/>
      <c r="J92" s="178"/>
      <c r="K92" s="178"/>
      <c r="L92" s="178"/>
      <c r="M92" s="178"/>
      <c r="N92" s="178"/>
      <c r="O92" s="178"/>
      <c r="P92" s="178"/>
      <c r="Q92" s="178"/>
      <c r="R92" s="185">
        <f t="shared" si="15"/>
        <v>0</v>
      </c>
      <c r="S92" s="213">
        <f t="shared" si="16"/>
        <v>0</v>
      </c>
      <c r="HT92"/>
      <c r="HU92"/>
      <c r="HV92"/>
      <c r="HW92"/>
      <c r="HX92"/>
      <c r="HY92"/>
      <c r="HZ92"/>
      <c r="IA92"/>
      <c r="IB92"/>
      <c r="IC92"/>
      <c r="ID92"/>
    </row>
    <row r="93" spans="1:238" ht="15" customHeight="1" x14ac:dyDescent="0.35">
      <c r="A93" s="151" t="s">
        <v>140</v>
      </c>
      <c r="B93" s="129"/>
      <c r="C93" s="54">
        <v>20000</v>
      </c>
      <c r="D93" s="54">
        <v>20000</v>
      </c>
      <c r="E93" s="194"/>
      <c r="F93" s="194"/>
      <c r="G93" s="194"/>
      <c r="H93" s="194"/>
      <c r="I93" s="178"/>
      <c r="J93" s="178"/>
      <c r="K93" s="178"/>
      <c r="L93" s="178"/>
      <c r="M93" s="178"/>
      <c r="N93" s="178"/>
      <c r="O93" s="178"/>
      <c r="P93" s="178"/>
      <c r="Q93" s="178"/>
      <c r="R93" s="185">
        <f t="shared" si="15"/>
        <v>0</v>
      </c>
      <c r="S93" s="213">
        <f t="shared" si="16"/>
        <v>0</v>
      </c>
      <c r="HT93"/>
      <c r="HU93"/>
      <c r="HV93"/>
      <c r="HW93"/>
      <c r="HX93"/>
      <c r="HY93"/>
      <c r="HZ93"/>
      <c r="IA93"/>
      <c r="IB93"/>
      <c r="IC93"/>
      <c r="ID93"/>
    </row>
    <row r="94" spans="1:238" ht="15" customHeight="1" x14ac:dyDescent="0.35">
      <c r="A94" s="151" t="s">
        <v>141</v>
      </c>
      <c r="B94" s="129"/>
      <c r="C94" s="54">
        <v>10000</v>
      </c>
      <c r="D94" s="54">
        <v>10000</v>
      </c>
      <c r="E94" s="194"/>
      <c r="F94" s="194"/>
      <c r="G94" s="194"/>
      <c r="H94" s="194"/>
      <c r="I94" s="178"/>
      <c r="J94" s="178"/>
      <c r="K94" s="178"/>
      <c r="L94" s="178"/>
      <c r="M94" s="178"/>
      <c r="N94" s="178"/>
      <c r="O94" s="178"/>
      <c r="P94" s="178"/>
      <c r="Q94" s="178"/>
      <c r="R94" s="185">
        <f t="shared" si="15"/>
        <v>0</v>
      </c>
      <c r="S94" s="213">
        <f t="shared" si="16"/>
        <v>0</v>
      </c>
      <c r="HT94"/>
      <c r="HU94"/>
      <c r="HV94"/>
      <c r="HW94"/>
      <c r="HX94"/>
      <c r="HY94"/>
      <c r="HZ94"/>
      <c r="IA94"/>
      <c r="IB94"/>
      <c r="IC94"/>
      <c r="ID94"/>
    </row>
    <row r="95" spans="1:238" ht="15" customHeight="1" x14ac:dyDescent="0.35">
      <c r="A95" s="151" t="s">
        <v>142</v>
      </c>
      <c r="B95" s="129"/>
      <c r="C95" s="54">
        <v>3825</v>
      </c>
      <c r="D95" s="54">
        <v>3825</v>
      </c>
      <c r="E95" s="194"/>
      <c r="F95" s="194"/>
      <c r="G95" s="194"/>
      <c r="H95" s="194"/>
      <c r="I95" s="178"/>
      <c r="J95" s="178"/>
      <c r="K95" s="178"/>
      <c r="L95" s="178"/>
      <c r="M95" s="178"/>
      <c r="N95" s="178"/>
      <c r="O95" s="178"/>
      <c r="P95" s="178"/>
      <c r="Q95" s="178"/>
      <c r="R95" s="185">
        <f t="shared" si="15"/>
        <v>0</v>
      </c>
      <c r="S95" s="213">
        <f t="shared" si="16"/>
        <v>0</v>
      </c>
      <c r="HT95"/>
      <c r="HU95"/>
      <c r="HV95"/>
      <c r="HW95"/>
      <c r="HX95"/>
      <c r="HY95"/>
      <c r="HZ95"/>
      <c r="IA95"/>
      <c r="IB95"/>
      <c r="IC95"/>
      <c r="ID95"/>
    </row>
    <row r="96" spans="1:238" ht="15" customHeight="1" x14ac:dyDescent="0.35">
      <c r="A96" s="151" t="s">
        <v>138</v>
      </c>
      <c r="B96" s="129"/>
      <c r="C96" s="54">
        <v>500</v>
      </c>
      <c r="D96" s="54">
        <v>500</v>
      </c>
      <c r="E96" s="194"/>
      <c r="F96" s="194"/>
      <c r="G96" s="194"/>
      <c r="H96" s="194"/>
      <c r="I96" s="178"/>
      <c r="J96" s="178"/>
      <c r="K96" s="178"/>
      <c r="L96" s="178"/>
      <c r="M96" s="178"/>
      <c r="N96" s="178"/>
      <c r="O96" s="178"/>
      <c r="P96" s="178"/>
      <c r="Q96" s="178"/>
      <c r="R96" s="185">
        <f t="shared" si="15"/>
        <v>0</v>
      </c>
      <c r="S96" s="213">
        <f t="shared" si="16"/>
        <v>0</v>
      </c>
      <c r="HT96"/>
      <c r="HU96"/>
      <c r="HV96"/>
      <c r="HW96"/>
      <c r="HX96"/>
      <c r="HY96"/>
      <c r="HZ96"/>
      <c r="IA96"/>
      <c r="IB96"/>
      <c r="IC96"/>
      <c r="ID96"/>
    </row>
    <row r="97" spans="1:238" ht="15" customHeight="1" x14ac:dyDescent="0.35">
      <c r="A97" s="151" t="s">
        <v>149</v>
      </c>
      <c r="B97" s="129"/>
      <c r="C97" s="54"/>
      <c r="D97" s="54"/>
      <c r="E97" s="194"/>
      <c r="F97" s="194"/>
      <c r="G97" s="194"/>
      <c r="H97" s="194"/>
      <c r="I97" s="178"/>
      <c r="J97" s="178"/>
      <c r="K97" s="178"/>
      <c r="L97" s="178"/>
      <c r="M97" s="178"/>
      <c r="N97" s="178"/>
      <c r="O97" s="178"/>
      <c r="P97" s="178"/>
      <c r="Q97" s="178"/>
      <c r="R97" s="185">
        <f t="shared" si="15"/>
        <v>0</v>
      </c>
      <c r="S97" s="213"/>
      <c r="HT97"/>
      <c r="HU97"/>
      <c r="HV97"/>
      <c r="HW97"/>
      <c r="HX97"/>
      <c r="HY97"/>
      <c r="HZ97"/>
      <c r="IA97"/>
      <c r="IB97"/>
      <c r="IC97"/>
      <c r="ID97"/>
    </row>
    <row r="98" spans="1:238" ht="15" customHeight="1" x14ac:dyDescent="0.35">
      <c r="A98" s="151" t="s">
        <v>137</v>
      </c>
      <c r="B98" s="129"/>
      <c r="C98" s="54">
        <v>6300</v>
      </c>
      <c r="D98" s="54">
        <v>6300</v>
      </c>
      <c r="E98" s="194"/>
      <c r="F98" s="194"/>
      <c r="G98" s="194"/>
      <c r="H98" s="194"/>
      <c r="I98" s="178"/>
      <c r="J98" s="178"/>
      <c r="K98" s="178"/>
      <c r="L98" s="178"/>
      <c r="M98" s="178"/>
      <c r="N98" s="178"/>
      <c r="O98" s="178"/>
      <c r="P98" s="178"/>
      <c r="Q98" s="178"/>
      <c r="R98" s="185">
        <f t="shared" si="15"/>
        <v>0</v>
      </c>
      <c r="S98" s="213">
        <f t="shared" si="16"/>
        <v>0</v>
      </c>
      <c r="HT98"/>
      <c r="HU98"/>
      <c r="HV98"/>
      <c r="HW98"/>
      <c r="HX98"/>
      <c r="HY98"/>
      <c r="HZ98"/>
      <c r="IA98"/>
      <c r="IB98"/>
      <c r="IC98"/>
      <c r="ID98"/>
    </row>
    <row r="99" spans="1:238" ht="15" customHeight="1" x14ac:dyDescent="0.35">
      <c r="A99" s="143" t="s">
        <v>177</v>
      </c>
      <c r="B99" s="124"/>
      <c r="C99" s="98">
        <f>SUM(C73:C98)</f>
        <v>168691</v>
      </c>
      <c r="D99" s="98">
        <f>SUM(D73:D98)</f>
        <v>168691</v>
      </c>
      <c r="E99" s="182">
        <f t="shared" ref="E99:R99" si="17">SUM(E73:E98)</f>
        <v>8016.2</v>
      </c>
      <c r="F99" s="182">
        <f t="shared" si="17"/>
        <v>19251.28</v>
      </c>
      <c r="G99" s="182">
        <f t="shared" si="17"/>
        <v>0</v>
      </c>
      <c r="H99" s="182">
        <f t="shared" si="17"/>
        <v>0</v>
      </c>
      <c r="I99" s="182">
        <f t="shared" si="17"/>
        <v>0</v>
      </c>
      <c r="J99" s="182">
        <f t="shared" si="17"/>
        <v>0</v>
      </c>
      <c r="K99" s="182">
        <f t="shared" si="17"/>
        <v>0</v>
      </c>
      <c r="L99" s="182">
        <f t="shared" si="17"/>
        <v>0</v>
      </c>
      <c r="M99" s="182">
        <f t="shared" si="17"/>
        <v>0</v>
      </c>
      <c r="N99" s="182">
        <f t="shared" si="17"/>
        <v>0</v>
      </c>
      <c r="O99" s="182">
        <f t="shared" si="17"/>
        <v>0</v>
      </c>
      <c r="P99" s="182">
        <f t="shared" si="17"/>
        <v>0</v>
      </c>
      <c r="Q99" s="182">
        <f t="shared" si="17"/>
        <v>0</v>
      </c>
      <c r="R99" s="183">
        <f t="shared" si="17"/>
        <v>27267.480000000003</v>
      </c>
      <c r="S99" s="213">
        <f t="shared" si="16"/>
        <v>0.16164158135288784</v>
      </c>
      <c r="HT99"/>
      <c r="HU99"/>
      <c r="HV99"/>
      <c r="HW99"/>
      <c r="HX99"/>
      <c r="HY99"/>
      <c r="HZ99"/>
      <c r="IA99"/>
      <c r="IB99"/>
      <c r="IC99"/>
      <c r="ID99"/>
    </row>
    <row r="100" spans="1:238" ht="15" customHeight="1" x14ac:dyDescent="0.35">
      <c r="A100" s="152" t="s">
        <v>163</v>
      </c>
      <c r="B100" s="127"/>
      <c r="C100" s="54"/>
      <c r="D100" s="54"/>
      <c r="E100" s="194"/>
      <c r="F100" s="194"/>
      <c r="G100" s="194"/>
      <c r="H100" s="194"/>
      <c r="I100" s="178"/>
      <c r="J100" s="178"/>
      <c r="K100" s="178"/>
      <c r="L100" s="178"/>
      <c r="M100" s="178"/>
      <c r="N100" s="178"/>
      <c r="O100" s="178"/>
      <c r="P100" s="178"/>
      <c r="Q100" s="178"/>
      <c r="R100" s="185"/>
      <c r="S100" s="213"/>
      <c r="HT100"/>
      <c r="HU100"/>
      <c r="HV100"/>
      <c r="HW100"/>
      <c r="HX100"/>
      <c r="HY100"/>
      <c r="HZ100"/>
      <c r="IA100"/>
      <c r="IB100"/>
      <c r="IC100"/>
      <c r="ID100"/>
    </row>
    <row r="101" spans="1:238" ht="15" customHeight="1" x14ac:dyDescent="0.35">
      <c r="A101" s="143" t="s">
        <v>164</v>
      </c>
      <c r="B101" s="126"/>
      <c r="C101" s="54"/>
      <c r="D101" s="54"/>
      <c r="E101" s="194"/>
      <c r="F101" s="194"/>
      <c r="G101" s="194"/>
      <c r="H101" s="194"/>
      <c r="I101" s="178"/>
      <c r="J101" s="178"/>
      <c r="K101" s="178"/>
      <c r="L101" s="178"/>
      <c r="M101" s="178"/>
      <c r="N101" s="178"/>
      <c r="O101" s="178"/>
      <c r="P101" s="178"/>
      <c r="Q101" s="178"/>
      <c r="R101" s="185">
        <f t="shared" ref="R101:R120" si="18">SUM(E101:Q101)</f>
        <v>0</v>
      </c>
      <c r="S101" s="213"/>
      <c r="HT101"/>
      <c r="HU101"/>
      <c r="HV101"/>
      <c r="HW101"/>
      <c r="HX101"/>
      <c r="HY101"/>
      <c r="HZ101"/>
      <c r="IA101"/>
      <c r="IB101"/>
      <c r="IC101"/>
      <c r="ID101"/>
    </row>
    <row r="102" spans="1:238" ht="15.75" customHeight="1" x14ac:dyDescent="0.35">
      <c r="A102" s="151" t="s">
        <v>62</v>
      </c>
      <c r="B102" s="124"/>
      <c r="C102" s="61">
        <v>50000</v>
      </c>
      <c r="D102" s="61">
        <v>50000</v>
      </c>
      <c r="E102" s="194"/>
      <c r="F102" s="194">
        <f>20000+1960</f>
        <v>21960</v>
      </c>
      <c r="G102" s="194"/>
      <c r="H102" s="194"/>
      <c r="I102" s="178"/>
      <c r="J102" s="178"/>
      <c r="K102" s="178"/>
      <c r="L102" s="178"/>
      <c r="M102" s="178"/>
      <c r="N102" s="178"/>
      <c r="O102" s="178"/>
      <c r="P102" s="178"/>
      <c r="Q102" s="178"/>
      <c r="R102" s="185">
        <f t="shared" si="18"/>
        <v>21960</v>
      </c>
      <c r="S102" s="213">
        <f t="shared" si="16"/>
        <v>0.43919999999999998</v>
      </c>
      <c r="HT102"/>
      <c r="HU102"/>
      <c r="HV102"/>
      <c r="HW102"/>
      <c r="HX102"/>
      <c r="HY102"/>
      <c r="HZ102"/>
      <c r="IA102"/>
      <c r="IB102"/>
      <c r="IC102"/>
      <c r="ID102"/>
    </row>
    <row r="103" spans="1:238" ht="15" customHeight="1" x14ac:dyDescent="0.35">
      <c r="A103" s="151" t="s">
        <v>40</v>
      </c>
      <c r="B103" s="124"/>
      <c r="C103" s="61">
        <v>47355</v>
      </c>
      <c r="D103" s="61">
        <v>47355</v>
      </c>
      <c r="E103" s="194">
        <v>4571.25</v>
      </c>
      <c r="F103" s="194">
        <f>2250+4571.25</f>
        <v>6821.25</v>
      </c>
      <c r="G103" s="194"/>
      <c r="H103" s="194"/>
      <c r="I103" s="178"/>
      <c r="J103" s="178"/>
      <c r="K103" s="178"/>
      <c r="L103" s="178"/>
      <c r="M103" s="178"/>
      <c r="N103" s="178"/>
      <c r="O103" s="178"/>
      <c r="P103" s="178"/>
      <c r="Q103" s="178"/>
      <c r="R103" s="185">
        <f t="shared" si="18"/>
        <v>11392.5</v>
      </c>
      <c r="S103" s="213">
        <f t="shared" si="16"/>
        <v>0.24057649667405764</v>
      </c>
      <c r="HT103"/>
      <c r="HU103"/>
      <c r="HV103"/>
      <c r="HW103"/>
      <c r="HX103"/>
      <c r="HY103"/>
      <c r="HZ103"/>
      <c r="IA103"/>
      <c r="IB103"/>
      <c r="IC103"/>
      <c r="ID103"/>
    </row>
    <row r="104" spans="1:238" ht="15" customHeight="1" x14ac:dyDescent="0.35">
      <c r="A104" s="151" t="s">
        <v>61</v>
      </c>
      <c r="B104" s="124"/>
      <c r="C104" s="61">
        <v>4995</v>
      </c>
      <c r="D104" s="61">
        <v>4995</v>
      </c>
      <c r="E104" s="194"/>
      <c r="F104" s="194"/>
      <c r="G104" s="194"/>
      <c r="H104" s="194"/>
      <c r="I104" s="178"/>
      <c r="J104" s="178"/>
      <c r="K104" s="178"/>
      <c r="L104" s="178"/>
      <c r="M104" s="178"/>
      <c r="N104" s="178"/>
      <c r="O104" s="178"/>
      <c r="P104" s="178"/>
      <c r="Q104" s="178"/>
      <c r="R104" s="185">
        <f t="shared" si="18"/>
        <v>0</v>
      </c>
      <c r="S104" s="213">
        <f t="shared" si="16"/>
        <v>0</v>
      </c>
      <c r="HT104"/>
      <c r="HU104"/>
      <c r="HV104"/>
      <c r="HW104"/>
      <c r="HX104"/>
      <c r="HY104"/>
      <c r="HZ104"/>
      <c r="IA104"/>
      <c r="IB104"/>
      <c r="IC104"/>
      <c r="ID104"/>
    </row>
    <row r="105" spans="1:238" ht="15" customHeight="1" x14ac:dyDescent="0.35">
      <c r="A105" s="151" t="s">
        <v>121</v>
      </c>
      <c r="B105" s="124"/>
      <c r="C105" s="61">
        <v>26880</v>
      </c>
      <c r="D105" s="61">
        <v>26880</v>
      </c>
      <c r="E105" s="194"/>
      <c r="F105" s="194">
        <v>4480</v>
      </c>
      <c r="G105" s="194"/>
      <c r="H105" s="194"/>
      <c r="I105" s="178"/>
      <c r="J105" s="178"/>
      <c r="K105" s="178"/>
      <c r="L105" s="178"/>
      <c r="M105" s="178"/>
      <c r="N105" s="178"/>
      <c r="O105" s="178"/>
      <c r="P105" s="178"/>
      <c r="Q105" s="178"/>
      <c r="R105" s="185">
        <f t="shared" si="18"/>
        <v>4480</v>
      </c>
      <c r="S105" s="213">
        <f t="shared" si="16"/>
        <v>0.16666666666666666</v>
      </c>
      <c r="HT105"/>
      <c r="HU105"/>
      <c r="HV105"/>
      <c r="HW105"/>
      <c r="HX105"/>
      <c r="HY105"/>
      <c r="HZ105"/>
      <c r="IA105"/>
      <c r="IB105"/>
      <c r="IC105"/>
      <c r="ID105"/>
    </row>
    <row r="106" spans="1:238" ht="15" customHeight="1" x14ac:dyDescent="0.35">
      <c r="A106" s="151" t="s">
        <v>122</v>
      </c>
      <c r="B106" s="124"/>
      <c r="C106" s="54">
        <f>35*585</f>
        <v>20475</v>
      </c>
      <c r="D106" s="54">
        <v>20475</v>
      </c>
      <c r="E106" s="194">
        <v>1668.33</v>
      </c>
      <c r="F106" s="194">
        <v>1668.33</v>
      </c>
      <c r="G106" s="194"/>
      <c r="H106" s="194"/>
      <c r="I106" s="178"/>
      <c r="J106" s="178"/>
      <c r="K106" s="178"/>
      <c r="L106" s="178"/>
      <c r="M106" s="178"/>
      <c r="N106" s="178"/>
      <c r="O106" s="178"/>
      <c r="P106" s="178"/>
      <c r="Q106" s="178"/>
      <c r="R106" s="185">
        <f t="shared" si="18"/>
        <v>3336.66</v>
      </c>
      <c r="S106" s="213">
        <f t="shared" si="16"/>
        <v>0.16296263736263736</v>
      </c>
      <c r="HT106"/>
      <c r="HU106"/>
      <c r="HV106"/>
      <c r="HW106"/>
      <c r="HX106"/>
      <c r="HY106"/>
      <c r="HZ106"/>
      <c r="IA106"/>
      <c r="IB106"/>
      <c r="IC106"/>
      <c r="ID106"/>
    </row>
    <row r="107" spans="1:238" ht="15" customHeight="1" x14ac:dyDescent="0.35">
      <c r="A107" s="151" t="s">
        <v>123</v>
      </c>
      <c r="B107" s="124"/>
      <c r="C107" s="54">
        <f>((1813.95+284.61)*12)+10000</f>
        <v>35182.720000000001</v>
      </c>
      <c r="D107" s="54">
        <v>35182.720000000001</v>
      </c>
      <c r="E107" s="194">
        <v>329.11</v>
      </c>
      <c r="F107" s="194">
        <v>4256.99</v>
      </c>
      <c r="G107" s="194"/>
      <c r="H107" s="194"/>
      <c r="I107" s="197"/>
      <c r="J107" s="178"/>
      <c r="K107" s="178"/>
      <c r="L107" s="178"/>
      <c r="M107" s="178"/>
      <c r="N107" s="178"/>
      <c r="O107" s="178"/>
      <c r="P107" s="178"/>
      <c r="Q107" s="178"/>
      <c r="R107" s="185">
        <f t="shared" si="18"/>
        <v>4586.0999999999995</v>
      </c>
      <c r="S107" s="213">
        <f t="shared" si="16"/>
        <v>0.13035092227093298</v>
      </c>
      <c r="HT107"/>
      <c r="HU107"/>
      <c r="HV107"/>
      <c r="HW107"/>
      <c r="HX107"/>
      <c r="HY107"/>
      <c r="HZ107"/>
      <c r="IA107"/>
      <c r="IB107"/>
      <c r="IC107"/>
      <c r="ID107"/>
    </row>
    <row r="108" spans="1:238" ht="15" customHeight="1" x14ac:dyDescent="0.35">
      <c r="A108" s="151" t="s">
        <v>124</v>
      </c>
      <c r="B108" s="124"/>
      <c r="C108" s="54">
        <f>21000+2300</f>
        <v>23300</v>
      </c>
      <c r="D108" s="54">
        <v>23300</v>
      </c>
      <c r="E108" s="194"/>
      <c r="F108" s="194">
        <v>10500</v>
      </c>
      <c r="G108" s="194"/>
      <c r="H108" s="194"/>
      <c r="I108" s="178"/>
      <c r="J108" s="178"/>
      <c r="K108" s="178"/>
      <c r="L108" s="178"/>
      <c r="M108" s="178"/>
      <c r="N108" s="178"/>
      <c r="O108" s="178"/>
      <c r="P108" s="178"/>
      <c r="Q108" s="178"/>
      <c r="R108" s="185">
        <f t="shared" si="18"/>
        <v>10500</v>
      </c>
      <c r="S108" s="213">
        <f t="shared" si="16"/>
        <v>0.45064377682403434</v>
      </c>
      <c r="HT108"/>
      <c r="HU108"/>
      <c r="HV108"/>
      <c r="HW108"/>
      <c r="HX108"/>
      <c r="HY108"/>
      <c r="HZ108"/>
      <c r="IA108"/>
      <c r="IB108"/>
      <c r="IC108"/>
      <c r="ID108"/>
    </row>
    <row r="109" spans="1:238" ht="15" customHeight="1" x14ac:dyDescent="0.35">
      <c r="A109" s="151" t="s">
        <v>180</v>
      </c>
      <c r="B109" s="124"/>
      <c r="C109" s="54"/>
      <c r="D109" s="54"/>
      <c r="E109" s="194"/>
      <c r="F109" s="194"/>
      <c r="G109" s="194"/>
      <c r="H109" s="194"/>
      <c r="I109" s="178"/>
      <c r="J109" s="178"/>
      <c r="K109" s="178"/>
      <c r="L109" s="178"/>
      <c r="M109" s="178"/>
      <c r="N109" s="178"/>
      <c r="O109" s="178"/>
      <c r="P109" s="178"/>
      <c r="Q109" s="178"/>
      <c r="R109" s="185">
        <f t="shared" si="18"/>
        <v>0</v>
      </c>
      <c r="S109" s="213"/>
      <c r="HT109"/>
      <c r="HU109"/>
      <c r="HV109"/>
      <c r="HW109"/>
      <c r="HX109"/>
      <c r="HY109"/>
      <c r="HZ109"/>
      <c r="IA109"/>
      <c r="IB109"/>
      <c r="IC109"/>
      <c r="ID109"/>
    </row>
    <row r="110" spans="1:238" ht="15" customHeight="1" x14ac:dyDescent="0.35">
      <c r="A110" s="151" t="s">
        <v>182</v>
      </c>
      <c r="B110" s="124"/>
      <c r="C110" s="54">
        <v>1000</v>
      </c>
      <c r="D110" s="54">
        <v>1000</v>
      </c>
      <c r="E110" s="194">
        <v>32.049999999999997</v>
      </c>
      <c r="F110" s="194"/>
      <c r="G110" s="194"/>
      <c r="H110" s="194"/>
      <c r="I110" s="178"/>
      <c r="J110" s="178"/>
      <c r="K110" s="178"/>
      <c r="L110" s="178"/>
      <c r="M110" s="178"/>
      <c r="N110" s="178"/>
      <c r="O110" s="178"/>
      <c r="P110" s="178"/>
      <c r="Q110" s="178"/>
      <c r="R110" s="185">
        <f t="shared" si="18"/>
        <v>32.049999999999997</v>
      </c>
      <c r="S110" s="213">
        <f t="shared" si="16"/>
        <v>3.2049999999999995E-2</v>
      </c>
      <c r="HT110"/>
      <c r="HU110"/>
      <c r="HV110"/>
      <c r="HW110"/>
      <c r="HX110"/>
      <c r="HY110"/>
      <c r="HZ110"/>
      <c r="IA110"/>
      <c r="IB110"/>
      <c r="IC110"/>
      <c r="ID110"/>
    </row>
    <row r="111" spans="1:238" ht="15" customHeight="1" x14ac:dyDescent="0.35">
      <c r="A111" s="143" t="s">
        <v>56</v>
      </c>
      <c r="B111" s="124"/>
      <c r="C111" s="54">
        <f>33260+4740</f>
        <v>38000</v>
      </c>
      <c r="D111" s="54">
        <v>38000</v>
      </c>
      <c r="E111" s="194">
        <f>23906.34</f>
        <v>23906.34</v>
      </c>
      <c r="F111" s="194"/>
      <c r="G111" s="194"/>
      <c r="H111" s="194"/>
      <c r="I111" s="178"/>
      <c r="J111" s="178"/>
      <c r="K111" s="178"/>
      <c r="L111" s="178"/>
      <c r="M111" s="178"/>
      <c r="N111" s="178"/>
      <c r="O111" s="178"/>
      <c r="P111" s="178"/>
      <c r="Q111" s="178"/>
      <c r="R111" s="185">
        <f t="shared" si="18"/>
        <v>23906.34</v>
      </c>
      <c r="S111" s="213">
        <f t="shared" si="16"/>
        <v>0.62911421052631578</v>
      </c>
      <c r="HT111"/>
      <c r="HU111"/>
      <c r="HV111"/>
      <c r="HW111"/>
      <c r="HX111"/>
      <c r="HY111"/>
      <c r="HZ111"/>
      <c r="IA111"/>
      <c r="IB111"/>
      <c r="IC111"/>
      <c r="ID111"/>
    </row>
    <row r="112" spans="1:238" ht="15" customHeight="1" x14ac:dyDescent="0.35">
      <c r="A112" s="143" t="s">
        <v>59</v>
      </c>
      <c r="B112" s="124"/>
      <c r="C112" s="54">
        <f>5000+6500</f>
        <v>11500</v>
      </c>
      <c r="D112" s="54">
        <v>11500</v>
      </c>
      <c r="E112" s="194">
        <v>11495</v>
      </c>
      <c r="F112" s="194"/>
      <c r="G112" s="194"/>
      <c r="H112" s="194"/>
      <c r="I112" s="178"/>
      <c r="J112" s="178"/>
      <c r="K112" s="178"/>
      <c r="L112" s="178"/>
      <c r="M112" s="178"/>
      <c r="N112" s="178"/>
      <c r="O112" s="178"/>
      <c r="P112" s="178"/>
      <c r="Q112" s="178"/>
      <c r="R112" s="185">
        <f t="shared" si="18"/>
        <v>11495</v>
      </c>
      <c r="S112" s="213">
        <f t="shared" si="16"/>
        <v>0.99956521739130433</v>
      </c>
      <c r="HT112"/>
      <c r="HU112"/>
      <c r="HV112"/>
      <c r="HW112"/>
      <c r="HX112"/>
      <c r="HY112"/>
      <c r="HZ112"/>
      <c r="IA112"/>
      <c r="IB112"/>
      <c r="IC112"/>
      <c r="ID112"/>
    </row>
    <row r="113" spans="1:238" ht="15" customHeight="1" x14ac:dyDescent="0.35">
      <c r="A113" s="143" t="s">
        <v>60</v>
      </c>
      <c r="B113" s="124"/>
      <c r="C113" s="54">
        <v>5000</v>
      </c>
      <c r="D113" s="54">
        <v>5000</v>
      </c>
      <c r="E113" s="194"/>
      <c r="F113" s="194"/>
      <c r="G113" s="194"/>
      <c r="H113" s="194"/>
      <c r="I113" s="178"/>
      <c r="J113" s="178"/>
      <c r="K113" s="178"/>
      <c r="L113" s="178"/>
      <c r="M113" s="178"/>
      <c r="N113" s="178"/>
      <c r="O113" s="178"/>
      <c r="P113" s="178"/>
      <c r="Q113" s="178"/>
      <c r="R113" s="185">
        <f t="shared" si="18"/>
        <v>0</v>
      </c>
      <c r="S113" s="213">
        <f t="shared" si="16"/>
        <v>0</v>
      </c>
      <c r="HT113"/>
      <c r="HU113"/>
      <c r="HV113"/>
      <c r="HW113"/>
      <c r="HX113"/>
      <c r="HY113"/>
      <c r="HZ113"/>
      <c r="IA113"/>
      <c r="IB113"/>
      <c r="IC113"/>
      <c r="ID113"/>
    </row>
    <row r="114" spans="1:238" ht="15" customHeight="1" x14ac:dyDescent="0.35">
      <c r="A114" s="143" t="s">
        <v>126</v>
      </c>
      <c r="B114" s="124"/>
      <c r="C114" s="61">
        <v>8000</v>
      </c>
      <c r="D114" s="61">
        <v>8000</v>
      </c>
      <c r="E114" s="194"/>
      <c r="F114" s="194">
        <f>198.44+571.69</f>
        <v>770.13000000000011</v>
      </c>
      <c r="G114" s="194"/>
      <c r="H114" s="194"/>
      <c r="I114" s="178"/>
      <c r="J114" s="178"/>
      <c r="K114" s="178"/>
      <c r="L114" s="178"/>
      <c r="M114" s="178"/>
      <c r="N114" s="178"/>
      <c r="O114" s="178"/>
      <c r="P114" s="178"/>
      <c r="Q114" s="178"/>
      <c r="R114" s="185">
        <f t="shared" si="18"/>
        <v>770.13000000000011</v>
      </c>
      <c r="S114" s="213">
        <f t="shared" si="16"/>
        <v>9.6266250000000012E-2</v>
      </c>
      <c r="HT114"/>
      <c r="HU114"/>
      <c r="HV114"/>
      <c r="HW114"/>
      <c r="HX114"/>
      <c r="HY114"/>
      <c r="HZ114"/>
      <c r="IA114"/>
      <c r="IB114"/>
      <c r="IC114"/>
      <c r="ID114"/>
    </row>
    <row r="115" spans="1:238" ht="15" customHeight="1" x14ac:dyDescent="0.35">
      <c r="A115" s="143" t="s">
        <v>165</v>
      </c>
      <c r="B115" s="124"/>
      <c r="C115" s="61"/>
      <c r="D115" s="61"/>
      <c r="E115" s="194"/>
      <c r="F115" s="194"/>
      <c r="G115" s="194"/>
      <c r="H115" s="194"/>
      <c r="I115" s="178"/>
      <c r="J115" s="178"/>
      <c r="K115" s="178"/>
      <c r="L115" s="178"/>
      <c r="M115" s="178"/>
      <c r="N115" s="178"/>
      <c r="O115" s="178"/>
      <c r="P115" s="178"/>
      <c r="Q115" s="178"/>
      <c r="R115" s="185">
        <f t="shared" si="18"/>
        <v>0</v>
      </c>
      <c r="S115" s="213"/>
      <c r="HT115"/>
      <c r="HU115"/>
      <c r="HV115"/>
      <c r="HW115"/>
      <c r="HX115"/>
      <c r="HY115"/>
      <c r="HZ115"/>
      <c r="IA115"/>
      <c r="IB115"/>
      <c r="IC115"/>
      <c r="ID115"/>
    </row>
    <row r="116" spans="1:238" ht="15" customHeight="1" x14ac:dyDescent="0.35">
      <c r="A116" s="151" t="s">
        <v>148</v>
      </c>
      <c r="B116" s="124"/>
      <c r="C116" s="61">
        <v>35000</v>
      </c>
      <c r="D116" s="61">
        <v>35000</v>
      </c>
      <c r="E116" s="194">
        <v>5395</v>
      </c>
      <c r="F116" s="194">
        <v>3745</v>
      </c>
      <c r="G116" s="194"/>
      <c r="H116" s="194"/>
      <c r="I116" s="178"/>
      <c r="J116" s="178"/>
      <c r="K116" s="178"/>
      <c r="L116" s="178"/>
      <c r="M116" s="178"/>
      <c r="N116" s="178"/>
      <c r="O116" s="178"/>
      <c r="P116" s="178"/>
      <c r="Q116" s="178"/>
      <c r="R116" s="185">
        <f t="shared" si="18"/>
        <v>9140</v>
      </c>
      <c r="S116" s="213">
        <f t="shared" si="16"/>
        <v>0.26114285714285712</v>
      </c>
      <c r="HT116"/>
      <c r="HU116"/>
      <c r="HV116"/>
      <c r="HW116"/>
      <c r="HX116"/>
      <c r="HY116"/>
      <c r="HZ116"/>
      <c r="IA116"/>
      <c r="IB116"/>
      <c r="IC116"/>
      <c r="ID116"/>
    </row>
    <row r="117" spans="1:238" ht="15" customHeight="1" x14ac:dyDescent="0.35">
      <c r="A117" s="151" t="s">
        <v>181</v>
      </c>
      <c r="B117" s="124"/>
      <c r="C117" s="54">
        <v>3000</v>
      </c>
      <c r="D117" s="54">
        <v>3000</v>
      </c>
      <c r="E117" s="198"/>
      <c r="F117" s="194"/>
      <c r="G117" s="194"/>
      <c r="H117" s="194"/>
      <c r="I117" s="178"/>
      <c r="J117" s="178"/>
      <c r="K117" s="178"/>
      <c r="L117" s="178"/>
      <c r="M117" s="178"/>
      <c r="N117" s="178"/>
      <c r="O117" s="178"/>
      <c r="P117" s="178"/>
      <c r="Q117" s="178"/>
      <c r="R117" s="185">
        <f t="shared" si="18"/>
        <v>0</v>
      </c>
      <c r="S117" s="213">
        <f t="shared" si="16"/>
        <v>0</v>
      </c>
      <c r="HT117"/>
      <c r="HU117"/>
      <c r="HV117"/>
      <c r="HW117"/>
      <c r="HX117"/>
      <c r="HY117"/>
      <c r="HZ117"/>
      <c r="IA117"/>
      <c r="IB117"/>
      <c r="IC117"/>
      <c r="ID117"/>
    </row>
    <row r="118" spans="1:238" ht="15" customHeight="1" x14ac:dyDescent="0.35">
      <c r="A118" s="143" t="s">
        <v>166</v>
      </c>
      <c r="B118" s="124"/>
      <c r="C118" s="54">
        <v>7000</v>
      </c>
      <c r="D118" s="54">
        <v>7000</v>
      </c>
      <c r="E118" s="199"/>
      <c r="F118" s="194"/>
      <c r="G118" s="194"/>
      <c r="H118" s="194"/>
      <c r="I118" s="178"/>
      <c r="J118" s="178"/>
      <c r="K118" s="178"/>
      <c r="L118" s="178"/>
      <c r="M118" s="178"/>
      <c r="N118" s="178"/>
      <c r="O118" s="178"/>
      <c r="P118" s="178"/>
      <c r="Q118" s="178"/>
      <c r="R118" s="185">
        <f t="shared" si="18"/>
        <v>0</v>
      </c>
      <c r="S118" s="213">
        <f t="shared" si="16"/>
        <v>0</v>
      </c>
      <c r="HT118"/>
      <c r="HU118"/>
      <c r="HV118"/>
      <c r="HW118"/>
      <c r="HX118"/>
      <c r="HY118"/>
      <c r="HZ118"/>
      <c r="IA118"/>
      <c r="IB118"/>
      <c r="IC118"/>
      <c r="ID118"/>
    </row>
    <row r="119" spans="1:238" ht="15" customHeight="1" x14ac:dyDescent="0.35">
      <c r="A119" s="143" t="s">
        <v>167</v>
      </c>
      <c r="B119" s="124"/>
      <c r="C119" s="61">
        <v>2000</v>
      </c>
      <c r="D119" s="61">
        <v>2000</v>
      </c>
      <c r="E119" s="194"/>
      <c r="F119" s="199"/>
      <c r="G119" s="194"/>
      <c r="H119" s="194"/>
      <c r="I119" s="178"/>
      <c r="J119" s="178"/>
      <c r="K119" s="178"/>
      <c r="L119" s="178"/>
      <c r="M119" s="178"/>
      <c r="N119" s="178"/>
      <c r="O119" s="178"/>
      <c r="P119" s="178"/>
      <c r="Q119" s="178"/>
      <c r="R119" s="185">
        <f t="shared" si="18"/>
        <v>0</v>
      </c>
      <c r="S119" s="213">
        <f t="shared" si="16"/>
        <v>0</v>
      </c>
      <c r="HT119"/>
      <c r="HU119"/>
      <c r="HV119"/>
      <c r="HW119"/>
      <c r="HX119"/>
      <c r="HY119"/>
      <c r="HZ119"/>
      <c r="IA119"/>
      <c r="IB119"/>
      <c r="IC119"/>
      <c r="ID119"/>
    </row>
    <row r="120" spans="1:238" ht="15" customHeight="1" x14ac:dyDescent="0.35">
      <c r="A120" s="143" t="s">
        <v>63</v>
      </c>
      <c r="B120" s="124"/>
      <c r="C120" s="54">
        <v>22000</v>
      </c>
      <c r="D120" s="54">
        <v>22000</v>
      </c>
      <c r="E120" s="194"/>
      <c r="F120" s="194">
        <v>1431.28</v>
      </c>
      <c r="G120" s="194"/>
      <c r="H120" s="194"/>
      <c r="I120" s="178"/>
      <c r="J120" s="178"/>
      <c r="K120" s="178"/>
      <c r="L120" s="178"/>
      <c r="M120" s="178"/>
      <c r="N120" s="178"/>
      <c r="O120" s="178"/>
      <c r="P120" s="178"/>
      <c r="Q120" s="178"/>
      <c r="R120" s="185">
        <f t="shared" si="18"/>
        <v>1431.28</v>
      </c>
      <c r="S120" s="213">
        <f t="shared" si="16"/>
        <v>6.5058181818181821E-2</v>
      </c>
      <c r="HT120"/>
      <c r="HU120"/>
      <c r="HV120"/>
      <c r="HW120"/>
      <c r="HX120"/>
      <c r="HY120"/>
      <c r="HZ120"/>
      <c r="IA120"/>
      <c r="IB120"/>
      <c r="IC120"/>
      <c r="ID120"/>
    </row>
    <row r="121" spans="1:238" ht="15" customHeight="1" x14ac:dyDescent="0.35">
      <c r="A121" s="143" t="s">
        <v>168</v>
      </c>
      <c r="B121" s="124"/>
      <c r="C121" s="98">
        <f>SUM(C102:C120)</f>
        <v>340687.72</v>
      </c>
      <c r="D121" s="98">
        <f>SUM(D102:D120)</f>
        <v>340687.72</v>
      </c>
      <c r="E121" s="182">
        <f t="shared" ref="E121:R121" si="19">SUM(E102:E120)</f>
        <v>47397.08</v>
      </c>
      <c r="F121" s="182">
        <f t="shared" si="19"/>
        <v>55632.979999999996</v>
      </c>
      <c r="G121" s="182">
        <f t="shared" si="19"/>
        <v>0</v>
      </c>
      <c r="H121" s="182">
        <f t="shared" si="19"/>
        <v>0</v>
      </c>
      <c r="I121" s="182">
        <f t="shared" si="19"/>
        <v>0</v>
      </c>
      <c r="J121" s="182">
        <f t="shared" si="19"/>
        <v>0</v>
      </c>
      <c r="K121" s="182">
        <f t="shared" si="19"/>
        <v>0</v>
      </c>
      <c r="L121" s="182">
        <f t="shared" si="19"/>
        <v>0</v>
      </c>
      <c r="M121" s="182">
        <f t="shared" si="19"/>
        <v>0</v>
      </c>
      <c r="N121" s="182">
        <f t="shared" si="19"/>
        <v>0</v>
      </c>
      <c r="O121" s="182">
        <f t="shared" si="19"/>
        <v>0</v>
      </c>
      <c r="P121" s="182">
        <f t="shared" si="19"/>
        <v>0</v>
      </c>
      <c r="Q121" s="182">
        <f t="shared" si="19"/>
        <v>0</v>
      </c>
      <c r="R121" s="183">
        <f t="shared" si="19"/>
        <v>103030.06000000001</v>
      </c>
      <c r="S121" s="213">
        <f t="shared" si="16"/>
        <v>0.30241788579876028</v>
      </c>
      <c r="HT121"/>
      <c r="HU121"/>
      <c r="HV121"/>
      <c r="HW121"/>
      <c r="HX121"/>
      <c r="HY121"/>
      <c r="HZ121"/>
      <c r="IA121"/>
      <c r="IB121"/>
      <c r="IC121"/>
      <c r="ID121"/>
    </row>
    <row r="122" spans="1:238" ht="15" customHeight="1" x14ac:dyDescent="0.35">
      <c r="A122" s="152" t="s">
        <v>57</v>
      </c>
      <c r="B122" s="127"/>
      <c r="C122" s="54"/>
      <c r="D122" s="54"/>
      <c r="E122" s="194"/>
      <c r="F122" s="194"/>
      <c r="G122" s="194"/>
      <c r="H122" s="194"/>
      <c r="I122" s="178"/>
      <c r="J122" s="178"/>
      <c r="K122" s="178"/>
      <c r="L122" s="178"/>
      <c r="M122" s="178"/>
      <c r="N122" s="178"/>
      <c r="O122" s="178"/>
      <c r="P122" s="178"/>
      <c r="Q122" s="178"/>
      <c r="R122" s="185"/>
      <c r="S122" s="213"/>
      <c r="HT122"/>
      <c r="HU122"/>
      <c r="HV122"/>
      <c r="HW122"/>
      <c r="HX122"/>
      <c r="HY122"/>
      <c r="HZ122"/>
      <c r="IA122"/>
      <c r="IB122"/>
      <c r="IC122"/>
      <c r="ID122"/>
    </row>
    <row r="123" spans="1:238" ht="15" customHeight="1" x14ac:dyDescent="0.35">
      <c r="A123" s="143" t="s">
        <v>144</v>
      </c>
      <c r="B123" s="124"/>
      <c r="C123" s="54">
        <v>56650</v>
      </c>
      <c r="D123" s="54">
        <v>56650</v>
      </c>
      <c r="E123" s="194"/>
      <c r="F123" s="194">
        <f>2141.95+2000</f>
        <v>4141.95</v>
      </c>
      <c r="G123" s="194"/>
      <c r="H123" s="194"/>
      <c r="I123" s="178"/>
      <c r="J123" s="178"/>
      <c r="K123" s="178"/>
      <c r="L123" s="178"/>
      <c r="M123" s="178"/>
      <c r="N123" s="178"/>
      <c r="O123" s="178"/>
      <c r="P123" s="178"/>
      <c r="Q123" s="178"/>
      <c r="R123" s="185">
        <f t="shared" ref="R123:R132" si="20">SUM(E123:Q123)</f>
        <v>4141.95</v>
      </c>
      <c r="S123" s="213">
        <f t="shared" si="16"/>
        <v>7.3114739629302733E-2</v>
      </c>
      <c r="HT123"/>
      <c r="HU123"/>
      <c r="HV123"/>
      <c r="HW123"/>
      <c r="HX123"/>
      <c r="HY123"/>
      <c r="HZ123"/>
      <c r="IA123"/>
      <c r="IB123"/>
      <c r="IC123"/>
      <c r="ID123"/>
    </row>
    <row r="124" spans="1:238" ht="15" customHeight="1" x14ac:dyDescent="0.35">
      <c r="A124" s="143" t="s">
        <v>58</v>
      </c>
      <c r="B124" s="124"/>
      <c r="C124" s="54"/>
      <c r="D124" s="54"/>
      <c r="E124" s="194"/>
      <c r="F124" s="194"/>
      <c r="G124" s="194"/>
      <c r="H124" s="194"/>
      <c r="I124" s="178"/>
      <c r="J124" s="178"/>
      <c r="K124" s="178"/>
      <c r="L124" s="178"/>
      <c r="M124" s="178"/>
      <c r="N124" s="178"/>
      <c r="O124" s="178"/>
      <c r="P124" s="178"/>
      <c r="Q124" s="178"/>
      <c r="R124" s="185">
        <f t="shared" si="20"/>
        <v>0</v>
      </c>
      <c r="S124" s="213"/>
      <c r="HT124"/>
      <c r="HU124"/>
      <c r="HV124"/>
      <c r="HW124"/>
      <c r="HX124"/>
      <c r="HY124"/>
      <c r="HZ124"/>
      <c r="IA124"/>
      <c r="IB124"/>
      <c r="IC124"/>
      <c r="ID124"/>
    </row>
    <row r="125" spans="1:238" ht="15" customHeight="1" x14ac:dyDescent="0.35">
      <c r="A125" s="143" t="s">
        <v>157</v>
      </c>
      <c r="B125" s="124"/>
      <c r="C125" s="54">
        <v>5000</v>
      </c>
      <c r="D125" s="54">
        <v>5000</v>
      </c>
      <c r="E125" s="194">
        <f>150</f>
        <v>150</v>
      </c>
      <c r="F125" s="194">
        <v>640</v>
      </c>
      <c r="G125" s="194"/>
      <c r="H125" s="194"/>
      <c r="I125" s="178"/>
      <c r="J125" s="178"/>
      <c r="K125" s="178"/>
      <c r="L125" s="178"/>
      <c r="M125" s="178"/>
      <c r="N125" s="178"/>
      <c r="O125" s="178"/>
      <c r="P125" s="178"/>
      <c r="Q125" s="178"/>
      <c r="R125" s="185">
        <f t="shared" si="20"/>
        <v>790</v>
      </c>
      <c r="S125" s="213">
        <f t="shared" si="16"/>
        <v>0.158</v>
      </c>
      <c r="HT125"/>
      <c r="HU125"/>
      <c r="HV125"/>
      <c r="HW125"/>
      <c r="HX125"/>
      <c r="HY125"/>
      <c r="HZ125"/>
      <c r="IA125"/>
      <c r="IB125"/>
      <c r="IC125"/>
      <c r="ID125"/>
    </row>
    <row r="126" spans="1:238" ht="15" customHeight="1" x14ac:dyDescent="0.35">
      <c r="A126" s="154" t="s">
        <v>146</v>
      </c>
      <c r="B126" s="124"/>
      <c r="C126" s="54">
        <f>1500+3500</f>
        <v>5000</v>
      </c>
      <c r="D126" s="54">
        <v>5000</v>
      </c>
      <c r="E126" s="194"/>
      <c r="F126" s="194"/>
      <c r="G126" s="194"/>
      <c r="H126" s="194"/>
      <c r="I126" s="178"/>
      <c r="J126" s="178"/>
      <c r="K126" s="178"/>
      <c r="L126" s="178"/>
      <c r="M126" s="178"/>
      <c r="N126" s="178"/>
      <c r="O126" s="178"/>
      <c r="P126" s="178"/>
      <c r="Q126" s="178"/>
      <c r="R126" s="185">
        <f t="shared" si="20"/>
        <v>0</v>
      </c>
      <c r="S126" s="213">
        <f t="shared" si="16"/>
        <v>0</v>
      </c>
      <c r="HT126"/>
      <c r="HU126"/>
      <c r="HV126"/>
      <c r="HW126"/>
      <c r="HX126"/>
      <c r="HY126"/>
      <c r="HZ126"/>
      <c r="IA126"/>
      <c r="IB126"/>
      <c r="IC126"/>
      <c r="ID126"/>
    </row>
    <row r="127" spans="1:238" ht="15" customHeight="1" x14ac:dyDescent="0.35">
      <c r="A127" s="143" t="s">
        <v>145</v>
      </c>
      <c r="B127" s="124"/>
      <c r="C127" s="54">
        <v>1000</v>
      </c>
      <c r="D127" s="54">
        <v>1000</v>
      </c>
      <c r="E127" s="194"/>
      <c r="F127" s="194"/>
      <c r="G127" s="194"/>
      <c r="H127" s="194"/>
      <c r="I127" s="178"/>
      <c r="J127" s="178"/>
      <c r="K127" s="178"/>
      <c r="L127" s="178"/>
      <c r="M127" s="178"/>
      <c r="N127" s="178"/>
      <c r="O127" s="178"/>
      <c r="P127" s="178"/>
      <c r="Q127" s="178"/>
      <c r="R127" s="185">
        <f t="shared" si="20"/>
        <v>0</v>
      </c>
      <c r="S127" s="213">
        <f t="shared" si="16"/>
        <v>0</v>
      </c>
      <c r="HT127"/>
      <c r="HU127"/>
      <c r="HV127"/>
      <c r="HW127"/>
      <c r="HX127"/>
      <c r="HY127"/>
      <c r="HZ127"/>
      <c r="IA127"/>
      <c r="IB127"/>
      <c r="IC127"/>
      <c r="ID127"/>
    </row>
    <row r="128" spans="1:238" ht="15" customHeight="1" x14ac:dyDescent="0.35">
      <c r="A128" s="143" t="s">
        <v>115</v>
      </c>
      <c r="B128" s="124"/>
      <c r="C128" s="54">
        <v>20000</v>
      </c>
      <c r="D128" s="54">
        <v>20000</v>
      </c>
      <c r="E128" s="194"/>
      <c r="F128" s="194">
        <v>1575</v>
      </c>
      <c r="G128" s="194"/>
      <c r="H128" s="194"/>
      <c r="I128" s="178"/>
      <c r="J128" s="178"/>
      <c r="K128" s="179"/>
      <c r="L128" s="179"/>
      <c r="M128" s="179"/>
      <c r="N128" s="179"/>
      <c r="O128" s="179"/>
      <c r="P128" s="179"/>
      <c r="Q128" s="179"/>
      <c r="R128" s="185">
        <f t="shared" si="20"/>
        <v>1575</v>
      </c>
      <c r="S128" s="213">
        <f t="shared" si="16"/>
        <v>7.8750000000000001E-2</v>
      </c>
      <c r="HT128"/>
      <c r="HU128"/>
      <c r="HV128"/>
      <c r="HW128"/>
      <c r="HX128"/>
      <c r="HY128"/>
      <c r="HZ128"/>
      <c r="IA128"/>
      <c r="IB128"/>
      <c r="IC128"/>
      <c r="ID128"/>
    </row>
    <row r="129" spans="1:249" ht="15" customHeight="1" x14ac:dyDescent="0.35">
      <c r="A129" s="143" t="s">
        <v>147</v>
      </c>
      <c r="B129" s="124"/>
      <c r="C129" s="54">
        <v>10000</v>
      </c>
      <c r="D129" s="54">
        <v>10000</v>
      </c>
      <c r="E129" s="194"/>
      <c r="F129" s="194">
        <v>887.19</v>
      </c>
      <c r="G129" s="194"/>
      <c r="H129" s="194"/>
      <c r="I129" s="178"/>
      <c r="J129" s="178"/>
      <c r="K129" s="179"/>
      <c r="L129" s="179"/>
      <c r="M129" s="179"/>
      <c r="N129" s="179"/>
      <c r="O129" s="179"/>
      <c r="P129" s="179"/>
      <c r="Q129" s="179"/>
      <c r="R129" s="185">
        <f t="shared" si="20"/>
        <v>887.19</v>
      </c>
      <c r="S129" s="213">
        <f t="shared" si="16"/>
        <v>8.8719000000000006E-2</v>
      </c>
      <c r="HT129"/>
      <c r="HU129"/>
      <c r="HV129"/>
      <c r="HW129"/>
      <c r="HX129"/>
      <c r="HY129"/>
      <c r="HZ129"/>
      <c r="IA129"/>
      <c r="IB129"/>
      <c r="IC129"/>
      <c r="ID129"/>
    </row>
    <row r="130" spans="1:249" ht="15" customHeight="1" x14ac:dyDescent="0.35">
      <c r="A130" s="143" t="s">
        <v>64</v>
      </c>
      <c r="B130" s="124"/>
      <c r="C130" s="54">
        <v>25000</v>
      </c>
      <c r="D130" s="54">
        <v>25000</v>
      </c>
      <c r="E130" s="194">
        <v>208.81</v>
      </c>
      <c r="F130" s="194">
        <v>2062.1</v>
      </c>
      <c r="G130" s="194"/>
      <c r="H130" s="194"/>
      <c r="I130" s="178"/>
      <c r="J130" s="178"/>
      <c r="K130" s="179"/>
      <c r="L130" s="179"/>
      <c r="M130" s="179"/>
      <c r="N130" s="179"/>
      <c r="O130" s="179"/>
      <c r="P130" s="179"/>
      <c r="Q130" s="179"/>
      <c r="R130" s="185">
        <f t="shared" si="20"/>
        <v>2270.91</v>
      </c>
      <c r="S130" s="213">
        <f t="shared" si="16"/>
        <v>9.0836399999999998E-2</v>
      </c>
      <c r="HT130"/>
      <c r="HU130"/>
      <c r="HV130"/>
      <c r="HW130"/>
      <c r="HX130"/>
      <c r="HY130"/>
      <c r="HZ130"/>
      <c r="IA130"/>
      <c r="IB130"/>
      <c r="IC130"/>
      <c r="ID130"/>
    </row>
    <row r="131" spans="1:249" ht="15" customHeight="1" x14ac:dyDescent="0.35">
      <c r="A131" s="143" t="s">
        <v>66</v>
      </c>
      <c r="B131" s="124"/>
      <c r="C131" s="54">
        <v>9000</v>
      </c>
      <c r="D131" s="54">
        <v>9000</v>
      </c>
      <c r="E131" s="194"/>
      <c r="F131" s="194"/>
      <c r="G131" s="194"/>
      <c r="H131" s="194"/>
      <c r="I131" s="178"/>
      <c r="J131" s="179"/>
      <c r="K131" s="179"/>
      <c r="L131" s="179"/>
      <c r="M131" s="179"/>
      <c r="N131" s="179"/>
      <c r="O131" s="179"/>
      <c r="P131" s="179"/>
      <c r="Q131" s="179"/>
      <c r="R131" s="185">
        <f t="shared" si="20"/>
        <v>0</v>
      </c>
      <c r="S131" s="213">
        <f t="shared" si="16"/>
        <v>0</v>
      </c>
      <c r="HS131"/>
      <c r="HT131"/>
      <c r="HU131"/>
      <c r="HV131"/>
      <c r="HW131"/>
      <c r="HX131"/>
      <c r="HY131"/>
      <c r="HZ131"/>
      <c r="IA131"/>
      <c r="IB131"/>
      <c r="IC131"/>
      <c r="ID131"/>
    </row>
    <row r="132" spans="1:249" ht="15" customHeight="1" x14ac:dyDescent="0.35">
      <c r="A132" s="143" t="s">
        <v>67</v>
      </c>
      <c r="B132" s="124"/>
      <c r="C132" s="61">
        <v>100</v>
      </c>
      <c r="D132" s="61">
        <v>100</v>
      </c>
      <c r="E132" s="178"/>
      <c r="F132" s="178"/>
      <c r="G132" s="178"/>
      <c r="H132" s="178"/>
      <c r="I132" s="178"/>
      <c r="J132" s="179"/>
      <c r="K132" s="179"/>
      <c r="L132" s="179"/>
      <c r="M132" s="179"/>
      <c r="N132" s="179"/>
      <c r="O132" s="179"/>
      <c r="P132" s="179"/>
      <c r="Q132" s="179"/>
      <c r="R132" s="185">
        <f t="shared" si="20"/>
        <v>0</v>
      </c>
      <c r="S132" s="213">
        <f t="shared" si="16"/>
        <v>0</v>
      </c>
      <c r="HS132"/>
      <c r="HT132"/>
      <c r="HU132"/>
      <c r="HV132"/>
      <c r="HW132"/>
      <c r="HX132"/>
      <c r="HY132"/>
      <c r="HZ132"/>
      <c r="IA132"/>
      <c r="IB132"/>
      <c r="IC132"/>
      <c r="ID132"/>
    </row>
    <row r="133" spans="1:249" ht="15" customHeight="1" thickBot="1" x14ac:dyDescent="0.4">
      <c r="A133" s="155" t="s">
        <v>178</v>
      </c>
      <c r="B133" s="130"/>
      <c r="C133" s="169">
        <f>SUM(C123:C132)</f>
        <v>131750</v>
      </c>
      <c r="D133" s="169">
        <f t="shared" ref="D133:Q133" si="21">SUM(D123:D132)</f>
        <v>131750</v>
      </c>
      <c r="E133" s="169">
        <f t="shared" si="21"/>
        <v>358.81</v>
      </c>
      <c r="F133" s="169">
        <f t="shared" si="21"/>
        <v>9306.24</v>
      </c>
      <c r="G133" s="169">
        <f t="shared" si="21"/>
        <v>0</v>
      </c>
      <c r="H133" s="169">
        <f t="shared" si="21"/>
        <v>0</v>
      </c>
      <c r="I133" s="169">
        <f t="shared" si="21"/>
        <v>0</v>
      </c>
      <c r="J133" s="169">
        <f t="shared" si="21"/>
        <v>0</v>
      </c>
      <c r="K133" s="169">
        <f t="shared" si="21"/>
        <v>0</v>
      </c>
      <c r="L133" s="169">
        <f t="shared" si="21"/>
        <v>0</v>
      </c>
      <c r="M133" s="169">
        <f t="shared" si="21"/>
        <v>0</v>
      </c>
      <c r="N133" s="169">
        <f t="shared" si="21"/>
        <v>0</v>
      </c>
      <c r="O133" s="169">
        <f t="shared" si="21"/>
        <v>0</v>
      </c>
      <c r="P133" s="169">
        <f t="shared" si="21"/>
        <v>0</v>
      </c>
      <c r="Q133" s="169">
        <f t="shared" si="21"/>
        <v>0</v>
      </c>
      <c r="R133" s="204">
        <f t="shared" ref="R133" si="22">SUM(R123:R132)</f>
        <v>9665.0499999999993</v>
      </c>
      <c r="S133" s="213">
        <f t="shared" si="16"/>
        <v>7.3359013282732435E-2</v>
      </c>
      <c r="HS133"/>
      <c r="HT133"/>
      <c r="HU133"/>
      <c r="HV133"/>
      <c r="HW133"/>
      <c r="HX133"/>
      <c r="HY133"/>
      <c r="HZ133"/>
      <c r="IA133"/>
      <c r="IB133"/>
      <c r="IC133"/>
      <c r="ID133"/>
    </row>
    <row r="134" spans="1:249" ht="15" customHeight="1" thickBot="1" x14ac:dyDescent="0.4">
      <c r="A134" s="156" t="s">
        <v>68</v>
      </c>
      <c r="B134" s="168"/>
      <c r="C134" s="162">
        <f>C40+C41+C42+C55+C67+C99+C121+C71+C133+C43+C44</f>
        <v>6368747.1147999996</v>
      </c>
      <c r="D134" s="162">
        <f>D40+D41+D42+D55+D67+D99+D121+D71+D133+D43+D44</f>
        <v>6314168.2479999997</v>
      </c>
      <c r="E134" s="188">
        <f t="shared" ref="E134:R134" si="23">E40+E41+E42+E55+E67+E99+E121+E71+E133+E43+E44</f>
        <v>417165.51</v>
      </c>
      <c r="F134" s="188">
        <f t="shared" si="23"/>
        <v>610976.82999999996</v>
      </c>
      <c r="G134" s="188">
        <f t="shared" si="23"/>
        <v>0</v>
      </c>
      <c r="H134" s="188">
        <f t="shared" si="23"/>
        <v>0</v>
      </c>
      <c r="I134" s="188">
        <f t="shared" si="23"/>
        <v>0</v>
      </c>
      <c r="J134" s="188">
        <f t="shared" si="23"/>
        <v>0</v>
      </c>
      <c r="K134" s="188">
        <f t="shared" si="23"/>
        <v>0</v>
      </c>
      <c r="L134" s="188">
        <f t="shared" si="23"/>
        <v>0</v>
      </c>
      <c r="M134" s="188">
        <f t="shared" si="23"/>
        <v>0</v>
      </c>
      <c r="N134" s="188">
        <f t="shared" si="23"/>
        <v>0</v>
      </c>
      <c r="O134" s="188">
        <f t="shared" si="23"/>
        <v>0</v>
      </c>
      <c r="P134" s="188">
        <f t="shared" si="23"/>
        <v>0</v>
      </c>
      <c r="Q134" s="188">
        <f t="shared" si="23"/>
        <v>0</v>
      </c>
      <c r="R134" s="189">
        <f t="shared" si="23"/>
        <v>1028142.3399999999</v>
      </c>
      <c r="S134" s="213">
        <f t="shared" si="16"/>
        <v>0.16143557303613978</v>
      </c>
      <c r="HS134"/>
      <c r="HT134"/>
      <c r="HU134"/>
      <c r="HV134"/>
      <c r="HW134"/>
      <c r="HX134"/>
      <c r="HY134"/>
      <c r="HZ134"/>
      <c r="IA134"/>
      <c r="IB134"/>
      <c r="IC134"/>
      <c r="ID134"/>
    </row>
    <row r="135" spans="1:249" ht="15" thickBot="1" x14ac:dyDescent="0.4">
      <c r="A135" s="156" t="s">
        <v>69</v>
      </c>
      <c r="B135" s="64"/>
      <c r="C135" s="170">
        <f>C38-C134</f>
        <v>69133.975200000219</v>
      </c>
      <c r="D135" s="170">
        <f>D38-D134</f>
        <v>65508.871600000188</v>
      </c>
      <c r="E135" s="200">
        <f t="shared" ref="E135:R135" si="24">E38-E134</f>
        <v>-138897.55000000005</v>
      </c>
      <c r="F135" s="188">
        <f t="shared" si="24"/>
        <v>-196227.50999999995</v>
      </c>
      <c r="G135" s="188">
        <f t="shared" si="24"/>
        <v>0</v>
      </c>
      <c r="H135" s="188">
        <f t="shared" si="24"/>
        <v>0</v>
      </c>
      <c r="I135" s="188">
        <f t="shared" si="24"/>
        <v>0</v>
      </c>
      <c r="J135" s="188">
        <f t="shared" si="24"/>
        <v>0</v>
      </c>
      <c r="K135" s="188">
        <f t="shared" si="24"/>
        <v>0</v>
      </c>
      <c r="L135" s="188">
        <f t="shared" si="24"/>
        <v>0</v>
      </c>
      <c r="M135" s="188">
        <f t="shared" si="24"/>
        <v>0</v>
      </c>
      <c r="N135" s="188">
        <f t="shared" si="24"/>
        <v>0</v>
      </c>
      <c r="O135" s="188">
        <f t="shared" si="24"/>
        <v>0</v>
      </c>
      <c r="P135" s="188">
        <f t="shared" si="24"/>
        <v>0</v>
      </c>
      <c r="Q135" s="188">
        <f t="shared" si="24"/>
        <v>0</v>
      </c>
      <c r="R135" s="189">
        <f t="shared" si="24"/>
        <v>-335125.05999999982</v>
      </c>
      <c r="S135" s="120"/>
      <c r="HS135"/>
      <c r="HT135"/>
      <c r="HU135"/>
      <c r="HV135"/>
      <c r="HW135"/>
      <c r="HX135"/>
      <c r="HY135"/>
      <c r="HZ135"/>
      <c r="IA135"/>
      <c r="IB135"/>
      <c r="IC135"/>
      <c r="ID135"/>
    </row>
    <row r="136" spans="1:249" ht="15" hidden="1" customHeight="1" thickBot="1" x14ac:dyDescent="0.4">
      <c r="A136" s="157" t="s">
        <v>70</v>
      </c>
      <c r="B136" s="65"/>
      <c r="C136" s="66"/>
      <c r="D136" s="66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3"/>
      <c r="S136" s="120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1:249" ht="15.65" customHeight="1" thickBot="1" x14ac:dyDescent="0.4">
      <c r="A137" s="171" t="s">
        <v>71</v>
      </c>
      <c r="B137" s="172"/>
      <c r="C137" s="173">
        <v>2160376.0499999998</v>
      </c>
      <c r="D137" s="173">
        <v>2160376.0499999998</v>
      </c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201">
        <v>2160376.0499999998</v>
      </c>
      <c r="S137" s="120"/>
      <c r="HS137"/>
      <c r="HT137"/>
      <c r="HU137"/>
      <c r="HV137"/>
      <c r="HW137"/>
      <c r="HX137"/>
      <c r="HY137"/>
      <c r="HZ137"/>
      <c r="IA137"/>
      <c r="IB137"/>
      <c r="IC137"/>
      <c r="ID137"/>
    </row>
    <row r="138" spans="1:249" ht="15" customHeight="1" thickBot="1" x14ac:dyDescent="0.4">
      <c r="A138" s="174" t="s">
        <v>72</v>
      </c>
      <c r="B138" s="175"/>
      <c r="C138" s="176">
        <f>C135-C136+C137</f>
        <v>2229510.0252</v>
      </c>
      <c r="D138" s="176">
        <f>D135-D136+D137</f>
        <v>2225884.9216</v>
      </c>
      <c r="E138" s="202">
        <f>E135+C137</f>
        <v>2021478.4999999998</v>
      </c>
      <c r="F138" s="202">
        <f>F135+E138</f>
        <v>1825250.9899999998</v>
      </c>
      <c r="G138" s="202">
        <f t="shared" ref="G138:Q138" si="25">G135+F138</f>
        <v>1825250.9899999998</v>
      </c>
      <c r="H138" s="202">
        <f t="shared" si="25"/>
        <v>1825250.9899999998</v>
      </c>
      <c r="I138" s="202">
        <f t="shared" si="25"/>
        <v>1825250.9899999998</v>
      </c>
      <c r="J138" s="202">
        <f t="shared" si="25"/>
        <v>1825250.9899999998</v>
      </c>
      <c r="K138" s="202">
        <f t="shared" si="25"/>
        <v>1825250.9899999998</v>
      </c>
      <c r="L138" s="202">
        <f t="shared" si="25"/>
        <v>1825250.9899999998</v>
      </c>
      <c r="M138" s="202">
        <f t="shared" si="25"/>
        <v>1825250.9899999998</v>
      </c>
      <c r="N138" s="202">
        <f t="shared" si="25"/>
        <v>1825250.9899999998</v>
      </c>
      <c r="O138" s="202">
        <f t="shared" si="25"/>
        <v>1825250.9899999998</v>
      </c>
      <c r="P138" s="202">
        <f t="shared" si="25"/>
        <v>1825250.9899999998</v>
      </c>
      <c r="Q138" s="202">
        <f t="shared" si="25"/>
        <v>1825250.9899999998</v>
      </c>
      <c r="R138" s="203">
        <f>R135+R137</f>
        <v>1825250.99</v>
      </c>
      <c r="S138" s="120"/>
      <c r="T138" s="215"/>
      <c r="HS138"/>
      <c r="HT138"/>
      <c r="HU138"/>
      <c r="HV138"/>
      <c r="HW138"/>
      <c r="HX138"/>
      <c r="HY138"/>
      <c r="HZ138"/>
      <c r="IA138"/>
      <c r="IB138"/>
      <c r="IC138"/>
      <c r="ID138"/>
    </row>
    <row r="139" spans="1:249" ht="15.65" customHeight="1" x14ac:dyDescent="0.35">
      <c r="A139" s="45"/>
      <c r="B139" s="45"/>
      <c r="C139" s="8"/>
      <c r="D139" s="8"/>
      <c r="E139" s="221"/>
      <c r="F139" s="7"/>
      <c r="G139" s="9"/>
      <c r="H139" s="3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IB139"/>
      <c r="IC139"/>
      <c r="ID139"/>
    </row>
    <row r="140" spans="1:249" ht="16" customHeight="1" thickBot="1" x14ac:dyDescent="0.4">
      <c r="A140" s="4" t="s">
        <v>73</v>
      </c>
      <c r="B140" s="4"/>
      <c r="C140" s="5"/>
      <c r="D140" s="133"/>
      <c r="E140" s="222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4" t="s">
        <v>74</v>
      </c>
      <c r="S140" s="6"/>
      <c r="T140" s="12"/>
      <c r="U140" s="9"/>
      <c r="V140" s="3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pans="1:249" ht="15.65" customHeight="1" x14ac:dyDescent="0.35">
      <c r="A141" s="13" t="s">
        <v>68</v>
      </c>
      <c r="B141" s="104"/>
      <c r="C141" s="14">
        <f>D134</f>
        <v>6314168.2479999997</v>
      </c>
      <c r="D141" s="236"/>
      <c r="E141" s="223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5" t="s">
        <v>75</v>
      </c>
      <c r="S141" s="16"/>
      <c r="T141" s="14">
        <f>D135</f>
        <v>65508.871600000188</v>
      </c>
      <c r="U141" s="9"/>
      <c r="V141" s="3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1:249" ht="15.65" customHeight="1" x14ac:dyDescent="0.35">
      <c r="A142" s="17" t="s">
        <v>76</v>
      </c>
      <c r="B142" s="105"/>
      <c r="C142" s="18">
        <v>450000</v>
      </c>
      <c r="D142" s="236"/>
      <c r="E142" s="223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9" t="s">
        <v>77</v>
      </c>
      <c r="S142" s="20"/>
      <c r="T142" s="18">
        <v>100</v>
      </c>
      <c r="U142" s="9"/>
      <c r="V142" s="3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pans="1:249" ht="15.65" customHeight="1" x14ac:dyDescent="0.35">
      <c r="A143" s="17" t="s">
        <v>78</v>
      </c>
      <c r="B143" s="105"/>
      <c r="C143" s="18">
        <f>-D44</f>
        <v>0</v>
      </c>
      <c r="D143" s="236"/>
      <c r="E143" s="223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9" t="s">
        <v>79</v>
      </c>
      <c r="S143" s="20"/>
      <c r="T143" s="18">
        <v>0</v>
      </c>
      <c r="U143" s="9"/>
      <c r="V143" s="3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ht="15.65" customHeight="1" x14ac:dyDescent="0.35">
      <c r="A144" s="17" t="s">
        <v>80</v>
      </c>
      <c r="B144" s="105"/>
      <c r="C144" s="18">
        <f>-D40</f>
        <v>-240000</v>
      </c>
      <c r="D144" s="236"/>
      <c r="E144" s="223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9" t="s">
        <v>81</v>
      </c>
      <c r="S144" s="20"/>
      <c r="T144" s="18">
        <v>0</v>
      </c>
      <c r="U144" s="9"/>
      <c r="V144" s="3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ht="16" customHeight="1" thickBot="1" x14ac:dyDescent="0.4">
      <c r="A145" s="21" t="s">
        <v>82</v>
      </c>
      <c r="B145" s="106"/>
      <c r="C145" s="22">
        <f>-D43</f>
        <v>-85800</v>
      </c>
      <c r="D145" s="236"/>
      <c r="E145" s="223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9" t="s">
        <v>83</v>
      </c>
      <c r="S145" s="20"/>
      <c r="T145" s="18">
        <f>D43</f>
        <v>85800</v>
      </c>
      <c r="U145" s="9"/>
      <c r="V145" s="3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ht="16" customHeight="1" thickBot="1" x14ac:dyDescent="0.4">
      <c r="A146" s="23" t="s">
        <v>84</v>
      </c>
      <c r="B146" s="107"/>
      <c r="C146" s="24">
        <f>SUM(C141:C145)</f>
        <v>6438368.2479999997</v>
      </c>
      <c r="D146" s="237"/>
      <c r="E146" s="224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9" t="s">
        <v>85</v>
      </c>
      <c r="S146" s="20"/>
      <c r="T146" s="18">
        <f>D44</f>
        <v>0</v>
      </c>
      <c r="U146" s="25"/>
      <c r="V146" s="3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s="1" customFormat="1" ht="15.65" customHeight="1" x14ac:dyDescent="0.35">
      <c r="A147" s="13" t="s">
        <v>86</v>
      </c>
      <c r="B147" s="104"/>
      <c r="C147" s="26">
        <v>365</v>
      </c>
      <c r="D147" s="236"/>
      <c r="E147" s="223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9" t="s">
        <v>87</v>
      </c>
      <c r="S147" s="20"/>
      <c r="T147" s="18">
        <f>D40</f>
        <v>240000</v>
      </c>
      <c r="U147" s="9"/>
      <c r="V147" s="3"/>
    </row>
    <row r="148" spans="1:249" s="1" customFormat="1" ht="15.65" customHeight="1" x14ac:dyDescent="0.35">
      <c r="A148" s="27" t="s">
        <v>88</v>
      </c>
      <c r="B148" s="108"/>
      <c r="C148" s="28">
        <f>C146/C147</f>
        <v>17639.365063013698</v>
      </c>
      <c r="D148" s="237"/>
      <c r="E148" s="224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9" t="s">
        <v>89</v>
      </c>
      <c r="S148" s="20"/>
      <c r="T148" s="18">
        <v>-11869</v>
      </c>
      <c r="U148" s="9"/>
      <c r="V148" s="3"/>
    </row>
    <row r="149" spans="1:249" s="1" customFormat="1" ht="16" customHeight="1" thickBot="1" x14ac:dyDescent="0.4">
      <c r="A149" s="21" t="s">
        <v>90</v>
      </c>
      <c r="B149" s="106"/>
      <c r="C149" s="22">
        <v>45</v>
      </c>
      <c r="D149" s="236"/>
      <c r="E149" s="223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29" t="s">
        <v>91</v>
      </c>
      <c r="S149" s="30"/>
      <c r="T149" s="22">
        <v>0</v>
      </c>
      <c r="U149" s="9"/>
      <c r="V149" s="3"/>
    </row>
    <row r="150" spans="1:249" s="1" customFormat="1" ht="33.75" customHeight="1" thickBot="1" x14ac:dyDescent="0.4">
      <c r="A150" s="51" t="s">
        <v>92</v>
      </c>
      <c r="B150" s="109"/>
      <c r="C150" s="24">
        <f>C148*C149</f>
        <v>793771.4278356164</v>
      </c>
      <c r="D150" s="237"/>
      <c r="E150" s="224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31" t="s">
        <v>93</v>
      </c>
      <c r="S150" s="32"/>
      <c r="T150" s="24">
        <f>SUM(T141:T149)</f>
        <v>379539.87160000019</v>
      </c>
      <c r="U150" s="9"/>
      <c r="V150" s="3"/>
    </row>
    <row r="151" spans="1:249" s="1" customFormat="1" ht="15.65" customHeight="1" x14ac:dyDescent="0.35">
      <c r="A151" s="33"/>
      <c r="B151" s="110"/>
      <c r="C151" s="34"/>
      <c r="D151" s="237"/>
      <c r="E151" s="224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5" t="s">
        <v>94</v>
      </c>
      <c r="S151" s="16"/>
      <c r="T151" s="14">
        <f>D41</f>
        <v>532425</v>
      </c>
      <c r="U151" s="9"/>
      <c r="V151" s="3"/>
    </row>
    <row r="152" spans="1:249" s="1" customFormat="1" ht="16" customHeight="1" thickBot="1" x14ac:dyDescent="0.4">
      <c r="A152" s="35"/>
      <c r="B152" s="111"/>
      <c r="C152" s="22"/>
      <c r="D152" s="236"/>
      <c r="E152" s="223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9" t="s">
        <v>95</v>
      </c>
      <c r="S152" s="20"/>
      <c r="T152" s="18">
        <f>-T148</f>
        <v>11869</v>
      </c>
      <c r="U152" s="9"/>
      <c r="V152" s="3"/>
    </row>
    <row r="153" spans="1:249" s="1" customFormat="1" ht="17.5" customHeight="1" thickBot="1" x14ac:dyDescent="0.4">
      <c r="A153" s="13" t="s">
        <v>72</v>
      </c>
      <c r="B153" s="104"/>
      <c r="C153" s="14">
        <f>D138</f>
        <v>2225884.9216</v>
      </c>
      <c r="D153" s="236"/>
      <c r="E153" s="223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29" t="s">
        <v>96</v>
      </c>
      <c r="S153" s="30"/>
      <c r="T153" s="22">
        <f>-T149</f>
        <v>0</v>
      </c>
      <c r="U153" s="9"/>
      <c r="V153" s="3"/>
    </row>
    <row r="154" spans="1:249" s="1" customFormat="1" ht="16" customHeight="1" thickBot="1" x14ac:dyDescent="0.4">
      <c r="A154" s="17" t="s">
        <v>97</v>
      </c>
      <c r="B154" s="105"/>
      <c r="C154" s="18">
        <f>1190+T142</f>
        <v>1290</v>
      </c>
      <c r="D154" s="236"/>
      <c r="E154" s="223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31" t="s">
        <v>98</v>
      </c>
      <c r="S154" s="32"/>
      <c r="T154" s="24">
        <f>SUM(T150:T153)</f>
        <v>923833.87160000019</v>
      </c>
      <c r="U154" s="9"/>
      <c r="V154" s="3"/>
    </row>
    <row r="155" spans="1:249" s="1" customFormat="1" ht="16" customHeight="1" thickBot="1" x14ac:dyDescent="0.4">
      <c r="A155" s="21" t="s">
        <v>99</v>
      </c>
      <c r="B155" s="106"/>
      <c r="C155" s="22">
        <f>126226+T143</f>
        <v>126226</v>
      </c>
      <c r="D155" s="236"/>
      <c r="E155" s="223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36" t="s">
        <v>100</v>
      </c>
      <c r="S155" s="37"/>
      <c r="T155" s="26">
        <v>766784</v>
      </c>
      <c r="U155" s="9"/>
      <c r="V155" s="3"/>
    </row>
    <row r="156" spans="1:249" s="1" customFormat="1" ht="16" customHeight="1" thickBot="1" x14ac:dyDescent="0.4">
      <c r="A156" s="23" t="s">
        <v>101</v>
      </c>
      <c r="B156" s="107"/>
      <c r="C156" s="24">
        <f>SUM(C153:C155)</f>
        <v>2353400.9216</v>
      </c>
      <c r="D156" s="237"/>
      <c r="E156" s="224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38" t="s">
        <v>102</v>
      </c>
      <c r="S156" s="39"/>
      <c r="T156" s="40">
        <f>T154/T155</f>
        <v>1.2048163128077791</v>
      </c>
      <c r="U156" s="9"/>
      <c r="V156" s="3"/>
    </row>
    <row r="157" spans="1:249" s="1" customFormat="1" ht="21.75" customHeight="1" x14ac:dyDescent="0.35">
      <c r="A157" s="41" t="s">
        <v>103</v>
      </c>
      <c r="B157" s="112"/>
      <c r="C157" s="26">
        <f>C148</f>
        <v>17639.365063013698</v>
      </c>
      <c r="D157" s="236"/>
      <c r="E157" s="223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49" t="s">
        <v>104</v>
      </c>
      <c r="S157" s="50"/>
      <c r="T157" s="50">
        <f>-(T155*1.2-T154)</f>
        <v>3693.0716000002576</v>
      </c>
      <c r="U157" s="9"/>
      <c r="V157" s="3"/>
    </row>
    <row r="158" spans="1:249" s="1" customFormat="1" ht="16" customHeight="1" thickBot="1" x14ac:dyDescent="0.4">
      <c r="A158" s="42" t="s">
        <v>105</v>
      </c>
      <c r="B158" s="113"/>
      <c r="C158" s="43">
        <f>C156/C157</f>
        <v>133.41755291037214</v>
      </c>
      <c r="D158" s="237"/>
      <c r="E158" s="224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46" t="s">
        <v>106</v>
      </c>
      <c r="S158" s="47"/>
      <c r="T158" s="48">
        <v>1.2</v>
      </c>
      <c r="U158" s="9"/>
      <c r="V158" s="3"/>
    </row>
    <row r="159" spans="1:249" s="1" customFormat="1" ht="19.5" customHeight="1" x14ac:dyDescent="0.35">
      <c r="A159" s="92" t="s">
        <v>107</v>
      </c>
      <c r="B159" s="92"/>
      <c r="C159" s="44">
        <v>45</v>
      </c>
      <c r="D159" s="135"/>
      <c r="E159" s="224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9"/>
      <c r="S159" s="45"/>
      <c r="T159" s="9"/>
      <c r="U159" s="9"/>
      <c r="V159" s="3"/>
    </row>
    <row r="160" spans="1:249" s="1" customFormat="1" ht="15.65" customHeight="1" x14ac:dyDescent="0.35">
      <c r="A160" s="3"/>
      <c r="B160" s="3"/>
      <c r="C160" s="3"/>
      <c r="D160" s="3"/>
      <c r="E160" s="131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3"/>
      <c r="S160" s="3"/>
      <c r="T160" s="3"/>
      <c r="U160" s="3"/>
      <c r="V160" s="3"/>
    </row>
    <row r="161" spans="1:238" s="1" customFormat="1" ht="15.65" customHeight="1" x14ac:dyDescent="0.35">
      <c r="A161" s="3"/>
      <c r="B161" s="3"/>
      <c r="C161" s="3"/>
      <c r="D161" s="3"/>
      <c r="E161" s="131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3"/>
      <c r="S161" s="3"/>
      <c r="T161" s="3"/>
      <c r="U161" s="3"/>
      <c r="V161" s="3"/>
      <c r="W161" s="3"/>
    </row>
    <row r="162" spans="1:238" s="1" customFormat="1" ht="15.65" customHeight="1" x14ac:dyDescent="0.35">
      <c r="A162" s="3"/>
      <c r="B162" s="3"/>
      <c r="C162" s="3"/>
      <c r="D162" s="3"/>
      <c r="E162" s="131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3"/>
      <c r="T162" s="3"/>
      <c r="U162" s="3"/>
      <c r="V162" s="3"/>
      <c r="W162" s="3"/>
      <c r="X162" s="3"/>
    </row>
    <row r="163" spans="1:238" s="1" customFormat="1" ht="15" customHeight="1" x14ac:dyDescent="0.35">
      <c r="A163" s="3"/>
      <c r="B163" s="3"/>
      <c r="C163" s="3"/>
      <c r="D163" s="3"/>
      <c r="E163" s="131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3"/>
      <c r="T163" s="3"/>
      <c r="U163" s="3"/>
      <c r="V163" s="3"/>
      <c r="W163" s="3"/>
      <c r="X163" s="3"/>
    </row>
    <row r="164" spans="1:238" s="1" customFormat="1" ht="15" customHeight="1" x14ac:dyDescent="0.35">
      <c r="A164" s="3"/>
      <c r="B164" s="3"/>
      <c r="E164" s="225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T164" s="3"/>
      <c r="U164" s="3"/>
      <c r="V164" s="3"/>
      <c r="W164" s="3"/>
      <c r="X164" s="3"/>
    </row>
    <row r="165" spans="1:238" ht="14.5" customHeight="1" x14ac:dyDescent="0.35">
      <c r="E165" s="225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</row>
    <row r="175" spans="1:238" ht="14.5" customHeight="1" x14ac:dyDescent="0.35"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</row>
  </sheetData>
  <conditionalFormatting sqref="A1:B7">
    <cfRule type="cellIs" dxfId="5" priority="4" stopIfTrue="1" operator="lessThan">
      <formula>0</formula>
    </cfRule>
  </conditionalFormatting>
  <conditionalFormatting sqref="A9:B135">
    <cfRule type="cellIs" dxfId="4" priority="1" stopIfTrue="1" operator="lessThan">
      <formula>0</formula>
    </cfRule>
  </conditionalFormatting>
  <conditionalFormatting sqref="A138:B138 U146 T156">
    <cfRule type="cellIs" dxfId="3" priority="5" stopIfTrue="1" operator="lessThan">
      <formula>0</formula>
    </cfRule>
  </conditionalFormatting>
  <pageMargins left="0.25" right="0.25" top="0.75" bottom="0.75" header="0.3" footer="0.3"/>
  <pageSetup scale="53" fitToHeight="2" orientation="portrait" horizontalDpi="4294967295" verticalDpi="4294967295" r:id="rId1"/>
  <headerFooter>
    <oddHeader>&amp;C&amp;F</oddHeader>
    <oddFooter xml:space="preserve">&amp;CPage &amp;P&amp;R&amp;A       </oddFooter>
  </headerFooter>
  <ignoredErrors>
    <ignoredError sqref="R9:R12 R19:R24 R15:R18 R38:R108 R26:R37 R116:R132 R112:R114" formulaRange="1"/>
    <ignoredError sqref="R25" formula="1" formulaRange="1"/>
    <ignoredError sqref="R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094A-0F77-4E15-A19C-DB4EA571996B}">
  <sheetPr>
    <pageSetUpPr fitToPage="1"/>
  </sheetPr>
  <dimension ref="A1:IE68"/>
  <sheetViews>
    <sheetView workbookViewId="0">
      <selection activeCell="A22" sqref="A22"/>
    </sheetView>
  </sheetViews>
  <sheetFormatPr defaultColWidth="8.81640625" defaultRowHeight="14.5" customHeight="1" x14ac:dyDescent="0.35"/>
  <cols>
    <col min="1" max="1" width="53.1796875" style="1" customWidth="1"/>
    <col min="2" max="2" width="5.1796875" style="1" bestFit="1" customWidth="1"/>
    <col min="3" max="3" width="17.453125" style="1" customWidth="1"/>
    <col min="4" max="4" width="16.81640625" style="1" customWidth="1"/>
    <col min="5" max="5" width="15.453125" style="1" customWidth="1"/>
    <col min="6" max="6" width="32.1796875" style="1" customWidth="1"/>
    <col min="7" max="7" width="28" style="1" bestFit="1" customWidth="1"/>
    <col min="8" max="8" width="17" style="1" customWidth="1"/>
    <col min="9" max="9" width="12.81640625" style="1" customWidth="1"/>
    <col min="10" max="10" width="12.54296875" style="1" bestFit="1" customWidth="1"/>
    <col min="11" max="239" width="8.81640625" style="1" customWidth="1"/>
  </cols>
  <sheetData>
    <row r="1" spans="1:239" s="121" customFormat="1" ht="35.25" customHeight="1" thickBot="1" x14ac:dyDescent="0.5">
      <c r="A1" s="122" t="s">
        <v>0</v>
      </c>
      <c r="B1" s="89"/>
      <c r="C1" s="90" t="s">
        <v>199</v>
      </c>
      <c r="D1" s="136" t="str">
        <f>'FY 23-24 Budget '!R1</f>
        <v>Actuals as of 8.31.23</v>
      </c>
      <c r="E1" s="136">
        <f>'FY 23-24 Budget '!S1</f>
        <v>0.16666666666666666</v>
      </c>
      <c r="F1" s="136" t="s">
        <v>198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</row>
    <row r="2" spans="1:239" ht="15" thickBot="1" x14ac:dyDescent="0.4">
      <c r="A2" s="101" t="s">
        <v>150</v>
      </c>
      <c r="B2" s="101"/>
      <c r="C2" s="102" t="s">
        <v>179</v>
      </c>
      <c r="D2" s="102"/>
      <c r="E2" s="3"/>
      <c r="HW2"/>
      <c r="HX2"/>
      <c r="HY2"/>
      <c r="HZ2"/>
      <c r="IA2"/>
      <c r="IB2"/>
      <c r="IC2"/>
      <c r="ID2"/>
      <c r="IE2"/>
    </row>
    <row r="3" spans="1:239" ht="15" thickBot="1" x14ac:dyDescent="0.4">
      <c r="A3" s="101" t="s">
        <v>151</v>
      </c>
      <c r="B3" s="101"/>
      <c r="C3" s="103">
        <v>6337.2</v>
      </c>
      <c r="D3" s="103"/>
      <c r="E3" s="3"/>
      <c r="HW3"/>
      <c r="HX3"/>
      <c r="HY3"/>
      <c r="HZ3"/>
      <c r="IA3"/>
      <c r="IB3"/>
      <c r="IC3"/>
      <c r="ID3"/>
      <c r="IE3"/>
    </row>
    <row r="4" spans="1:239" ht="15" thickBot="1" x14ac:dyDescent="0.4">
      <c r="A4" s="101" t="s">
        <v>152</v>
      </c>
      <c r="B4" s="101"/>
      <c r="C4" s="102" t="s">
        <v>183</v>
      </c>
      <c r="D4" s="102"/>
      <c r="E4" s="3"/>
      <c r="HW4"/>
      <c r="HX4"/>
      <c r="HY4"/>
      <c r="HZ4"/>
      <c r="IA4"/>
      <c r="IB4"/>
      <c r="IC4"/>
      <c r="ID4"/>
      <c r="IE4"/>
    </row>
    <row r="5" spans="1:239" ht="15" thickBot="1" x14ac:dyDescent="0.4">
      <c r="A5" s="101" t="s">
        <v>153</v>
      </c>
      <c r="B5" s="101"/>
      <c r="C5" s="103">
        <v>5275.72</v>
      </c>
      <c r="D5" s="103"/>
      <c r="E5" s="3"/>
      <c r="HW5"/>
      <c r="HX5"/>
      <c r="HY5"/>
      <c r="HZ5"/>
      <c r="IA5"/>
      <c r="IB5"/>
      <c r="IC5"/>
      <c r="ID5"/>
      <c r="IE5"/>
    </row>
    <row r="6" spans="1:239" ht="24" customHeight="1" x14ac:dyDescent="0.35">
      <c r="A6" s="52" t="s">
        <v>1</v>
      </c>
      <c r="B6" s="52"/>
      <c r="C6" s="94"/>
      <c r="D6" s="205"/>
      <c r="E6" s="120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18" customFormat="1" ht="15" customHeight="1" x14ac:dyDescent="0.35">
      <c r="A7" s="53" t="s">
        <v>169</v>
      </c>
      <c r="B7" s="53"/>
      <c r="C7" s="54">
        <f>'FY 23-24 Budget '!C13</f>
        <v>3935787.68</v>
      </c>
      <c r="D7" s="206">
        <f>'FY 23-24 Budget '!R13</f>
        <v>692228.09</v>
      </c>
      <c r="E7" s="214">
        <f>D7/C7</f>
        <v>0.17588044535979644</v>
      </c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</row>
    <row r="8" spans="1:239" s="118" customFormat="1" ht="15" customHeight="1" x14ac:dyDescent="0.35">
      <c r="A8" s="55" t="s">
        <v>170</v>
      </c>
      <c r="B8" s="115"/>
      <c r="C8" s="54">
        <f>'FY 23-24 Budget '!C25</f>
        <v>2282991.41</v>
      </c>
      <c r="D8" s="206">
        <f>'FY 23-24 Budget '!R25</f>
        <v>0</v>
      </c>
      <c r="E8" s="214">
        <f t="shared" ref="E8:E27" si="0">D8/C8</f>
        <v>0</v>
      </c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</row>
    <row r="9" spans="1:239" s="118" customFormat="1" ht="15" customHeight="1" x14ac:dyDescent="0.35">
      <c r="A9" s="55" t="s">
        <v>171</v>
      </c>
      <c r="B9" s="55"/>
      <c r="C9" s="54">
        <f>'FY 23-24 Budget '!C33</f>
        <v>142102</v>
      </c>
      <c r="D9" s="206">
        <f>'FY 23-24 Budget '!R33</f>
        <v>0</v>
      </c>
      <c r="E9" s="214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</row>
    <row r="10" spans="1:239" x14ac:dyDescent="0.35">
      <c r="A10" s="55" t="s">
        <v>24</v>
      </c>
      <c r="B10" s="55"/>
      <c r="C10" s="54">
        <f>'FY 23-24 Budget '!C34</f>
        <v>25000</v>
      </c>
      <c r="D10" s="206">
        <f>'FY 23-24 Budget '!R34</f>
        <v>0</v>
      </c>
      <c r="E10" s="214">
        <f t="shared" si="0"/>
        <v>0</v>
      </c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ht="15" customHeight="1" x14ac:dyDescent="0.35">
      <c r="A11" s="55" t="s">
        <v>25</v>
      </c>
      <c r="B11" s="55"/>
      <c r="C11" s="54">
        <f>'FY 23-24 Budget '!C35</f>
        <v>50000</v>
      </c>
      <c r="D11" s="206">
        <f>'FY 23-24 Budget '!R35</f>
        <v>446.78000000000003</v>
      </c>
      <c r="E11" s="214">
        <f t="shared" si="0"/>
        <v>8.9356000000000001E-3</v>
      </c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ht="15" customHeight="1" x14ac:dyDescent="0.35">
      <c r="A12" s="55" t="s">
        <v>26</v>
      </c>
      <c r="B12" s="55"/>
      <c r="C12" s="54">
        <f>'FY 23-24 Budget '!C36</f>
        <v>2000</v>
      </c>
      <c r="D12" s="206">
        <f>'FY 23-24 Budget '!R36</f>
        <v>342.40999999999997</v>
      </c>
      <c r="E12" s="214">
        <f t="shared" si="0"/>
        <v>0.171205</v>
      </c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ht="15" customHeight="1" thickBot="1" x14ac:dyDescent="0.4">
      <c r="A13" s="56" t="s">
        <v>27</v>
      </c>
      <c r="B13" s="56"/>
      <c r="C13" s="54">
        <f>'FY 23-24 Budget '!C37</f>
        <v>0</v>
      </c>
      <c r="D13" s="206">
        <f>'FY 23-24 Budget '!R37</f>
        <v>0</v>
      </c>
      <c r="E13" s="214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ht="15" customHeight="1" thickBot="1" x14ac:dyDescent="0.4">
      <c r="A14" s="57" t="s">
        <v>28</v>
      </c>
      <c r="B14" s="57"/>
      <c r="C14" s="58">
        <f>C7+C8+C9+C10+C11+C12+C13</f>
        <v>6437881.0899999999</v>
      </c>
      <c r="D14" s="58">
        <f>D7+D8+D9+D10+D11+D12+D13</f>
        <v>693017.28</v>
      </c>
      <c r="E14" s="214">
        <f t="shared" si="0"/>
        <v>0.10764679718556282</v>
      </c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21.75" customHeight="1" x14ac:dyDescent="0.35">
      <c r="A15" s="59" t="s">
        <v>29</v>
      </c>
      <c r="B15" s="59"/>
      <c r="C15" s="60"/>
      <c r="D15" s="207"/>
      <c r="E15" s="214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14.25" customHeight="1" x14ac:dyDescent="0.35">
      <c r="A16" s="53" t="s">
        <v>30</v>
      </c>
      <c r="B16" s="53"/>
      <c r="C16" s="61">
        <f>'FY 23-24 Budget '!C40</f>
        <v>240000</v>
      </c>
      <c r="D16" s="208">
        <f>'FY 23-24 Budget '!R40</f>
        <v>40000</v>
      </c>
      <c r="E16" s="214">
        <f t="shared" si="0"/>
        <v>0.16666666666666666</v>
      </c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15" customHeight="1" x14ac:dyDescent="0.35">
      <c r="A17" s="53" t="s">
        <v>31</v>
      </c>
      <c r="B17" s="53"/>
      <c r="C17" s="61">
        <f>'FY 23-24 Budget '!C41</f>
        <v>532425</v>
      </c>
      <c r="D17" s="208">
        <f>'FY 23-24 Budget '!R41</f>
        <v>80752.94</v>
      </c>
      <c r="E17" s="214">
        <f t="shared" si="0"/>
        <v>0.15167007559750201</v>
      </c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15" customHeight="1" x14ac:dyDescent="0.35">
      <c r="A18" s="53" t="s">
        <v>32</v>
      </c>
      <c r="B18" s="53"/>
      <c r="C18" s="61">
        <f>'FY 23-24 Budget '!C42</f>
        <v>8600</v>
      </c>
      <c r="D18" s="208">
        <f>'FY 23-24 Budget '!R42</f>
        <v>0</v>
      </c>
      <c r="E18" s="214">
        <f t="shared" si="0"/>
        <v>0</v>
      </c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15" customHeight="1" x14ac:dyDescent="0.35">
      <c r="A19" s="53" t="s">
        <v>33</v>
      </c>
      <c r="B19" s="53"/>
      <c r="C19" s="61">
        <f>'FY 23-24 Budget '!C43</f>
        <v>85800</v>
      </c>
      <c r="D19" s="208">
        <f>'FY 23-24 Budget '!R43</f>
        <v>14300</v>
      </c>
      <c r="E19" s="214">
        <f t="shared" si="0"/>
        <v>0.16666666666666666</v>
      </c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15" customHeight="1" x14ac:dyDescent="0.35">
      <c r="A20" s="53" t="s">
        <v>34</v>
      </c>
      <c r="B20" s="53"/>
      <c r="C20" s="61">
        <f>'FY 23-24 Budget '!C44</f>
        <v>0</v>
      </c>
      <c r="D20" s="208">
        <f>'FY 23-24 Budget '!R44</f>
        <v>0</v>
      </c>
      <c r="E20" s="214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15" customHeight="1" x14ac:dyDescent="0.35">
      <c r="A21" s="53" t="s">
        <v>35</v>
      </c>
      <c r="B21" s="53"/>
      <c r="C21" s="61">
        <f>'FY 23-24 Budget '!C55</f>
        <v>294010.88</v>
      </c>
      <c r="D21" s="208">
        <f>'FY 23-24 Budget '!R55</f>
        <v>40096.26</v>
      </c>
      <c r="E21" s="214">
        <f t="shared" si="0"/>
        <v>0.13637678986573559</v>
      </c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15" customHeight="1" x14ac:dyDescent="0.35">
      <c r="A22" s="53" t="s">
        <v>173</v>
      </c>
      <c r="B22" s="53"/>
      <c r="C22" s="54">
        <f>'FY 23-24 Budget '!C67</f>
        <v>4483348.5148</v>
      </c>
      <c r="D22" s="206">
        <f>'FY 23-24 Budget '!R67</f>
        <v>678274.59999999986</v>
      </c>
      <c r="E22" s="214">
        <f t="shared" si="0"/>
        <v>0.15128750258003473</v>
      </c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15" customHeight="1" x14ac:dyDescent="0.35">
      <c r="A23" s="53" t="s">
        <v>174</v>
      </c>
      <c r="B23" s="99"/>
      <c r="C23" s="54">
        <f>'FY 23-24 Budget '!C71</f>
        <v>83434</v>
      </c>
      <c r="D23" s="206">
        <f>'FY 23-24 Budget '!R71</f>
        <v>34755.949999999997</v>
      </c>
      <c r="E23" s="214">
        <f t="shared" si="0"/>
        <v>0.41656818563175679</v>
      </c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15" customHeight="1" x14ac:dyDescent="0.35">
      <c r="A24" s="53" t="s">
        <v>175</v>
      </c>
      <c r="B24" s="53"/>
      <c r="C24" s="54">
        <f>'FY 23-24 Budget '!C99</f>
        <v>168691</v>
      </c>
      <c r="D24" s="206">
        <f>'FY 23-24 Budget '!R99</f>
        <v>27267.480000000003</v>
      </c>
      <c r="E24" s="214">
        <f t="shared" si="0"/>
        <v>0.16164158135288784</v>
      </c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15" customHeight="1" x14ac:dyDescent="0.35">
      <c r="A25" s="53" t="s">
        <v>163</v>
      </c>
      <c r="B25" s="53"/>
      <c r="C25" s="54">
        <f>'FY 23-24 Budget '!C121</f>
        <v>340687.72</v>
      </c>
      <c r="D25" s="206">
        <f>'FY 23-24 Budget '!R121</f>
        <v>103030.06000000001</v>
      </c>
      <c r="E25" s="214">
        <f t="shared" si="0"/>
        <v>0.30241788579876028</v>
      </c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15" customHeight="1" thickBot="1" x14ac:dyDescent="0.4">
      <c r="A26" s="62" t="s">
        <v>57</v>
      </c>
      <c r="B26" s="62"/>
      <c r="C26" s="63">
        <f>'FY 23-24 Budget '!C133</f>
        <v>131750</v>
      </c>
      <c r="D26" s="209">
        <f>'FY 23-24 Budget '!R133</f>
        <v>9665.0499999999993</v>
      </c>
      <c r="E26" s="214">
        <f t="shared" si="0"/>
        <v>7.3359013282732435E-2</v>
      </c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15" customHeight="1" thickBot="1" x14ac:dyDescent="0.4">
      <c r="A27" s="64" t="s">
        <v>68</v>
      </c>
      <c r="B27" s="64"/>
      <c r="C27" s="58">
        <f>C16+C17+C18+C21+C22+C24+C25+C23+C26+C19+C20</f>
        <v>6368747.1147999996</v>
      </c>
      <c r="D27" s="58">
        <f>D16+D17+D18+D21+D22+D24+D25+D23+D26+D19+D20</f>
        <v>1028142.3399999999</v>
      </c>
      <c r="E27" s="214">
        <f t="shared" si="0"/>
        <v>0.16143557303613978</v>
      </c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15" thickBot="1" x14ac:dyDescent="0.4">
      <c r="A28" s="64" t="s">
        <v>69</v>
      </c>
      <c r="B28" s="64"/>
      <c r="C28" s="58">
        <f>C14-C27</f>
        <v>69133.975200000219</v>
      </c>
      <c r="D28" s="58">
        <f>D14-D27</f>
        <v>-335125.05999999982</v>
      </c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15" hidden="1" customHeight="1" thickBot="1" x14ac:dyDescent="0.4">
      <c r="A29" s="65" t="s">
        <v>70</v>
      </c>
      <c r="B29" s="65"/>
      <c r="C29" s="66"/>
      <c r="D29" s="66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15.65" customHeight="1" x14ac:dyDescent="0.35">
      <c r="A30" s="67" t="s">
        <v>71</v>
      </c>
      <c r="B30" s="67"/>
      <c r="C30" s="68">
        <f>'FY 23-24 Budget '!C137</f>
        <v>2160376.0499999998</v>
      </c>
      <c r="D30" s="68">
        <f>C30</f>
        <v>2160376.0499999998</v>
      </c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15" customHeight="1" thickBot="1" x14ac:dyDescent="0.4">
      <c r="A31" s="69" t="s">
        <v>72</v>
      </c>
      <c r="B31" s="69"/>
      <c r="C31" s="70">
        <f>C28-C29+C30</f>
        <v>2229510.0252</v>
      </c>
      <c r="D31" s="70">
        <f>D28-D29+D30</f>
        <v>1825250.99</v>
      </c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15.65" customHeight="1" x14ac:dyDescent="0.35">
      <c r="A32" s="10"/>
      <c r="B32" s="10"/>
      <c r="C32" s="11"/>
      <c r="D32" s="120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6" customHeight="1" thickBot="1" x14ac:dyDescent="0.4">
      <c r="A33" s="4" t="s">
        <v>73</v>
      </c>
      <c r="B33" s="4"/>
      <c r="C33" s="5"/>
      <c r="D33" s="4" t="s">
        <v>74</v>
      </c>
      <c r="E33" s="6"/>
      <c r="F33" s="12"/>
      <c r="G33" s="9"/>
      <c r="H33" s="3"/>
      <c r="IE33"/>
    </row>
    <row r="34" spans="1:239" ht="15.65" customHeight="1" x14ac:dyDescent="0.35">
      <c r="A34" s="13" t="s">
        <v>68</v>
      </c>
      <c r="B34" s="104"/>
      <c r="C34" s="14">
        <f>C27</f>
        <v>6368747.1147999996</v>
      </c>
      <c r="D34" s="15" t="s">
        <v>75</v>
      </c>
      <c r="E34" s="16"/>
      <c r="F34" s="14">
        <f>C28</f>
        <v>69133.975200000219</v>
      </c>
      <c r="G34" s="9"/>
      <c r="H34" s="3"/>
      <c r="IE34"/>
    </row>
    <row r="35" spans="1:239" ht="15.65" customHeight="1" x14ac:dyDescent="0.35">
      <c r="A35" s="17" t="s">
        <v>76</v>
      </c>
      <c r="B35" s="105"/>
      <c r="C35" s="18">
        <v>450000</v>
      </c>
      <c r="D35" s="19" t="s">
        <v>77</v>
      </c>
      <c r="E35" s="20"/>
      <c r="F35" s="18">
        <v>100</v>
      </c>
      <c r="G35" s="9"/>
      <c r="H35" s="3"/>
      <c r="IE35"/>
    </row>
    <row r="36" spans="1:239" ht="15.65" customHeight="1" x14ac:dyDescent="0.35">
      <c r="A36" s="17" t="s">
        <v>78</v>
      </c>
      <c r="B36" s="105"/>
      <c r="C36" s="18">
        <f>C20</f>
        <v>0</v>
      </c>
      <c r="D36" s="19" t="s">
        <v>79</v>
      </c>
      <c r="E36" s="20"/>
      <c r="F36" s="18">
        <v>0</v>
      </c>
      <c r="G36" s="9"/>
      <c r="H36" s="3"/>
      <c r="IE36"/>
    </row>
    <row r="37" spans="1:239" ht="15.65" customHeight="1" x14ac:dyDescent="0.35">
      <c r="A37" s="17" t="s">
        <v>80</v>
      </c>
      <c r="B37" s="105"/>
      <c r="C37" s="18">
        <f>-C16</f>
        <v>-240000</v>
      </c>
      <c r="D37" s="19" t="s">
        <v>81</v>
      </c>
      <c r="E37" s="20"/>
      <c r="F37" s="18">
        <v>0</v>
      </c>
      <c r="G37" s="9"/>
      <c r="H37" s="3"/>
      <c r="IE37"/>
    </row>
    <row r="38" spans="1:239" ht="16" customHeight="1" thickBot="1" x14ac:dyDescent="0.4">
      <c r="A38" s="21" t="s">
        <v>82</v>
      </c>
      <c r="B38" s="106"/>
      <c r="C38" s="22">
        <f>-C19</f>
        <v>-85800</v>
      </c>
      <c r="D38" s="19" t="s">
        <v>83</v>
      </c>
      <c r="E38" s="20"/>
      <c r="F38" s="18">
        <f>C19</f>
        <v>85800</v>
      </c>
      <c r="G38" s="9"/>
      <c r="H38" s="3"/>
      <c r="IE38"/>
    </row>
    <row r="39" spans="1:239" ht="16" customHeight="1" thickBot="1" x14ac:dyDescent="0.4">
      <c r="A39" s="23" t="s">
        <v>84</v>
      </c>
      <c r="B39" s="107"/>
      <c r="C39" s="24">
        <f>SUM(C34:C38)</f>
        <v>6492947.1147999996</v>
      </c>
      <c r="D39" s="19" t="s">
        <v>85</v>
      </c>
      <c r="E39" s="20"/>
      <c r="F39" s="18">
        <f>C20</f>
        <v>0</v>
      </c>
      <c r="G39" s="25"/>
      <c r="H39" s="3"/>
      <c r="IE39"/>
    </row>
    <row r="40" spans="1:239" s="1" customFormat="1" ht="15.65" customHeight="1" x14ac:dyDescent="0.35">
      <c r="A40" s="13" t="s">
        <v>86</v>
      </c>
      <c r="B40" s="104"/>
      <c r="C40" s="26">
        <v>365</v>
      </c>
      <c r="D40" s="19" t="s">
        <v>87</v>
      </c>
      <c r="E40" s="20"/>
      <c r="F40" s="18">
        <f>C16</f>
        <v>240000</v>
      </c>
      <c r="G40" s="9"/>
      <c r="H40" s="3"/>
    </row>
    <row r="41" spans="1:239" s="1" customFormat="1" ht="15.65" customHeight="1" x14ac:dyDescent="0.35">
      <c r="A41" s="27" t="s">
        <v>88</v>
      </c>
      <c r="B41" s="108"/>
      <c r="C41" s="28">
        <f>C39/C40</f>
        <v>17788.896204931505</v>
      </c>
      <c r="D41" s="19" t="s">
        <v>89</v>
      </c>
      <c r="E41" s="20"/>
      <c r="F41" s="18">
        <v>-11869</v>
      </c>
      <c r="G41" s="9"/>
      <c r="H41" s="3"/>
    </row>
    <row r="42" spans="1:239" s="1" customFormat="1" ht="16" customHeight="1" thickBot="1" x14ac:dyDescent="0.4">
      <c r="A42" s="21" t="s">
        <v>90</v>
      </c>
      <c r="B42" s="106"/>
      <c r="C42" s="22">
        <v>45</v>
      </c>
      <c r="D42" s="29" t="s">
        <v>91</v>
      </c>
      <c r="E42" s="30"/>
      <c r="F42" s="22">
        <v>0</v>
      </c>
      <c r="G42" s="9"/>
      <c r="H42" s="3"/>
    </row>
    <row r="43" spans="1:239" s="1" customFormat="1" ht="33.75" customHeight="1" thickBot="1" x14ac:dyDescent="0.4">
      <c r="A43" s="51" t="s">
        <v>92</v>
      </c>
      <c r="B43" s="109"/>
      <c r="C43" s="24">
        <f>C41*C42</f>
        <v>800500.32922191778</v>
      </c>
      <c r="D43" s="31" t="s">
        <v>93</v>
      </c>
      <c r="E43" s="32"/>
      <c r="F43" s="24">
        <f>SUM(F34:F42)</f>
        <v>383164.97520000022</v>
      </c>
      <c r="G43" s="9"/>
      <c r="H43" s="3"/>
    </row>
    <row r="44" spans="1:239" s="1" customFormat="1" ht="15.65" customHeight="1" x14ac:dyDescent="0.35">
      <c r="A44" s="33"/>
      <c r="B44" s="110"/>
      <c r="C44" s="34"/>
      <c r="D44" s="15" t="s">
        <v>94</v>
      </c>
      <c r="E44" s="16"/>
      <c r="F44" s="14">
        <f>C17</f>
        <v>532425</v>
      </c>
      <c r="G44" s="9"/>
      <c r="H44" s="3"/>
    </row>
    <row r="45" spans="1:239" s="1" customFormat="1" ht="16" customHeight="1" thickBot="1" x14ac:dyDescent="0.4">
      <c r="A45" s="35"/>
      <c r="B45" s="111"/>
      <c r="C45" s="22"/>
      <c r="D45" s="19" t="s">
        <v>95</v>
      </c>
      <c r="E45" s="20"/>
      <c r="F45" s="18">
        <f>-F41</f>
        <v>11869</v>
      </c>
      <c r="G45" s="9"/>
      <c r="H45" s="3"/>
    </row>
    <row r="46" spans="1:239" s="1" customFormat="1" ht="16" customHeight="1" thickBot="1" x14ac:dyDescent="0.4">
      <c r="A46" s="13" t="s">
        <v>72</v>
      </c>
      <c r="B46" s="104"/>
      <c r="C46" s="14">
        <f>C31</f>
        <v>2229510.0252</v>
      </c>
      <c r="D46" s="29" t="s">
        <v>96</v>
      </c>
      <c r="E46" s="30"/>
      <c r="F46" s="22">
        <f>-F42</f>
        <v>0</v>
      </c>
      <c r="G46" s="9"/>
      <c r="H46" s="3"/>
    </row>
    <row r="47" spans="1:239" s="1" customFormat="1" ht="16" customHeight="1" thickBot="1" x14ac:dyDescent="0.4">
      <c r="A47" s="17" t="s">
        <v>97</v>
      </c>
      <c r="B47" s="105"/>
      <c r="C47" s="18">
        <f>1190+F35</f>
        <v>1290</v>
      </c>
      <c r="D47" s="31" t="s">
        <v>98</v>
      </c>
      <c r="E47" s="32"/>
      <c r="F47" s="24">
        <f>SUM(F43:F46)</f>
        <v>927458.97520000022</v>
      </c>
      <c r="G47" s="9"/>
      <c r="H47" s="3"/>
    </row>
    <row r="48" spans="1:239" s="1" customFormat="1" ht="16" customHeight="1" thickBot="1" x14ac:dyDescent="0.4">
      <c r="A48" s="21" t="s">
        <v>99</v>
      </c>
      <c r="B48" s="106"/>
      <c r="C48" s="22">
        <f>126226+F36</f>
        <v>126226</v>
      </c>
      <c r="D48" s="36" t="s">
        <v>100</v>
      </c>
      <c r="E48" s="37"/>
      <c r="F48" s="26">
        <v>766784</v>
      </c>
      <c r="G48" s="9"/>
      <c r="H48" s="3"/>
    </row>
    <row r="49" spans="1:9" s="1" customFormat="1" ht="16" customHeight="1" thickBot="1" x14ac:dyDescent="0.4">
      <c r="A49" s="23" t="s">
        <v>101</v>
      </c>
      <c r="B49" s="107"/>
      <c r="C49" s="24">
        <f>SUM(C46:C48)</f>
        <v>2357026.0252</v>
      </c>
      <c r="D49" s="38" t="s">
        <v>102</v>
      </c>
      <c r="E49" s="39"/>
      <c r="F49" s="40">
        <f>F47/F48</f>
        <v>1.2095439852683418</v>
      </c>
      <c r="G49" s="9"/>
      <c r="H49" s="3"/>
    </row>
    <row r="50" spans="1:9" s="1" customFormat="1" ht="21.75" customHeight="1" x14ac:dyDescent="0.35">
      <c r="A50" s="41" t="s">
        <v>103</v>
      </c>
      <c r="B50" s="112"/>
      <c r="C50" s="26">
        <f>C41</f>
        <v>17788.896204931505</v>
      </c>
      <c r="D50" s="49" t="s">
        <v>104</v>
      </c>
      <c r="E50" s="50"/>
      <c r="F50" s="50">
        <f>-(F48*1.2-F47)</f>
        <v>7318.1752000002889</v>
      </c>
      <c r="G50" s="9"/>
      <c r="H50" s="3"/>
    </row>
    <row r="51" spans="1:9" s="1" customFormat="1" ht="16" customHeight="1" thickBot="1" x14ac:dyDescent="0.4">
      <c r="A51" s="42" t="s">
        <v>105</v>
      </c>
      <c r="B51" s="113"/>
      <c r="C51" s="43">
        <f>C49/C50</f>
        <v>132.4998469858167</v>
      </c>
      <c r="D51" s="46" t="s">
        <v>106</v>
      </c>
      <c r="E51" s="47"/>
      <c r="F51" s="48">
        <v>1.2</v>
      </c>
      <c r="G51" s="9"/>
      <c r="H51" s="3"/>
    </row>
    <row r="52" spans="1:9" s="1" customFormat="1" ht="19.5" customHeight="1" x14ac:dyDescent="0.35">
      <c r="A52" s="92" t="s">
        <v>107</v>
      </c>
      <c r="B52" s="92"/>
      <c r="C52" s="44">
        <v>45</v>
      </c>
      <c r="D52" s="9"/>
      <c r="E52" s="45"/>
      <c r="F52" s="9"/>
      <c r="G52" s="9"/>
      <c r="H52" s="3"/>
    </row>
    <row r="53" spans="1:9" s="1" customFormat="1" ht="15.65" customHeight="1" x14ac:dyDescent="0.35">
      <c r="A53" s="3"/>
      <c r="B53" s="3"/>
      <c r="C53" s="3"/>
      <c r="D53" s="3"/>
      <c r="E53" s="3"/>
      <c r="F53" s="3"/>
      <c r="G53" s="3"/>
      <c r="H53" s="3"/>
    </row>
    <row r="54" spans="1:9" s="1" customFormat="1" ht="15.65" customHeight="1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9" s="1" customFormat="1" ht="15.65" customHeight="1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9" s="1" customFormat="1" ht="15" customHeight="1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9" s="1" customFormat="1" ht="15" customHeight="1" x14ac:dyDescent="0.35">
      <c r="A57" s="3"/>
      <c r="B57" s="3"/>
      <c r="E57" s="3"/>
      <c r="F57" s="3"/>
      <c r="G57" s="3"/>
      <c r="H57" s="3"/>
      <c r="I57" s="3"/>
    </row>
    <row r="68" spans="4:4" s="1" customFormat="1" ht="14.5" customHeight="1" x14ac:dyDescent="0.35">
      <c r="D68" s="95"/>
    </row>
  </sheetData>
  <conditionalFormatting sqref="A1:B28">
    <cfRule type="cellIs" dxfId="2" priority="1" stopIfTrue="1" operator="lessThan">
      <formula>0</formula>
    </cfRule>
  </conditionalFormatting>
  <conditionalFormatting sqref="A31:B31 G39 F49">
    <cfRule type="cellIs" dxfId="1" priority="2" stopIfTrue="1" operator="lessThan">
      <formula>0</formula>
    </cfRule>
  </conditionalFormatting>
  <pageMargins left="0.25" right="0.25" top="0.75" bottom="0.75" header="0.3" footer="0.3"/>
  <pageSetup scale="72" fitToHeight="0" orientation="portrait" r:id="rId1"/>
  <headerFooter>
    <oddHeader>&amp;C&amp;F</oddHeader>
    <oddFooter xml:space="preserve">&amp;CPage &amp;P&amp;R&amp;A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91"/>
  <sheetViews>
    <sheetView workbookViewId="0">
      <selection activeCell="A4" sqref="A4:A9"/>
    </sheetView>
  </sheetViews>
  <sheetFormatPr defaultColWidth="8.81640625" defaultRowHeight="14.5" customHeight="1" x14ac:dyDescent="0.35"/>
  <cols>
    <col min="1" max="1" width="17.453125" style="1" customWidth="1"/>
    <col min="2" max="2" width="31.54296875" style="1" customWidth="1"/>
    <col min="3" max="3" width="14.453125" style="1" customWidth="1"/>
    <col min="4" max="4" width="35.453125" style="1" customWidth="1"/>
    <col min="5" max="5" width="17.1796875" style="1" customWidth="1"/>
    <col min="6" max="7" width="11.1796875" style="1" hidden="1" customWidth="1"/>
    <col min="8" max="8" width="10.453125" style="1" hidden="1" customWidth="1"/>
    <col min="9" max="9" width="11.1796875" style="1" hidden="1" customWidth="1"/>
    <col min="10" max="21" width="8.81640625" style="1" customWidth="1"/>
    <col min="22" max="22" width="10" style="1" customWidth="1"/>
    <col min="23" max="23" width="2.1796875" style="1" hidden="1" customWidth="1"/>
    <col min="24" max="25" width="8.81640625" style="1" hidden="1" customWidth="1"/>
    <col min="26" max="256" width="8.81640625" style="1" customWidth="1"/>
  </cols>
  <sheetData>
    <row r="1" spans="1:25" ht="18.649999999999999" customHeight="1" x14ac:dyDescent="0.35">
      <c r="A1" s="238" t="s">
        <v>108</v>
      </c>
      <c r="B1" s="239"/>
      <c r="C1" s="239"/>
      <c r="D1" s="240"/>
      <c r="E1" s="240"/>
      <c r="F1" s="88"/>
      <c r="G1" s="88"/>
      <c r="H1" s="88"/>
      <c r="I1" s="88"/>
      <c r="J1" s="71"/>
      <c r="K1" s="71"/>
      <c r="L1" s="71"/>
      <c r="M1" s="71"/>
      <c r="N1" s="71"/>
      <c r="O1" s="71"/>
      <c r="P1" s="71"/>
      <c r="Q1" s="71"/>
      <c r="R1" s="71"/>
      <c r="S1" s="72"/>
      <c r="T1" s="72"/>
      <c r="U1" s="72"/>
      <c r="V1" s="72"/>
      <c r="W1" s="87"/>
      <c r="X1" s="87"/>
      <c r="Y1" s="87"/>
    </row>
    <row r="2" spans="1:25" ht="18.75" customHeight="1" x14ac:dyDescent="0.35">
      <c r="A2" s="2"/>
      <c r="B2" s="2"/>
      <c r="C2" s="2"/>
      <c r="D2" s="2"/>
      <c r="E2" s="2"/>
      <c r="F2" s="75"/>
      <c r="G2" s="75"/>
      <c r="H2" s="75"/>
      <c r="I2" s="75"/>
      <c r="J2" s="71"/>
      <c r="K2" s="71"/>
      <c r="L2" s="71"/>
      <c r="M2" s="71"/>
      <c r="N2" s="71"/>
      <c r="O2" s="71"/>
      <c r="P2" s="71"/>
      <c r="Q2" s="71"/>
      <c r="R2" s="71"/>
      <c r="S2" s="72"/>
      <c r="T2" s="72"/>
      <c r="U2" s="72"/>
      <c r="V2" s="72"/>
      <c r="W2" s="72"/>
      <c r="X2" s="72"/>
      <c r="Y2" s="72"/>
    </row>
    <row r="3" spans="1:25" ht="15" customHeight="1" x14ac:dyDescent="0.35">
      <c r="A3" s="76" t="s">
        <v>109</v>
      </c>
      <c r="B3" s="76" t="s">
        <v>110</v>
      </c>
      <c r="C3" s="76" t="s">
        <v>111</v>
      </c>
      <c r="D3" s="76" t="s">
        <v>112</v>
      </c>
      <c r="E3" s="77" t="s">
        <v>113</v>
      </c>
      <c r="F3" s="75"/>
      <c r="G3" s="75"/>
      <c r="H3" s="75"/>
      <c r="I3" s="75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</row>
    <row r="4" spans="1:25" ht="15" customHeight="1" x14ac:dyDescent="0.35">
      <c r="A4" s="84"/>
      <c r="B4" s="73"/>
      <c r="C4" s="78"/>
      <c r="D4" s="73"/>
      <c r="E4" s="74"/>
      <c r="F4" s="75"/>
      <c r="G4" s="79"/>
      <c r="H4" s="75"/>
      <c r="I4" s="75"/>
      <c r="J4" s="71"/>
      <c r="K4" s="71"/>
      <c r="L4" s="71"/>
      <c r="M4" s="71"/>
      <c r="N4" s="71"/>
      <c r="O4" s="71"/>
      <c r="P4" s="71"/>
      <c r="Q4" s="71"/>
      <c r="R4" s="71"/>
      <c r="S4" s="72"/>
      <c r="T4" s="72"/>
      <c r="U4" s="72"/>
      <c r="V4" s="72"/>
      <c r="W4" s="72"/>
      <c r="X4" s="72"/>
      <c r="Y4" s="72"/>
    </row>
    <row r="5" spans="1:25" ht="15" customHeight="1" x14ac:dyDescent="0.35">
      <c r="A5" s="84"/>
      <c r="B5" s="73"/>
      <c r="C5" s="78"/>
      <c r="D5" s="73"/>
      <c r="E5" s="74"/>
      <c r="F5" s="75"/>
      <c r="G5" s="74"/>
      <c r="H5" s="75"/>
      <c r="I5" s="75"/>
      <c r="J5" s="71"/>
      <c r="K5" s="71"/>
      <c r="L5" s="71"/>
      <c r="M5" s="71"/>
      <c r="N5" s="71"/>
      <c r="O5" s="71"/>
      <c r="P5" s="71"/>
      <c r="Q5" s="71"/>
      <c r="R5" s="71"/>
      <c r="S5" s="72"/>
      <c r="T5" s="72"/>
      <c r="U5" s="72"/>
      <c r="V5" s="72"/>
      <c r="W5" s="72"/>
      <c r="X5" s="72"/>
      <c r="Y5" s="72"/>
    </row>
    <row r="6" spans="1:25" ht="15" customHeight="1" x14ac:dyDescent="0.35">
      <c r="A6" s="84"/>
      <c r="B6" s="73"/>
      <c r="C6" s="78"/>
      <c r="D6" s="73"/>
      <c r="E6" s="74"/>
      <c r="F6" s="74"/>
      <c r="G6" s="79"/>
      <c r="H6" s="75"/>
      <c r="I6" s="75"/>
      <c r="J6" s="71"/>
      <c r="K6" s="71"/>
      <c r="L6" s="71"/>
      <c r="M6" s="71"/>
      <c r="N6" s="71"/>
      <c r="O6" s="71"/>
      <c r="P6" s="71"/>
      <c r="Q6" s="71"/>
      <c r="R6" s="71"/>
      <c r="S6" s="72"/>
      <c r="T6" s="72"/>
      <c r="U6" s="72"/>
      <c r="V6" s="72"/>
      <c r="W6" s="72"/>
      <c r="X6" s="72"/>
      <c r="Y6" s="72"/>
    </row>
    <row r="7" spans="1:25" ht="15" customHeight="1" x14ac:dyDescent="0.35">
      <c r="A7" s="86"/>
      <c r="B7" s="86"/>
      <c r="C7" s="78"/>
      <c r="D7" s="93"/>
      <c r="E7" s="74"/>
      <c r="F7" s="74"/>
      <c r="G7" s="74"/>
      <c r="H7" s="75"/>
      <c r="I7" s="75"/>
      <c r="J7" s="71"/>
      <c r="K7" s="71"/>
      <c r="L7" s="71"/>
      <c r="M7" s="71"/>
      <c r="N7" s="71"/>
      <c r="O7" s="71"/>
      <c r="P7" s="71"/>
      <c r="Q7" s="71"/>
      <c r="R7" s="71"/>
      <c r="S7" s="72"/>
      <c r="T7" s="72"/>
      <c r="U7" s="72"/>
      <c r="V7" s="72"/>
      <c r="W7" s="72"/>
      <c r="X7" s="72"/>
      <c r="Y7" s="72"/>
    </row>
    <row r="8" spans="1:25" ht="15" customHeight="1" x14ac:dyDescent="0.35">
      <c r="A8" s="86"/>
      <c r="B8" s="86"/>
      <c r="C8" s="78"/>
      <c r="D8" s="93"/>
      <c r="E8" s="74"/>
      <c r="F8" s="74"/>
      <c r="G8" s="75"/>
      <c r="H8" s="75"/>
      <c r="I8" s="75"/>
      <c r="J8" s="71"/>
      <c r="K8" s="71"/>
      <c r="L8" s="71"/>
      <c r="M8" s="71"/>
      <c r="N8" s="71"/>
      <c r="O8" s="71"/>
      <c r="P8" s="71"/>
      <c r="Q8" s="71"/>
      <c r="R8" s="71"/>
      <c r="S8" s="72"/>
      <c r="T8" s="72"/>
      <c r="U8" s="72"/>
      <c r="V8" s="72"/>
      <c r="W8" s="72"/>
      <c r="X8" s="72"/>
      <c r="Y8" s="72"/>
    </row>
    <row r="9" spans="1:25" ht="15" customHeight="1" x14ac:dyDescent="0.35">
      <c r="A9" s="86"/>
      <c r="B9" s="75"/>
      <c r="C9" s="78"/>
      <c r="D9" s="80"/>
      <c r="E9" s="74"/>
      <c r="F9" s="74"/>
      <c r="G9" s="75"/>
      <c r="H9" s="75"/>
      <c r="I9" s="75"/>
      <c r="J9" s="71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</row>
    <row r="10" spans="1:25" ht="15" customHeight="1" x14ac:dyDescent="0.35">
      <c r="A10" s="86"/>
      <c r="B10" s="75"/>
      <c r="C10" s="78"/>
      <c r="D10" s="80"/>
      <c r="E10" s="74"/>
      <c r="F10" s="75"/>
      <c r="G10" s="75"/>
      <c r="H10" s="75"/>
      <c r="I10" s="75"/>
      <c r="J10" s="71"/>
      <c r="K10" s="71"/>
      <c r="L10" s="71"/>
      <c r="M10" s="71"/>
      <c r="N10" s="71"/>
      <c r="O10" s="71"/>
      <c r="P10" s="71"/>
      <c r="Q10" s="71"/>
      <c r="R10" s="71"/>
      <c r="S10" s="72"/>
      <c r="T10" s="72"/>
      <c r="U10" s="72"/>
      <c r="V10" s="72"/>
      <c r="W10" s="72"/>
      <c r="X10" s="72"/>
      <c r="Y10" s="72"/>
    </row>
    <row r="11" spans="1:25" ht="15" customHeight="1" x14ac:dyDescent="0.35">
      <c r="A11" s="86"/>
      <c r="B11" s="75"/>
      <c r="C11" s="78"/>
      <c r="D11" s="80"/>
      <c r="E11" s="74"/>
      <c r="F11" s="75"/>
      <c r="G11" s="75"/>
      <c r="H11" s="75"/>
      <c r="I11" s="75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72"/>
      <c r="U11" s="72"/>
      <c r="V11" s="72"/>
      <c r="W11" s="72"/>
      <c r="X11" s="72"/>
      <c r="Y11" s="72"/>
    </row>
    <row r="12" spans="1:25" ht="15" customHeight="1" x14ac:dyDescent="0.35">
      <c r="A12" s="86"/>
      <c r="B12" s="75"/>
      <c r="C12" s="78"/>
      <c r="D12" s="80"/>
      <c r="E12" s="74"/>
      <c r="F12" s="75"/>
      <c r="G12" s="75"/>
      <c r="H12" s="75"/>
      <c r="I12" s="75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2"/>
      <c r="U12" s="72"/>
      <c r="V12" s="72"/>
      <c r="W12" s="72"/>
      <c r="X12" s="72"/>
      <c r="Y12" s="72"/>
    </row>
    <row r="13" spans="1:25" ht="15" customHeight="1" x14ac:dyDescent="0.35">
      <c r="A13" s="86"/>
      <c r="B13" s="75"/>
      <c r="C13" s="78"/>
      <c r="D13" s="80"/>
      <c r="E13" s="74"/>
      <c r="F13" s="75"/>
      <c r="G13" s="75"/>
      <c r="H13" s="75"/>
      <c r="I13" s="75"/>
      <c r="J13" s="71"/>
      <c r="K13" s="71"/>
      <c r="L13" s="71"/>
      <c r="M13" s="71"/>
      <c r="N13" s="71"/>
      <c r="O13" s="71"/>
      <c r="P13" s="71"/>
      <c r="Q13" s="71"/>
      <c r="R13" s="71"/>
      <c r="S13" s="72"/>
      <c r="T13" s="72"/>
      <c r="U13" s="72"/>
      <c r="V13" s="72"/>
      <c r="W13" s="72"/>
      <c r="X13" s="72"/>
      <c r="Y13" s="72"/>
    </row>
    <row r="14" spans="1:25" ht="15" customHeight="1" x14ac:dyDescent="0.35">
      <c r="A14" s="86"/>
      <c r="B14" s="75"/>
      <c r="C14" s="78"/>
      <c r="D14" s="80"/>
      <c r="E14" s="74"/>
      <c r="F14" s="75"/>
      <c r="G14" s="75"/>
      <c r="H14" s="75"/>
      <c r="I14" s="75"/>
      <c r="J14" s="71"/>
      <c r="K14" s="71"/>
      <c r="L14" s="71"/>
      <c r="M14" s="71"/>
      <c r="N14" s="71"/>
      <c r="O14" s="71"/>
      <c r="P14" s="71"/>
      <c r="Q14" s="71"/>
      <c r="R14" s="71"/>
      <c r="S14" s="72"/>
      <c r="T14" s="72"/>
      <c r="U14" s="72"/>
      <c r="V14" s="72"/>
      <c r="W14" s="72"/>
      <c r="X14" s="72"/>
      <c r="Y14" s="72"/>
    </row>
    <row r="15" spans="1:25" ht="15" customHeight="1" x14ac:dyDescent="0.35">
      <c r="A15" s="81"/>
      <c r="B15" s="81"/>
      <c r="C15" s="81"/>
      <c r="D15" s="91" t="s">
        <v>114</v>
      </c>
      <c r="E15" s="82">
        <f>SUM(E4:E13)</f>
        <v>0</v>
      </c>
      <c r="F15" s="74"/>
      <c r="G15" s="74"/>
      <c r="H15" s="75"/>
      <c r="I15" s="74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2"/>
      <c r="U15" s="72"/>
      <c r="V15" s="72"/>
      <c r="W15" s="72"/>
      <c r="X15" s="72"/>
      <c r="Y15" s="72"/>
    </row>
    <row r="16" spans="1:25" ht="15" hidden="1" customHeight="1" x14ac:dyDescent="0.35">
      <c r="A16" s="86"/>
      <c r="B16" s="75"/>
      <c r="C16" s="75"/>
      <c r="D16" s="75"/>
      <c r="E16" s="74"/>
      <c r="F16" s="74"/>
      <c r="G16" s="75"/>
      <c r="H16" s="75"/>
      <c r="I16" s="75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72"/>
      <c r="U16" s="72"/>
      <c r="V16" s="72"/>
      <c r="W16" s="72"/>
      <c r="X16" s="72"/>
      <c r="Y16" s="72"/>
    </row>
    <row r="17" spans="1:25" ht="15" hidden="1" customHeight="1" x14ac:dyDescent="0.35">
      <c r="A17" s="86"/>
      <c r="B17" s="75"/>
      <c r="C17" s="75"/>
      <c r="D17" s="80"/>
      <c r="E17" s="74"/>
      <c r="F17" s="75"/>
      <c r="G17" s="75"/>
      <c r="H17" s="75"/>
      <c r="I17" s="75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2"/>
      <c r="U17" s="72"/>
      <c r="V17" s="72"/>
      <c r="W17" s="72"/>
      <c r="X17" s="72"/>
      <c r="Y17" s="72"/>
    </row>
    <row r="18" spans="1:25" ht="15" hidden="1" customHeight="1" x14ac:dyDescent="0.35">
      <c r="A18" s="86"/>
      <c r="B18" s="75"/>
      <c r="C18" s="75"/>
      <c r="D18" s="75"/>
      <c r="E18" s="74"/>
      <c r="F18" s="75"/>
      <c r="G18" s="75"/>
      <c r="H18" s="75"/>
      <c r="I18" s="75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72"/>
      <c r="U18" s="72"/>
      <c r="V18" s="72"/>
      <c r="W18" s="72"/>
      <c r="X18" s="72"/>
      <c r="Y18" s="72"/>
    </row>
    <row r="19" spans="1:25" ht="15" hidden="1" customHeight="1" x14ac:dyDescent="0.35">
      <c r="A19" s="86"/>
      <c r="B19" s="75"/>
      <c r="C19" s="75"/>
      <c r="D19" s="75"/>
      <c r="E19" s="83"/>
      <c r="F19" s="75"/>
      <c r="G19" s="75"/>
      <c r="H19" s="75"/>
      <c r="I19" s="75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2"/>
      <c r="U19" s="72"/>
      <c r="V19" s="72"/>
      <c r="W19" s="72"/>
      <c r="X19" s="72"/>
      <c r="Y19" s="72"/>
    </row>
    <row r="20" spans="1:25" ht="15" hidden="1" customHeight="1" x14ac:dyDescent="0.35">
      <c r="A20" s="86"/>
      <c r="B20" s="75"/>
      <c r="C20" s="75"/>
      <c r="D20" s="75"/>
      <c r="E20" s="74"/>
      <c r="F20" s="75"/>
      <c r="G20" s="75"/>
      <c r="H20" s="75"/>
      <c r="I20" s="75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</row>
    <row r="21" spans="1:25" ht="14.5" customHeight="1" x14ac:dyDescent="0.35">
      <c r="A21" s="85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2"/>
      <c r="T21" s="72"/>
      <c r="U21" s="72"/>
      <c r="V21" s="72"/>
      <c r="W21" s="72"/>
      <c r="X21" s="72"/>
      <c r="Y21" s="72"/>
    </row>
    <row r="22" spans="1:25" ht="14.5" customHeight="1" x14ac:dyDescent="0.35">
      <c r="A22" s="85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2"/>
      <c r="T22" s="72"/>
      <c r="U22" s="72"/>
      <c r="V22" s="72"/>
      <c r="W22" s="72"/>
      <c r="X22" s="72"/>
      <c r="Y22" s="72"/>
    </row>
    <row r="23" spans="1:25" ht="14.5" customHeight="1" x14ac:dyDescent="0.35">
      <c r="A23" s="85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/>
      <c r="T23" s="72"/>
      <c r="U23" s="72"/>
      <c r="V23" s="72"/>
      <c r="W23" s="72"/>
      <c r="X23" s="72"/>
      <c r="Y23" s="72"/>
    </row>
    <row r="24" spans="1:25" ht="14.5" customHeight="1" x14ac:dyDescent="0.35">
      <c r="A24" s="85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72"/>
      <c r="U24" s="72"/>
      <c r="V24" s="72"/>
      <c r="W24" s="72"/>
      <c r="X24" s="72"/>
      <c r="Y24" s="72"/>
    </row>
    <row r="25" spans="1:25" ht="14.5" customHeight="1" x14ac:dyDescent="0.35">
      <c r="A25" s="85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2"/>
      <c r="U25" s="72"/>
      <c r="V25" s="72"/>
      <c r="W25" s="72"/>
      <c r="X25" s="72"/>
      <c r="Y25" s="72"/>
    </row>
    <row r="26" spans="1:25" ht="14.5" customHeight="1" x14ac:dyDescent="0.35">
      <c r="A26" s="85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/>
      <c r="T26" s="72"/>
      <c r="U26" s="72"/>
      <c r="V26" s="72"/>
      <c r="W26" s="72"/>
      <c r="X26" s="72"/>
      <c r="Y26" s="72"/>
    </row>
    <row r="27" spans="1:25" ht="14.5" customHeight="1" x14ac:dyDescent="0.35">
      <c r="A27" s="85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72"/>
      <c r="U27" s="72"/>
      <c r="V27" s="72"/>
      <c r="W27" s="72"/>
      <c r="X27" s="72"/>
      <c r="Y27" s="72"/>
    </row>
    <row r="28" spans="1:25" ht="14.5" customHeight="1" x14ac:dyDescent="0.35">
      <c r="A28" s="85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  <c r="T28" s="72"/>
      <c r="U28" s="72"/>
      <c r="V28" s="72"/>
      <c r="W28" s="72"/>
      <c r="X28" s="72"/>
      <c r="Y28" s="72"/>
    </row>
    <row r="29" spans="1:25" ht="14.5" customHeight="1" x14ac:dyDescent="0.35">
      <c r="A29" s="8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  <c r="T29" s="72"/>
      <c r="U29" s="72"/>
      <c r="V29" s="72"/>
      <c r="W29" s="72"/>
      <c r="X29" s="72"/>
      <c r="Y29" s="72"/>
    </row>
    <row r="30" spans="1:25" ht="14.5" customHeight="1" x14ac:dyDescent="0.3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72"/>
      <c r="U30" s="72"/>
      <c r="V30" s="72"/>
      <c r="W30" s="72"/>
      <c r="X30" s="72"/>
      <c r="Y30" s="72"/>
    </row>
    <row r="31" spans="1:25" ht="14.5" customHeight="1" x14ac:dyDescent="0.3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72"/>
      <c r="U31" s="72"/>
      <c r="V31" s="72"/>
      <c r="W31" s="72"/>
      <c r="X31" s="72"/>
      <c r="Y31" s="72"/>
    </row>
    <row r="32" spans="1:25" ht="14.5" customHeight="1" x14ac:dyDescent="0.3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/>
      <c r="T32" s="72"/>
      <c r="U32" s="72"/>
      <c r="V32" s="72"/>
      <c r="W32" s="72"/>
      <c r="X32" s="72"/>
      <c r="Y32" s="72"/>
    </row>
    <row r="33" spans="1:25" ht="14.5" customHeight="1" x14ac:dyDescent="0.3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  <c r="T33" s="72"/>
      <c r="U33" s="72"/>
      <c r="V33" s="72"/>
      <c r="W33" s="72"/>
      <c r="X33" s="72"/>
      <c r="Y33" s="72"/>
    </row>
    <row r="34" spans="1:25" ht="14.5" customHeight="1" x14ac:dyDescent="0.3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/>
      <c r="T34" s="72"/>
      <c r="U34" s="72"/>
      <c r="V34" s="72"/>
      <c r="W34" s="72"/>
      <c r="X34" s="72"/>
      <c r="Y34" s="72"/>
    </row>
    <row r="35" spans="1:25" ht="14.5" customHeight="1" x14ac:dyDescent="0.3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/>
      <c r="T35" s="72"/>
      <c r="U35" s="72"/>
      <c r="V35" s="72"/>
      <c r="W35" s="72"/>
      <c r="X35" s="72"/>
      <c r="Y35" s="72"/>
    </row>
    <row r="36" spans="1:25" ht="14.5" customHeight="1" x14ac:dyDescent="0.3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  <c r="T36" s="72"/>
      <c r="U36" s="72"/>
      <c r="V36" s="72"/>
      <c r="W36" s="72"/>
      <c r="X36" s="72"/>
      <c r="Y36" s="72"/>
    </row>
    <row r="37" spans="1:25" ht="14.5" customHeight="1" x14ac:dyDescent="0.3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  <c r="T37" s="72"/>
      <c r="U37" s="72"/>
      <c r="V37" s="72"/>
      <c r="W37" s="72"/>
      <c r="X37" s="72"/>
      <c r="Y37" s="72"/>
    </row>
    <row r="38" spans="1:25" ht="14.5" customHeight="1" x14ac:dyDescent="0.3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2"/>
      <c r="U38" s="72"/>
      <c r="V38" s="72"/>
      <c r="W38" s="72"/>
      <c r="X38" s="72"/>
      <c r="Y38" s="72"/>
    </row>
    <row r="39" spans="1:25" ht="14.5" customHeight="1" x14ac:dyDescent="0.3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2"/>
      <c r="U39" s="72"/>
      <c r="V39" s="72"/>
      <c r="W39" s="72"/>
      <c r="X39" s="72"/>
      <c r="Y39" s="72"/>
    </row>
    <row r="40" spans="1:25" ht="14.5" customHeight="1" x14ac:dyDescent="0.3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72"/>
      <c r="U40" s="72"/>
      <c r="V40" s="72"/>
      <c r="W40" s="72"/>
      <c r="X40" s="72"/>
      <c r="Y40" s="72"/>
    </row>
    <row r="41" spans="1:25" ht="14.5" customHeight="1" x14ac:dyDescent="0.3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  <c r="T41" s="72"/>
      <c r="U41" s="72"/>
      <c r="V41" s="72"/>
      <c r="W41" s="72"/>
      <c r="X41" s="72"/>
      <c r="Y41" s="72"/>
    </row>
    <row r="42" spans="1:25" ht="32.25" customHeight="1" x14ac:dyDescent="0.3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  <c r="T42" s="72"/>
      <c r="U42" s="72"/>
      <c r="V42" s="72"/>
      <c r="W42" s="72"/>
      <c r="X42" s="72"/>
      <c r="Y42" s="72"/>
    </row>
    <row r="43" spans="1:25" ht="29.25" customHeight="1" x14ac:dyDescent="0.3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/>
      <c r="T43" s="72"/>
      <c r="U43" s="72"/>
      <c r="V43" s="72"/>
      <c r="W43" s="72"/>
      <c r="X43" s="72"/>
      <c r="Y43" s="72"/>
    </row>
    <row r="44" spans="1:25" ht="14.5" customHeight="1" x14ac:dyDescent="0.3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/>
      <c r="T44" s="72"/>
      <c r="U44" s="72"/>
      <c r="V44" s="72"/>
      <c r="W44" s="72"/>
      <c r="X44" s="72"/>
      <c r="Y44" s="72"/>
    </row>
    <row r="45" spans="1:25" ht="14.5" customHeight="1" x14ac:dyDescent="0.3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  <c r="T45" s="72"/>
      <c r="U45" s="72"/>
      <c r="V45" s="72"/>
      <c r="W45" s="72"/>
      <c r="X45" s="72"/>
      <c r="Y45" s="72"/>
    </row>
    <row r="46" spans="1:25" ht="14.5" customHeight="1" x14ac:dyDescent="0.3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2"/>
      <c r="T46" s="72"/>
      <c r="U46" s="72"/>
      <c r="V46" s="72"/>
      <c r="W46" s="72"/>
      <c r="X46" s="72"/>
      <c r="Y46" s="72"/>
    </row>
    <row r="47" spans="1:25" ht="14.5" customHeight="1" x14ac:dyDescent="0.3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2"/>
      <c r="T47" s="72"/>
      <c r="U47" s="72"/>
      <c r="V47" s="72"/>
      <c r="W47" s="72"/>
      <c r="X47" s="72"/>
      <c r="Y47" s="72"/>
    </row>
    <row r="48" spans="1:25" ht="14.5" customHeight="1" x14ac:dyDescent="0.3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2"/>
      <c r="T48" s="72"/>
      <c r="U48" s="72"/>
      <c r="V48" s="72"/>
      <c r="W48" s="72"/>
      <c r="X48" s="72"/>
      <c r="Y48" s="72"/>
    </row>
    <row r="49" spans="1:25" ht="14.5" customHeight="1" x14ac:dyDescent="0.3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2"/>
      <c r="T49" s="72"/>
      <c r="U49" s="72"/>
      <c r="V49" s="72"/>
      <c r="W49" s="72"/>
      <c r="X49" s="72"/>
      <c r="Y49" s="72"/>
    </row>
    <row r="50" spans="1:25" ht="14.5" customHeight="1" x14ac:dyDescent="0.3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2"/>
      <c r="T50" s="72"/>
      <c r="U50" s="72"/>
      <c r="V50" s="72"/>
      <c r="W50" s="72"/>
      <c r="X50" s="72"/>
      <c r="Y50" s="72"/>
    </row>
    <row r="51" spans="1:25" ht="14.5" customHeight="1" x14ac:dyDescent="0.3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2"/>
      <c r="T51" s="72"/>
      <c r="U51" s="72"/>
      <c r="V51" s="72"/>
      <c r="W51" s="72"/>
      <c r="X51" s="72"/>
      <c r="Y51" s="72"/>
    </row>
    <row r="52" spans="1:25" ht="14.5" customHeight="1" x14ac:dyDescent="0.3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  <c r="T52" s="72"/>
      <c r="U52" s="72"/>
      <c r="V52" s="72"/>
      <c r="W52" s="72"/>
      <c r="X52" s="72"/>
      <c r="Y52" s="72"/>
    </row>
    <row r="53" spans="1:25" ht="14.5" customHeight="1" x14ac:dyDescent="0.3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/>
      <c r="T53" s="72"/>
      <c r="U53" s="72"/>
      <c r="V53" s="72"/>
      <c r="W53" s="72"/>
      <c r="X53" s="72"/>
      <c r="Y53" s="72"/>
    </row>
    <row r="54" spans="1:25" ht="14.5" customHeight="1" x14ac:dyDescent="0.3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2"/>
      <c r="T54" s="72"/>
      <c r="U54" s="72"/>
      <c r="V54" s="72"/>
      <c r="W54" s="72"/>
      <c r="X54" s="72"/>
      <c r="Y54" s="72"/>
    </row>
    <row r="55" spans="1:25" ht="14.5" customHeight="1" x14ac:dyDescent="0.3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72"/>
      <c r="U55" s="72"/>
      <c r="V55" s="72"/>
      <c r="W55" s="72"/>
      <c r="X55" s="72"/>
      <c r="Y55" s="72"/>
    </row>
    <row r="56" spans="1:25" ht="14.5" customHeight="1" x14ac:dyDescent="0.3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2"/>
      <c r="T56" s="72"/>
      <c r="U56" s="72"/>
      <c r="V56" s="72"/>
      <c r="W56" s="72"/>
      <c r="X56" s="72"/>
      <c r="Y56" s="72"/>
    </row>
    <row r="57" spans="1:25" ht="14.5" customHeight="1" x14ac:dyDescent="0.3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  <c r="T57" s="72"/>
      <c r="U57" s="72"/>
      <c r="V57" s="72"/>
      <c r="W57" s="72"/>
      <c r="X57" s="72"/>
      <c r="Y57" s="72"/>
    </row>
    <row r="58" spans="1:25" ht="14.5" customHeight="1" x14ac:dyDescent="0.3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/>
      <c r="T58" s="72"/>
      <c r="U58" s="72"/>
      <c r="V58" s="72"/>
      <c r="W58" s="72"/>
      <c r="X58" s="72"/>
      <c r="Y58" s="72"/>
    </row>
    <row r="59" spans="1:25" ht="14.5" customHeight="1" x14ac:dyDescent="0.3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  <c r="T59" s="72"/>
      <c r="U59" s="72"/>
      <c r="V59" s="72"/>
      <c r="W59" s="72"/>
      <c r="X59" s="72"/>
      <c r="Y59" s="72"/>
    </row>
    <row r="60" spans="1:25" ht="14.5" customHeight="1" x14ac:dyDescent="0.3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/>
      <c r="T60" s="72"/>
      <c r="U60" s="72"/>
      <c r="V60" s="72"/>
      <c r="W60" s="72"/>
      <c r="X60" s="72"/>
      <c r="Y60" s="72"/>
    </row>
    <row r="61" spans="1:25" ht="14.5" customHeight="1" x14ac:dyDescent="0.3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2"/>
      <c r="T61" s="72"/>
      <c r="U61" s="72"/>
      <c r="V61" s="72"/>
      <c r="W61" s="72"/>
      <c r="X61" s="72"/>
      <c r="Y61" s="72"/>
    </row>
    <row r="62" spans="1:25" ht="14.5" customHeight="1" x14ac:dyDescent="0.3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/>
      <c r="T62" s="72"/>
      <c r="U62" s="72"/>
      <c r="V62" s="72"/>
      <c r="W62" s="72"/>
      <c r="X62" s="72"/>
      <c r="Y62" s="72"/>
    </row>
    <row r="63" spans="1:25" ht="14.5" customHeight="1" x14ac:dyDescent="0.3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2"/>
      <c r="W63" s="72"/>
      <c r="X63" s="72"/>
      <c r="Y63" s="72"/>
    </row>
    <row r="64" spans="1:25" ht="14.5" customHeight="1" x14ac:dyDescent="0.3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/>
      <c r="T64" s="72"/>
      <c r="U64" s="72"/>
      <c r="V64" s="72"/>
      <c r="W64" s="72"/>
      <c r="X64" s="72"/>
      <c r="Y64" s="72"/>
    </row>
    <row r="65" spans="1:25" ht="14.5" customHeight="1" x14ac:dyDescent="0.3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72"/>
      <c r="U65" s="72"/>
      <c r="V65" s="72"/>
      <c r="W65" s="72"/>
      <c r="X65" s="72"/>
      <c r="Y65" s="72"/>
    </row>
    <row r="66" spans="1:25" ht="14.5" customHeight="1" x14ac:dyDescent="0.3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2"/>
      <c r="T66" s="72"/>
      <c r="U66" s="72"/>
      <c r="V66" s="72"/>
      <c r="W66" s="72"/>
      <c r="X66" s="72"/>
      <c r="Y66" s="72"/>
    </row>
    <row r="67" spans="1:25" ht="14.5" customHeight="1" x14ac:dyDescent="0.3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2"/>
      <c r="T67" s="72"/>
      <c r="U67" s="72"/>
      <c r="V67" s="72"/>
      <c r="W67" s="72"/>
      <c r="X67" s="72"/>
      <c r="Y67" s="72"/>
    </row>
    <row r="68" spans="1:25" ht="14.5" customHeight="1" x14ac:dyDescent="0.3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/>
      <c r="T68" s="72"/>
      <c r="U68" s="72"/>
      <c r="V68" s="72"/>
      <c r="W68" s="72"/>
      <c r="X68" s="72"/>
      <c r="Y68" s="72"/>
    </row>
    <row r="69" spans="1:25" ht="14.5" customHeight="1" x14ac:dyDescent="0.3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2"/>
      <c r="T69" s="72"/>
      <c r="U69" s="72"/>
      <c r="V69" s="72"/>
      <c r="W69" s="72"/>
      <c r="X69" s="72"/>
      <c r="Y69" s="72"/>
    </row>
    <row r="70" spans="1:25" ht="14.5" customHeight="1" x14ac:dyDescent="0.3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2"/>
      <c r="T70" s="72"/>
      <c r="U70" s="72"/>
      <c r="V70" s="72"/>
      <c r="W70" s="72"/>
      <c r="X70" s="72"/>
      <c r="Y70" s="72"/>
    </row>
    <row r="71" spans="1:25" ht="14.5" customHeight="1" x14ac:dyDescent="0.3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/>
      <c r="T71" s="72"/>
      <c r="U71" s="72"/>
      <c r="V71" s="72"/>
      <c r="W71" s="72"/>
      <c r="X71" s="72"/>
      <c r="Y71" s="72"/>
    </row>
    <row r="72" spans="1:25" ht="14.5" customHeight="1" x14ac:dyDescent="0.3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2"/>
      <c r="T72" s="72"/>
      <c r="U72" s="72"/>
      <c r="V72" s="72"/>
      <c r="W72" s="72"/>
      <c r="X72" s="72"/>
      <c r="Y72" s="72"/>
    </row>
    <row r="73" spans="1:25" ht="14.5" customHeight="1" x14ac:dyDescent="0.3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2"/>
      <c r="T73" s="72"/>
      <c r="U73" s="72"/>
      <c r="V73" s="72"/>
      <c r="W73" s="72"/>
      <c r="X73" s="72"/>
      <c r="Y73" s="72"/>
    </row>
    <row r="74" spans="1:25" ht="14.5" customHeight="1" x14ac:dyDescent="0.3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2"/>
      <c r="T74" s="72"/>
      <c r="U74" s="72"/>
      <c r="V74" s="72"/>
      <c r="W74" s="72"/>
      <c r="X74" s="72"/>
      <c r="Y74" s="72"/>
    </row>
    <row r="75" spans="1:25" ht="14.5" customHeight="1" x14ac:dyDescent="0.3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/>
      <c r="T75" s="72"/>
      <c r="U75" s="72"/>
      <c r="V75" s="72"/>
      <c r="W75" s="72"/>
      <c r="X75" s="72"/>
      <c r="Y75" s="72"/>
    </row>
    <row r="76" spans="1:25" ht="14.5" customHeight="1" x14ac:dyDescent="0.3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72"/>
      <c r="U76" s="72"/>
      <c r="V76" s="72"/>
      <c r="W76" s="72"/>
      <c r="X76" s="72"/>
      <c r="Y76" s="72"/>
    </row>
    <row r="77" spans="1:25" ht="14.5" customHeight="1" x14ac:dyDescent="0.3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/>
      <c r="T77" s="72"/>
      <c r="U77" s="72"/>
      <c r="V77" s="72"/>
      <c r="W77" s="72"/>
      <c r="X77" s="72"/>
      <c r="Y77" s="72"/>
    </row>
    <row r="78" spans="1:25" ht="14.5" customHeight="1" x14ac:dyDescent="0.3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2"/>
      <c r="U78" s="72"/>
      <c r="V78" s="72"/>
      <c r="W78" s="72"/>
      <c r="X78" s="72"/>
      <c r="Y78" s="72"/>
    </row>
    <row r="79" spans="1:25" ht="14.5" customHeight="1" x14ac:dyDescent="0.3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/>
      <c r="T79" s="72"/>
      <c r="U79" s="72"/>
      <c r="V79" s="72"/>
      <c r="W79" s="72"/>
      <c r="X79" s="72"/>
      <c r="Y79" s="72"/>
    </row>
    <row r="80" spans="1:25" ht="14.5" customHeight="1" x14ac:dyDescent="0.3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2"/>
      <c r="U80" s="72"/>
      <c r="V80" s="72"/>
      <c r="W80" s="72"/>
      <c r="X80" s="72"/>
      <c r="Y80" s="72"/>
    </row>
    <row r="81" spans="1:25" ht="14.5" customHeight="1" x14ac:dyDescent="0.3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/>
      <c r="T81" s="72"/>
      <c r="U81" s="72"/>
      <c r="V81" s="72"/>
      <c r="W81" s="72"/>
      <c r="X81" s="72"/>
      <c r="Y81" s="72"/>
    </row>
    <row r="82" spans="1:25" ht="14.5" customHeight="1" x14ac:dyDescent="0.3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  <c r="V82" s="72"/>
      <c r="W82" s="72"/>
      <c r="X82" s="72"/>
      <c r="Y82" s="72"/>
    </row>
    <row r="83" spans="1:25" ht="14.5" customHeight="1" x14ac:dyDescent="0.3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2"/>
      <c r="T83" s="72"/>
      <c r="U83" s="72"/>
      <c r="V83" s="72"/>
      <c r="W83" s="72"/>
      <c r="X83" s="72"/>
      <c r="Y83" s="72"/>
    </row>
    <row r="84" spans="1:25" ht="14.5" customHeight="1" x14ac:dyDescent="0.3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2"/>
      <c r="T84" s="72"/>
      <c r="U84" s="72"/>
      <c r="V84" s="72"/>
      <c r="W84" s="72"/>
      <c r="X84" s="72"/>
      <c r="Y84" s="72"/>
    </row>
    <row r="85" spans="1:25" ht="14.5" customHeight="1" x14ac:dyDescent="0.3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2"/>
      <c r="T85" s="72"/>
      <c r="U85" s="72"/>
      <c r="V85" s="72"/>
      <c r="W85" s="72"/>
      <c r="X85" s="72"/>
      <c r="Y85" s="72"/>
    </row>
    <row r="86" spans="1:25" ht="14.5" customHeight="1" x14ac:dyDescent="0.3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2"/>
      <c r="T86" s="72"/>
      <c r="U86" s="72"/>
      <c r="V86" s="72"/>
      <c r="W86" s="72"/>
      <c r="X86" s="72"/>
      <c r="Y86" s="72"/>
    </row>
    <row r="87" spans="1:25" ht="14.5" customHeight="1" x14ac:dyDescent="0.3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2"/>
      <c r="T87" s="72"/>
      <c r="U87" s="72"/>
      <c r="V87" s="72"/>
      <c r="W87" s="72"/>
      <c r="X87" s="72"/>
      <c r="Y87" s="72"/>
    </row>
    <row r="88" spans="1:25" ht="14.5" customHeight="1" x14ac:dyDescent="0.3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spans="1:25" ht="14.5" customHeight="1" x14ac:dyDescent="0.3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</row>
    <row r="90" spans="1:25" ht="14.5" customHeight="1" x14ac:dyDescent="0.3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</row>
    <row r="91" spans="1:25" ht="14.5" customHeight="1" x14ac:dyDescent="0.3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</row>
  </sheetData>
  <mergeCells count="1">
    <mergeCell ref="A1:E1"/>
  </mergeCells>
  <conditionalFormatting sqref="E19">
    <cfRule type="cellIs" dxfId="0" priority="1" stopIfTrue="1" operator="lessThan">
      <formula>0</formula>
    </cfRule>
  </conditionalFormatting>
  <pageMargins left="0.25" right="0.25" top="0.75" bottom="0.75" header="0.3" footer="0.3"/>
  <pageSetup scale="87" fitToHeight="0" orientation="portrait" r:id="rId1"/>
  <headerFooter>
    <oddHeader>&amp;C&amp;F</oddHeader>
    <oddFooter xml:space="preserve">&amp;CPage &amp;P&amp;R&amp;A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FY 23-24 Budget </vt:lpstr>
      <vt:lpstr>FY 23-24 Budget Condensed</vt:lpstr>
      <vt:lpstr>Cap. Assets</vt:lpstr>
      <vt:lpstr>'FY 23-24 Budget '!Print_Area</vt:lpstr>
      <vt:lpstr>'FY 23-24 Budget Condensed'!Print_Area</vt:lpstr>
      <vt:lpstr>'FY 23-24 Budget '!Print_Titles</vt:lpstr>
      <vt:lpstr>'FY 23-24 Budget Condensed'!Print_Titles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Lightner</dc:creator>
  <cp:lastModifiedBy>Brandon Mitchell</cp:lastModifiedBy>
  <cp:lastPrinted>2023-08-03T03:22:48Z</cp:lastPrinted>
  <dcterms:created xsi:type="dcterms:W3CDTF">2022-01-11T18:19:16Z</dcterms:created>
  <dcterms:modified xsi:type="dcterms:W3CDTF">2023-09-17T20:09:54Z</dcterms:modified>
</cp:coreProperties>
</file>