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matth\Box\FC\2022-23 Financials\"/>
    </mc:Choice>
  </mc:AlternateContent>
  <xr:revisionPtr revIDLastSave="0" documentId="13_ncr:1_{E8F9D940-7230-4D24-AAAB-D63653608B29}" xr6:coauthVersionLast="47" xr6:coauthVersionMax="47" xr10:uidLastSave="{00000000-0000-0000-0000-000000000000}"/>
  <bookViews>
    <workbookView xWindow="-120" yWindow="-120" windowWidth="29040" windowHeight="15720" xr2:uid="{B4561C46-DCA8-4907-92B7-2DEBEB3BFE9C}"/>
  </bookViews>
  <sheets>
    <sheet name="FF - Tracker" sheetId="1" r:id="rId1"/>
    <sheet name="Statement of Financial Position" sheetId="3" r:id="rId2"/>
    <sheet name="Financial Deliverables" sheetId="2" r:id="rId3"/>
    <sheet name="Cash flow dashboard" sheetId="4" r:id="rId4"/>
  </sheets>
  <externalReferences>
    <externalReference r:id="rId5"/>
    <externalReference r:id="rId6"/>
  </externalReferences>
  <definedNames>
    <definedName name="_Fill" hidden="1">#REF!</definedName>
    <definedName name="_Key1" hidden="1">#REF!</definedName>
    <definedName name="_Key2" hidden="1">#REF!</definedName>
    <definedName name="_Order1" hidden="1">0</definedName>
    <definedName name="_Order2" hidden="1">255</definedName>
    <definedName name="_Sort" hidden="1">#REF!</definedName>
    <definedName name="_Table1_In1" hidden="1">#REF!</definedName>
    <definedName name="_Table1_Out" hidden="1">#REF!</definedName>
    <definedName name="_Table2_In1" hidden="1">#REF!</definedName>
    <definedName name="_Table2_Out" hidden="1">#REF!</definedName>
    <definedName name="DATA_01" hidden="1">'[1]Bond Amortization1'!#REF!</definedName>
    <definedName name="DATA_08" hidden="1">'[1]Bond Amortization1'!#REF!</definedName>
    <definedName name="Expense_Assump">[2]Assumptions!$C:$K</definedName>
    <definedName name="IntroPrintArea" hidden="1">#REF!</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40834.4439583333</definedName>
    <definedName name="IQ_NTM" hidden="1">6000</definedName>
    <definedName name="IQ_TODAY" hidden="1">0</definedName>
    <definedName name="IQ_WEEK" hidden="1">50000</definedName>
    <definedName name="IQ_YTD" hidden="1">3000</definedName>
    <definedName name="IQ_YTDMONTH" hidden="1">130000</definedName>
    <definedName name="X_Enrollment">'[2]Enrollment and Demographics'!$C$2:$M$47</definedName>
    <definedName name="X_Staffing_YR1_FTE">'[2]Position Control (Staffing)'!$E$36</definedName>
    <definedName name="X_Staffing_YR2_FTE">'[2]Position Control (Staffing)'!$F$36</definedName>
    <definedName name="X_Staffing_YR3_FTE">'[2]Position Control (Staffing)'!$G$36</definedName>
    <definedName name="X_Staffing_YR4_FTE">'[2]Position Control (Staffing)'!$H$36</definedName>
    <definedName name="X_Staffing_YR5_FTE">'[2]Position Control (Staffing)'!$I$36</definedName>
    <definedName name="X_YearOne">'[2]School Info'!$D$11</definedName>
    <definedName name="X_Years">'[2]Enrollment and Demographics'!$AI$5:$AU$7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62" i="1" l="1"/>
  <c r="F54" i="1"/>
  <c r="I46" i="1"/>
  <c r="F25" i="1"/>
  <c r="F12" i="1"/>
  <c r="B52" i="3"/>
  <c r="H51" i="3"/>
  <c r="G51" i="3"/>
  <c r="F51" i="3"/>
  <c r="E51" i="3"/>
  <c r="D51" i="3"/>
  <c r="C51" i="3"/>
  <c r="B51" i="3"/>
  <c r="H50" i="3"/>
  <c r="H52" i="3" s="1"/>
  <c r="E50" i="3"/>
  <c r="F50" i="3" s="1"/>
  <c r="G50" i="3" s="1"/>
  <c r="B50" i="3"/>
  <c r="C50" i="3" s="1"/>
  <c r="D50" i="3" s="1"/>
  <c r="H49" i="3"/>
  <c r="E49" i="3"/>
  <c r="E52" i="3" s="1"/>
  <c r="D49" i="3"/>
  <c r="D52" i="3" s="1"/>
  <c r="C49" i="3"/>
  <c r="C52" i="3" s="1"/>
  <c r="B49" i="3"/>
  <c r="F46" i="3"/>
  <c r="E46" i="3"/>
  <c r="B46" i="3"/>
  <c r="H45" i="3"/>
  <c r="G45" i="3"/>
  <c r="F45" i="3"/>
  <c r="E45" i="3"/>
  <c r="D45" i="3"/>
  <c r="C45" i="3"/>
  <c r="B45" i="3"/>
  <c r="H44" i="3"/>
  <c r="H46" i="3" s="1"/>
  <c r="G44" i="3"/>
  <c r="G46" i="3" s="1"/>
  <c r="F44" i="3"/>
  <c r="E44" i="3"/>
  <c r="D44" i="3"/>
  <c r="D46" i="3" s="1"/>
  <c r="C44" i="3"/>
  <c r="C46" i="3" s="1"/>
  <c r="B44" i="3"/>
  <c r="H40" i="3"/>
  <c r="G40" i="3"/>
  <c r="E40" i="3"/>
  <c r="F40" i="3" s="1"/>
  <c r="D40" i="3"/>
  <c r="C40" i="3"/>
  <c r="B40" i="3"/>
  <c r="H39" i="3"/>
  <c r="D39" i="3"/>
  <c r="E39" i="3" s="1"/>
  <c r="F39" i="3" s="1"/>
  <c r="C39" i="3"/>
  <c r="B39" i="3"/>
  <c r="H38" i="3"/>
  <c r="G38" i="3"/>
  <c r="F38" i="3"/>
  <c r="E38" i="3"/>
  <c r="D38" i="3"/>
  <c r="C38" i="3"/>
  <c r="B38" i="3"/>
  <c r="H37" i="3"/>
  <c r="G37" i="3"/>
  <c r="F37" i="3"/>
  <c r="E37" i="3"/>
  <c r="D37" i="3"/>
  <c r="C37" i="3"/>
  <c r="B37" i="3"/>
  <c r="H36" i="3"/>
  <c r="G36" i="3"/>
  <c r="F36" i="3"/>
  <c r="E36" i="3"/>
  <c r="E41" i="3" s="1"/>
  <c r="D36" i="3"/>
  <c r="C36" i="3"/>
  <c r="B36" i="3"/>
  <c r="B41" i="3" s="1"/>
  <c r="H35" i="3"/>
  <c r="H41" i="3" s="1"/>
  <c r="G35" i="3"/>
  <c r="F35" i="3"/>
  <c r="E35" i="3"/>
  <c r="D35" i="3"/>
  <c r="D41" i="3" s="1"/>
  <c r="C35" i="3"/>
  <c r="C41" i="3" s="1"/>
  <c r="B35" i="3"/>
  <c r="H33" i="3"/>
  <c r="H42" i="3" s="1"/>
  <c r="H47" i="3" s="1"/>
  <c r="H53" i="3" s="1"/>
  <c r="G33" i="3"/>
  <c r="C33" i="3"/>
  <c r="B33" i="3"/>
  <c r="H32" i="3"/>
  <c r="G32" i="3"/>
  <c r="F32" i="3"/>
  <c r="F33" i="3" s="1"/>
  <c r="E32" i="3"/>
  <c r="E33" i="3" s="1"/>
  <c r="E42" i="3" s="1"/>
  <c r="E47" i="3" s="1"/>
  <c r="E53" i="3" s="1"/>
  <c r="D32" i="3"/>
  <c r="D33" i="3" s="1"/>
  <c r="D42" i="3" s="1"/>
  <c r="D47" i="3" s="1"/>
  <c r="D53" i="3" s="1"/>
  <c r="C32" i="3"/>
  <c r="B32" i="3"/>
  <c r="G25" i="3"/>
  <c r="H25" i="3" s="1"/>
  <c r="D25" i="3"/>
  <c r="E25" i="3" s="1"/>
  <c r="F25" i="3" s="1"/>
  <c r="C25" i="3"/>
  <c r="B25" i="3"/>
  <c r="B24" i="3"/>
  <c r="C24" i="3" s="1"/>
  <c r="D24" i="3" s="1"/>
  <c r="E24" i="3" s="1"/>
  <c r="F24" i="3" s="1"/>
  <c r="G24" i="3" s="1"/>
  <c r="H24" i="3" s="1"/>
  <c r="B23" i="3"/>
  <c r="C23" i="3" s="1"/>
  <c r="D23" i="3" s="1"/>
  <c r="E23" i="3" s="1"/>
  <c r="F23" i="3" s="1"/>
  <c r="G23" i="3" s="1"/>
  <c r="H23" i="3" s="1"/>
  <c r="C22" i="3"/>
  <c r="D22" i="3" s="1"/>
  <c r="E22" i="3" s="1"/>
  <c r="F22" i="3" s="1"/>
  <c r="G22" i="3" s="1"/>
  <c r="H22" i="3" s="1"/>
  <c r="B22" i="3"/>
  <c r="B21" i="3"/>
  <c r="B26" i="3" s="1"/>
  <c r="H18" i="3"/>
  <c r="F18" i="3"/>
  <c r="E18" i="3"/>
  <c r="H17" i="3"/>
  <c r="G17" i="3"/>
  <c r="G18" i="3" s="1"/>
  <c r="F17" i="3"/>
  <c r="E17" i="3"/>
  <c r="D17" i="3"/>
  <c r="D18" i="3" s="1"/>
  <c r="C17" i="3"/>
  <c r="C18" i="3" s="1"/>
  <c r="B17" i="3"/>
  <c r="B18" i="3" s="1"/>
  <c r="G15" i="3"/>
  <c r="F15" i="3"/>
  <c r="D15" i="3"/>
  <c r="C15" i="3"/>
  <c r="H14" i="3"/>
  <c r="H15" i="3" s="1"/>
  <c r="G14" i="3"/>
  <c r="F14" i="3"/>
  <c r="E14" i="3"/>
  <c r="E15" i="3" s="1"/>
  <c r="D14" i="3"/>
  <c r="C14" i="3"/>
  <c r="B14" i="3"/>
  <c r="B15" i="3" s="1"/>
  <c r="D12" i="3"/>
  <c r="H11" i="3"/>
  <c r="H12" i="3" s="1"/>
  <c r="H19" i="3" s="1"/>
  <c r="G11" i="3"/>
  <c r="F11" i="3"/>
  <c r="E11" i="3"/>
  <c r="D11" i="3"/>
  <c r="C11" i="3"/>
  <c r="B11" i="3"/>
  <c r="H10" i="3"/>
  <c r="G10" i="3"/>
  <c r="F10" i="3"/>
  <c r="E10" i="3"/>
  <c r="D10" i="3"/>
  <c r="C10" i="3"/>
  <c r="B10" i="3"/>
  <c r="B12" i="3" s="1"/>
  <c r="H9" i="3"/>
  <c r="G9" i="3"/>
  <c r="G12" i="3" s="1"/>
  <c r="F9" i="3"/>
  <c r="F12" i="3" s="1"/>
  <c r="F19" i="3" s="1"/>
  <c r="E9" i="3"/>
  <c r="E12" i="3" s="1"/>
  <c r="E19" i="3" s="1"/>
  <c r="D9" i="3"/>
  <c r="C9" i="3"/>
  <c r="C12" i="3" s="1"/>
  <c r="B9" i="3"/>
  <c r="C19" i="3" l="1"/>
  <c r="B19" i="3"/>
  <c r="B27" i="3" s="1"/>
  <c r="C42" i="3"/>
  <c r="C47" i="3" s="1"/>
  <c r="C53" i="3" s="1"/>
  <c r="G41" i="3"/>
  <c r="G42" i="3" s="1"/>
  <c r="F42" i="3"/>
  <c r="F47" i="3" s="1"/>
  <c r="B42" i="3"/>
  <c r="B47" i="3" s="1"/>
  <c r="B53" i="3" s="1"/>
  <c r="G19" i="3"/>
  <c r="D19" i="3"/>
  <c r="G39" i="3"/>
  <c r="F41" i="3"/>
  <c r="F49" i="3"/>
  <c r="C21" i="3"/>
  <c r="F24" i="1"/>
  <c r="J62" i="1"/>
  <c r="G47" i="3" l="1"/>
  <c r="F11" i="1"/>
  <c r="F52" i="3"/>
  <c r="G49" i="3"/>
  <c r="G52" i="3" s="1"/>
  <c r="F53" i="3"/>
  <c r="C26" i="3"/>
  <c r="D21" i="3"/>
  <c r="C27" i="3"/>
  <c r="F21" i="1"/>
  <c r="F20" i="1"/>
  <c r="O5" i="4"/>
  <c r="E21" i="3" l="1"/>
  <c r="D26" i="3"/>
  <c r="D27" i="3" s="1"/>
  <c r="G53" i="3"/>
  <c r="F22" i="1"/>
  <c r="F23" i="1"/>
  <c r="F19" i="1"/>
  <c r="F8" i="1"/>
  <c r="N5" i="4"/>
  <c r="M5" i="4"/>
  <c r="L5" i="4"/>
  <c r="K5" i="4"/>
  <c r="J5" i="4"/>
  <c r="I5" i="4"/>
  <c r="H5" i="4"/>
  <c r="G5" i="4"/>
  <c r="F5" i="4"/>
  <c r="E5" i="4"/>
  <c r="F21" i="3" l="1"/>
  <c r="E26" i="3"/>
  <c r="E27" i="3" s="1"/>
  <c r="F51" i="1" s="1"/>
  <c r="F10" i="1"/>
  <c r="F49" i="1"/>
  <c r="F7" i="1"/>
  <c r="F9" i="1"/>
  <c r="G21" i="3" l="1"/>
  <c r="F26" i="3"/>
  <c r="F27" i="3" s="1"/>
  <c r="F52" i="1" s="1"/>
  <c r="F50" i="1"/>
  <c r="F48" i="1"/>
  <c r="F6" i="1"/>
  <c r="G26" i="3" l="1"/>
  <c r="G27" i="3" s="1"/>
  <c r="F53" i="1" s="1"/>
  <c r="H21" i="3"/>
  <c r="H26" i="3" s="1"/>
  <c r="H27" i="3" s="1"/>
</calcChain>
</file>

<file path=xl/sharedStrings.xml><?xml version="1.0" encoding="utf-8"?>
<sst xmlns="http://schemas.openxmlformats.org/spreadsheetml/2006/main" count="256" uniqueCount="155">
  <si>
    <t>Financial Framework Condensed Tracker (2021-22)</t>
  </si>
  <si>
    <t xml:space="preserve">See full details at </t>
  </si>
  <si>
    <t xml:space="preserve">https://mypcm21.box.com/s/qm93erqar4thxauovwcbbcwjdci87qbt </t>
  </si>
  <si>
    <t>1.a.</t>
  </si>
  <si>
    <t>Meets</t>
  </si>
  <si>
    <t>Does Not Meet</t>
  </si>
  <si>
    <t>Stage 1 (Years 1-2):</t>
  </si>
  <si>
    <t xml:space="preserve">Upon evidence from the performance framework, quarterly reports, notice of concerns, and investigation and review, the Commission identifies significant financial risk such that heightened monitoring and/or intervention are warranted. </t>
  </si>
  <si>
    <t>May</t>
  </si>
  <si>
    <t>Aug</t>
  </si>
  <si>
    <t>Sep</t>
  </si>
  <si>
    <t>Oct</t>
  </si>
  <si>
    <t>Nov</t>
  </si>
  <si>
    <t>Dec</t>
  </si>
  <si>
    <t xml:space="preserve">Jan </t>
  </si>
  <si>
    <t>Feb</t>
  </si>
  <si>
    <t>Mar</t>
  </si>
  <si>
    <t>Apr</t>
  </si>
  <si>
    <t>Jun</t>
  </si>
  <si>
    <t>Jul</t>
  </si>
  <si>
    <t>Measure</t>
  </si>
  <si>
    <t>Metric</t>
  </si>
  <si>
    <t>Montly Progress Notes</t>
  </si>
  <si>
    <t>Month</t>
  </si>
  <si>
    <t>Notes</t>
  </si>
  <si>
    <t>Current Ratio is greater 
than or equal to 1.0 OR Any concerns have been adequately addressed based on additional information such that the Commission concludes that performance against the standard indicates sound financial viability.</t>
  </si>
  <si>
    <t>1.b.</t>
  </si>
  <si>
    <t>30 Days Cash OR Any concerns have been
adequately addressed based on additional
information such that the Commission
concludes that performance against the
standard indicates sound financial viability.</t>
  </si>
  <si>
    <t>1.c.</t>
  </si>
  <si>
    <t>Stage 1 &amp; 2 (Years 1-2 and year 3 and beyond):</t>
  </si>
  <si>
    <t>Shool is not in default of loan covenant(s) and/or is not delinquent with debt service OR Any concerns have been adequately addressed based on additional information such that the Commission concludes that performance against the standard indicates sound financial viability.</t>
  </si>
  <si>
    <t>2.a.</t>
  </si>
  <si>
    <t>Total Margin and Aggregated Three-year Total Margin – Sustainability
Indicator</t>
  </si>
  <si>
    <t>2.b.</t>
  </si>
  <si>
    <t>Debt to Asset Ratio is less than 0.90 OR Any concerns have been
adequately addressed based on additional
information such that the Commission
concludes that performance against the
standard indicates sound financial viability.</t>
  </si>
  <si>
    <t>Cash Flow – Sustainability Indicator</t>
  </si>
  <si>
    <t>Default – Near Term Indicator</t>
  </si>
  <si>
    <t>Unrestricted Days Cash – Near Term Indicator</t>
  </si>
  <si>
    <t>Current Ratio – Near Term Indicator</t>
  </si>
  <si>
    <t>Debt to Asset Ratio – Sustainability
Indicator</t>
  </si>
  <si>
    <t>2.c.</t>
  </si>
  <si>
    <t>Stage 1 (Years 1):</t>
  </si>
  <si>
    <t>N/A for year 1 (Year 2: Positive one-year Cash Flow)</t>
  </si>
  <si>
    <t>NA</t>
  </si>
  <si>
    <t>Enrollment Variance – Near Term Indicator</t>
  </si>
  <si>
    <t>This measure is informational only</t>
  </si>
  <si>
    <r>
      <rPr>
        <b/>
        <sz val="9"/>
        <color theme="1"/>
        <rFont val="Nirmala UI"/>
        <family val="2"/>
      </rPr>
      <t xml:space="preserve">Definition </t>
    </r>
    <r>
      <rPr>
        <sz val="9"/>
        <color theme="1"/>
        <rFont val="Nirmala UI"/>
        <family val="2"/>
      </rPr>
      <t xml:space="preserve">
Enrollment variance indicates whether or not the school is meeting its enrollment projections.  As enrollment is a key driver of revenue, variance is important to track the sufficiency of revenues generated to fund ongoing operations. 
</t>
    </r>
    <r>
      <rPr>
        <b/>
        <sz val="9"/>
        <color theme="1"/>
        <rFont val="Nirmala UI"/>
        <family val="2"/>
      </rPr>
      <t xml:space="preserve">Overview </t>
    </r>
    <r>
      <rPr>
        <sz val="9"/>
        <color theme="1"/>
        <rFont val="Nirmala UI"/>
        <family val="2"/>
      </rPr>
      <t xml:space="preserve">
The enrollment variance depicts actual versus projected enrollment.  A school budgets based on projected enrollment but is funded based on actual enrollment; therefore, a school that does not meet its enrollment targets may not be able to meet its budgeted expenses.  In the State of Washington, charter schools in their first year of operations receive funds based on their projected enrollment, meaning that schools that have not met enrollment targets may be able to operate smoothly through their first year without budget adjustments.  However, schools must reconcile with OSPI and repay any overpayments from the school’s first year of operation during its second year; thus, if a school misses enrollment targets in the first year, it is important that the school modify its budget appropriately in year 1 to avoid having a significant shortfall in year 2 or subsequent years.  The consequences of missing enrollment targets and the associated impact on a school’s budget are delayed for new schools, but budgetary adjustments should not be delayed. 
Though enrollment is not the singular driver of revenues for a school, it is highly correlated at a minimum.  As school budgets are generally designed to match expenses with projected revenues, a poor enrollment variance is a substantial indicator of potential financial issues.   
Schools less than five years old may have greater fluctuations in their enrollment because they have not yet established themselves in the community.  However, mature schools with large, unexplained fluctuations in enrollment may be in financial distress if they are not able to adjust accordingly.  Often, financially stable schools will purposefully underestimate enrollment so that they may budget more conservatively. </t>
    </r>
  </si>
  <si>
    <t xml:space="preserve">All Years: (meets) enrollment Variance equals or exceeds 95%, if not appropriate budget modifications have been made. </t>
  </si>
  <si>
    <t>Variance (2021-22)</t>
  </si>
  <si>
    <t>Epicenter upload</t>
  </si>
  <si>
    <t>Due Date</t>
  </si>
  <si>
    <t>Submitted?</t>
  </si>
  <si>
    <t>YES</t>
  </si>
  <si>
    <t>Financial Audit Letter of Engagement</t>
  </si>
  <si>
    <t>Fourth Fiscal Quarter Financial Report</t>
  </si>
  <si>
    <t>F-196 Form</t>
  </si>
  <si>
    <t>First Fiscal Quarter Financial Report</t>
  </si>
  <si>
    <t>-------------------  NONE  -------------------</t>
  </si>
  <si>
    <t>Independent Audit Report</t>
  </si>
  <si>
    <t>Second Fiscal Quarter Financial Report</t>
  </si>
  <si>
    <t>F-203, F-195, F-195F Forms</t>
  </si>
  <si>
    <t>Proposed Annual Budget</t>
  </si>
  <si>
    <t>Third Fiscal Quarter Financial Report</t>
  </si>
  <si>
    <t>Annual Budget Publication</t>
  </si>
  <si>
    <t>Board Approved Budget</t>
  </si>
  <si>
    <t>TOTAL LIABILITIES AND EQUITY</t>
  </si>
  <si>
    <t xml:space="preserve">   Total Equity</t>
  </si>
  <si>
    <t xml:space="preserve">      Net Revenue</t>
  </si>
  <si>
    <t xml:space="preserve">      2999 Restricted Net Assets</t>
  </si>
  <si>
    <t xml:space="preserve">      2998 Unrestricted Net Assets</t>
  </si>
  <si>
    <t xml:space="preserve">   Equity</t>
  </si>
  <si>
    <t xml:space="preserve">   Total Liabilities</t>
  </si>
  <si>
    <t xml:space="preserve">      Total Long-Term Liabilities</t>
  </si>
  <si>
    <t xml:space="preserve">         2501 Construction Loan Payable</t>
  </si>
  <si>
    <t xml:space="preserve">      Long-Term Liabilities</t>
  </si>
  <si>
    <t xml:space="preserve">      Total Current Liabilities</t>
  </si>
  <si>
    <t xml:space="preserve">         Total Other Current Liabilities</t>
  </si>
  <si>
    <t xml:space="preserve">            2171 Use Tax Payable</t>
  </si>
  <si>
    <t xml:space="preserve">            2158 LTD Payable</t>
  </si>
  <si>
    <t xml:space="preserve">            2156 Health Insurance Payable - SEBB</t>
  </si>
  <si>
    <t xml:space="preserve">            2155 Retirement Payable - DRS</t>
  </si>
  <si>
    <t xml:space="preserve">            2101 Accrued Accounts &amp; Payroll Payable</t>
  </si>
  <si>
    <t xml:space="preserve">         Other Current Liabilities</t>
  </si>
  <si>
    <t xml:space="preserve">         Total Accounts Payable</t>
  </si>
  <si>
    <t xml:space="preserve">            2100 Accounts Payable</t>
  </si>
  <si>
    <t xml:space="preserve">         Accounts Payable</t>
  </si>
  <si>
    <t xml:space="preserve">      Current Liabilities</t>
  </si>
  <si>
    <t xml:space="preserve">   Liabilities</t>
  </si>
  <si>
    <t>LIABILITIES AND EQUITY</t>
  </si>
  <si>
    <t>TOTAL ASSETS</t>
  </si>
  <si>
    <t xml:space="preserve">   Total Fixed Assets</t>
  </si>
  <si>
    <t xml:space="preserve">      1510 Facilities - In Progress</t>
  </si>
  <si>
    <t xml:space="preserve">      1504 Fixed Assets-Furniture, Fixtures &amp; Other</t>
  </si>
  <si>
    <t xml:space="preserve">      1503 Fixed Assets-Leasehold Improvements</t>
  </si>
  <si>
    <t xml:space="preserve">      1501 Fixed Assets-Capitalized Equipment</t>
  </si>
  <si>
    <t xml:space="preserve">   Fixed Assets</t>
  </si>
  <si>
    <t xml:space="preserve">   Total Current Assets</t>
  </si>
  <si>
    <t xml:space="preserve">      Total Other Current Assets</t>
  </si>
  <si>
    <t xml:space="preserve">         1150 Prepaids &amp; Other Assets</t>
  </si>
  <si>
    <t xml:space="preserve">      Other Current Assets</t>
  </si>
  <si>
    <t xml:space="preserve">      Total Accounts Receivable</t>
  </si>
  <si>
    <t xml:space="preserve">         1100 Accounts Receivable (A/R)</t>
  </si>
  <si>
    <t xml:space="preserve">      Accounts Receivable</t>
  </si>
  <si>
    <t xml:space="preserve">      Total Bank Accounts</t>
  </si>
  <si>
    <t xml:space="preserve">         1005 Banner Bank x3234 - PUBLIC Savings</t>
  </si>
  <si>
    <t xml:space="preserve">         1001 Banner Bank x4695 - PRIVATE Checking</t>
  </si>
  <si>
    <t xml:space="preserve">         1000 Banner Bank x4353 - PUBLIC Checking</t>
  </si>
  <si>
    <t xml:space="preserve">      Bank Accounts</t>
  </si>
  <si>
    <t xml:space="preserve">   Current Assets</t>
  </si>
  <si>
    <t>ASSETS</t>
  </si>
  <si>
    <t>Balance Sheet</t>
  </si>
  <si>
    <t>Pullman Community Montessori</t>
  </si>
  <si>
    <t>Total Expenses</t>
  </si>
  <si>
    <t>Met</t>
  </si>
  <si>
    <t>Projected to meet</t>
  </si>
  <si>
    <t>Actual</t>
  </si>
  <si>
    <t>Forecast</t>
  </si>
  <si>
    <t>September</t>
  </si>
  <si>
    <t>October</t>
  </si>
  <si>
    <t>November</t>
  </si>
  <si>
    <t>December</t>
  </si>
  <si>
    <t>January</t>
  </si>
  <si>
    <t>February</t>
  </si>
  <si>
    <t>March</t>
  </si>
  <si>
    <t>April</t>
  </si>
  <si>
    <t>June</t>
  </si>
  <si>
    <t>July</t>
  </si>
  <si>
    <t>August</t>
  </si>
  <si>
    <t>Beginning Cash</t>
  </si>
  <si>
    <t>Ending Cash</t>
  </si>
  <si>
    <t xml:space="preserve">      1550 Accumulated Depreciation</t>
  </si>
  <si>
    <t>Sep 2022</t>
  </si>
  <si>
    <t>Oct 2022</t>
  </si>
  <si>
    <t>Nov 2022</t>
  </si>
  <si>
    <t>Dec 2022</t>
  </si>
  <si>
    <t>Jan 2023</t>
  </si>
  <si>
    <t xml:space="preserve">         2510 Deferred Rent Liability</t>
  </si>
  <si>
    <t>Total Margin must be positive both years OR Any concerns have been
adequately addressed based on additional
information such that the Commission
concludes that performance against the
standard indicates sound financial viability.</t>
  </si>
  <si>
    <t>Year 1 Margin</t>
  </si>
  <si>
    <t xml:space="preserve">GASB audit </t>
  </si>
  <si>
    <t>FASB PnL</t>
  </si>
  <si>
    <t>Not projected to meet</t>
  </si>
  <si>
    <t>FY22</t>
  </si>
  <si>
    <t>FY23</t>
  </si>
  <si>
    <t>Did not meet</t>
  </si>
  <si>
    <t>Year 0 End Cash</t>
  </si>
  <si>
    <t>Year 1 End Cash</t>
  </si>
  <si>
    <t>N/A</t>
  </si>
  <si>
    <t>Year 2 End Cash</t>
  </si>
  <si>
    <t xml:space="preserve">            2202 Loan Payable - short-term</t>
  </si>
  <si>
    <t>As of March 31, 2023</t>
  </si>
  <si>
    <t>Feb 2023</t>
  </si>
  <si>
    <t>Mar 2023</t>
  </si>
  <si>
    <t>Monday, Apr 17, 2023 11:59:08 AM GMT-7 - Accrual Basis</t>
  </si>
  <si>
    <t>Increase / (Decrease)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</si>
</sst>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1" formatCode="_(* #,##0_);_(* \(#,##0\);_(* &quot;-&quot;_);_(@_)"/>
    <numFmt numFmtId="44" formatCode="_(&quot;$&quot;* #,##0.00_);_(&quot;$&quot;* \(#,##0.00\);_(&quot;$&quot;* &quot;-&quot;??_);_(@_)"/>
    <numFmt numFmtId="43" formatCode="_(* #,##0.00_);_(* \(#,##0.00\);_(* &quot;-&quot;??_);_(@_)"/>
    <numFmt numFmtId="164" formatCode="mm/dd"/>
    <numFmt numFmtId="165" formatCode="m/d"/>
    <numFmt numFmtId="166" formatCode="#,##0.00\ _€"/>
    <numFmt numFmtId="167" formatCode="&quot;$&quot;* #,##0.00\ _€"/>
    <numFmt numFmtId="168" formatCode="&quot;$&quot;#,##0"/>
  </numFmts>
  <fonts count="18" x14ac:knownFonts="1">
    <font>
      <sz val="11"/>
      <color theme="1"/>
      <name val="Calibri"/>
      <family val="2"/>
      <scheme val="minor"/>
    </font>
    <font>
      <sz val="12"/>
      <color theme="1"/>
      <name val="Nirmala UI"/>
      <family val="2"/>
    </font>
    <font>
      <b/>
      <sz val="12"/>
      <color theme="1"/>
      <name val="Nirmala UI"/>
      <family val="2"/>
    </font>
    <font>
      <u/>
      <sz val="11"/>
      <color theme="10"/>
      <name val="Calibri"/>
      <family val="2"/>
      <scheme val="minor"/>
    </font>
    <font>
      <sz val="9"/>
      <color theme="1"/>
      <name val="Nirmala UI"/>
      <family val="2"/>
    </font>
    <font>
      <b/>
      <sz val="9"/>
      <color theme="1"/>
      <name val="Nirmala UI"/>
      <family val="2"/>
    </font>
    <font>
      <b/>
      <sz val="18"/>
      <color theme="1"/>
      <name val="Nirmala UI"/>
      <family val="2"/>
    </font>
    <font>
      <b/>
      <sz val="12"/>
      <color theme="1"/>
      <name val="Arial"/>
      <family val="2"/>
    </font>
    <font>
      <sz val="10"/>
      <color theme="1"/>
      <name val="Arial"/>
      <family val="2"/>
    </font>
    <font>
      <sz val="10"/>
      <name val="Arial"/>
      <family val="2"/>
    </font>
    <font>
      <sz val="11"/>
      <color theme="1"/>
      <name val="Calibri"/>
      <family val="2"/>
      <scheme val="minor"/>
    </font>
    <font>
      <sz val="11"/>
      <color indexed="8"/>
      <name val="Calibri"/>
      <family val="2"/>
      <scheme val="minor"/>
    </font>
    <font>
      <sz val="11"/>
      <name val="Calibri"/>
      <family val="2"/>
      <scheme val="minor"/>
    </font>
    <font>
      <b/>
      <sz val="14"/>
      <color indexed="8"/>
      <name val="Arial"/>
      <family val="2"/>
    </font>
    <font>
      <b/>
      <sz val="10"/>
      <color indexed="8"/>
      <name val="Arial"/>
      <family val="2"/>
    </font>
    <font>
      <b/>
      <sz val="9"/>
      <color indexed="8"/>
      <name val="Arial"/>
      <family val="2"/>
    </font>
    <font>
      <b/>
      <sz val="8"/>
      <color indexed="8"/>
      <name val="Arial"/>
      <family val="2"/>
    </font>
    <font>
      <sz val="8"/>
      <color indexed="8"/>
      <name val="Arial"/>
      <family val="2"/>
    </font>
  </fonts>
  <fills count="16">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tint="-0.34998626667073579"/>
        <bgColor rgb="FFEFEFEF"/>
      </patternFill>
    </fill>
    <fill>
      <patternFill patternType="solid">
        <fgColor theme="0" tint="-0.34998626667073579"/>
        <bgColor rgb="FF00FF00"/>
      </patternFill>
    </fill>
    <fill>
      <patternFill patternType="solid">
        <fgColor rgb="FFEFEFEF"/>
        <bgColor rgb="FFEFEFEF"/>
      </patternFill>
    </fill>
    <fill>
      <patternFill patternType="solid">
        <fgColor rgb="FF00FF00"/>
        <bgColor rgb="FF00FF00"/>
      </patternFill>
    </fill>
    <fill>
      <patternFill patternType="solid">
        <fgColor theme="0" tint="-0.34998626667073579"/>
        <bgColor indexed="64"/>
      </patternFill>
    </fill>
    <fill>
      <patternFill patternType="solid">
        <fgColor rgb="FFF4CCCC"/>
        <bgColor rgb="FFF4CCCC"/>
      </patternFill>
    </fill>
    <fill>
      <patternFill patternType="solid">
        <fgColor rgb="FF66FF33"/>
        <bgColor rgb="FFEFEFEF"/>
      </patternFill>
    </fill>
    <fill>
      <patternFill patternType="solid">
        <fgColor indexed="6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0000"/>
        <bgColor indexed="64"/>
      </patternFill>
    </fill>
  </fills>
  <borders count="29">
    <border>
      <left/>
      <right/>
      <top/>
      <bottom/>
      <diagonal/>
    </border>
    <border>
      <left style="hair">
        <color theme="2" tint="-0.749961851863155"/>
      </left>
      <right style="hair">
        <color theme="2" tint="-0.749961851863155"/>
      </right>
      <top style="hair">
        <color theme="2" tint="-0.749961851863155"/>
      </top>
      <bottom style="hair">
        <color theme="2" tint="-0.749961851863155"/>
      </bottom>
      <diagonal/>
    </border>
    <border>
      <left style="thin">
        <color indexed="64"/>
      </left>
      <right style="thin">
        <color indexed="64"/>
      </right>
      <top style="thin">
        <color indexed="64"/>
      </top>
      <bottom style="thin">
        <color indexed="64"/>
      </bottom>
      <diagonal/>
    </border>
    <border>
      <left style="hair">
        <color theme="2" tint="-0.749961851863155"/>
      </left>
      <right style="hair">
        <color theme="2" tint="-0.749961851863155"/>
      </right>
      <top/>
      <bottom style="hair">
        <color theme="2" tint="-0.749961851863155"/>
      </bottom>
      <diagonal/>
    </border>
    <border>
      <left style="hair">
        <color theme="2" tint="-0.749961851863155"/>
      </left>
      <right style="thin">
        <color indexed="64"/>
      </right>
      <top/>
      <bottom style="hair">
        <color theme="2" tint="-0.749961851863155"/>
      </bottom>
      <diagonal/>
    </border>
    <border>
      <left style="hair">
        <color theme="2" tint="-0.749961851863155"/>
      </left>
      <right style="thin">
        <color indexed="64"/>
      </right>
      <top style="hair">
        <color theme="2" tint="-0.749961851863155"/>
      </top>
      <bottom style="hair">
        <color theme="2" tint="-0.749961851863155"/>
      </bottom>
      <diagonal/>
    </border>
    <border>
      <left style="hair">
        <color theme="2" tint="-0.749961851863155"/>
      </left>
      <right style="hair">
        <color theme="2" tint="-0.749961851863155"/>
      </right>
      <top style="hair">
        <color theme="2" tint="-0.749961851863155"/>
      </top>
      <bottom style="thin">
        <color indexed="64"/>
      </bottom>
      <diagonal/>
    </border>
    <border>
      <left/>
      <right style="thin">
        <color indexed="64"/>
      </right>
      <top style="thin">
        <color indexed="64"/>
      </top>
      <bottom style="thin">
        <color indexed="64"/>
      </bottom>
      <diagonal/>
    </border>
    <border>
      <left/>
      <right style="hair">
        <color theme="2" tint="-0.749961851863155"/>
      </right>
      <top/>
      <bottom style="hair">
        <color theme="2" tint="-0.749961851863155"/>
      </bottom>
      <diagonal/>
    </border>
    <border>
      <left/>
      <right style="hair">
        <color theme="2" tint="-0.749961851863155"/>
      </right>
      <top style="hair">
        <color theme="2" tint="-0.749961851863155"/>
      </top>
      <bottom style="hair">
        <color theme="2" tint="-0.749961851863155"/>
      </bottom>
      <diagonal/>
    </border>
    <border>
      <left/>
      <right style="hair">
        <color theme="2" tint="-0.749961851863155"/>
      </right>
      <top style="hair">
        <color theme="2" tint="-0.749961851863155"/>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theme="2" tint="-0.749961851863155"/>
      </right>
      <top style="thin">
        <color indexed="64"/>
      </top>
      <bottom/>
      <diagonal/>
    </border>
    <border>
      <left/>
      <right style="hair">
        <color theme="2" tint="-0.749961851863155"/>
      </right>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auto="1"/>
      </top>
      <bottom/>
      <diagonal/>
    </border>
    <border>
      <left/>
      <right/>
      <top/>
      <bottom style="thin">
        <color auto="1"/>
      </bottom>
      <diagonal/>
    </border>
    <border>
      <left/>
      <right style="hair">
        <color theme="2" tint="-0.749961851863155"/>
      </right>
      <top style="hair">
        <color theme="2" tint="-0.749961851863155"/>
      </top>
      <bottom/>
      <diagonal/>
    </border>
    <border>
      <left style="hair">
        <color theme="2" tint="-0.749961851863155"/>
      </left>
      <right style="hair">
        <color theme="2" tint="-0.749961851863155"/>
      </right>
      <top style="hair">
        <color theme="2" tint="-0.749961851863155"/>
      </top>
      <bottom/>
      <diagonal/>
    </border>
    <border>
      <left style="thin">
        <color auto="1"/>
      </left>
      <right style="thin">
        <color auto="1"/>
      </right>
      <top style="thin">
        <color auto="1"/>
      </top>
      <bottom/>
      <diagonal/>
    </border>
  </borders>
  <cellStyleXfs count="7">
    <xf numFmtId="0" fontId="0" fillId="0" borderId="0"/>
    <xf numFmtId="0" fontId="3" fillId="0" borderId="0" applyNumberForma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1" fillId="0" borderId="0"/>
    <xf numFmtId="0" fontId="9" fillId="0" borderId="0"/>
  </cellStyleXfs>
  <cellXfs count="101">
    <xf numFmtId="0" fontId="0" fillId="0" borderId="0" xfId="0"/>
    <xf numFmtId="0" fontId="1" fillId="0" borderId="0" xfId="0" applyFont="1"/>
    <xf numFmtId="0" fontId="2" fillId="0" borderId="0" xfId="0" applyFont="1"/>
    <xf numFmtId="0" fontId="3" fillId="0" borderId="0" xfId="1"/>
    <xf numFmtId="0" fontId="1" fillId="0" borderId="0" xfId="0" applyFont="1" applyAlignment="1">
      <alignment horizontal="left"/>
    </xf>
    <xf numFmtId="0" fontId="1" fillId="0" borderId="0" xfId="0" applyFont="1" applyAlignment="1">
      <alignment horizontal="left" vertical="top"/>
    </xf>
    <xf numFmtId="0" fontId="1" fillId="0" borderId="1" xfId="0" applyFont="1" applyBorder="1" applyAlignment="1">
      <alignment horizontal="left" vertical="top"/>
    </xf>
    <xf numFmtId="0" fontId="1" fillId="0" borderId="1" xfId="0" applyFont="1" applyBorder="1"/>
    <xf numFmtId="0" fontId="1" fillId="0" borderId="3" xfId="0" applyFont="1" applyBorder="1" applyAlignment="1">
      <alignment horizontal="left" vertical="top"/>
    </xf>
    <xf numFmtId="0" fontId="1" fillId="0" borderId="6" xfId="0" applyFont="1" applyBorder="1"/>
    <xf numFmtId="0" fontId="2" fillId="3" borderId="2" xfId="0" applyFont="1" applyFill="1" applyBorder="1" applyAlignment="1">
      <alignment horizontal="center"/>
    </xf>
    <xf numFmtId="0" fontId="2" fillId="3" borderId="7" xfId="0" applyFont="1" applyFill="1" applyBorder="1" applyAlignment="1">
      <alignment horizontal="center"/>
    </xf>
    <xf numFmtId="0" fontId="2" fillId="3" borderId="2" xfId="0" applyFont="1" applyFill="1" applyBorder="1" applyAlignment="1">
      <alignment horizontal="left" wrapText="1"/>
    </xf>
    <xf numFmtId="0" fontId="7" fillId="0" borderId="20" xfId="0" applyFont="1" applyBorder="1" applyAlignment="1">
      <alignment horizontal="center"/>
    </xf>
    <xf numFmtId="164" fontId="8" fillId="5" borderId="20" xfId="0" applyNumberFormat="1" applyFont="1" applyFill="1" applyBorder="1" applyAlignment="1">
      <alignment horizontal="center"/>
    </xf>
    <xf numFmtId="0" fontId="8" fillId="6" borderId="20" xfId="0" applyFont="1" applyFill="1" applyBorder="1" applyAlignment="1">
      <alignment horizontal="center"/>
    </xf>
    <xf numFmtId="164" fontId="8" fillId="7" borderId="20" xfId="0" applyNumberFormat="1" applyFont="1" applyFill="1" applyBorder="1" applyAlignment="1">
      <alignment horizontal="center"/>
    </xf>
    <xf numFmtId="0" fontId="8" fillId="8" borderId="20" xfId="0" applyFont="1" applyFill="1" applyBorder="1" applyAlignment="1">
      <alignment horizontal="center"/>
    </xf>
    <xf numFmtId="164" fontId="8" fillId="9" borderId="20" xfId="0" applyNumberFormat="1" applyFont="1" applyFill="1" applyBorder="1" applyAlignment="1">
      <alignment horizontal="center"/>
    </xf>
    <xf numFmtId="165" fontId="8" fillId="0" borderId="20" xfId="0" applyNumberFormat="1" applyFont="1" applyBorder="1" applyAlignment="1">
      <alignment horizontal="center"/>
    </xf>
    <xf numFmtId="164" fontId="8" fillId="11" borderId="20" xfId="0" applyNumberFormat="1" applyFont="1" applyFill="1" applyBorder="1" applyAlignment="1">
      <alignment horizontal="center"/>
    </xf>
    <xf numFmtId="164" fontId="8" fillId="0" borderId="20" xfId="0" applyNumberFormat="1" applyFont="1" applyBorder="1" applyAlignment="1">
      <alignment horizontal="center"/>
    </xf>
    <xf numFmtId="0" fontId="7" fillId="0" borderId="20" xfId="0" applyFont="1" applyBorder="1" applyAlignment="1">
      <alignment wrapText="1"/>
    </xf>
    <xf numFmtId="0" fontId="8" fillId="5" borderId="20" xfId="0" applyFont="1" applyFill="1" applyBorder="1" applyAlignment="1">
      <alignment wrapText="1"/>
    </xf>
    <xf numFmtId="0" fontId="8" fillId="7" borderId="20" xfId="0" applyFont="1" applyFill="1" applyBorder="1" applyAlignment="1">
      <alignment wrapText="1"/>
    </xf>
    <xf numFmtId="0" fontId="8" fillId="9" borderId="20" xfId="0" applyFont="1" applyFill="1" applyBorder="1" applyAlignment="1">
      <alignment wrapText="1"/>
    </xf>
    <xf numFmtId="0" fontId="8" fillId="0" borderId="20" xfId="0" applyFont="1" applyBorder="1" applyAlignment="1">
      <alignment wrapText="1"/>
    </xf>
    <xf numFmtId="0" fontId="0" fillId="0" borderId="0" xfId="0" applyAlignment="1">
      <alignment wrapText="1"/>
    </xf>
    <xf numFmtId="0" fontId="11" fillId="0" borderId="0" xfId="5"/>
    <xf numFmtId="44" fontId="1" fillId="0" borderId="0" xfId="3" applyFont="1"/>
    <xf numFmtId="0" fontId="1" fillId="0" borderId="27" xfId="0" applyFont="1" applyBorder="1"/>
    <xf numFmtId="9" fontId="1" fillId="4" borderId="4" xfId="4" applyFont="1" applyFill="1" applyBorder="1" applyAlignment="1">
      <alignment horizontal="left" vertical="top"/>
    </xf>
    <xf numFmtId="43" fontId="1" fillId="2" borderId="5" xfId="2" applyFont="1" applyFill="1" applyBorder="1" applyAlignment="1">
      <alignment horizontal="center"/>
    </xf>
    <xf numFmtId="0" fontId="1" fillId="2" borderId="4" xfId="0" applyFont="1" applyFill="1" applyBorder="1" applyAlignment="1">
      <alignment horizontal="center" vertical="top"/>
    </xf>
    <xf numFmtId="43" fontId="1" fillId="2" borderId="4" xfId="2" applyFont="1" applyFill="1" applyBorder="1" applyAlignment="1">
      <alignment horizontal="center" vertical="top"/>
    </xf>
    <xf numFmtId="43" fontId="1" fillId="4" borderId="5" xfId="2" applyFont="1" applyFill="1" applyBorder="1" applyAlignment="1">
      <alignment horizontal="center"/>
    </xf>
    <xf numFmtId="9" fontId="1" fillId="2" borderId="4" xfId="4" applyFont="1" applyFill="1" applyBorder="1" applyAlignment="1">
      <alignment horizontal="left" vertical="top"/>
    </xf>
    <xf numFmtId="41" fontId="12" fillId="12" borderId="28" xfId="6" applyNumberFormat="1" applyFont="1" applyFill="1" applyBorder="1" applyAlignment="1" applyProtection="1">
      <alignment horizontal="center" wrapText="1"/>
      <protection hidden="1"/>
    </xf>
    <xf numFmtId="0" fontId="0" fillId="0" borderId="2" xfId="0" applyBorder="1"/>
    <xf numFmtId="168" fontId="0" fillId="0" borderId="0" xfId="0" applyNumberFormat="1"/>
    <xf numFmtId="0" fontId="0" fillId="13" borderId="2" xfId="0" applyFill="1" applyBorder="1" applyAlignment="1">
      <alignment horizontal="center"/>
    </xf>
    <xf numFmtId="168" fontId="0" fillId="13" borderId="2" xfId="0" applyNumberFormat="1" applyFill="1" applyBorder="1"/>
    <xf numFmtId="0" fontId="0" fillId="14" borderId="2" xfId="0" applyFill="1" applyBorder="1" applyAlignment="1">
      <alignment horizontal="center"/>
    </xf>
    <xf numFmtId="168" fontId="0" fillId="14" borderId="2" xfId="3" applyNumberFormat="1" applyFont="1" applyFill="1" applyBorder="1"/>
    <xf numFmtId="168" fontId="0" fillId="14" borderId="2" xfId="0" applyNumberFormat="1" applyFill="1" applyBorder="1"/>
    <xf numFmtId="0" fontId="15" fillId="0" borderId="25" xfId="0" applyFont="1" applyBorder="1" applyAlignment="1">
      <alignment horizontal="center" wrapText="1"/>
    </xf>
    <xf numFmtId="0" fontId="16" fillId="0" borderId="0" xfId="0" applyFont="1" applyAlignment="1">
      <alignment horizontal="left" wrapText="1"/>
    </xf>
    <xf numFmtId="166" fontId="17" fillId="0" borderId="0" xfId="0" applyNumberFormat="1" applyFont="1" applyAlignment="1">
      <alignment wrapText="1"/>
    </xf>
    <xf numFmtId="166" fontId="17" fillId="0" borderId="0" xfId="0" applyNumberFormat="1" applyFont="1" applyAlignment="1">
      <alignment horizontal="right" wrapText="1"/>
    </xf>
    <xf numFmtId="167" fontId="16" fillId="0" borderId="24" xfId="0" applyNumberFormat="1" applyFont="1" applyBorder="1" applyAlignment="1">
      <alignment horizontal="right" wrapText="1"/>
    </xf>
    <xf numFmtId="43" fontId="1" fillId="15" borderId="5" xfId="2" applyFont="1" applyFill="1" applyBorder="1" applyAlignment="1">
      <alignment horizontal="center"/>
    </xf>
    <xf numFmtId="3" fontId="1" fillId="0" borderId="0" xfId="0" applyNumberFormat="1" applyFont="1"/>
    <xf numFmtId="0" fontId="1" fillId="15" borderId="5" xfId="0" applyFont="1" applyFill="1" applyBorder="1" applyAlignment="1">
      <alignment horizontal="center"/>
    </xf>
    <xf numFmtId="43" fontId="1" fillId="4" borderId="4" xfId="2" applyFont="1" applyFill="1" applyBorder="1" applyAlignment="1">
      <alignment horizontal="center" vertical="top"/>
    </xf>
    <xf numFmtId="0" fontId="1" fillId="0" borderId="3" xfId="0" applyFont="1" applyBorder="1" applyAlignment="1">
      <alignment horizontal="center" vertical="center"/>
    </xf>
    <xf numFmtId="0" fontId="1" fillId="0" borderId="1" xfId="0" applyFont="1" applyBorder="1" applyAlignment="1">
      <alignment horizontal="center" vertical="center"/>
    </xf>
    <xf numFmtId="8" fontId="1" fillId="0" borderId="0" xfId="0" applyNumberFormat="1" applyFont="1"/>
    <xf numFmtId="43" fontId="1" fillId="2" borderId="4" xfId="2" applyFont="1" applyFill="1" applyBorder="1" applyAlignment="1">
      <alignment horizontal="center" vertical="center"/>
    </xf>
    <xf numFmtId="0" fontId="2" fillId="2" borderId="2" xfId="0" applyFont="1" applyFill="1" applyBorder="1" applyAlignment="1">
      <alignment horizontal="center"/>
    </xf>
    <xf numFmtId="0" fontId="1" fillId="0" borderId="0" xfId="0" applyFont="1" applyAlignment="1">
      <alignment horizontal="right"/>
    </xf>
    <xf numFmtId="0" fontId="1" fillId="0" borderId="11" xfId="0" applyFont="1" applyBorder="1" applyAlignment="1">
      <alignment horizontal="right" vertical="top"/>
    </xf>
    <xf numFmtId="0" fontId="1" fillId="0" borderId="14" xfId="0" applyFont="1" applyBorder="1" applyAlignment="1">
      <alignment horizontal="right" vertical="top"/>
    </xf>
    <xf numFmtId="0" fontId="1" fillId="0" borderId="12" xfId="0" applyFont="1" applyBorder="1" applyAlignment="1">
      <alignment horizontal="right" vertical="top"/>
    </xf>
    <xf numFmtId="0" fontId="1" fillId="0" borderId="15" xfId="0" applyFont="1" applyBorder="1" applyAlignment="1">
      <alignment horizontal="right" vertical="top"/>
    </xf>
    <xf numFmtId="0" fontId="1" fillId="0" borderId="13" xfId="0" applyFont="1" applyBorder="1" applyAlignment="1">
      <alignment horizontal="right" vertical="top"/>
    </xf>
    <xf numFmtId="0" fontId="1" fillId="0" borderId="16" xfId="0" applyFont="1" applyBorder="1" applyAlignment="1">
      <alignment horizontal="right" vertical="top"/>
    </xf>
    <xf numFmtId="0" fontId="1" fillId="0" borderId="11" xfId="0" applyFont="1" applyBorder="1" applyAlignment="1">
      <alignment horizontal="right" vertical="top" wrapText="1"/>
    </xf>
    <xf numFmtId="0" fontId="1" fillId="0" borderId="14" xfId="0" applyFont="1" applyBorder="1" applyAlignment="1">
      <alignment horizontal="right" vertical="top" wrapText="1"/>
    </xf>
    <xf numFmtId="0" fontId="1" fillId="0" borderId="12" xfId="0" applyFont="1" applyBorder="1" applyAlignment="1">
      <alignment horizontal="right" vertical="top" wrapText="1"/>
    </xf>
    <xf numFmtId="0" fontId="1" fillId="0" borderId="15" xfId="0" applyFont="1" applyBorder="1" applyAlignment="1">
      <alignment horizontal="right" vertical="top" wrapText="1"/>
    </xf>
    <xf numFmtId="0" fontId="1" fillId="0" borderId="13" xfId="0" applyFont="1" applyBorder="1" applyAlignment="1">
      <alignment horizontal="right" vertical="top" wrapText="1"/>
    </xf>
    <xf numFmtId="0" fontId="1" fillId="0" borderId="16" xfId="0" applyFont="1" applyBorder="1" applyAlignment="1">
      <alignment horizontal="righ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1" fillId="0" borderId="26" xfId="0" applyFont="1" applyBorder="1" applyAlignment="1">
      <alignment horizontal="left" vertical="top" wrapText="1"/>
    </xf>
    <xf numFmtId="0" fontId="1" fillId="0" borderId="10" xfId="0" applyFont="1" applyBorder="1" applyAlignment="1">
      <alignment horizontal="left" vertical="top" wrapText="1"/>
    </xf>
    <xf numFmtId="0" fontId="1" fillId="0" borderId="3" xfId="0" applyFont="1" applyBorder="1" applyAlignment="1">
      <alignment horizontal="left" vertical="top" wrapText="1"/>
    </xf>
    <xf numFmtId="0" fontId="1" fillId="0" borderId="1" xfId="0" applyFont="1" applyBorder="1" applyAlignment="1">
      <alignment horizontal="left" vertical="top" wrapText="1"/>
    </xf>
    <xf numFmtId="0" fontId="1" fillId="0" borderId="27" xfId="0" applyFont="1" applyBorder="1" applyAlignment="1">
      <alignment horizontal="left" vertical="top" wrapText="1"/>
    </xf>
    <xf numFmtId="0" fontId="1" fillId="0" borderId="6" xfId="0" applyFont="1" applyBorder="1" applyAlignment="1">
      <alignment horizontal="left" vertical="top" wrapText="1"/>
    </xf>
    <xf numFmtId="0" fontId="2" fillId="2" borderId="7" xfId="0" applyFont="1" applyFill="1" applyBorder="1" applyAlignment="1">
      <alignment horizontal="center"/>
    </xf>
    <xf numFmtId="0" fontId="6" fillId="0" borderId="0" xfId="0" applyFont="1" applyAlignment="1">
      <alignment horizontal="left"/>
    </xf>
    <xf numFmtId="0" fontId="2" fillId="3" borderId="19" xfId="0" applyFont="1" applyFill="1" applyBorder="1" applyAlignment="1">
      <alignment horizontal="center"/>
    </xf>
    <xf numFmtId="0" fontId="2" fillId="3" borderId="7" xfId="0" applyFont="1" applyFill="1" applyBorder="1" applyAlignment="1">
      <alignment horizontal="center"/>
    </xf>
    <xf numFmtId="0" fontId="4" fillId="0" borderId="11" xfId="0" applyFont="1" applyBorder="1" applyAlignment="1">
      <alignment horizontal="left" vertical="top" wrapText="1"/>
    </xf>
    <xf numFmtId="0" fontId="4" fillId="0" borderId="17" xfId="0" applyFont="1" applyBorder="1" applyAlignment="1">
      <alignment horizontal="left" vertical="top" wrapText="1"/>
    </xf>
    <xf numFmtId="0" fontId="4" fillId="0" borderId="12" xfId="0" applyFont="1" applyBorder="1" applyAlignment="1">
      <alignment horizontal="left" vertical="top" wrapText="1"/>
    </xf>
    <xf numFmtId="0" fontId="4" fillId="0" borderId="18" xfId="0" applyFont="1" applyBorder="1" applyAlignment="1">
      <alignment horizontal="left" vertical="top" wrapText="1"/>
    </xf>
    <xf numFmtId="0" fontId="2" fillId="3" borderId="19" xfId="0" applyFont="1" applyFill="1" applyBorder="1" applyAlignment="1">
      <alignment horizontal="center" wrapText="1"/>
    </xf>
    <xf numFmtId="0" fontId="2" fillId="3" borderId="7" xfId="0" applyFont="1" applyFill="1" applyBorder="1" applyAlignment="1">
      <alignment horizontal="center" wrapText="1"/>
    </xf>
    <xf numFmtId="0" fontId="1" fillId="0" borderId="1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8" xfId="0" applyFont="1" applyBorder="1" applyAlignment="1">
      <alignment horizontal="center" vertical="center" wrapText="1"/>
    </xf>
    <xf numFmtId="0" fontId="13" fillId="0" borderId="0" xfId="0" applyFont="1" applyAlignment="1">
      <alignment horizontal="center"/>
    </xf>
    <xf numFmtId="0" fontId="0" fillId="0" borderId="0" xfId="0"/>
    <xf numFmtId="0" fontId="14" fillId="0" borderId="0" xfId="0" applyFont="1" applyAlignment="1">
      <alignment horizontal="center"/>
    </xf>
    <xf numFmtId="0" fontId="8" fillId="10" borderId="21" xfId="0" applyFont="1" applyFill="1" applyBorder="1" applyAlignment="1">
      <alignment horizontal="center"/>
    </xf>
    <xf numFmtId="0" fontId="9" fillId="0" borderId="22" xfId="0" applyFont="1" applyBorder="1"/>
    <xf numFmtId="0" fontId="9" fillId="0" borderId="23" xfId="0" applyFont="1" applyBorder="1"/>
    <xf numFmtId="0" fontId="17" fillId="0" borderId="0" xfId="0" applyFont="1" applyAlignment="1">
      <alignment horizontal="center"/>
    </xf>
  </cellXfs>
  <cellStyles count="7">
    <cellStyle name="Comma" xfId="2" builtinId="3"/>
    <cellStyle name="Currency" xfId="3" builtinId="4"/>
    <cellStyle name="Hyperlink" xfId="1" builtinId="8"/>
    <cellStyle name="Normal" xfId="0" builtinId="0"/>
    <cellStyle name="Normal 2" xfId="5" xr:uid="{8B20852A-A9D6-490F-A9B0-DEC4FD201FF7}"/>
    <cellStyle name="Normal 3 2 3" xfId="6" xr:uid="{4C4A17FA-BA78-40BB-B298-6CF56533284D}"/>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26670</xdr:colOff>
      <xdr:row>21</xdr:row>
      <xdr:rowOff>3810</xdr:rowOff>
    </xdr:from>
    <xdr:to>
      <xdr:col>1</xdr:col>
      <xdr:colOff>986790</xdr:colOff>
      <xdr:row>23</xdr:row>
      <xdr:rowOff>72602</xdr:rowOff>
    </xdr:to>
    <xdr:pic>
      <xdr:nvPicPr>
        <xdr:cNvPr id="2" name="Picture 1">
          <a:extLst>
            <a:ext uri="{FF2B5EF4-FFF2-40B4-BE49-F238E27FC236}">
              <a16:creationId xmlns:a16="http://schemas.microsoft.com/office/drawing/2014/main" id="{09B6C4B2-0661-4059-8686-89729FFE7113}"/>
            </a:ext>
          </a:extLst>
        </xdr:cNvPr>
        <xdr:cNvPicPr>
          <a:picLocks noChangeAspect="1"/>
        </xdr:cNvPicPr>
      </xdr:nvPicPr>
      <xdr:blipFill rotWithShape="1">
        <a:blip xmlns:r="http://schemas.openxmlformats.org/officeDocument/2006/relationships" r:embed="rId1"/>
        <a:srcRect t="-1" r="57992" b="-392"/>
        <a:stretch/>
      </xdr:blipFill>
      <xdr:spPr>
        <a:xfrm>
          <a:off x="26670" y="5696398"/>
          <a:ext cx="1307502" cy="517028"/>
        </a:xfrm>
        <a:prstGeom prst="rect">
          <a:avLst/>
        </a:prstGeom>
      </xdr:spPr>
    </xdr:pic>
    <xdr:clientData/>
  </xdr:twoCellAnchor>
  <xdr:twoCellAnchor editAs="oneCell">
    <xdr:from>
      <xdr:col>0</xdr:col>
      <xdr:colOff>26670</xdr:colOff>
      <xdr:row>23</xdr:row>
      <xdr:rowOff>64770</xdr:rowOff>
    </xdr:from>
    <xdr:to>
      <xdr:col>1</xdr:col>
      <xdr:colOff>1443990</xdr:colOff>
      <xdr:row>25</xdr:row>
      <xdr:rowOff>118972</xdr:rowOff>
    </xdr:to>
    <xdr:pic>
      <xdr:nvPicPr>
        <xdr:cNvPr id="3" name="Picture 2">
          <a:extLst>
            <a:ext uri="{FF2B5EF4-FFF2-40B4-BE49-F238E27FC236}">
              <a16:creationId xmlns:a16="http://schemas.microsoft.com/office/drawing/2014/main" id="{E6BF51F7-5720-445F-8001-5CAF2B10B4D4}"/>
            </a:ext>
          </a:extLst>
        </xdr:cNvPr>
        <xdr:cNvPicPr>
          <a:picLocks noChangeAspect="1"/>
        </xdr:cNvPicPr>
      </xdr:nvPicPr>
      <xdr:blipFill rotWithShape="1">
        <a:blip xmlns:r="http://schemas.openxmlformats.org/officeDocument/2006/relationships" r:embed="rId1"/>
        <a:srcRect l="42556"/>
        <a:stretch/>
      </xdr:blipFill>
      <xdr:spPr>
        <a:xfrm>
          <a:off x="26670" y="6205594"/>
          <a:ext cx="1764702" cy="502437"/>
        </a:xfrm>
        <a:prstGeom prst="rect">
          <a:avLst/>
        </a:prstGeom>
      </xdr:spPr>
    </xdr:pic>
    <xdr:clientData/>
  </xdr:twoCellAnchor>
  <xdr:twoCellAnchor editAs="oneCell">
    <xdr:from>
      <xdr:col>0</xdr:col>
      <xdr:colOff>0</xdr:colOff>
      <xdr:row>44</xdr:row>
      <xdr:rowOff>236667</xdr:rowOff>
    </xdr:from>
    <xdr:to>
      <xdr:col>1</xdr:col>
      <xdr:colOff>1443230</xdr:colOff>
      <xdr:row>44</xdr:row>
      <xdr:rowOff>578895</xdr:rowOff>
    </xdr:to>
    <xdr:pic>
      <xdr:nvPicPr>
        <xdr:cNvPr id="7" name="Picture 6">
          <a:extLst>
            <a:ext uri="{FF2B5EF4-FFF2-40B4-BE49-F238E27FC236}">
              <a16:creationId xmlns:a16="http://schemas.microsoft.com/office/drawing/2014/main" id="{8F04360C-D00D-4CF0-8C93-AC243EDB5AD2}"/>
            </a:ext>
          </a:extLst>
        </xdr:cNvPr>
        <xdr:cNvPicPr>
          <a:picLocks noChangeAspect="1"/>
        </xdr:cNvPicPr>
      </xdr:nvPicPr>
      <xdr:blipFill rotWithShape="1">
        <a:blip xmlns:r="http://schemas.openxmlformats.org/officeDocument/2006/relationships" r:embed="rId2"/>
        <a:srcRect l="44525" t="29313"/>
        <a:stretch/>
      </xdr:blipFill>
      <xdr:spPr>
        <a:xfrm>
          <a:off x="0" y="12170932"/>
          <a:ext cx="1790612" cy="342228"/>
        </a:xfrm>
        <a:prstGeom prst="rect">
          <a:avLst/>
        </a:prstGeom>
      </xdr:spPr>
    </xdr:pic>
    <xdr:clientData/>
  </xdr:twoCellAnchor>
  <xdr:twoCellAnchor editAs="oneCell">
    <xdr:from>
      <xdr:col>0</xdr:col>
      <xdr:colOff>0</xdr:colOff>
      <xdr:row>44</xdr:row>
      <xdr:rowOff>593912</xdr:rowOff>
    </xdr:from>
    <xdr:to>
      <xdr:col>1</xdr:col>
      <xdr:colOff>1443740</xdr:colOff>
      <xdr:row>45</xdr:row>
      <xdr:rowOff>289001</xdr:rowOff>
    </xdr:to>
    <xdr:pic>
      <xdr:nvPicPr>
        <xdr:cNvPr id="8" name="Picture 7">
          <a:extLst>
            <a:ext uri="{FF2B5EF4-FFF2-40B4-BE49-F238E27FC236}">
              <a16:creationId xmlns:a16="http://schemas.microsoft.com/office/drawing/2014/main" id="{11236D72-BE24-4960-B65A-8F1503C3E1E6}"/>
            </a:ext>
          </a:extLst>
        </xdr:cNvPr>
        <xdr:cNvPicPr>
          <a:picLocks noChangeAspect="1"/>
        </xdr:cNvPicPr>
      </xdr:nvPicPr>
      <xdr:blipFill rotWithShape="1">
        <a:blip xmlns:r="http://schemas.openxmlformats.org/officeDocument/2006/relationships" r:embed="rId3"/>
        <a:srcRect r="36504"/>
        <a:stretch/>
      </xdr:blipFill>
      <xdr:spPr>
        <a:xfrm>
          <a:off x="0" y="12528177"/>
          <a:ext cx="1791122" cy="423471"/>
        </a:xfrm>
        <a:prstGeom prst="rect">
          <a:avLst/>
        </a:prstGeom>
      </xdr:spPr>
    </xdr:pic>
    <xdr:clientData/>
  </xdr:twoCellAnchor>
  <xdr:twoCellAnchor editAs="oneCell">
    <xdr:from>
      <xdr:col>1</xdr:col>
      <xdr:colOff>184785</xdr:colOff>
      <xdr:row>45</xdr:row>
      <xdr:rowOff>302560</xdr:rowOff>
    </xdr:from>
    <xdr:to>
      <xdr:col>1</xdr:col>
      <xdr:colOff>1443990</xdr:colOff>
      <xdr:row>45</xdr:row>
      <xdr:rowOff>796701</xdr:rowOff>
    </xdr:to>
    <xdr:pic>
      <xdr:nvPicPr>
        <xdr:cNvPr id="9" name="Picture 8">
          <a:extLst>
            <a:ext uri="{FF2B5EF4-FFF2-40B4-BE49-F238E27FC236}">
              <a16:creationId xmlns:a16="http://schemas.microsoft.com/office/drawing/2014/main" id="{C40F2DEE-1729-4D88-87D4-92EF4B3EE593}"/>
            </a:ext>
          </a:extLst>
        </xdr:cNvPr>
        <xdr:cNvPicPr>
          <a:picLocks noChangeAspect="1"/>
        </xdr:cNvPicPr>
      </xdr:nvPicPr>
      <xdr:blipFill rotWithShape="1">
        <a:blip xmlns:r="http://schemas.openxmlformats.org/officeDocument/2006/relationships" r:embed="rId3"/>
        <a:srcRect l="63565"/>
        <a:stretch/>
      </xdr:blipFill>
      <xdr:spPr>
        <a:xfrm>
          <a:off x="532167" y="12965207"/>
          <a:ext cx="1259205" cy="494141"/>
        </a:xfrm>
        <a:prstGeom prst="rect">
          <a:avLst/>
        </a:prstGeom>
      </xdr:spPr>
    </xdr:pic>
    <xdr:clientData/>
  </xdr:twoCellAnchor>
  <xdr:twoCellAnchor editAs="oneCell">
    <xdr:from>
      <xdr:col>0</xdr:col>
      <xdr:colOff>287655</xdr:colOff>
      <xdr:row>48</xdr:row>
      <xdr:rowOff>3810</xdr:rowOff>
    </xdr:from>
    <xdr:to>
      <xdr:col>1</xdr:col>
      <xdr:colOff>1184105</xdr:colOff>
      <xdr:row>49</xdr:row>
      <xdr:rowOff>110489</xdr:rowOff>
    </xdr:to>
    <xdr:pic>
      <xdr:nvPicPr>
        <xdr:cNvPr id="12" name="Picture 11">
          <a:extLst>
            <a:ext uri="{FF2B5EF4-FFF2-40B4-BE49-F238E27FC236}">
              <a16:creationId xmlns:a16="http://schemas.microsoft.com/office/drawing/2014/main" id="{19CF1F05-23D8-40F8-B126-C1128113F338}"/>
            </a:ext>
          </a:extLst>
        </xdr:cNvPr>
        <xdr:cNvPicPr>
          <a:picLocks noChangeAspect="1"/>
        </xdr:cNvPicPr>
      </xdr:nvPicPr>
      <xdr:blipFill rotWithShape="1">
        <a:blip xmlns:r="http://schemas.openxmlformats.org/officeDocument/2006/relationships" r:embed="rId4"/>
        <a:srcRect r="44399" b="-841"/>
        <a:stretch/>
      </xdr:blipFill>
      <xdr:spPr>
        <a:xfrm>
          <a:off x="287655" y="15725663"/>
          <a:ext cx="1243832" cy="330797"/>
        </a:xfrm>
        <a:prstGeom prst="rect">
          <a:avLst/>
        </a:prstGeom>
      </xdr:spPr>
    </xdr:pic>
    <xdr:clientData/>
  </xdr:twoCellAnchor>
  <xdr:twoCellAnchor editAs="oneCell">
    <xdr:from>
      <xdr:col>0</xdr:col>
      <xdr:colOff>293370</xdr:colOff>
      <xdr:row>49</xdr:row>
      <xdr:rowOff>97155</xdr:rowOff>
    </xdr:from>
    <xdr:to>
      <xdr:col>1</xdr:col>
      <xdr:colOff>1062991</xdr:colOff>
      <xdr:row>51</xdr:row>
      <xdr:rowOff>674</xdr:rowOff>
    </xdr:to>
    <xdr:pic>
      <xdr:nvPicPr>
        <xdr:cNvPr id="13" name="Picture 12">
          <a:extLst>
            <a:ext uri="{FF2B5EF4-FFF2-40B4-BE49-F238E27FC236}">
              <a16:creationId xmlns:a16="http://schemas.microsoft.com/office/drawing/2014/main" id="{CF030463-0E45-495B-A48F-F27B6F194478}"/>
            </a:ext>
          </a:extLst>
        </xdr:cNvPr>
        <xdr:cNvPicPr>
          <a:picLocks noChangeAspect="1"/>
        </xdr:cNvPicPr>
      </xdr:nvPicPr>
      <xdr:blipFill rotWithShape="1">
        <a:blip xmlns:r="http://schemas.openxmlformats.org/officeDocument/2006/relationships" r:embed="rId4"/>
        <a:srcRect l="55508" t="1" b="-415"/>
        <a:stretch/>
      </xdr:blipFill>
      <xdr:spPr>
        <a:xfrm>
          <a:off x="293370" y="16043126"/>
          <a:ext cx="1117003" cy="351754"/>
        </a:xfrm>
        <a:prstGeom prst="rect">
          <a:avLst/>
        </a:prstGeom>
      </xdr:spPr>
    </xdr:pic>
    <xdr:clientData/>
  </xdr:twoCellAnchor>
  <xdr:twoCellAnchor editAs="oneCell">
    <xdr:from>
      <xdr:col>0</xdr:col>
      <xdr:colOff>45048</xdr:colOff>
      <xdr:row>60</xdr:row>
      <xdr:rowOff>313205</xdr:rowOff>
    </xdr:from>
    <xdr:to>
      <xdr:col>2</xdr:col>
      <xdr:colOff>1751928</xdr:colOff>
      <xdr:row>61</xdr:row>
      <xdr:rowOff>365579</xdr:rowOff>
    </xdr:to>
    <xdr:pic>
      <xdr:nvPicPr>
        <xdr:cNvPr id="16" name="Picture 15">
          <a:extLst>
            <a:ext uri="{FF2B5EF4-FFF2-40B4-BE49-F238E27FC236}">
              <a16:creationId xmlns:a16="http://schemas.microsoft.com/office/drawing/2014/main" id="{62ABCEA0-6091-4D6A-88A5-0F4CDA397571}"/>
            </a:ext>
          </a:extLst>
        </xdr:cNvPr>
        <xdr:cNvPicPr>
          <a:picLocks noChangeAspect="1"/>
        </xdr:cNvPicPr>
      </xdr:nvPicPr>
      <xdr:blipFill>
        <a:blip xmlns:r="http://schemas.openxmlformats.org/officeDocument/2006/relationships" r:embed="rId5"/>
        <a:stretch>
          <a:fillRect/>
        </a:stretch>
      </xdr:blipFill>
      <xdr:spPr>
        <a:xfrm>
          <a:off x="45048" y="18096940"/>
          <a:ext cx="3499821" cy="5678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dkielar/Local%20Settings/Temporary%20Internet%20Files/OLK21/Accrued_Inter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1b50fbb4933b1b17/JGP%20Shared%20Folder/Pullman/PCM%20Current%20Budget/JGP%20Workbook%20PCM%2004.11%20-%207%20years%20-%2021-22%20workboo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rued interest Bond"/>
      <sheetName val="Sheet1"/>
      <sheetName val="Bond Amortization1"/>
      <sheetName val="Bond Amortization1 (2)"/>
      <sheetName val="Bond Amortization1 (3)"/>
      <sheetName val="Bond Discount"/>
      <sheetName val="Balance Sheet"/>
      <sheetName val="Bond Closing Costs Amortization"/>
      <sheetName val="Grants"/>
      <sheetName val="AR Grants"/>
      <sheetName val="AR School Districts"/>
      <sheetName val="All"/>
      <sheetName val="Facility"/>
      <sheetName val="Technology"/>
      <sheetName val="Curriculum"/>
      <sheetName val="Salary Accts &amp; Unions"/>
      <sheetName val="Validation Table"/>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5 YR Budget"/>
      <sheetName val="Single School Forecast"/>
      <sheetName val="Master Charter List - SB 6362"/>
      <sheetName val="Standard Inputs - SB 6362"/>
      <sheetName val="Data tables for 2020-21"/>
      <sheetName val="Variable Inputs - SB 6362"/>
      <sheetName val="LEAP"/>
      <sheetName val="Position Control (Staffing)"/>
      <sheetName val="Budget Summary"/>
      <sheetName val="Gladish Proposal"/>
      <sheetName val="Enrollment and Demographics"/>
      <sheetName val="Funding Comparison"/>
      <sheetName val="Assumptions"/>
      <sheetName val="BS Transactions"/>
      <sheetName val="Start-Up Budget - Actual"/>
      <sheetName val="Salary sched"/>
      <sheetName val="Enroll Proj D2 (Slow enroll)"/>
      <sheetName val="Approved Revise"/>
      <sheetName val="CSP Budget"/>
      <sheetName val="Restricted Funding Check"/>
      <sheetName val="CSP Breakdown"/>
      <sheetName val="Transpo"/>
      <sheetName val="Technology"/>
      <sheetName val="Supplies &amp; Furniture (PCM)"/>
      <sheetName val="CURRENT Rent Detail"/>
      <sheetName val="Rent adjustments"/>
      <sheetName val="Enroll Proj D2 (NEW)"/>
      <sheetName val="F-195F"/>
      <sheetName val="CSP RFA Budget-old"/>
      <sheetName val="Financing"/>
      <sheetName val="Contractors &amp; Consultants"/>
      <sheetName val="Position Control - Ideal"/>
      <sheetName val="Cash Flow Y0"/>
      <sheetName val="5 YR Budget COVID"/>
      <sheetName val="Student Teacher Ratio"/>
      <sheetName val="Cumul Cash"/>
      <sheetName val="Classroom Supplies"/>
      <sheetName val="CSP (app)"/>
      <sheetName val="Student Food"/>
      <sheetName val="Furniture"/>
      <sheetName val="Testing"/>
      <sheetName val="Facilities-&gt;"/>
      <sheetName val="Position Lookup"/>
      <sheetName val="CapEx"/>
      <sheetName val="L-Old Facility Detailed (PCM)"/>
      <sheetName val="Gladish Rent Detail - V1"/>
      <sheetName val="Gladish Lease Summary"/>
      <sheetName val="Facility Assumption OLD"/>
      <sheetName val="Room List (Matt)"/>
      <sheetName val="Start-Up Budget - Original"/>
      <sheetName val="21-22 Personnel"/>
      <sheetName val="School Info"/>
      <sheetName val="Prepaids"/>
      <sheetName val="F-195 Pivot"/>
      <sheetName val="F-195 Mapping"/>
      <sheetName val="F-195 Salaries"/>
      <sheetName val="Cash Flow Y1"/>
      <sheetName val="Cash flow dashboard"/>
      <sheetName val="Approved Budget"/>
      <sheetName val="Scenario Planning"/>
      <sheetName val="Cash Flow Y2"/>
      <sheetName val="Cash Flow Y3"/>
      <sheetName val="Cash Flow Y4"/>
      <sheetName val="Cash Flow Y5"/>
      <sheetName val="Assumption Detailed"/>
      <sheetName val="2018-19 Calculation"/>
      <sheetName val="CrossWalk"/>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6">
          <cell r="E36">
            <v>12.516666666666666</v>
          </cell>
          <cell r="F36">
            <v>16.850000000000001</v>
          </cell>
          <cell r="G36">
            <v>21.85</v>
          </cell>
          <cell r="H36">
            <v>26.1</v>
          </cell>
          <cell r="I36">
            <v>32.6</v>
          </cell>
        </row>
      </sheetData>
      <sheetData sheetId="8" refreshError="1"/>
      <sheetData sheetId="9" refreshError="1"/>
      <sheetData sheetId="10">
        <row r="2">
          <cell r="C2" t="str">
            <v>Enrollment</v>
          </cell>
          <cell r="D2" t="str">
            <v>2021-22</v>
          </cell>
          <cell r="E2" t="str">
            <v>2022-23</v>
          </cell>
          <cell r="F2" t="str">
            <v>2023-24</v>
          </cell>
          <cell r="G2" t="str">
            <v>2024-25</v>
          </cell>
          <cell r="H2" t="str">
            <v>2025-26</v>
          </cell>
          <cell r="I2" t="str">
            <v>2026-27</v>
          </cell>
          <cell r="J2" t="str">
            <v>2027-28</v>
          </cell>
          <cell r="K2" t="str">
            <v>2028-29</v>
          </cell>
          <cell r="L2" t="str">
            <v>2029-30</v>
          </cell>
          <cell r="M2" t="str">
            <v>2030-31</v>
          </cell>
        </row>
        <row r="3">
          <cell r="C3" t="str">
            <v>Kindergarten</v>
          </cell>
          <cell r="D3">
            <v>23</v>
          </cell>
          <cell r="E3">
            <v>33</v>
          </cell>
          <cell r="F3">
            <v>33</v>
          </cell>
          <cell r="G3">
            <v>33</v>
          </cell>
          <cell r="H3">
            <v>33</v>
          </cell>
          <cell r="I3">
            <v>33</v>
          </cell>
          <cell r="J3">
            <v>33</v>
          </cell>
          <cell r="K3">
            <v>33</v>
          </cell>
          <cell r="L3">
            <v>33</v>
          </cell>
          <cell r="M3">
            <v>33</v>
          </cell>
        </row>
        <row r="4">
          <cell r="C4" t="str">
            <v>1st Grade</v>
          </cell>
          <cell r="D4">
            <v>9</v>
          </cell>
          <cell r="E4">
            <v>23</v>
          </cell>
          <cell r="F4">
            <v>33</v>
          </cell>
          <cell r="G4">
            <v>41</v>
          </cell>
          <cell r="H4">
            <v>41</v>
          </cell>
          <cell r="I4">
            <v>39</v>
          </cell>
          <cell r="J4">
            <v>41</v>
          </cell>
          <cell r="K4">
            <v>41</v>
          </cell>
          <cell r="L4">
            <v>41</v>
          </cell>
          <cell r="M4">
            <v>41</v>
          </cell>
        </row>
        <row r="5">
          <cell r="C5" t="str">
            <v>2nd Grade</v>
          </cell>
          <cell r="D5">
            <v>11</v>
          </cell>
          <cell r="E5">
            <v>16</v>
          </cell>
          <cell r="F5">
            <v>24</v>
          </cell>
          <cell r="G5">
            <v>31</v>
          </cell>
          <cell r="H5">
            <v>34</v>
          </cell>
          <cell r="I5">
            <v>34</v>
          </cell>
          <cell r="J5">
            <v>34</v>
          </cell>
          <cell r="K5">
            <v>34</v>
          </cell>
          <cell r="L5">
            <v>34</v>
          </cell>
          <cell r="M5">
            <v>34</v>
          </cell>
          <cell r="AI5">
            <v>1</v>
          </cell>
          <cell r="AJ5">
            <v>2</v>
          </cell>
          <cell r="AK5">
            <v>3</v>
          </cell>
          <cell r="AL5">
            <v>4</v>
          </cell>
          <cell r="AM5">
            <v>5</v>
          </cell>
          <cell r="AN5">
            <v>6</v>
          </cell>
          <cell r="AO5">
            <v>7</v>
          </cell>
          <cell r="AP5">
            <v>8</v>
          </cell>
          <cell r="AQ5">
            <v>9</v>
          </cell>
          <cell r="AR5">
            <v>10</v>
          </cell>
          <cell r="AS5">
            <v>11</v>
          </cell>
          <cell r="AT5">
            <v>12</v>
          </cell>
          <cell r="AU5">
            <v>13</v>
          </cell>
        </row>
        <row r="6">
          <cell r="C6" t="str">
            <v>3rd Grade</v>
          </cell>
          <cell r="D6">
            <v>3</v>
          </cell>
          <cell r="E6">
            <v>13</v>
          </cell>
          <cell r="F6">
            <v>18</v>
          </cell>
          <cell r="G6">
            <v>27</v>
          </cell>
          <cell r="H6">
            <v>33</v>
          </cell>
          <cell r="I6">
            <v>34</v>
          </cell>
          <cell r="J6">
            <v>33</v>
          </cell>
          <cell r="K6">
            <v>33</v>
          </cell>
          <cell r="L6">
            <v>33</v>
          </cell>
          <cell r="M6">
            <v>33</v>
          </cell>
          <cell r="AI6">
            <v>2</v>
          </cell>
          <cell r="AJ6" t="str">
            <v>2021</v>
          </cell>
          <cell r="AK6">
            <v>2022</v>
          </cell>
          <cell r="AL6">
            <v>2023</v>
          </cell>
          <cell r="AM6">
            <v>2024</v>
          </cell>
          <cell r="AN6">
            <v>2025</v>
          </cell>
          <cell r="AO6">
            <v>2026</v>
          </cell>
          <cell r="AP6">
            <v>2027</v>
          </cell>
          <cell r="AQ6">
            <v>2028</v>
          </cell>
          <cell r="AR6">
            <v>2029</v>
          </cell>
          <cell r="AS6">
            <v>2030</v>
          </cell>
          <cell r="AT6">
            <v>2031</v>
          </cell>
          <cell r="AU6">
            <v>2032</v>
          </cell>
        </row>
        <row r="7">
          <cell r="C7" t="str">
            <v>4th Grade</v>
          </cell>
          <cell r="D7">
            <v>15</v>
          </cell>
          <cell r="E7">
            <v>7</v>
          </cell>
          <cell r="F7">
            <v>17</v>
          </cell>
          <cell r="G7">
            <v>20</v>
          </cell>
          <cell r="H7">
            <v>24</v>
          </cell>
          <cell r="I7">
            <v>28</v>
          </cell>
          <cell r="J7">
            <v>28</v>
          </cell>
          <cell r="K7">
            <v>28</v>
          </cell>
          <cell r="L7">
            <v>28</v>
          </cell>
          <cell r="M7">
            <v>28</v>
          </cell>
          <cell r="AI7">
            <v>3</v>
          </cell>
          <cell r="AJ7">
            <v>2022</v>
          </cell>
          <cell r="AK7">
            <v>2023</v>
          </cell>
          <cell r="AL7">
            <v>2024</v>
          </cell>
          <cell r="AM7">
            <v>2025</v>
          </cell>
          <cell r="AN7">
            <v>2026</v>
          </cell>
          <cell r="AO7">
            <v>2027</v>
          </cell>
          <cell r="AP7">
            <v>2028</v>
          </cell>
          <cell r="AQ7">
            <v>2029</v>
          </cell>
          <cell r="AR7">
            <v>2030</v>
          </cell>
          <cell r="AS7">
            <v>2031</v>
          </cell>
          <cell r="AT7">
            <v>2032</v>
          </cell>
          <cell r="AU7">
            <v>2033</v>
          </cell>
        </row>
        <row r="8">
          <cell r="C8" t="str">
            <v>5th Grade</v>
          </cell>
          <cell r="D8">
            <v>5</v>
          </cell>
          <cell r="E8">
            <v>16</v>
          </cell>
          <cell r="F8">
            <v>9</v>
          </cell>
          <cell r="G8">
            <v>17</v>
          </cell>
          <cell r="H8">
            <v>23</v>
          </cell>
          <cell r="I8">
            <v>30</v>
          </cell>
          <cell r="J8">
            <v>27</v>
          </cell>
          <cell r="K8">
            <v>27</v>
          </cell>
          <cell r="L8">
            <v>27</v>
          </cell>
          <cell r="M8">
            <v>27</v>
          </cell>
        </row>
        <row r="9">
          <cell r="C9" t="str">
            <v>6th Grade</v>
          </cell>
          <cell r="D9">
            <v>0</v>
          </cell>
          <cell r="E9">
            <v>7</v>
          </cell>
          <cell r="F9">
            <v>16</v>
          </cell>
          <cell r="G9">
            <v>9</v>
          </cell>
          <cell r="H9">
            <v>17</v>
          </cell>
          <cell r="I9">
            <v>22</v>
          </cell>
          <cell r="J9">
            <v>26</v>
          </cell>
          <cell r="K9">
            <v>26</v>
          </cell>
          <cell r="L9">
            <v>26</v>
          </cell>
          <cell r="M9">
            <v>26</v>
          </cell>
        </row>
        <row r="10">
          <cell r="C10" t="str">
            <v>7th Grade</v>
          </cell>
          <cell r="D10">
            <v>0</v>
          </cell>
          <cell r="E10">
            <v>0</v>
          </cell>
          <cell r="F10">
            <v>10</v>
          </cell>
          <cell r="G10">
            <v>16</v>
          </cell>
          <cell r="H10">
            <v>9</v>
          </cell>
          <cell r="I10">
            <v>17</v>
          </cell>
          <cell r="J10">
            <v>22</v>
          </cell>
          <cell r="K10">
            <v>26</v>
          </cell>
          <cell r="L10">
            <v>24</v>
          </cell>
          <cell r="M10">
            <v>24</v>
          </cell>
        </row>
        <row r="11">
          <cell r="C11" t="str">
            <v>8th Grade</v>
          </cell>
          <cell r="D11">
            <v>0</v>
          </cell>
          <cell r="E11">
            <v>0</v>
          </cell>
          <cell r="F11">
            <v>0</v>
          </cell>
          <cell r="G11">
            <v>7</v>
          </cell>
          <cell r="H11">
            <v>16</v>
          </cell>
          <cell r="I11">
            <v>9</v>
          </cell>
          <cell r="J11">
            <v>17</v>
          </cell>
          <cell r="K11">
            <v>22</v>
          </cell>
          <cell r="L11">
            <v>24</v>
          </cell>
          <cell r="M11">
            <v>24</v>
          </cell>
        </row>
        <row r="12">
          <cell r="C12" t="str">
            <v>9th Grade</v>
          </cell>
          <cell r="D12">
            <v>0</v>
          </cell>
          <cell r="E12">
            <v>0</v>
          </cell>
          <cell r="F12">
            <v>0</v>
          </cell>
          <cell r="G12">
            <v>0</v>
          </cell>
          <cell r="H12">
            <v>7</v>
          </cell>
          <cell r="I12">
            <v>16</v>
          </cell>
          <cell r="J12">
            <v>9</v>
          </cell>
          <cell r="K12">
            <v>22</v>
          </cell>
          <cell r="L12">
            <v>22</v>
          </cell>
          <cell r="M12">
            <v>24</v>
          </cell>
        </row>
        <row r="13">
          <cell r="C13" t="str">
            <v>10th Grade</v>
          </cell>
          <cell r="D13">
            <v>0</v>
          </cell>
          <cell r="E13">
            <v>0</v>
          </cell>
          <cell r="F13">
            <v>0</v>
          </cell>
          <cell r="G13">
            <v>0</v>
          </cell>
          <cell r="H13">
            <v>0</v>
          </cell>
          <cell r="I13">
            <v>0</v>
          </cell>
          <cell r="J13">
            <v>0</v>
          </cell>
          <cell r="K13">
            <v>0</v>
          </cell>
          <cell r="L13">
            <v>0</v>
          </cell>
          <cell r="M13">
            <v>0</v>
          </cell>
        </row>
        <row r="14">
          <cell r="C14" t="str">
            <v>11th Grade</v>
          </cell>
          <cell r="D14">
            <v>0</v>
          </cell>
          <cell r="E14">
            <v>0</v>
          </cell>
          <cell r="F14">
            <v>0</v>
          </cell>
          <cell r="G14">
            <v>0</v>
          </cell>
          <cell r="H14">
            <v>0</v>
          </cell>
          <cell r="I14">
            <v>0</v>
          </cell>
          <cell r="J14">
            <v>0</v>
          </cell>
          <cell r="K14">
            <v>0</v>
          </cell>
          <cell r="L14">
            <v>0</v>
          </cell>
          <cell r="M14">
            <v>0</v>
          </cell>
        </row>
        <row r="15">
          <cell r="C15" t="str">
            <v>12th Grade</v>
          </cell>
          <cell r="D15">
            <v>0</v>
          </cell>
          <cell r="E15">
            <v>0</v>
          </cell>
          <cell r="F15">
            <v>0</v>
          </cell>
          <cell r="G15">
            <v>0</v>
          </cell>
          <cell r="H15">
            <v>0</v>
          </cell>
          <cell r="I15">
            <v>0</v>
          </cell>
          <cell r="J15">
            <v>0</v>
          </cell>
          <cell r="K15">
            <v>0</v>
          </cell>
          <cell r="L15">
            <v>0</v>
          </cell>
          <cell r="M15">
            <v>0</v>
          </cell>
        </row>
        <row r="16">
          <cell r="C16" t="str">
            <v>Total Elementary Enrollment</v>
          </cell>
          <cell r="D16">
            <v>66</v>
          </cell>
          <cell r="E16">
            <v>108</v>
          </cell>
          <cell r="F16">
            <v>134</v>
          </cell>
          <cell r="G16">
            <v>169</v>
          </cell>
          <cell r="H16">
            <v>188</v>
          </cell>
          <cell r="I16">
            <v>198</v>
          </cell>
          <cell r="J16">
            <v>196</v>
          </cell>
          <cell r="K16">
            <v>196</v>
          </cell>
          <cell r="L16">
            <v>196</v>
          </cell>
          <cell r="M16">
            <v>196</v>
          </cell>
        </row>
        <row r="17">
          <cell r="C17" t="str">
            <v>Total Middle School Enrollment</v>
          </cell>
          <cell r="D17">
            <v>0</v>
          </cell>
          <cell r="E17">
            <v>7</v>
          </cell>
          <cell r="F17">
            <v>26</v>
          </cell>
          <cell r="G17">
            <v>32</v>
          </cell>
          <cell r="H17">
            <v>42</v>
          </cell>
          <cell r="I17">
            <v>48</v>
          </cell>
          <cell r="J17">
            <v>65</v>
          </cell>
          <cell r="K17">
            <v>74</v>
          </cell>
          <cell r="L17">
            <v>74</v>
          </cell>
          <cell r="M17">
            <v>74</v>
          </cell>
        </row>
        <row r="18">
          <cell r="C18" t="str">
            <v>Total High School Enrollment</v>
          </cell>
          <cell r="D18">
            <v>0</v>
          </cell>
          <cell r="E18">
            <v>0</v>
          </cell>
          <cell r="F18">
            <v>0</v>
          </cell>
          <cell r="G18">
            <v>0</v>
          </cell>
          <cell r="H18">
            <v>7</v>
          </cell>
          <cell r="I18">
            <v>16</v>
          </cell>
          <cell r="J18">
            <v>9</v>
          </cell>
          <cell r="K18">
            <v>22</v>
          </cell>
          <cell r="L18">
            <v>22</v>
          </cell>
          <cell r="M18">
            <v>24</v>
          </cell>
        </row>
        <row r="19">
          <cell r="C19" t="str">
            <v>Total Enrollment</v>
          </cell>
          <cell r="D19">
            <v>66</v>
          </cell>
          <cell r="E19">
            <v>115</v>
          </cell>
          <cell r="F19">
            <v>160</v>
          </cell>
          <cell r="G19">
            <v>201</v>
          </cell>
          <cell r="H19">
            <v>237</v>
          </cell>
          <cell r="I19">
            <v>262</v>
          </cell>
          <cell r="J19">
            <v>270</v>
          </cell>
          <cell r="K19">
            <v>292</v>
          </cell>
          <cell r="L19">
            <v>292</v>
          </cell>
          <cell r="M19">
            <v>294</v>
          </cell>
        </row>
        <row r="20">
          <cell r="C20" t="str">
            <v>Change in Net Enrollment from Prior Year</v>
          </cell>
          <cell r="D20">
            <v>66</v>
          </cell>
          <cell r="E20">
            <v>49</v>
          </cell>
          <cell r="F20">
            <v>45</v>
          </cell>
          <cell r="G20">
            <v>41</v>
          </cell>
          <cell r="H20">
            <v>36</v>
          </cell>
          <cell r="I20">
            <v>25</v>
          </cell>
          <cell r="J20">
            <v>8</v>
          </cell>
          <cell r="K20">
            <v>22</v>
          </cell>
          <cell r="L20">
            <v>0</v>
          </cell>
          <cell r="M20">
            <v>2</v>
          </cell>
        </row>
        <row r="21">
          <cell r="C21" t="str">
            <v>Student Population: Percentages
fill in all gray cells</v>
          </cell>
        </row>
        <row r="22">
          <cell r="C22" t="str">
            <v>% Student Qualifying for Free Lunch</v>
          </cell>
          <cell r="D22">
            <v>0.2</v>
          </cell>
          <cell r="E22">
            <v>0.2</v>
          </cell>
          <cell r="F22">
            <v>0.2</v>
          </cell>
          <cell r="G22">
            <v>0.2</v>
          </cell>
          <cell r="H22">
            <v>0.2</v>
          </cell>
          <cell r="I22">
            <v>0.2</v>
          </cell>
          <cell r="J22">
            <v>0.2</v>
          </cell>
          <cell r="K22">
            <v>0.2</v>
          </cell>
          <cell r="L22">
            <v>0.2</v>
          </cell>
          <cell r="M22">
            <v>0.2</v>
          </cell>
        </row>
        <row r="23">
          <cell r="C23" t="str">
            <v>% Student Qualifying for Reduced Lunch</v>
          </cell>
          <cell r="D23">
            <v>0.05</v>
          </cell>
          <cell r="E23">
            <v>0.05</v>
          </cell>
          <cell r="F23">
            <v>0.05</v>
          </cell>
          <cell r="G23">
            <v>0.05</v>
          </cell>
          <cell r="H23">
            <v>0.05</v>
          </cell>
          <cell r="I23">
            <v>0.05</v>
          </cell>
          <cell r="J23">
            <v>0.05</v>
          </cell>
          <cell r="K23">
            <v>0.05</v>
          </cell>
          <cell r="L23">
            <v>0.05</v>
          </cell>
          <cell r="M23">
            <v>0.05</v>
          </cell>
        </row>
        <row r="24">
          <cell r="C24" t="str">
            <v>TBIP K-6 %</v>
          </cell>
          <cell r="D24">
            <v>5.1515151515151514E-2</v>
          </cell>
          <cell r="E24">
            <v>0.05</v>
          </cell>
          <cell r="F24">
            <v>4.6348314606741575E-2</v>
          </cell>
          <cell r="G24">
            <v>4.2149532710280373E-2</v>
          </cell>
          <cell r="H24">
            <v>3.8181818181818185E-2</v>
          </cell>
          <cell r="I24">
            <v>3.6953125000000003E-2</v>
          </cell>
          <cell r="J24">
            <v>3.4222222222222223E-2</v>
          </cell>
          <cell r="K24">
            <v>3.3478260869565221E-2</v>
          </cell>
          <cell r="L24">
            <v>3.3000000000000002E-2</v>
          </cell>
          <cell r="M24">
            <v>3.2535211267605633E-2</v>
          </cell>
        </row>
        <row r="25">
          <cell r="C25" t="str">
            <v>TBIP 7-12 %</v>
          </cell>
          <cell r="D25">
            <v>0</v>
          </cell>
          <cell r="E25">
            <v>0</v>
          </cell>
          <cell r="F25">
            <v>8.6516853932584268E-3</v>
          </cell>
          <cell r="G25">
            <v>1.2850467289719626E-2</v>
          </cell>
          <cell r="H25">
            <v>1.6818181818181819E-2</v>
          </cell>
          <cell r="I25">
            <v>1.8046875E-2</v>
          </cell>
          <cell r="J25">
            <v>2.077777777777778E-2</v>
          </cell>
          <cell r="K25">
            <v>2.1521739130434783E-2</v>
          </cell>
          <cell r="L25">
            <v>2.2000000000000002E-2</v>
          </cell>
          <cell r="M25">
            <v>2.2464788732394367E-2</v>
          </cell>
        </row>
        <row r="26">
          <cell r="C26" t="str">
            <v>TBIP Exited %</v>
          </cell>
          <cell r="D26">
            <v>0</v>
          </cell>
          <cell r="E26">
            <v>0</v>
          </cell>
          <cell r="F26">
            <v>0</v>
          </cell>
          <cell r="G26">
            <v>0</v>
          </cell>
          <cell r="H26">
            <v>0</v>
          </cell>
          <cell r="I26">
            <v>0</v>
          </cell>
          <cell r="J26">
            <v>0</v>
          </cell>
          <cell r="K26">
            <v>0</v>
          </cell>
          <cell r="L26">
            <v>0</v>
          </cell>
          <cell r="M26">
            <v>0</v>
          </cell>
        </row>
        <row r="27">
          <cell r="C27" t="str">
            <v>Highly Capable Program?</v>
          </cell>
          <cell r="D27" t="str">
            <v>Yes</v>
          </cell>
          <cell r="E27" t="str">
            <v>Yes</v>
          </cell>
          <cell r="F27" t="str">
            <v>Yes</v>
          </cell>
          <cell r="G27" t="str">
            <v>Yes</v>
          </cell>
          <cell r="H27" t="str">
            <v>Yes</v>
          </cell>
          <cell r="I27" t="str">
            <v>Yes</v>
          </cell>
          <cell r="J27" t="str">
            <v>Yes</v>
          </cell>
          <cell r="K27" t="str">
            <v>Yes</v>
          </cell>
          <cell r="L27" t="str">
            <v>Yes</v>
          </cell>
          <cell r="M27" t="str">
            <v>Yes</v>
          </cell>
        </row>
        <row r="28">
          <cell r="C28" t="str">
            <v>Special Education Students Tier 1 %</v>
          </cell>
          <cell r="D28">
            <v>0.13500000000000001</v>
          </cell>
          <cell r="E28">
            <v>0.13500000000000001</v>
          </cell>
          <cell r="F28">
            <v>0.13500000000000001</v>
          </cell>
          <cell r="G28">
            <v>0.13500000000000001</v>
          </cell>
          <cell r="H28">
            <v>0.13500000000000001</v>
          </cell>
          <cell r="I28">
            <v>0.13500000000000001</v>
          </cell>
          <cell r="J28">
            <v>0.13500000000000001</v>
          </cell>
          <cell r="K28">
            <v>0.13500000000000001</v>
          </cell>
          <cell r="L28">
            <v>0.13500000000000001</v>
          </cell>
          <cell r="M28">
            <v>0.13500000000000001</v>
          </cell>
        </row>
        <row r="29">
          <cell r="C29" t="str">
            <v>Special Education Students Tier 2 %</v>
          </cell>
          <cell r="D29">
            <v>0</v>
          </cell>
          <cell r="E29">
            <v>0</v>
          </cell>
          <cell r="F29">
            <v>0</v>
          </cell>
          <cell r="G29">
            <v>0</v>
          </cell>
          <cell r="H29">
            <v>0</v>
          </cell>
          <cell r="I29">
            <v>0</v>
          </cell>
          <cell r="J29">
            <v>0</v>
          </cell>
          <cell r="K29">
            <v>0</v>
          </cell>
          <cell r="L29">
            <v>0</v>
          </cell>
          <cell r="M29">
            <v>0</v>
          </cell>
        </row>
        <row r="30">
          <cell r="C30" t="str">
            <v>Average Daily Membership %</v>
          </cell>
          <cell r="D30">
            <v>0.95</v>
          </cell>
          <cell r="E30">
            <v>0.95</v>
          </cell>
          <cell r="F30">
            <v>0.95</v>
          </cell>
          <cell r="G30">
            <v>0.95</v>
          </cell>
          <cell r="H30">
            <v>0.95</v>
          </cell>
          <cell r="I30">
            <v>0.95</v>
          </cell>
          <cell r="J30">
            <v>0.95</v>
          </cell>
          <cell r="K30">
            <v>0.95</v>
          </cell>
          <cell r="L30">
            <v>0.95</v>
          </cell>
          <cell r="M30">
            <v>0.95</v>
          </cell>
        </row>
        <row r="31">
          <cell r="C31" t="str">
            <v>Average Daily Attendance %</v>
          </cell>
          <cell r="D31">
            <v>0.95</v>
          </cell>
          <cell r="E31">
            <v>0.95</v>
          </cell>
          <cell r="F31">
            <v>0.95</v>
          </cell>
          <cell r="G31">
            <v>0.95</v>
          </cell>
          <cell r="H31">
            <v>0.95</v>
          </cell>
          <cell r="I31">
            <v>0.95</v>
          </cell>
          <cell r="J31">
            <v>0.95</v>
          </cell>
          <cell r="K31">
            <v>0.95</v>
          </cell>
          <cell r="L31">
            <v>0.95</v>
          </cell>
          <cell r="M31">
            <v>0.95</v>
          </cell>
        </row>
        <row r="32">
          <cell r="C32" t="str">
            <v>English Language Learner %</v>
          </cell>
          <cell r="D32">
            <v>5.5E-2</v>
          </cell>
          <cell r="E32">
            <v>5.5E-2</v>
          </cell>
          <cell r="F32">
            <v>5.5E-2</v>
          </cell>
          <cell r="G32">
            <v>5.5E-2</v>
          </cell>
          <cell r="H32">
            <v>5.5E-2</v>
          </cell>
          <cell r="I32">
            <v>5.5E-2</v>
          </cell>
          <cell r="J32">
            <v>5.5E-2</v>
          </cell>
          <cell r="K32">
            <v>5.5E-2</v>
          </cell>
          <cell r="L32">
            <v>5.5E-2</v>
          </cell>
          <cell r="M32">
            <v>5.5E-2</v>
          </cell>
        </row>
        <row r="33">
          <cell r="C33" t="str">
            <v>Transportation Ridership %</v>
          </cell>
          <cell r="D33">
            <v>0.6</v>
          </cell>
          <cell r="E33">
            <v>0.6</v>
          </cell>
          <cell r="F33">
            <v>0.6</v>
          </cell>
          <cell r="G33">
            <v>0.6</v>
          </cell>
          <cell r="H33">
            <v>0.6</v>
          </cell>
          <cell r="I33">
            <v>0.6</v>
          </cell>
          <cell r="J33">
            <v>0.6</v>
          </cell>
          <cell r="K33">
            <v>0.6</v>
          </cell>
          <cell r="L33">
            <v>0.6</v>
          </cell>
          <cell r="M33">
            <v>0.6</v>
          </cell>
        </row>
        <row r="34">
          <cell r="C34" t="str">
            <v>K-3 Ratio Student to Teacher Ratio</v>
          </cell>
          <cell r="D34">
            <v>17</v>
          </cell>
          <cell r="E34">
            <v>17</v>
          </cell>
          <cell r="F34">
            <v>17</v>
          </cell>
          <cell r="G34">
            <v>17</v>
          </cell>
          <cell r="H34">
            <v>17</v>
          </cell>
          <cell r="I34">
            <v>17</v>
          </cell>
          <cell r="J34">
            <v>17</v>
          </cell>
          <cell r="K34">
            <v>17</v>
          </cell>
          <cell r="L34">
            <v>17</v>
          </cell>
          <cell r="M34">
            <v>17</v>
          </cell>
        </row>
        <row r="35">
          <cell r="C35" t="str">
            <v>Student Population: Counts
fill in all gray cells</v>
          </cell>
        </row>
        <row r="36">
          <cell r="C36" t="str">
            <v>Free and Reduced Price Lunch Student %</v>
          </cell>
          <cell r="D36">
            <v>0.25</v>
          </cell>
          <cell r="E36">
            <v>0.25</v>
          </cell>
          <cell r="F36">
            <v>0.25</v>
          </cell>
          <cell r="G36">
            <v>0.25</v>
          </cell>
          <cell r="H36">
            <v>0.25</v>
          </cell>
          <cell r="I36">
            <v>0.25</v>
          </cell>
          <cell r="J36">
            <v>0.25</v>
          </cell>
          <cell r="K36">
            <v>0.25</v>
          </cell>
          <cell r="L36">
            <v>0.25</v>
          </cell>
          <cell r="M36">
            <v>0.25</v>
          </cell>
        </row>
        <row r="37">
          <cell r="C37" t="str">
            <v>Student Count Qualifying for Free Lunch</v>
          </cell>
          <cell r="D37">
            <v>13.200000000000001</v>
          </cell>
          <cell r="E37">
            <v>23</v>
          </cell>
          <cell r="F37">
            <v>32</v>
          </cell>
          <cell r="G37">
            <v>40.200000000000003</v>
          </cell>
          <cell r="H37">
            <v>47.400000000000006</v>
          </cell>
          <cell r="I37">
            <v>52.400000000000006</v>
          </cell>
          <cell r="J37">
            <v>54</v>
          </cell>
          <cell r="K37">
            <v>58.400000000000006</v>
          </cell>
          <cell r="L37">
            <v>58.400000000000006</v>
          </cell>
          <cell r="M37">
            <v>58.800000000000004</v>
          </cell>
        </row>
        <row r="38">
          <cell r="C38" t="str">
            <v>Student Count Qualifying for Reduced Lunch</v>
          </cell>
          <cell r="D38">
            <v>3.3000000000000003</v>
          </cell>
          <cell r="E38">
            <v>5.75</v>
          </cell>
          <cell r="F38">
            <v>8</v>
          </cell>
          <cell r="G38">
            <v>10.050000000000001</v>
          </cell>
          <cell r="H38">
            <v>11.850000000000001</v>
          </cell>
          <cell r="I38">
            <v>13.100000000000001</v>
          </cell>
          <cell r="J38">
            <v>13.5</v>
          </cell>
          <cell r="K38">
            <v>14.600000000000001</v>
          </cell>
          <cell r="L38">
            <v>14.600000000000001</v>
          </cell>
          <cell r="M38">
            <v>14.700000000000001</v>
          </cell>
        </row>
        <row r="39">
          <cell r="C39" t="str">
            <v>Student Count Qualifying for Free or Reduced Lunch</v>
          </cell>
          <cell r="D39">
            <v>16.5</v>
          </cell>
          <cell r="E39">
            <v>28.75</v>
          </cell>
          <cell r="F39">
            <v>40</v>
          </cell>
          <cell r="G39">
            <v>50.25</v>
          </cell>
          <cell r="H39">
            <v>59.25</v>
          </cell>
          <cell r="I39">
            <v>65.5</v>
          </cell>
          <cell r="J39">
            <v>67.5</v>
          </cell>
          <cell r="K39">
            <v>73</v>
          </cell>
          <cell r="L39">
            <v>73</v>
          </cell>
          <cell r="M39">
            <v>73.5</v>
          </cell>
        </row>
        <row r="40">
          <cell r="C40" t="str">
            <v>TBIP (K-6) FTE</v>
          </cell>
          <cell r="D40">
            <v>3.4</v>
          </cell>
          <cell r="E40">
            <v>5.75</v>
          </cell>
          <cell r="F40">
            <v>6.952247191011236</v>
          </cell>
          <cell r="G40">
            <v>7.5026168224299061</v>
          </cell>
          <cell r="H40">
            <v>7.827272727272728</v>
          </cell>
          <cell r="I40">
            <v>8.1296875000000011</v>
          </cell>
          <cell r="J40">
            <v>7.5973333333333333</v>
          </cell>
          <cell r="K40">
            <v>7.4321739130434787</v>
          </cell>
          <cell r="L40">
            <v>7.3260000000000005</v>
          </cell>
          <cell r="M40">
            <v>7.2228169014084509</v>
          </cell>
        </row>
        <row r="41">
          <cell r="C41" t="str">
            <v>TBIP(7-12) FTE</v>
          </cell>
          <cell r="D41">
            <v>0</v>
          </cell>
          <cell r="E41">
            <v>0</v>
          </cell>
          <cell r="F41">
            <v>8.6516853932584264E-2</v>
          </cell>
          <cell r="G41">
            <v>0.29556074766355139</v>
          </cell>
          <cell r="H41">
            <v>0.53818181818181821</v>
          </cell>
          <cell r="I41">
            <v>0.75796874999999997</v>
          </cell>
          <cell r="J41">
            <v>0.9973333333333334</v>
          </cell>
          <cell r="K41">
            <v>1.5065217391304349</v>
          </cell>
          <cell r="L41">
            <v>1.5400000000000003</v>
          </cell>
          <cell r="M41">
            <v>1.6174647887323945</v>
          </cell>
        </row>
        <row r="42">
          <cell r="C42" t="str">
            <v>TBIP Exited FTE</v>
          </cell>
          <cell r="D42">
            <v>0</v>
          </cell>
          <cell r="E42">
            <v>0</v>
          </cell>
          <cell r="F42">
            <v>0</v>
          </cell>
          <cell r="G42">
            <v>0</v>
          </cell>
          <cell r="H42">
            <v>0</v>
          </cell>
          <cell r="I42">
            <v>0</v>
          </cell>
          <cell r="J42">
            <v>0</v>
          </cell>
          <cell r="K42">
            <v>0</v>
          </cell>
          <cell r="L42">
            <v>0</v>
          </cell>
          <cell r="M42">
            <v>0</v>
          </cell>
        </row>
        <row r="43">
          <cell r="C43" t="str">
            <v>Actual Special Education Student Count (SPED)</v>
          </cell>
          <cell r="D43">
            <v>8.91</v>
          </cell>
          <cell r="E43">
            <v>15.525</v>
          </cell>
          <cell r="F43">
            <v>21.6</v>
          </cell>
          <cell r="G43">
            <v>27.135000000000002</v>
          </cell>
          <cell r="H43">
            <v>31.995000000000001</v>
          </cell>
          <cell r="I43">
            <v>35.370000000000005</v>
          </cell>
          <cell r="J43">
            <v>36.450000000000003</v>
          </cell>
          <cell r="K43">
            <v>39.42</v>
          </cell>
          <cell r="L43">
            <v>39.42</v>
          </cell>
          <cell r="M43">
            <v>39.690000000000005</v>
          </cell>
        </row>
        <row r="44">
          <cell r="C44" t="str">
            <v>Student Transportation Count</v>
          </cell>
          <cell r="D44">
            <v>39.6</v>
          </cell>
          <cell r="E44">
            <v>69</v>
          </cell>
          <cell r="F44">
            <v>96</v>
          </cell>
          <cell r="G44">
            <v>120.6</v>
          </cell>
          <cell r="H44">
            <v>142.19999999999999</v>
          </cell>
          <cell r="I44">
            <v>157.19999999999999</v>
          </cell>
          <cell r="J44">
            <v>162</v>
          </cell>
          <cell r="K44">
            <v>175.2</v>
          </cell>
          <cell r="L44">
            <v>175.2</v>
          </cell>
          <cell r="M44">
            <v>176.4</v>
          </cell>
        </row>
        <row r="45">
          <cell r="C45" t="str">
            <v>Average Daily Membership (ADM)</v>
          </cell>
          <cell r="D45">
            <v>62.699999999999996</v>
          </cell>
          <cell r="E45">
            <v>109.25</v>
          </cell>
          <cell r="F45">
            <v>152</v>
          </cell>
          <cell r="G45">
            <v>190.95</v>
          </cell>
          <cell r="H45">
            <v>225.14999999999998</v>
          </cell>
          <cell r="I45">
            <v>248.89999999999998</v>
          </cell>
          <cell r="J45">
            <v>256.5</v>
          </cell>
          <cell r="K45">
            <v>277.39999999999998</v>
          </cell>
          <cell r="L45">
            <v>277.39999999999998</v>
          </cell>
          <cell r="M45">
            <v>279.3</v>
          </cell>
        </row>
        <row r="46">
          <cell r="C46" t="str">
            <v>Average Daily Attendance (ADA)</v>
          </cell>
          <cell r="D46">
            <v>62.699999999999996</v>
          </cell>
          <cell r="E46">
            <v>109.25</v>
          </cell>
          <cell r="F46">
            <v>152</v>
          </cell>
          <cell r="G46">
            <v>190.95</v>
          </cell>
          <cell r="H46">
            <v>225.14999999999998</v>
          </cell>
          <cell r="I46">
            <v>248.89999999999998</v>
          </cell>
          <cell r="J46">
            <v>256.5</v>
          </cell>
          <cell r="K46">
            <v>277.39999999999998</v>
          </cell>
          <cell r="L46">
            <v>277.39999999999998</v>
          </cell>
          <cell r="M46">
            <v>279.3</v>
          </cell>
        </row>
        <row r="47">
          <cell r="C47" t="str">
            <v>English Language Learner Count (ELL)</v>
          </cell>
          <cell r="D47">
            <v>3.63</v>
          </cell>
          <cell r="E47">
            <v>6.3250000000000002</v>
          </cell>
          <cell r="F47">
            <v>8.8000000000000007</v>
          </cell>
          <cell r="G47">
            <v>11.055</v>
          </cell>
          <cell r="H47">
            <v>13.035</v>
          </cell>
          <cell r="I47">
            <v>14.41</v>
          </cell>
          <cell r="J47">
            <v>14.85</v>
          </cell>
          <cell r="K47">
            <v>16.059999999999999</v>
          </cell>
          <cell r="L47">
            <v>16.059999999999999</v>
          </cell>
          <cell r="M47">
            <v>16.170000000000002</v>
          </cell>
        </row>
      </sheetData>
      <sheetData sheetId="11" refreshError="1"/>
      <sheetData sheetId="12">
        <row r="1">
          <cell r="C1" t="str">
            <v>Blue = type in amounts; Orange = feeder tab</v>
          </cell>
          <cell r="E1" t="str">
            <v>Yearly Expense/Revenue Amounts</v>
          </cell>
        </row>
        <row r="2">
          <cell r="E2" t="str">
            <v>2021-22</v>
          </cell>
          <cell r="F2" t="str">
            <v>2022-23</v>
          </cell>
          <cell r="G2" t="str">
            <v>2023-24</v>
          </cell>
          <cell r="H2" t="str">
            <v>2024-25</v>
          </cell>
          <cell r="I2" t="str">
            <v>2025-26</v>
          </cell>
          <cell r="J2" t="str">
            <v>2026-27</v>
          </cell>
          <cell r="K2" t="str">
            <v>2027-28</v>
          </cell>
        </row>
        <row r="3">
          <cell r="C3" t="str">
            <v>REVENUES</v>
          </cell>
        </row>
        <row r="4">
          <cell r="C4" t="str">
            <v>LOCAL SUPPORT - NON-TAX</v>
          </cell>
        </row>
        <row r="5">
          <cell r="C5" t="str">
            <v xml:space="preserve">2200 - Sale Of Goods, Supplies, &amp; Services </v>
          </cell>
          <cell r="E5">
            <v>0</v>
          </cell>
          <cell r="F5">
            <v>0</v>
          </cell>
          <cell r="G5">
            <v>0</v>
          </cell>
          <cell r="H5">
            <v>0</v>
          </cell>
          <cell r="I5">
            <v>0</v>
          </cell>
          <cell r="J5">
            <v>0</v>
          </cell>
          <cell r="K5">
            <v>0</v>
          </cell>
        </row>
        <row r="6">
          <cell r="C6" t="str">
            <v xml:space="preserve">2500 - Gifts Grants, and Donations (Local)   </v>
          </cell>
          <cell r="E6">
            <v>5000</v>
          </cell>
          <cell r="F6">
            <v>25000</v>
          </cell>
          <cell r="G6">
            <v>25000</v>
          </cell>
          <cell r="H6">
            <v>25000</v>
          </cell>
          <cell r="I6">
            <v>25000</v>
          </cell>
          <cell r="J6">
            <v>25000</v>
          </cell>
          <cell r="K6">
            <v>25000</v>
          </cell>
        </row>
        <row r="7">
          <cell r="C7" t="str">
            <v xml:space="preserve">2298 - Local lunch sales </v>
          </cell>
          <cell r="E7">
            <v>0</v>
          </cell>
          <cell r="F7">
            <v>0</v>
          </cell>
          <cell r="G7">
            <v>0</v>
          </cell>
          <cell r="H7">
            <v>0</v>
          </cell>
          <cell r="I7">
            <v>0</v>
          </cell>
          <cell r="J7">
            <v>0</v>
          </cell>
          <cell r="K7">
            <v>0</v>
          </cell>
        </row>
        <row r="9">
          <cell r="C9" t="str">
            <v>STATEVE REVENUE</v>
          </cell>
        </row>
        <row r="10">
          <cell r="C10" t="str">
            <v xml:space="preserve">4198 - School Food Service      </v>
          </cell>
          <cell r="E10">
            <v>0</v>
          </cell>
          <cell r="F10">
            <v>0</v>
          </cell>
          <cell r="G10">
            <v>0</v>
          </cell>
          <cell r="H10">
            <v>0</v>
          </cell>
          <cell r="I10">
            <v>0</v>
          </cell>
          <cell r="J10">
            <v>0</v>
          </cell>
          <cell r="K10">
            <v>0</v>
          </cell>
        </row>
        <row r="11">
          <cell r="C11" t="str">
            <v>4199 - Transportation - Operations</v>
          </cell>
          <cell r="E11">
            <v>0</v>
          </cell>
          <cell r="F11">
            <v>662.23120542663435</v>
          </cell>
          <cell r="G11">
            <v>662.23120542663435</v>
          </cell>
          <cell r="H11">
            <v>662.23120542663435</v>
          </cell>
          <cell r="I11">
            <v>662.23120542663435</v>
          </cell>
          <cell r="J11">
            <v>662.23120542663435</v>
          </cell>
          <cell r="K11">
            <v>662.23120542663435</v>
          </cell>
        </row>
        <row r="12">
          <cell r="C12" t="str">
            <v>4201 - State - Misc Grants</v>
          </cell>
          <cell r="E12">
            <v>37151</v>
          </cell>
          <cell r="F12">
            <v>0</v>
          </cell>
          <cell r="G12">
            <v>0</v>
          </cell>
          <cell r="H12">
            <v>0</v>
          </cell>
          <cell r="I12">
            <v>0</v>
          </cell>
        </row>
        <row r="14">
          <cell r="C14" t="str">
            <v>FEDERAL REVENUE</v>
          </cell>
        </row>
        <row r="15">
          <cell r="C15" t="str">
            <v>Title I</v>
          </cell>
          <cell r="E15">
            <v>250.18181818181819</v>
          </cell>
          <cell r="F15">
            <v>320</v>
          </cell>
          <cell r="G15">
            <v>320</v>
          </cell>
          <cell r="H15">
            <v>320</v>
          </cell>
          <cell r="I15">
            <v>320</v>
          </cell>
          <cell r="J15">
            <v>320</v>
          </cell>
          <cell r="K15">
            <v>320</v>
          </cell>
        </row>
        <row r="16">
          <cell r="C16" t="str">
            <v>Title II</v>
          </cell>
          <cell r="E16">
            <v>40.696969696969695</v>
          </cell>
          <cell r="F16">
            <v>40</v>
          </cell>
          <cell r="G16">
            <v>40</v>
          </cell>
          <cell r="H16">
            <v>40</v>
          </cell>
          <cell r="I16">
            <v>40</v>
          </cell>
          <cell r="J16">
            <v>40</v>
          </cell>
          <cell r="K16">
            <v>40</v>
          </cell>
        </row>
        <row r="17">
          <cell r="C17" t="str">
            <v>Title III &amp; IV</v>
          </cell>
          <cell r="E17">
            <v>0</v>
          </cell>
          <cell r="F17">
            <v>0</v>
          </cell>
          <cell r="G17">
            <v>0</v>
          </cell>
          <cell r="H17">
            <v>0</v>
          </cell>
          <cell r="I17">
            <v>0</v>
          </cell>
          <cell r="J17">
            <v>0</v>
          </cell>
          <cell r="K17">
            <v>0</v>
          </cell>
        </row>
        <row r="18">
          <cell r="C18" t="str">
            <v>IDEA Funding</v>
          </cell>
          <cell r="E18">
            <v>1877.6655443322109</v>
          </cell>
          <cell r="F18">
            <v>1200</v>
          </cell>
          <cell r="G18">
            <v>1200</v>
          </cell>
          <cell r="H18">
            <v>1200</v>
          </cell>
          <cell r="I18">
            <v>1200</v>
          </cell>
          <cell r="J18">
            <v>1200</v>
          </cell>
          <cell r="K18">
            <v>1200</v>
          </cell>
        </row>
        <row r="19">
          <cell r="C19" t="str">
            <v>CSP</v>
          </cell>
          <cell r="E19">
            <v>301384</v>
          </cell>
          <cell r="F19">
            <v>310000</v>
          </cell>
          <cell r="G19">
            <v>300000</v>
          </cell>
          <cell r="H19">
            <v>220000</v>
          </cell>
          <cell r="I19">
            <v>0</v>
          </cell>
          <cell r="J19">
            <v>0</v>
          </cell>
          <cell r="K19">
            <v>0</v>
          </cell>
        </row>
        <row r="20">
          <cell r="C20" t="str">
            <v xml:space="preserve">6198 - School Food Services     </v>
          </cell>
          <cell r="E20">
            <v>715.14953513513512</v>
          </cell>
          <cell r="F20">
            <v>812.94407999999987</v>
          </cell>
          <cell r="G20">
            <v>829.20296159999987</v>
          </cell>
          <cell r="H20">
            <v>845.78702083199983</v>
          </cell>
          <cell r="I20">
            <v>862.70276124863983</v>
          </cell>
          <cell r="J20">
            <v>879.95681647361266</v>
          </cell>
          <cell r="K20">
            <v>897.55595280308489</v>
          </cell>
        </row>
        <row r="21">
          <cell r="C21" t="str">
            <v>Federal - Misc Grants</v>
          </cell>
          <cell r="E21">
            <v>9274</v>
          </cell>
        </row>
        <row r="22">
          <cell r="C22" t="str">
            <v>ESSER</v>
          </cell>
          <cell r="E22">
            <v>104941</v>
          </cell>
          <cell r="F22">
            <v>40015</v>
          </cell>
          <cell r="G22">
            <v>0</v>
          </cell>
          <cell r="H22">
            <v>0</v>
          </cell>
          <cell r="I22">
            <v>0</v>
          </cell>
          <cell r="J22">
            <v>0</v>
          </cell>
          <cell r="K22">
            <v>0</v>
          </cell>
        </row>
        <row r="24">
          <cell r="C24" t="str">
            <v>8000 - OTHER ENTITIES</v>
          </cell>
        </row>
        <row r="25">
          <cell r="C25" t="str">
            <v xml:space="preserve">8200 - Private Foundations  </v>
          </cell>
          <cell r="E25">
            <v>322000</v>
          </cell>
          <cell r="F25">
            <v>160000</v>
          </cell>
          <cell r="G25">
            <v>0</v>
          </cell>
          <cell r="H25">
            <v>0</v>
          </cell>
          <cell r="I25">
            <v>0</v>
          </cell>
          <cell r="J25">
            <v>0</v>
          </cell>
          <cell r="K25">
            <v>0</v>
          </cell>
        </row>
        <row r="26">
          <cell r="C26" t="str">
            <v>WA Charters Growth Grant</v>
          </cell>
          <cell r="E26">
            <v>172500</v>
          </cell>
          <cell r="F26">
            <v>160000</v>
          </cell>
          <cell r="G26">
            <v>0</v>
          </cell>
          <cell r="H26">
            <v>0</v>
          </cell>
          <cell r="I26">
            <v>0</v>
          </cell>
          <cell r="J26">
            <v>0</v>
          </cell>
          <cell r="K26">
            <v>0</v>
          </cell>
        </row>
        <row r="27">
          <cell r="C27" t="str">
            <v>Chicago Community Foundation</v>
          </cell>
          <cell r="E27">
            <v>50000</v>
          </cell>
          <cell r="F27">
            <v>0</v>
          </cell>
          <cell r="G27">
            <v>0</v>
          </cell>
          <cell r="H27">
            <v>0</v>
          </cell>
          <cell r="I27">
            <v>0</v>
          </cell>
          <cell r="J27">
            <v>0</v>
          </cell>
          <cell r="K27">
            <v>0</v>
          </cell>
        </row>
        <row r="28">
          <cell r="C28" t="str">
            <v>Steffens Foundation</v>
          </cell>
          <cell r="E28">
            <v>50000</v>
          </cell>
          <cell r="F28">
            <v>0</v>
          </cell>
          <cell r="G28">
            <v>0</v>
          </cell>
          <cell r="H28">
            <v>0</v>
          </cell>
          <cell r="I28">
            <v>0</v>
          </cell>
          <cell r="J28">
            <v>0</v>
          </cell>
          <cell r="K28">
            <v>0</v>
          </cell>
        </row>
        <row r="29">
          <cell r="C29" t="str">
            <v>WA Charters Growth Grant - Back Office &amp; BoT</v>
          </cell>
          <cell r="E29">
            <v>49500</v>
          </cell>
          <cell r="F29">
            <v>0</v>
          </cell>
          <cell r="G29">
            <v>0</v>
          </cell>
          <cell r="H29">
            <v>0</v>
          </cell>
          <cell r="I29">
            <v>0</v>
          </cell>
          <cell r="J29">
            <v>0</v>
          </cell>
          <cell r="K29">
            <v>0</v>
          </cell>
        </row>
        <row r="30">
          <cell r="C30" t="str">
            <v>{Enter Grant}</v>
          </cell>
          <cell r="E30">
            <v>0</v>
          </cell>
          <cell r="F30">
            <v>0</v>
          </cell>
          <cell r="G30">
            <v>0</v>
          </cell>
          <cell r="H30">
            <v>0</v>
          </cell>
          <cell r="I30">
            <v>0</v>
          </cell>
          <cell r="J30">
            <v>0</v>
          </cell>
          <cell r="K30">
            <v>0</v>
          </cell>
        </row>
        <row r="31">
          <cell r="C31" t="str">
            <v>{Enter Grant}</v>
          </cell>
          <cell r="E31">
            <v>0</v>
          </cell>
          <cell r="F31">
            <v>0</v>
          </cell>
          <cell r="G31">
            <v>0</v>
          </cell>
          <cell r="H31">
            <v>0</v>
          </cell>
          <cell r="I31">
            <v>0</v>
          </cell>
          <cell r="J31">
            <v>0</v>
          </cell>
          <cell r="K31">
            <v>0</v>
          </cell>
        </row>
        <row r="33">
          <cell r="C33" t="str">
            <v>9000 - OTHER FINANCING SOURCES</v>
          </cell>
        </row>
        <row r="34">
          <cell r="C34" t="str">
            <v>Other Financing Sources</v>
          </cell>
          <cell r="E34">
            <v>0</v>
          </cell>
          <cell r="F34">
            <v>0</v>
          </cell>
          <cell r="G34">
            <v>0</v>
          </cell>
          <cell r="H34">
            <v>0</v>
          </cell>
          <cell r="I34">
            <v>0</v>
          </cell>
          <cell r="J34">
            <v>0</v>
          </cell>
          <cell r="K34">
            <v>0</v>
          </cell>
        </row>
        <row r="41">
          <cell r="C41" t="str">
            <v>EXPENSES</v>
          </cell>
          <cell r="E41" t="str">
            <v>Enter the tax or retirement percentage and the SEBB inflation rate</v>
          </cell>
        </row>
        <row r="42">
          <cell r="C42" t="str">
            <v>PAYROLL TAXES AND BENEFITS</v>
          </cell>
        </row>
        <row r="43">
          <cell r="C43" t="str">
            <v>Social Security</v>
          </cell>
          <cell r="E43">
            <v>6.2E-2</v>
          </cell>
          <cell r="F43">
            <v>6.2E-2</v>
          </cell>
          <cell r="G43">
            <v>6.2E-2</v>
          </cell>
          <cell r="H43">
            <v>6.2E-2</v>
          </cell>
          <cell r="I43">
            <v>6.2E-2</v>
          </cell>
          <cell r="J43">
            <v>6.2E-2</v>
          </cell>
          <cell r="K43">
            <v>6.2E-2</v>
          </cell>
        </row>
        <row r="44">
          <cell r="C44" t="str">
            <v>Medicare</v>
          </cell>
          <cell r="E44">
            <v>1.4500000000000001E-2</v>
          </cell>
          <cell r="F44">
            <v>1.4500000000000001E-2</v>
          </cell>
          <cell r="G44">
            <v>1.4500000000000001E-2</v>
          </cell>
          <cell r="H44">
            <v>1.4500000000000001E-2</v>
          </cell>
          <cell r="I44">
            <v>1.4500000000000001E-2</v>
          </cell>
          <cell r="J44">
            <v>1.4500000000000001E-2</v>
          </cell>
          <cell r="K44">
            <v>1.4500000000000001E-2</v>
          </cell>
        </row>
        <row r="45">
          <cell r="C45" t="str">
            <v>State Unemployment</v>
          </cell>
          <cell r="E45">
            <v>1.3800760135135136E-2</v>
          </cell>
          <cell r="F45">
            <v>1.3800760135135136E-2</v>
          </cell>
          <cell r="G45">
            <v>1.3800760135135136E-2</v>
          </cell>
          <cell r="H45">
            <v>1.3800760135135136E-2</v>
          </cell>
          <cell r="I45">
            <v>1.3800760135135136E-2</v>
          </cell>
          <cell r="J45">
            <v>1.3800760135135136E-2</v>
          </cell>
          <cell r="K45">
            <v>1.3800760135135136E-2</v>
          </cell>
        </row>
        <row r="46">
          <cell r="C46" t="str">
            <v>Paid Family Medical Leave (State)</v>
          </cell>
          <cell r="E46">
            <v>2.5000000000000001E-3</v>
          </cell>
          <cell r="F46">
            <v>2.5000000000000001E-3</v>
          </cell>
          <cell r="G46">
            <v>2.5000000000000001E-3</v>
          </cell>
          <cell r="H46">
            <v>2.5000000000000001E-3</v>
          </cell>
          <cell r="I46">
            <v>2.5000000000000001E-3</v>
          </cell>
          <cell r="J46">
            <v>1.4E-3</v>
          </cell>
          <cell r="K46">
            <v>1.4E-3</v>
          </cell>
        </row>
        <row r="47">
          <cell r="C47" t="str">
            <v>Worker's Compensation Insurance</v>
          </cell>
          <cell r="E47">
            <v>0.01</v>
          </cell>
          <cell r="F47">
            <v>0.01</v>
          </cell>
          <cell r="G47">
            <v>0.01</v>
          </cell>
          <cell r="H47">
            <v>0.01</v>
          </cell>
          <cell r="I47">
            <v>0.01</v>
          </cell>
          <cell r="J47">
            <v>0.01</v>
          </cell>
          <cell r="K47">
            <v>0.01</v>
          </cell>
        </row>
        <row r="48">
          <cell r="C48" t="str">
            <v>Federal Unemployment</v>
          </cell>
          <cell r="E48">
            <v>6.0000000000000001E-3</v>
          </cell>
          <cell r="F48">
            <v>6.0000000000000001E-3</v>
          </cell>
          <cell r="G48">
            <v>6.0000000000000001E-3</v>
          </cell>
          <cell r="H48">
            <v>6.0000000000000001E-3</v>
          </cell>
          <cell r="I48">
            <v>6.0000000000000001E-3</v>
          </cell>
          <cell r="J48">
            <v>6.0000000000000001E-3</v>
          </cell>
          <cell r="K48">
            <v>6.0000000000000001E-3</v>
          </cell>
        </row>
        <row r="49">
          <cell r="C49" t="str">
            <v>SEBB</v>
          </cell>
          <cell r="E49">
            <v>968</v>
          </cell>
          <cell r="F49">
            <v>1032</v>
          </cell>
          <cell r="G49">
            <v>1032</v>
          </cell>
          <cell r="H49">
            <v>1032</v>
          </cell>
          <cell r="I49">
            <v>1032</v>
          </cell>
          <cell r="J49">
            <v>1032</v>
          </cell>
          <cell r="K49">
            <v>1032</v>
          </cell>
        </row>
        <row r="50">
          <cell r="C50" t="str">
            <v>SERS (Classified Retirement)</v>
          </cell>
          <cell r="E50">
            <v>0.11650000000000001</v>
          </cell>
          <cell r="F50">
            <v>0.11650000000000001</v>
          </cell>
          <cell r="G50">
            <v>0.1105</v>
          </cell>
          <cell r="H50">
            <v>0.1105</v>
          </cell>
          <cell r="I50">
            <v>0.1105</v>
          </cell>
          <cell r="J50">
            <v>0.1105</v>
          </cell>
          <cell r="K50">
            <v>0.1105</v>
          </cell>
        </row>
        <row r="51">
          <cell r="C51" t="str">
            <v>TRS (Certificated Retirement)</v>
          </cell>
          <cell r="E51">
            <v>0.14419999999999999</v>
          </cell>
          <cell r="F51">
            <v>0.14419999999999999</v>
          </cell>
          <cell r="G51">
            <v>8.0500000000000002E-2</v>
          </cell>
          <cell r="H51">
            <v>8.0500000000000002E-2</v>
          </cell>
          <cell r="I51">
            <v>8.0500000000000002E-2</v>
          </cell>
          <cell r="J51">
            <v>8.0500000000000002E-2</v>
          </cell>
          <cell r="K51">
            <v>8.0500000000000002E-2</v>
          </cell>
        </row>
        <row r="52">
          <cell r="C52" t="str">
            <v>TOTAL PAYROLL TAXES AND BENEFITS</v>
          </cell>
        </row>
        <row r="54">
          <cell r="C54" t="str">
            <v>TOTAL PERSONNEL, TAX &amp; BENEFIT EXPENSES</v>
          </cell>
        </row>
        <row r="55">
          <cell r="K55" t="str">
            <v>Helloo</v>
          </cell>
        </row>
        <row r="56">
          <cell r="C56" t="str">
            <v>CONTRACTED SERVICES</v>
          </cell>
        </row>
        <row r="57">
          <cell r="C57" t="str">
            <v xml:space="preserve">Accounting / Audit </v>
          </cell>
          <cell r="E57">
            <v>18000</v>
          </cell>
          <cell r="F57">
            <v>18360</v>
          </cell>
          <cell r="G57">
            <v>18727.2</v>
          </cell>
          <cell r="H57">
            <v>19101.744000000002</v>
          </cell>
          <cell r="I57">
            <v>19483.778880000002</v>
          </cell>
          <cell r="J57">
            <v>19873.454457600001</v>
          </cell>
          <cell r="K57">
            <v>20270.923546752001</v>
          </cell>
        </row>
        <row r="58">
          <cell r="C58" t="str">
            <v>Legal</v>
          </cell>
          <cell r="E58">
            <v>5000</v>
          </cell>
          <cell r="F58">
            <v>5000</v>
          </cell>
          <cell r="G58">
            <v>5000</v>
          </cell>
          <cell r="H58">
            <v>5000</v>
          </cell>
          <cell r="I58">
            <v>5000</v>
          </cell>
          <cell r="J58">
            <v>5000</v>
          </cell>
          <cell r="K58">
            <v>5000</v>
          </cell>
        </row>
        <row r="59">
          <cell r="C59" t="str">
            <v>Oversight Fee (3%)</v>
          </cell>
          <cell r="E59">
            <v>0.03</v>
          </cell>
          <cell r="F59">
            <v>0.03</v>
          </cell>
          <cell r="G59">
            <v>0.03</v>
          </cell>
          <cell r="H59">
            <v>0.03</v>
          </cell>
          <cell r="I59">
            <v>0.03</v>
          </cell>
          <cell r="J59">
            <v>0.03</v>
          </cell>
          <cell r="K59">
            <v>0.03</v>
          </cell>
        </row>
        <row r="60">
          <cell r="C60" t="str">
            <v>Substitute Teachers</v>
          </cell>
          <cell r="E60">
            <v>0</v>
          </cell>
          <cell r="F60">
            <v>0</v>
          </cell>
          <cell r="G60">
            <v>0</v>
          </cell>
          <cell r="H60">
            <v>0</v>
          </cell>
          <cell r="I60">
            <v>0</v>
          </cell>
          <cell r="J60">
            <v>0</v>
          </cell>
          <cell r="K60">
            <v>0</v>
          </cell>
        </row>
        <row r="61">
          <cell r="C61" t="str">
            <v>Student Health</v>
          </cell>
          <cell r="E61">
            <v>0</v>
          </cell>
          <cell r="F61">
            <v>0</v>
          </cell>
          <cell r="G61">
            <v>0</v>
          </cell>
          <cell r="H61">
            <v>0</v>
          </cell>
          <cell r="I61">
            <v>0</v>
          </cell>
          <cell r="J61">
            <v>0</v>
          </cell>
          <cell r="K61">
            <v>0</v>
          </cell>
        </row>
        <row r="62">
          <cell r="C62" t="str">
            <v>Back Office</v>
          </cell>
          <cell r="E62">
            <v>161000</v>
          </cell>
          <cell r="F62">
            <v>113399.99999999999</v>
          </cell>
          <cell r="G62">
            <v>116234.99999999997</v>
          </cell>
          <cell r="H62">
            <v>119140.87499999996</v>
          </cell>
          <cell r="I62">
            <v>122119.39687499995</v>
          </cell>
          <cell r="J62">
            <v>125172.38179687492</v>
          </cell>
          <cell r="K62">
            <v>128301.69134179679</v>
          </cell>
        </row>
        <row r="63">
          <cell r="C63" t="str">
            <v>Special Ed</v>
          </cell>
          <cell r="E63">
            <v>38020</v>
          </cell>
          <cell r="F63">
            <v>38650.5</v>
          </cell>
          <cell r="G63">
            <v>39296.762499999997</v>
          </cell>
          <cell r="H63">
            <v>35759.181562499987</v>
          </cell>
          <cell r="I63">
            <v>36438.161101562488</v>
          </cell>
          <cell r="J63">
            <v>37134.115129101541</v>
          </cell>
          <cell r="K63">
            <v>37847.46800732908</v>
          </cell>
        </row>
        <row r="64">
          <cell r="C64" t="str">
            <v>Program Support / PD</v>
          </cell>
          <cell r="E64">
            <v>31500</v>
          </cell>
          <cell r="F64">
            <v>18850</v>
          </cell>
          <cell r="G64">
            <v>6508.7499999999991</v>
          </cell>
          <cell r="H64">
            <v>6671.4687499999982</v>
          </cell>
          <cell r="I64">
            <v>6838.2554687499978</v>
          </cell>
          <cell r="J64">
            <v>7009.2118554687468</v>
          </cell>
          <cell r="K64">
            <v>7184.4421518554645</v>
          </cell>
        </row>
        <row r="65">
          <cell r="C65" t="str">
            <v>Afterschool</v>
          </cell>
          <cell r="E65">
            <v>28815.73</v>
          </cell>
          <cell r="F65">
            <v>29536.123249999997</v>
          </cell>
          <cell r="G65">
            <v>30274.526331249996</v>
          </cell>
          <cell r="H65">
            <v>31031.389489531244</v>
          </cell>
          <cell r="I65">
            <v>31807.174226769523</v>
          </cell>
          <cell r="J65">
            <v>32602.353582438758</v>
          </cell>
          <cell r="K65">
            <v>33417.412421999725</v>
          </cell>
        </row>
        <row r="66">
          <cell r="C66" t="str">
            <v>Food Service Management Company</v>
          </cell>
          <cell r="E66">
            <v>0</v>
          </cell>
          <cell r="F66">
            <v>0</v>
          </cell>
          <cell r="G66">
            <v>0</v>
          </cell>
          <cell r="H66">
            <v>0</v>
          </cell>
          <cell r="I66">
            <v>0</v>
          </cell>
          <cell r="J66">
            <v>0</v>
          </cell>
          <cell r="K66">
            <v>0</v>
          </cell>
        </row>
        <row r="67">
          <cell r="C67" t="str">
            <v>Tech support</v>
          </cell>
          <cell r="E67">
            <v>22000</v>
          </cell>
          <cell r="F67">
            <v>0</v>
          </cell>
          <cell r="G67">
            <v>0</v>
          </cell>
          <cell r="H67">
            <v>0</v>
          </cell>
          <cell r="I67">
            <v>0</v>
          </cell>
          <cell r="J67">
            <v>0</v>
          </cell>
          <cell r="K67">
            <v>0</v>
          </cell>
        </row>
        <row r="68">
          <cell r="C68" t="str">
            <v>TOTAL CONTRACTED SERVICES</v>
          </cell>
        </row>
        <row r="70">
          <cell r="C70" t="str">
            <v>SCHOOL OPERATIONS</v>
          </cell>
        </row>
        <row r="71">
          <cell r="C71" t="str">
            <v>Board Expenses</v>
          </cell>
          <cell r="E71">
            <v>11250</v>
          </cell>
          <cell r="F71">
            <v>11475</v>
          </cell>
          <cell r="G71">
            <v>6704.5</v>
          </cell>
          <cell r="H71">
            <v>6838.59</v>
          </cell>
          <cell r="I71">
            <v>6975.3618000000006</v>
          </cell>
          <cell r="J71">
            <v>7114.869036000001</v>
          </cell>
          <cell r="K71">
            <v>7257.1664167200015</v>
          </cell>
        </row>
        <row r="72">
          <cell r="C72" t="str">
            <v>Classroom / Teaching Supplies &amp; Materials</v>
          </cell>
          <cell r="E72">
            <v>93370</v>
          </cell>
          <cell r="F72">
            <v>70000</v>
          </cell>
          <cell r="G72">
            <v>58800</v>
          </cell>
          <cell r="H72">
            <v>41150</v>
          </cell>
          <cell r="I72">
            <v>27650</v>
          </cell>
          <cell r="J72">
            <v>17950</v>
          </cell>
          <cell r="K72">
            <v>38450</v>
          </cell>
        </row>
        <row r="73">
          <cell r="C73" t="str">
            <v>Special Ed Supplies &amp; Materials</v>
          </cell>
          <cell r="E73">
            <v>500</v>
          </cell>
          <cell r="F73">
            <v>500</v>
          </cell>
          <cell r="G73">
            <v>500</v>
          </cell>
          <cell r="H73">
            <v>500</v>
          </cell>
          <cell r="I73">
            <v>500</v>
          </cell>
          <cell r="J73">
            <v>500</v>
          </cell>
          <cell r="K73">
            <v>500</v>
          </cell>
        </row>
        <row r="74">
          <cell r="C74" t="str">
            <v>Textbooks / Workbooks</v>
          </cell>
          <cell r="E74">
            <v>75</v>
          </cell>
          <cell r="F74">
            <v>76.5</v>
          </cell>
          <cell r="G74">
            <v>78.03</v>
          </cell>
          <cell r="H74">
            <v>79.590600000000009</v>
          </cell>
          <cell r="I74">
            <v>81.182412000000014</v>
          </cell>
          <cell r="J74">
            <v>82.806060240000022</v>
          </cell>
          <cell r="K74">
            <v>84.462181444800024</v>
          </cell>
        </row>
        <row r="75">
          <cell r="C75" t="str">
            <v xml:space="preserve">Equipment / Furniture   </v>
          </cell>
          <cell r="E75">
            <v>29800</v>
          </cell>
          <cell r="F75">
            <v>36800</v>
          </cell>
          <cell r="G75">
            <v>24200</v>
          </cell>
          <cell r="H75">
            <v>25400</v>
          </cell>
          <cell r="I75">
            <v>11600</v>
          </cell>
          <cell r="J75">
            <v>11600</v>
          </cell>
          <cell r="K75">
            <v>11600</v>
          </cell>
        </row>
        <row r="76">
          <cell r="C76" t="str">
            <v>Internet / Phone</v>
          </cell>
          <cell r="E76">
            <v>7680</v>
          </cell>
          <cell r="F76">
            <v>7833.6</v>
          </cell>
          <cell r="G76">
            <v>7990.2720000000008</v>
          </cell>
          <cell r="H76">
            <v>8150.0774400000009</v>
          </cell>
          <cell r="I76">
            <v>8313.0789888000018</v>
          </cell>
          <cell r="J76">
            <v>8479.3405685760026</v>
          </cell>
          <cell r="K76">
            <v>8648.9273799475231</v>
          </cell>
        </row>
        <row r="77">
          <cell r="C77" t="str">
            <v>Technology Hardware</v>
          </cell>
          <cell r="E77">
            <v>7205.7185199999994</v>
          </cell>
          <cell r="F77">
            <v>4636.3325000000004</v>
          </cell>
          <cell r="G77">
            <v>8672.280999999999</v>
          </cell>
          <cell r="H77">
            <v>6196.7159699999993</v>
          </cell>
          <cell r="I77">
            <v>17699.962520000001</v>
          </cell>
          <cell r="J77">
            <v>14534.156589999999</v>
          </cell>
          <cell r="K77">
            <v>14534.156589999999</v>
          </cell>
        </row>
        <row r="78">
          <cell r="C78" t="str">
            <v>Technology Software</v>
          </cell>
          <cell r="E78">
            <v>24070.080000000002</v>
          </cell>
          <cell r="F78">
            <v>27100.680799999998</v>
          </cell>
          <cell r="G78">
            <v>29919.322607999995</v>
          </cell>
          <cell r="H78">
            <v>32522.786064079999</v>
          </cell>
          <cell r="I78">
            <v>34846.566255520796</v>
          </cell>
          <cell r="J78">
            <v>36517.189455651009</v>
          </cell>
          <cell r="K78">
            <v>37153.526186351752</v>
          </cell>
        </row>
        <row r="79">
          <cell r="C79" t="str">
            <v>Student Testing &amp; Assessment</v>
          </cell>
          <cell r="E79">
            <v>3345</v>
          </cell>
          <cell r="F79">
            <v>4020</v>
          </cell>
          <cell r="G79">
            <v>4635</v>
          </cell>
          <cell r="H79">
            <v>5175</v>
          </cell>
          <cell r="I79">
            <v>5480</v>
          </cell>
          <cell r="J79">
            <v>5480</v>
          </cell>
          <cell r="K79">
            <v>5480</v>
          </cell>
        </row>
        <row r="80">
          <cell r="C80" t="str">
            <v>Field Trips</v>
          </cell>
          <cell r="E80">
            <v>95</v>
          </cell>
          <cell r="F80">
            <v>96.9</v>
          </cell>
          <cell r="G80">
            <v>98.838000000000008</v>
          </cell>
          <cell r="H80">
            <v>100.81476000000001</v>
          </cell>
          <cell r="I80">
            <v>102.83105520000001</v>
          </cell>
          <cell r="J80">
            <v>104.88767630400001</v>
          </cell>
          <cell r="K80">
            <v>106.98542983008001</v>
          </cell>
        </row>
        <row r="81">
          <cell r="C81" t="str">
            <v>Transportation (student)</v>
          </cell>
          <cell r="E81">
            <v>15000</v>
          </cell>
          <cell r="F81">
            <v>15000</v>
          </cell>
          <cell r="G81">
            <v>28999.999999999993</v>
          </cell>
          <cell r="H81">
            <v>44500</v>
          </cell>
          <cell r="I81">
            <v>52000</v>
          </cell>
          <cell r="J81">
            <v>52000</v>
          </cell>
          <cell r="K81">
            <v>52000</v>
          </cell>
        </row>
        <row r="82">
          <cell r="C82" t="str">
            <v>Student Services - other</v>
          </cell>
          <cell r="E82">
            <v>25</v>
          </cell>
          <cell r="F82">
            <v>25.5</v>
          </cell>
          <cell r="G82">
            <v>26.01</v>
          </cell>
          <cell r="H82">
            <v>26.530200000000001</v>
          </cell>
          <cell r="I82">
            <v>27.060804000000001</v>
          </cell>
          <cell r="J82">
            <v>27.602020080000003</v>
          </cell>
          <cell r="K82">
            <v>28.154060481600002</v>
          </cell>
        </row>
        <row r="83">
          <cell r="C83" t="str">
            <v>Office Expense</v>
          </cell>
          <cell r="E83">
            <v>8000</v>
          </cell>
          <cell r="F83">
            <v>8160</v>
          </cell>
          <cell r="G83">
            <v>8323.2000000000007</v>
          </cell>
          <cell r="H83">
            <v>8489.6640000000007</v>
          </cell>
          <cell r="I83">
            <v>8659.4572800000005</v>
          </cell>
          <cell r="J83">
            <v>8832.6464255999999</v>
          </cell>
          <cell r="K83">
            <v>9009.2993541119995</v>
          </cell>
        </row>
        <row r="84">
          <cell r="C84" t="str">
            <v>Staff Development</v>
          </cell>
          <cell r="E84">
            <v>200</v>
          </cell>
          <cell r="F84">
            <v>204</v>
          </cell>
          <cell r="G84">
            <v>208.08</v>
          </cell>
          <cell r="H84">
            <v>212.24160000000001</v>
          </cell>
          <cell r="I84">
            <v>216.48643200000001</v>
          </cell>
          <cell r="J84">
            <v>220.81616064000002</v>
          </cell>
          <cell r="K84">
            <v>225.23248385280002</v>
          </cell>
        </row>
        <row r="85">
          <cell r="C85" t="str">
            <v>Staff Recruitment</v>
          </cell>
          <cell r="E85">
            <v>2000</v>
          </cell>
          <cell r="F85">
            <v>2040</v>
          </cell>
          <cell r="G85">
            <v>2080.8000000000002</v>
          </cell>
          <cell r="H85">
            <v>2122.4160000000002</v>
          </cell>
          <cell r="I85">
            <v>2164.8643200000001</v>
          </cell>
          <cell r="J85">
            <v>2208.1616064</v>
          </cell>
          <cell r="K85">
            <v>2252.3248385279999</v>
          </cell>
        </row>
        <row r="86">
          <cell r="C86" t="str">
            <v>Student Recruitment / Marketing</v>
          </cell>
          <cell r="E86">
            <v>3000</v>
          </cell>
          <cell r="F86">
            <v>3060</v>
          </cell>
          <cell r="G86">
            <v>3121.2000000000003</v>
          </cell>
          <cell r="H86">
            <v>3183.6240000000003</v>
          </cell>
          <cell r="I86">
            <v>3247.2964800000004</v>
          </cell>
          <cell r="J86">
            <v>3312.2424096000004</v>
          </cell>
          <cell r="K86">
            <v>3378.4872577920005</v>
          </cell>
        </row>
        <row r="87">
          <cell r="C87" t="str">
            <v>School Meals / Lunch</v>
          </cell>
          <cell r="E87">
            <v>867.90606060606069</v>
          </cell>
          <cell r="F87">
            <v>853.59128399999986</v>
          </cell>
          <cell r="G87">
            <v>868.59010227599993</v>
          </cell>
          <cell r="H87">
            <v>875.38956656111975</v>
          </cell>
          <cell r="I87">
            <v>888.58384408609902</v>
          </cell>
          <cell r="J87">
            <v>915.15508913255724</v>
          </cell>
          <cell r="K87">
            <v>933.45819091520832</v>
          </cell>
        </row>
        <row r="88">
          <cell r="C88" t="str">
            <v>Travel (Staff)</v>
          </cell>
          <cell r="E88">
            <v>300</v>
          </cell>
          <cell r="F88">
            <v>2500</v>
          </cell>
          <cell r="G88">
            <v>2550</v>
          </cell>
          <cell r="H88">
            <v>2601</v>
          </cell>
          <cell r="I88">
            <v>2653.02</v>
          </cell>
          <cell r="J88">
            <v>2706.0803999999998</v>
          </cell>
          <cell r="K88">
            <v>2760.2020079999998</v>
          </cell>
        </row>
        <row r="89">
          <cell r="C89" t="str">
            <v>Fundraising</v>
          </cell>
          <cell r="E89">
            <v>5000</v>
          </cell>
          <cell r="F89">
            <v>5000</v>
          </cell>
          <cell r="G89">
            <v>5000</v>
          </cell>
          <cell r="H89">
            <v>5000</v>
          </cell>
          <cell r="I89">
            <v>5000</v>
          </cell>
          <cell r="J89">
            <v>6250</v>
          </cell>
          <cell r="K89">
            <v>6250</v>
          </cell>
        </row>
        <row r="90">
          <cell r="C90" t="str">
            <v>Dues &amp; Memberships</v>
          </cell>
          <cell r="E90">
            <v>2000</v>
          </cell>
          <cell r="F90">
            <v>2075</v>
          </cell>
          <cell r="G90">
            <v>2300</v>
          </cell>
          <cell r="H90">
            <v>2505</v>
          </cell>
          <cell r="I90">
            <v>2685</v>
          </cell>
          <cell r="J90">
            <v>2310</v>
          </cell>
          <cell r="K90">
            <v>2350</v>
          </cell>
        </row>
        <row r="91">
          <cell r="C91" t="str">
            <v>Printer</v>
          </cell>
          <cell r="E91">
            <v>2500</v>
          </cell>
          <cell r="F91">
            <v>2550</v>
          </cell>
          <cell r="G91">
            <v>2601</v>
          </cell>
          <cell r="H91">
            <v>2653.02</v>
          </cell>
          <cell r="I91">
            <v>2706.0803999999998</v>
          </cell>
          <cell r="J91">
            <v>2760.2020079999998</v>
          </cell>
          <cell r="K91">
            <v>2815.40604816</v>
          </cell>
        </row>
        <row r="92">
          <cell r="C92" t="str">
            <v>TOTAL SCHOOL OPERATIONS</v>
          </cell>
        </row>
        <row r="94">
          <cell r="C94" t="str">
            <v>FACILITY OPERATION &amp; MAINTENANCE</v>
          </cell>
        </row>
        <row r="95">
          <cell r="C95" t="str">
            <v>Insurance</v>
          </cell>
          <cell r="E95">
            <v>12500</v>
          </cell>
          <cell r="F95">
            <v>12750</v>
          </cell>
          <cell r="G95">
            <v>13005</v>
          </cell>
          <cell r="H95">
            <v>13265.1</v>
          </cell>
          <cell r="I95">
            <v>13530.402</v>
          </cell>
          <cell r="J95">
            <v>13801.010040000001</v>
          </cell>
          <cell r="K95">
            <v>14077.030240800001</v>
          </cell>
        </row>
        <row r="96">
          <cell r="C96" t="str">
            <v>Janitorial Services</v>
          </cell>
          <cell r="E96">
            <v>57.89473684210526</v>
          </cell>
          <cell r="F96">
            <v>125</v>
          </cell>
          <cell r="G96">
            <v>127.5</v>
          </cell>
          <cell r="H96">
            <v>130.05000000000001</v>
          </cell>
          <cell r="I96">
            <v>132.65100000000001</v>
          </cell>
          <cell r="J96">
            <v>135.30402000000001</v>
          </cell>
          <cell r="K96">
            <v>138.0101004</v>
          </cell>
        </row>
        <row r="97">
          <cell r="C97" t="str">
            <v>Building and Land Rent / Lease</v>
          </cell>
          <cell r="E97">
            <v>168105.68</v>
          </cell>
          <cell r="F97">
            <v>190200.19832000002</v>
          </cell>
          <cell r="G97">
            <v>266259.99144575995</v>
          </cell>
          <cell r="H97">
            <v>311739.62143832067</v>
          </cell>
          <cell r="I97">
            <v>357569.16767217161</v>
          </cell>
          <cell r="J97">
            <v>381673.67886611196</v>
          </cell>
          <cell r="K97">
            <v>384432.5148280547</v>
          </cell>
        </row>
        <row r="98">
          <cell r="C98" t="str">
            <v xml:space="preserve">Repairs &amp; Maintenance </v>
          </cell>
          <cell r="E98">
            <v>3000</v>
          </cell>
          <cell r="F98">
            <v>0</v>
          </cell>
          <cell r="G98">
            <v>8624</v>
          </cell>
          <cell r="H98">
            <v>0</v>
          </cell>
          <cell r="I98">
            <v>0</v>
          </cell>
          <cell r="J98">
            <v>0</v>
          </cell>
          <cell r="K98">
            <v>0</v>
          </cell>
        </row>
        <row r="99">
          <cell r="C99" t="str">
            <v>Security Services</v>
          </cell>
          <cell r="E99">
            <v>0</v>
          </cell>
          <cell r="F99">
            <v>0</v>
          </cell>
          <cell r="G99">
            <v>0</v>
          </cell>
          <cell r="H99">
            <v>0</v>
          </cell>
          <cell r="I99">
            <v>0</v>
          </cell>
          <cell r="J99">
            <v>0</v>
          </cell>
          <cell r="K99">
            <v>0</v>
          </cell>
        </row>
        <row r="100">
          <cell r="C100" t="str">
            <v>Utilities</v>
          </cell>
          <cell r="E100">
            <v>0</v>
          </cell>
          <cell r="F100">
            <v>0</v>
          </cell>
          <cell r="G100">
            <v>0</v>
          </cell>
          <cell r="H100">
            <v>0</v>
          </cell>
          <cell r="I100">
            <v>0</v>
          </cell>
          <cell r="J100">
            <v>0</v>
          </cell>
          <cell r="K100">
            <v>0</v>
          </cell>
        </row>
        <row r="101">
          <cell r="C101" t="str">
            <v>Financing Costs (Loan Payments - Interest)</v>
          </cell>
          <cell r="E101">
            <v>63471.12</v>
          </cell>
          <cell r="F101">
            <v>53146.043470470919</v>
          </cell>
          <cell r="G101">
            <v>59832.387913107712</v>
          </cell>
          <cell r="H101">
            <v>60100.092540573343</v>
          </cell>
          <cell r="I101">
            <v>63755.645384586758</v>
          </cell>
          <cell r="J101">
            <v>71574.46674539322</v>
          </cell>
          <cell r="K101">
            <v>51860.145488106238</v>
          </cell>
        </row>
        <row r="102">
          <cell r="C102" t="str">
            <v>TOTAL FACILITY OPERATION &amp; MAINTENANCE</v>
          </cell>
        </row>
        <row r="104">
          <cell r="C104" t="str">
            <v>RESERVES / CONTIGENCY</v>
          </cell>
          <cell r="F104">
            <v>58879.930795007444</v>
          </cell>
          <cell r="G104">
            <v>76485.805614260142</v>
          </cell>
          <cell r="H104">
            <v>87775.135679839383</v>
          </cell>
          <cell r="I104">
            <v>138084.72962433417</v>
          </cell>
          <cell r="J104">
            <v>146785.46002908013</v>
          </cell>
          <cell r="K104">
            <v>153775.89523597978</v>
          </cell>
        </row>
        <row r="105">
          <cell r="C105" t="str">
            <v>DEPRECIATION / AMORTIZATION</v>
          </cell>
          <cell r="E105">
            <v>94883</v>
          </cell>
          <cell r="F105">
            <v>94883</v>
          </cell>
          <cell r="G105">
            <v>94883</v>
          </cell>
          <cell r="H105">
            <v>94883</v>
          </cell>
          <cell r="I105">
            <v>94883</v>
          </cell>
          <cell r="J105">
            <v>0</v>
          </cell>
          <cell r="K105">
            <v>0</v>
          </cell>
        </row>
        <row r="111">
          <cell r="C111" t="str">
            <v>UTILITIES. Lessor shall pay for and provide all utilities serving the premises during
the term of this Lease, and any renewals, including, without limitation, natural gas, electricity,
telephone, water, storm water, irrigation water, sewer, and garbage collection. Lessor shall have no
liability for interruption or failure of any such utility service and rent shall not abate during the
period of any such interruption. Janitor service includes exterior and interior window washing,
restroom supplies and light bulb replacement, and such other items as set for in Exhibit "___" which
is attached hereto and incorporated herein by reference.</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11">
          <cell r="D11" t="str">
            <v>2021-22</v>
          </cell>
        </row>
      </sheetData>
      <sheetData sheetId="52" refreshError="1"/>
      <sheetData sheetId="53" refreshError="1"/>
      <sheetData sheetId="54" refreshError="1"/>
      <sheetData sheetId="55" refreshError="1"/>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mypcm21.box.com/s/qm93erqar4thxauovwcbbcwjdci87qb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7AFE4-D0B0-4DD8-8545-236CA2FFDD34}">
  <dimension ref="A1:L73"/>
  <sheetViews>
    <sheetView tabSelected="1" zoomScale="85" zoomScaleNormal="85" workbookViewId="0">
      <selection activeCell="F70" sqref="F70"/>
    </sheetView>
  </sheetViews>
  <sheetFormatPr defaultRowHeight="17.25" x14ac:dyDescent="0.3"/>
  <cols>
    <col min="1" max="1" width="5.28515625" style="1" customWidth="1"/>
    <col min="2" max="2" width="21.7109375" style="4" customWidth="1"/>
    <col min="3" max="3" width="52.7109375" style="1" customWidth="1"/>
    <col min="4" max="4" width="63.7109375" style="1" customWidth="1"/>
    <col min="5" max="5" width="8" style="1" customWidth="1"/>
    <col min="6" max="6" width="39.28515625" style="1" customWidth="1"/>
    <col min="7" max="8" width="9.140625" style="1"/>
    <col min="9" max="9" width="17.85546875" style="1" bestFit="1" customWidth="1"/>
    <col min="10" max="11" width="18.28515625" style="1" bestFit="1" customWidth="1"/>
    <col min="12" max="16384" width="9.140625" style="1"/>
  </cols>
  <sheetData>
    <row r="1" spans="1:6" ht="26.25" x14ac:dyDescent="0.45">
      <c r="A1" s="81" t="s">
        <v>0</v>
      </c>
      <c r="B1" s="81"/>
      <c r="C1" s="81"/>
      <c r="D1" s="81"/>
      <c r="E1" s="81"/>
      <c r="F1" s="81"/>
    </row>
    <row r="2" spans="1:6" x14ac:dyDescent="0.3">
      <c r="A2" s="59" t="s">
        <v>1</v>
      </c>
      <c r="B2" s="59"/>
      <c r="C2" s="3" t="s">
        <v>2</v>
      </c>
    </row>
    <row r="3" spans="1:6" x14ac:dyDescent="0.3">
      <c r="C3" s="3"/>
    </row>
    <row r="4" spans="1:6" x14ac:dyDescent="0.3">
      <c r="A4" s="58" t="s">
        <v>21</v>
      </c>
      <c r="B4" s="58"/>
      <c r="C4" s="80" t="s">
        <v>20</v>
      </c>
      <c r="D4" s="58"/>
      <c r="E4" s="58" t="s">
        <v>22</v>
      </c>
      <c r="F4" s="58"/>
    </row>
    <row r="5" spans="1:6" s="2" customFormat="1" ht="51.75" x14ac:dyDescent="0.3">
      <c r="A5" s="10" t="s">
        <v>3</v>
      </c>
      <c r="B5" s="12" t="s">
        <v>38</v>
      </c>
      <c r="C5" s="11" t="s">
        <v>4</v>
      </c>
      <c r="D5" s="10" t="s">
        <v>5</v>
      </c>
      <c r="E5" s="10" t="s">
        <v>23</v>
      </c>
      <c r="F5" s="10" t="s">
        <v>24</v>
      </c>
    </row>
    <row r="6" spans="1:6" s="5" customFormat="1" ht="17.25" customHeight="1" x14ac:dyDescent="0.3">
      <c r="A6" s="60" t="s">
        <v>6</v>
      </c>
      <c r="B6" s="61"/>
      <c r="C6" s="72" t="s">
        <v>25</v>
      </c>
      <c r="D6" s="76" t="s">
        <v>7</v>
      </c>
      <c r="E6" s="7" t="s">
        <v>10</v>
      </c>
      <c r="F6" s="32">
        <f>+'Statement of Financial Position'!B19/'Statement of Financial Position'!B42</f>
        <v>1.9382130634127659</v>
      </c>
    </row>
    <row r="7" spans="1:6" x14ac:dyDescent="0.3">
      <c r="A7" s="62"/>
      <c r="B7" s="63"/>
      <c r="C7" s="73"/>
      <c r="D7" s="77"/>
      <c r="E7" s="7" t="s">
        <v>11</v>
      </c>
      <c r="F7" s="32">
        <f>+'Statement of Financial Position'!C19/'Statement of Financial Position'!C42</f>
        <v>1.7902513772809796</v>
      </c>
    </row>
    <row r="8" spans="1:6" x14ac:dyDescent="0.3">
      <c r="A8" s="62"/>
      <c r="B8" s="63"/>
      <c r="C8" s="73"/>
      <c r="D8" s="77"/>
      <c r="E8" s="7" t="s">
        <v>12</v>
      </c>
      <c r="F8" s="32">
        <f>+'Statement of Financial Position'!D19/'Statement of Financial Position'!D42</f>
        <v>1.401681425231367</v>
      </c>
    </row>
    <row r="9" spans="1:6" x14ac:dyDescent="0.3">
      <c r="A9" s="62"/>
      <c r="B9" s="63"/>
      <c r="C9" s="73"/>
      <c r="D9" s="77"/>
      <c r="E9" s="7" t="s">
        <v>13</v>
      </c>
      <c r="F9" s="32">
        <f>+'Statement of Financial Position'!E19/'Statement of Financial Position'!E42</f>
        <v>1.1700820141362407</v>
      </c>
    </row>
    <row r="10" spans="1:6" x14ac:dyDescent="0.3">
      <c r="A10" s="62"/>
      <c r="B10" s="63"/>
      <c r="C10" s="73"/>
      <c r="D10" s="77"/>
      <c r="E10" s="7" t="s">
        <v>14</v>
      </c>
      <c r="F10" s="35">
        <f>+'Statement of Financial Position'!F19/'Statement of Financial Position'!F42</f>
        <v>0.94239291253647861</v>
      </c>
    </row>
    <row r="11" spans="1:6" x14ac:dyDescent="0.3">
      <c r="A11" s="62"/>
      <c r="B11" s="63"/>
      <c r="C11" s="73"/>
      <c r="D11" s="77"/>
      <c r="E11" s="7" t="s">
        <v>15</v>
      </c>
      <c r="F11" s="35">
        <f>+'Statement of Financial Position'!G19/'Statement of Financial Position'!G42</f>
        <v>0.94700722141605487</v>
      </c>
    </row>
    <row r="12" spans="1:6" x14ac:dyDescent="0.3">
      <c r="A12" s="62"/>
      <c r="B12" s="63"/>
      <c r="C12" s="73"/>
      <c r="D12" s="77"/>
      <c r="E12" s="7" t="s">
        <v>16</v>
      </c>
      <c r="F12" s="35">
        <f>+'Statement of Financial Position'!H19/'Statement of Financial Position'!H42</f>
        <v>0.90916138488492071</v>
      </c>
    </row>
    <row r="13" spans="1:6" x14ac:dyDescent="0.3">
      <c r="A13" s="62"/>
      <c r="B13" s="63"/>
      <c r="C13" s="73"/>
      <c r="D13" s="77"/>
      <c r="E13" s="6" t="s">
        <v>17</v>
      </c>
      <c r="F13" s="32"/>
    </row>
    <row r="14" spans="1:6" x14ac:dyDescent="0.3">
      <c r="A14" s="62"/>
      <c r="B14" s="63"/>
      <c r="C14" s="73"/>
      <c r="D14" s="77"/>
      <c r="E14" s="7" t="s">
        <v>8</v>
      </c>
      <c r="F14" s="32"/>
    </row>
    <row r="15" spans="1:6" x14ac:dyDescent="0.3">
      <c r="A15" s="62"/>
      <c r="B15" s="63"/>
      <c r="C15" s="73"/>
      <c r="D15" s="77"/>
      <c r="E15" s="7" t="s">
        <v>18</v>
      </c>
      <c r="F15" s="32"/>
    </row>
    <row r="16" spans="1:6" x14ac:dyDescent="0.3">
      <c r="A16" s="62"/>
      <c r="B16" s="63"/>
      <c r="C16" s="74"/>
      <c r="D16" s="78"/>
      <c r="E16" s="7" t="s">
        <v>19</v>
      </c>
      <c r="F16" s="32"/>
    </row>
    <row r="17" spans="1:9" x14ac:dyDescent="0.3">
      <c r="A17" s="64"/>
      <c r="B17" s="65"/>
      <c r="C17" s="75"/>
      <c r="D17" s="79"/>
      <c r="E17" s="8" t="s">
        <v>9</v>
      </c>
      <c r="F17" s="32"/>
    </row>
    <row r="18" spans="1:9" ht="51.75" x14ac:dyDescent="0.3">
      <c r="A18" s="10" t="s">
        <v>26</v>
      </c>
      <c r="B18" s="12" t="s">
        <v>37</v>
      </c>
      <c r="C18" s="11" t="s">
        <v>4</v>
      </c>
      <c r="D18" s="10" t="s">
        <v>5</v>
      </c>
      <c r="E18" s="10" t="s">
        <v>23</v>
      </c>
      <c r="F18" s="10" t="s">
        <v>24</v>
      </c>
    </row>
    <row r="19" spans="1:9" x14ac:dyDescent="0.3">
      <c r="A19" s="66" t="s">
        <v>6</v>
      </c>
      <c r="B19" s="67"/>
      <c r="C19" s="72" t="s">
        <v>27</v>
      </c>
      <c r="D19" s="76" t="s">
        <v>7</v>
      </c>
      <c r="E19" s="7" t="s">
        <v>10</v>
      </c>
      <c r="F19" s="35">
        <f>'Statement of Financial Position'!B12/('FF - Tracker'!$I$24/365)</f>
        <v>29.673891092030857</v>
      </c>
    </row>
    <row r="20" spans="1:9" x14ac:dyDescent="0.3">
      <c r="A20" s="68"/>
      <c r="B20" s="69"/>
      <c r="C20" s="73"/>
      <c r="D20" s="77"/>
      <c r="E20" s="7" t="s">
        <v>11</v>
      </c>
      <c r="F20" s="32">
        <f>'Statement of Financial Position'!C12/('FF - Tracker'!$I$24/365)</f>
        <v>49.9938630427012</v>
      </c>
    </row>
    <row r="21" spans="1:9" x14ac:dyDescent="0.3">
      <c r="A21" s="68"/>
      <c r="B21" s="69"/>
      <c r="C21" s="73"/>
      <c r="D21" s="77"/>
      <c r="E21" s="7" t="s">
        <v>12</v>
      </c>
      <c r="F21" s="35">
        <f>'Statement of Financial Position'!D12/('FF - Tracker'!$I$24/365)</f>
        <v>26.548363465998602</v>
      </c>
    </row>
    <row r="22" spans="1:9" x14ac:dyDescent="0.3">
      <c r="A22" s="68"/>
      <c r="B22" s="69"/>
      <c r="C22" s="73"/>
      <c r="D22" s="77"/>
      <c r="E22" s="7" t="s">
        <v>13</v>
      </c>
      <c r="F22" s="32">
        <f>'Statement of Financial Position'!E12/('FF - Tracker'!$I$24/365)</f>
        <v>25.379734697314742</v>
      </c>
    </row>
    <row r="23" spans="1:9" x14ac:dyDescent="0.3">
      <c r="A23" s="68"/>
      <c r="B23" s="69"/>
      <c r="C23" s="73"/>
      <c r="D23" s="77"/>
      <c r="E23" s="7" t="s">
        <v>14</v>
      </c>
      <c r="F23" s="50">
        <f>'Statement of Financial Position'!F12/('FF - Tracker'!$I$24/365)</f>
        <v>16.085490590958745</v>
      </c>
      <c r="I23" s="1" t="s">
        <v>112</v>
      </c>
    </row>
    <row r="24" spans="1:9" x14ac:dyDescent="0.3">
      <c r="A24" s="68"/>
      <c r="B24" s="69"/>
      <c r="C24" s="73"/>
      <c r="D24" s="77"/>
      <c r="E24" s="7" t="s">
        <v>15</v>
      </c>
      <c r="F24" s="32">
        <f>'Statement of Financial Position'!G12/('FF - Tracker'!$I$24/365)</f>
        <v>12.510045337965829</v>
      </c>
      <c r="I24" s="29">
        <v>2239725.54</v>
      </c>
    </row>
    <row r="25" spans="1:9" x14ac:dyDescent="0.3">
      <c r="A25" s="68"/>
      <c r="B25" s="69"/>
      <c r="C25" s="73"/>
      <c r="D25" s="77"/>
      <c r="E25" s="7" t="s">
        <v>16</v>
      </c>
      <c r="F25" s="32">
        <f>'Statement of Financial Position'!H12/('FF - Tracker'!$I$24/365)</f>
        <v>32.685335721983151</v>
      </c>
    </row>
    <row r="26" spans="1:9" x14ac:dyDescent="0.3">
      <c r="A26" s="68"/>
      <c r="B26" s="69"/>
      <c r="C26" s="73"/>
      <c r="D26" s="77"/>
      <c r="E26" s="6" t="s">
        <v>17</v>
      </c>
      <c r="F26" s="32"/>
    </row>
    <row r="27" spans="1:9" x14ac:dyDescent="0.3">
      <c r="A27" s="68"/>
      <c r="B27" s="69"/>
      <c r="C27" s="73"/>
      <c r="D27" s="77"/>
      <c r="E27" s="7" t="s">
        <v>8</v>
      </c>
      <c r="F27" s="32"/>
    </row>
    <row r="28" spans="1:9" x14ac:dyDescent="0.3">
      <c r="A28" s="68"/>
      <c r="B28" s="69"/>
      <c r="C28" s="73"/>
      <c r="D28" s="77"/>
      <c r="E28" s="7" t="s">
        <v>18</v>
      </c>
      <c r="F28" s="32"/>
    </row>
    <row r="29" spans="1:9" x14ac:dyDescent="0.3">
      <c r="A29" s="68"/>
      <c r="B29" s="69"/>
      <c r="C29" s="74"/>
      <c r="D29" s="78"/>
      <c r="E29" s="30" t="s">
        <v>19</v>
      </c>
      <c r="F29" s="32"/>
    </row>
    <row r="30" spans="1:9" x14ac:dyDescent="0.3">
      <c r="A30" s="70"/>
      <c r="B30" s="71"/>
      <c r="C30" s="75"/>
      <c r="D30" s="79"/>
      <c r="E30" s="9" t="s">
        <v>9</v>
      </c>
      <c r="F30" s="32"/>
    </row>
    <row r="31" spans="1:9" s="2" customFormat="1" ht="34.5" x14ac:dyDescent="0.3">
      <c r="A31" s="10" t="s">
        <v>28</v>
      </c>
      <c r="B31" s="12" t="s">
        <v>36</v>
      </c>
      <c r="C31" s="11" t="s">
        <v>4</v>
      </c>
      <c r="D31" s="10" t="s">
        <v>5</v>
      </c>
      <c r="E31" s="10" t="s">
        <v>23</v>
      </c>
      <c r="F31" s="10" t="s">
        <v>24</v>
      </c>
    </row>
    <row r="32" spans="1:9" s="5" customFormat="1" ht="17.25" customHeight="1" x14ac:dyDescent="0.25">
      <c r="A32" s="66" t="s">
        <v>29</v>
      </c>
      <c r="B32" s="67"/>
      <c r="C32" s="72" t="s">
        <v>30</v>
      </c>
      <c r="D32" s="76" t="s">
        <v>7</v>
      </c>
      <c r="E32" s="8" t="s">
        <v>10</v>
      </c>
      <c r="F32" s="33" t="s">
        <v>113</v>
      </c>
    </row>
    <row r="33" spans="1:10" x14ac:dyDescent="0.3">
      <c r="A33" s="68"/>
      <c r="B33" s="69"/>
      <c r="C33" s="73"/>
      <c r="D33" s="77"/>
      <c r="E33" s="7" t="s">
        <v>11</v>
      </c>
      <c r="F33" s="33" t="s">
        <v>113</v>
      </c>
    </row>
    <row r="34" spans="1:10" x14ac:dyDescent="0.3">
      <c r="A34" s="68"/>
      <c r="B34" s="69"/>
      <c r="C34" s="73"/>
      <c r="D34" s="77"/>
      <c r="E34" s="7" t="s">
        <v>12</v>
      </c>
      <c r="F34" s="33" t="s">
        <v>113</v>
      </c>
    </row>
    <row r="35" spans="1:10" x14ac:dyDescent="0.3">
      <c r="A35" s="68"/>
      <c r="B35" s="69"/>
      <c r="C35" s="73"/>
      <c r="D35" s="77"/>
      <c r="E35" s="7" t="s">
        <v>13</v>
      </c>
      <c r="F35" s="33" t="s">
        <v>113</v>
      </c>
    </row>
    <row r="36" spans="1:10" x14ac:dyDescent="0.3">
      <c r="A36" s="68"/>
      <c r="B36" s="69"/>
      <c r="C36" s="73"/>
      <c r="D36" s="77"/>
      <c r="E36" s="7" t="s">
        <v>14</v>
      </c>
      <c r="F36" s="33" t="s">
        <v>113</v>
      </c>
    </row>
    <row r="37" spans="1:10" x14ac:dyDescent="0.3">
      <c r="A37" s="68"/>
      <c r="B37" s="69"/>
      <c r="C37" s="73"/>
      <c r="D37" s="77"/>
      <c r="E37" s="7" t="s">
        <v>15</v>
      </c>
      <c r="F37" s="33" t="s">
        <v>113</v>
      </c>
    </row>
    <row r="38" spans="1:10" x14ac:dyDescent="0.3">
      <c r="A38" s="68"/>
      <c r="B38" s="69"/>
      <c r="C38" s="73"/>
      <c r="D38" s="77"/>
      <c r="E38" s="7" t="s">
        <v>16</v>
      </c>
      <c r="F38" s="33" t="s">
        <v>113</v>
      </c>
    </row>
    <row r="39" spans="1:10" x14ac:dyDescent="0.3">
      <c r="A39" s="68"/>
      <c r="B39" s="69"/>
      <c r="C39" s="73"/>
      <c r="D39" s="77"/>
      <c r="E39" s="6" t="s">
        <v>17</v>
      </c>
      <c r="F39" s="33"/>
    </row>
    <row r="40" spans="1:10" x14ac:dyDescent="0.3">
      <c r="A40" s="68"/>
      <c r="B40" s="69"/>
      <c r="C40" s="73"/>
      <c r="D40" s="77"/>
      <c r="E40" s="7" t="s">
        <v>8</v>
      </c>
      <c r="F40" s="33"/>
    </row>
    <row r="41" spans="1:10" x14ac:dyDescent="0.3">
      <c r="A41" s="68"/>
      <c r="B41" s="69"/>
      <c r="C41" s="73"/>
      <c r="D41" s="77"/>
      <c r="E41" s="7" t="s">
        <v>18</v>
      </c>
      <c r="F41" s="33"/>
    </row>
    <row r="42" spans="1:10" x14ac:dyDescent="0.3">
      <c r="A42" s="68"/>
      <c r="B42" s="69"/>
      <c r="C42" s="74"/>
      <c r="D42" s="78"/>
      <c r="E42" s="30" t="s">
        <v>19</v>
      </c>
      <c r="F42" s="33"/>
    </row>
    <row r="43" spans="1:10" x14ac:dyDescent="0.3">
      <c r="A43" s="70"/>
      <c r="B43" s="71"/>
      <c r="C43" s="75"/>
      <c r="D43" s="79"/>
      <c r="E43" s="9" t="s">
        <v>9</v>
      </c>
      <c r="F43" s="33"/>
    </row>
    <row r="44" spans="1:10" ht="86.25" x14ac:dyDescent="0.3">
      <c r="A44" s="10" t="s">
        <v>31</v>
      </c>
      <c r="B44" s="12" t="s">
        <v>32</v>
      </c>
      <c r="C44" s="11" t="s">
        <v>4</v>
      </c>
      <c r="D44" s="10" t="s">
        <v>5</v>
      </c>
      <c r="E44" s="10" t="s">
        <v>23</v>
      </c>
      <c r="F44" s="10" t="s">
        <v>24</v>
      </c>
      <c r="I44" s="1" t="s">
        <v>138</v>
      </c>
    </row>
    <row r="45" spans="1:10" ht="57.75" customHeight="1" x14ac:dyDescent="0.3">
      <c r="A45" s="66" t="s">
        <v>6</v>
      </c>
      <c r="B45" s="67"/>
      <c r="C45" s="72" t="s">
        <v>137</v>
      </c>
      <c r="D45" s="76" t="s">
        <v>7</v>
      </c>
      <c r="E45" s="54" t="s">
        <v>142</v>
      </c>
      <c r="F45" s="52" t="s">
        <v>144</v>
      </c>
      <c r="I45" s="51">
        <v>-125537</v>
      </c>
      <c r="J45" s="1" t="s">
        <v>139</v>
      </c>
    </row>
    <row r="46" spans="1:10" ht="70.5" customHeight="1" x14ac:dyDescent="0.3">
      <c r="A46" s="68"/>
      <c r="B46" s="69"/>
      <c r="C46" s="73"/>
      <c r="D46" s="77"/>
      <c r="E46" s="55" t="s">
        <v>143</v>
      </c>
      <c r="F46" s="52" t="s">
        <v>141</v>
      </c>
      <c r="I46" s="51">
        <f>+'Statement of Financial Position'!H51</f>
        <v>-360255.43</v>
      </c>
      <c r="J46" s="1" t="s">
        <v>140</v>
      </c>
    </row>
    <row r="47" spans="1:10" ht="69" x14ac:dyDescent="0.3">
      <c r="A47" s="10" t="s">
        <v>33</v>
      </c>
      <c r="B47" s="12" t="s">
        <v>39</v>
      </c>
      <c r="C47" s="11" t="s">
        <v>4</v>
      </c>
      <c r="D47" s="10" t="s">
        <v>5</v>
      </c>
      <c r="E47" s="10" t="s">
        <v>23</v>
      </c>
      <c r="F47" s="10" t="s">
        <v>24</v>
      </c>
    </row>
    <row r="48" spans="1:10" x14ac:dyDescent="0.3">
      <c r="A48" s="66" t="s">
        <v>6</v>
      </c>
      <c r="B48" s="67"/>
      <c r="C48" s="72" t="s">
        <v>34</v>
      </c>
      <c r="D48" s="76" t="s">
        <v>7</v>
      </c>
      <c r="E48" s="8" t="s">
        <v>10</v>
      </c>
      <c r="F48" s="34">
        <f>'Statement of Financial Position'!B47/'Statement of Financial Position'!B27</f>
        <v>0.69158828619297785</v>
      </c>
    </row>
    <row r="49" spans="1:12" x14ac:dyDescent="0.3">
      <c r="A49" s="68"/>
      <c r="B49" s="69"/>
      <c r="C49" s="73"/>
      <c r="D49" s="77"/>
      <c r="E49" s="7" t="s">
        <v>11</v>
      </c>
      <c r="F49" s="34">
        <f>'Statement of Financial Position'!C47/'Statement of Financial Position'!C27</f>
        <v>0.77223682512204272</v>
      </c>
    </row>
    <row r="50" spans="1:12" x14ac:dyDescent="0.3">
      <c r="A50" s="68"/>
      <c r="B50" s="69"/>
      <c r="C50" s="73"/>
      <c r="D50" s="77"/>
      <c r="E50" s="7" t="s">
        <v>12</v>
      </c>
      <c r="F50" s="34">
        <f>'Statement of Financial Position'!D47/'Statement of Financial Position'!D27</f>
        <v>0.86707490494472683</v>
      </c>
    </row>
    <row r="51" spans="1:12" x14ac:dyDescent="0.3">
      <c r="A51" s="68"/>
      <c r="B51" s="69"/>
      <c r="C51" s="73"/>
      <c r="D51" s="77"/>
      <c r="E51" s="7" t="s">
        <v>13</v>
      </c>
      <c r="F51" s="53">
        <f>'Statement of Financial Position'!E47/'Statement of Financial Position'!E27</f>
        <v>0.90890081856374294</v>
      </c>
    </row>
    <row r="52" spans="1:12" x14ac:dyDescent="0.3">
      <c r="A52" s="68"/>
      <c r="B52" s="69"/>
      <c r="C52" s="73"/>
      <c r="D52" s="77"/>
      <c r="E52" s="7" t="s">
        <v>14</v>
      </c>
      <c r="F52" s="53">
        <f>'Statement of Financial Position'!F47/'Statement of Financial Position'!F27</f>
        <v>0.95483691058855624</v>
      </c>
    </row>
    <row r="53" spans="1:12" x14ac:dyDescent="0.3">
      <c r="A53" s="68"/>
      <c r="B53" s="69"/>
      <c r="C53" s="73"/>
      <c r="D53" s="77"/>
      <c r="E53" s="7" t="s">
        <v>15</v>
      </c>
      <c r="F53" s="53">
        <f>'Statement of Financial Position'!G47/'Statement of Financial Position'!G27</f>
        <v>0.978532605690278</v>
      </c>
    </row>
    <row r="54" spans="1:12" x14ac:dyDescent="0.3">
      <c r="A54" s="68"/>
      <c r="B54" s="69"/>
      <c r="C54" s="73"/>
      <c r="D54" s="77"/>
      <c r="E54" s="7" t="s">
        <v>16</v>
      </c>
      <c r="F54" s="53">
        <f>'Statement of Financial Position'!H47/'Statement of Financial Position'!H27</f>
        <v>1.0035291783290134</v>
      </c>
    </row>
    <row r="55" spans="1:12" x14ac:dyDescent="0.3">
      <c r="A55" s="68"/>
      <c r="B55" s="69"/>
      <c r="C55" s="73"/>
      <c r="D55" s="77"/>
      <c r="E55" s="6" t="s">
        <v>17</v>
      </c>
      <c r="F55" s="34"/>
    </row>
    <row r="56" spans="1:12" x14ac:dyDescent="0.3">
      <c r="A56" s="68"/>
      <c r="B56" s="69"/>
      <c r="C56" s="73"/>
      <c r="D56" s="77"/>
      <c r="E56" s="7" t="s">
        <v>8</v>
      </c>
      <c r="F56" s="34"/>
    </row>
    <row r="57" spans="1:12" x14ac:dyDescent="0.3">
      <c r="A57" s="68"/>
      <c r="B57" s="69"/>
      <c r="C57" s="73"/>
      <c r="D57" s="77"/>
      <c r="E57" s="7" t="s">
        <v>18</v>
      </c>
      <c r="F57" s="34"/>
    </row>
    <row r="58" spans="1:12" x14ac:dyDescent="0.3">
      <c r="A58" s="68"/>
      <c r="B58" s="69"/>
      <c r="C58" s="73"/>
      <c r="D58" s="77"/>
      <c r="E58" s="7" t="s">
        <v>19</v>
      </c>
      <c r="F58" s="34"/>
    </row>
    <row r="59" spans="1:12" x14ac:dyDescent="0.3">
      <c r="A59" s="70"/>
      <c r="B59" s="71"/>
      <c r="C59" s="75"/>
      <c r="D59" s="79"/>
      <c r="E59" s="9" t="s">
        <v>9</v>
      </c>
      <c r="F59" s="34"/>
    </row>
    <row r="60" spans="1:12" ht="51.75" x14ac:dyDescent="0.3">
      <c r="A60" s="10" t="s">
        <v>40</v>
      </c>
      <c r="B60" s="12" t="s">
        <v>35</v>
      </c>
      <c r="C60" s="11" t="s">
        <v>4</v>
      </c>
      <c r="D60" s="10" t="s">
        <v>5</v>
      </c>
      <c r="E60" s="10" t="s">
        <v>23</v>
      </c>
      <c r="F60" s="10" t="s">
        <v>24</v>
      </c>
      <c r="I60" s="1" t="s">
        <v>145</v>
      </c>
      <c r="J60" s="1" t="s">
        <v>146</v>
      </c>
      <c r="K60" s="1" t="s">
        <v>148</v>
      </c>
    </row>
    <row r="61" spans="1:12" ht="40.5" customHeight="1" x14ac:dyDescent="0.3">
      <c r="A61" s="66" t="s">
        <v>41</v>
      </c>
      <c r="B61" s="67"/>
      <c r="C61" s="90" t="s">
        <v>42</v>
      </c>
      <c r="D61" s="91"/>
      <c r="E61" s="8" t="s">
        <v>142</v>
      </c>
      <c r="F61" s="57" t="s">
        <v>147</v>
      </c>
      <c r="I61" s="56">
        <v>126543.79</v>
      </c>
      <c r="J61" s="56">
        <v>149248.95000000001</v>
      </c>
      <c r="K61" s="51">
        <v>220000</v>
      </c>
    </row>
    <row r="62" spans="1:12" ht="40.5" customHeight="1" x14ac:dyDescent="0.3">
      <c r="A62" s="68"/>
      <c r="B62" s="69"/>
      <c r="C62" s="92"/>
      <c r="D62" s="93"/>
      <c r="E62" s="7" t="s">
        <v>143</v>
      </c>
      <c r="F62" s="57" t="s">
        <v>114</v>
      </c>
      <c r="J62" s="56">
        <f>+J61-I61</f>
        <v>22705.160000000018</v>
      </c>
      <c r="K62" s="56">
        <f>+K61-J61</f>
        <v>70751.049999999988</v>
      </c>
      <c r="L62" s="1" t="s">
        <v>154</v>
      </c>
    </row>
    <row r="63" spans="1:12" ht="36" customHeight="1" x14ac:dyDescent="0.3">
      <c r="A63" s="88" t="s">
        <v>44</v>
      </c>
      <c r="B63" s="89"/>
      <c r="C63" s="82" t="s">
        <v>45</v>
      </c>
      <c r="D63" s="83"/>
      <c r="E63" s="10" t="s">
        <v>23</v>
      </c>
      <c r="F63" s="10" t="s">
        <v>48</v>
      </c>
    </row>
    <row r="64" spans="1:12" x14ac:dyDescent="0.3">
      <c r="A64" s="66" t="s">
        <v>47</v>
      </c>
      <c r="B64" s="67"/>
      <c r="C64" s="84" t="s">
        <v>46</v>
      </c>
      <c r="D64" s="85"/>
      <c r="E64" s="8" t="s">
        <v>10</v>
      </c>
      <c r="F64" s="36">
        <v>0.99</v>
      </c>
    </row>
    <row r="65" spans="1:6" x14ac:dyDescent="0.3">
      <c r="A65" s="68"/>
      <c r="B65" s="69"/>
      <c r="C65" s="86"/>
      <c r="D65" s="87"/>
      <c r="E65" s="7" t="s">
        <v>11</v>
      </c>
      <c r="F65" s="36">
        <v>0.97</v>
      </c>
    </row>
    <row r="66" spans="1:6" x14ac:dyDescent="0.3">
      <c r="A66" s="68"/>
      <c r="B66" s="69"/>
      <c r="C66" s="86"/>
      <c r="D66" s="87"/>
      <c r="E66" s="7" t="s">
        <v>12</v>
      </c>
      <c r="F66" s="31">
        <v>0.94</v>
      </c>
    </row>
    <row r="67" spans="1:6" x14ac:dyDescent="0.3">
      <c r="A67" s="68"/>
      <c r="B67" s="69"/>
      <c r="C67" s="86"/>
      <c r="D67" s="87"/>
      <c r="E67" s="7" t="s">
        <v>13</v>
      </c>
      <c r="F67" s="31">
        <v>0.94</v>
      </c>
    </row>
    <row r="68" spans="1:6" x14ac:dyDescent="0.3">
      <c r="A68" s="68"/>
      <c r="B68" s="69"/>
      <c r="C68" s="86"/>
      <c r="D68" s="87"/>
      <c r="E68" s="7" t="s">
        <v>14</v>
      </c>
      <c r="F68" s="36">
        <v>0.96</v>
      </c>
    </row>
    <row r="69" spans="1:6" x14ac:dyDescent="0.3">
      <c r="A69" s="68"/>
      <c r="B69" s="69"/>
      <c r="C69" s="86"/>
      <c r="D69" s="87"/>
      <c r="E69" s="7" t="s">
        <v>15</v>
      </c>
      <c r="F69" s="31">
        <v>0.92</v>
      </c>
    </row>
    <row r="70" spans="1:6" x14ac:dyDescent="0.3">
      <c r="A70" s="68"/>
      <c r="B70" s="69"/>
      <c r="C70" s="86"/>
      <c r="D70" s="87"/>
      <c r="E70" s="7" t="s">
        <v>16</v>
      </c>
      <c r="F70" s="31">
        <v>0.93</v>
      </c>
    </row>
    <row r="71" spans="1:6" x14ac:dyDescent="0.3">
      <c r="A71" s="68"/>
      <c r="B71" s="69"/>
      <c r="C71" s="86"/>
      <c r="D71" s="87"/>
      <c r="E71" s="6" t="s">
        <v>17</v>
      </c>
      <c r="F71" s="36"/>
    </row>
    <row r="72" spans="1:6" x14ac:dyDescent="0.3">
      <c r="A72" s="68"/>
      <c r="B72" s="69"/>
      <c r="C72" s="86"/>
      <c r="D72" s="87"/>
      <c r="E72" s="7" t="s">
        <v>8</v>
      </c>
      <c r="F72" s="36"/>
    </row>
    <row r="73" spans="1:6" x14ac:dyDescent="0.3">
      <c r="A73" s="68"/>
      <c r="B73" s="69"/>
      <c r="C73" s="86"/>
      <c r="D73" s="87"/>
      <c r="E73" s="7" t="s">
        <v>18</v>
      </c>
      <c r="F73" s="36"/>
    </row>
  </sheetData>
  <mergeCells count="26">
    <mergeCell ref="A1:F1"/>
    <mergeCell ref="A64:B73"/>
    <mergeCell ref="C63:D63"/>
    <mergeCell ref="C64:D73"/>
    <mergeCell ref="A63:B63"/>
    <mergeCell ref="A48:B59"/>
    <mergeCell ref="C48:C59"/>
    <mergeCell ref="D48:D59"/>
    <mergeCell ref="A61:B62"/>
    <mergeCell ref="C61:D62"/>
    <mergeCell ref="A32:B43"/>
    <mergeCell ref="C32:C43"/>
    <mergeCell ref="D32:D43"/>
    <mergeCell ref="A45:B46"/>
    <mergeCell ref="C45:C46"/>
    <mergeCell ref="D45:D46"/>
    <mergeCell ref="E4:F4"/>
    <mergeCell ref="A2:B2"/>
    <mergeCell ref="A6:B17"/>
    <mergeCell ref="A19:B30"/>
    <mergeCell ref="C19:C30"/>
    <mergeCell ref="D19:D30"/>
    <mergeCell ref="C6:C17"/>
    <mergeCell ref="D6:D17"/>
    <mergeCell ref="A4:B4"/>
    <mergeCell ref="C4:D4"/>
  </mergeCells>
  <hyperlinks>
    <hyperlink ref="C2" r:id="rId1" xr:uid="{E3590474-CB78-4131-87A0-A58355766DF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EDA6C-F2DA-491E-A44D-407757EF3680}">
  <dimension ref="A1:H63"/>
  <sheetViews>
    <sheetView topLeftCell="A21" workbookViewId="0">
      <selection activeCell="A8" sqref="A8"/>
    </sheetView>
  </sheetViews>
  <sheetFormatPr defaultRowHeight="15" x14ac:dyDescent="0.25"/>
  <cols>
    <col min="1" max="1" width="40.28515625" style="28" bestFit="1" customWidth="1"/>
    <col min="2" max="2" width="11.7109375" style="28" bestFit="1" customWidth="1"/>
    <col min="3" max="8" width="10.42578125" style="28" bestFit="1" customWidth="1"/>
    <col min="9" max="16384" width="9.140625" style="28"/>
  </cols>
  <sheetData>
    <row r="1" spans="1:8" ht="18" x14ac:dyDescent="0.25">
      <c r="A1" s="94" t="s">
        <v>111</v>
      </c>
      <c r="B1" s="95"/>
      <c r="C1" s="95"/>
      <c r="D1" s="95"/>
      <c r="E1" s="95"/>
      <c r="F1" s="95"/>
      <c r="G1" s="95"/>
      <c r="H1" s="95"/>
    </row>
    <row r="2" spans="1:8" ht="18" x14ac:dyDescent="0.25">
      <c r="A2" s="94" t="s">
        <v>110</v>
      </c>
      <c r="B2" s="95"/>
      <c r="C2" s="95"/>
      <c r="D2" s="95"/>
      <c r="E2" s="95"/>
      <c r="F2" s="95"/>
      <c r="G2" s="95"/>
      <c r="H2" s="95"/>
    </row>
    <row r="3" spans="1:8" x14ac:dyDescent="0.25">
      <c r="A3" s="96" t="s">
        <v>150</v>
      </c>
      <c r="B3" s="95"/>
      <c r="C3" s="95"/>
      <c r="D3" s="95"/>
      <c r="E3" s="95"/>
      <c r="F3" s="95"/>
      <c r="G3" s="95"/>
      <c r="H3" s="95"/>
    </row>
    <row r="4" spans="1:8" x14ac:dyDescent="0.25">
      <c r="A4"/>
      <c r="B4"/>
      <c r="C4"/>
      <c r="D4"/>
      <c r="E4"/>
      <c r="F4"/>
      <c r="G4"/>
      <c r="H4"/>
    </row>
    <row r="5" spans="1:8" x14ac:dyDescent="0.25">
      <c r="A5" s="27"/>
      <c r="B5" s="45" t="s">
        <v>131</v>
      </c>
      <c r="C5" s="45" t="s">
        <v>132</v>
      </c>
      <c r="D5" s="45" t="s">
        <v>133</v>
      </c>
      <c r="E5" s="45" t="s">
        <v>134</v>
      </c>
      <c r="F5" s="45" t="s">
        <v>135</v>
      </c>
      <c r="G5" s="45" t="s">
        <v>151</v>
      </c>
      <c r="H5" s="45" t="s">
        <v>152</v>
      </c>
    </row>
    <row r="6" spans="1:8" x14ac:dyDescent="0.25">
      <c r="A6" s="46" t="s">
        <v>109</v>
      </c>
      <c r="B6" s="47"/>
      <c r="C6" s="47"/>
      <c r="D6" s="47"/>
      <c r="E6" s="47"/>
      <c r="F6" s="47"/>
      <c r="G6" s="47"/>
      <c r="H6" s="47"/>
    </row>
    <row r="7" spans="1:8" x14ac:dyDescent="0.25">
      <c r="A7" s="46" t="s">
        <v>108</v>
      </c>
      <c r="B7" s="47"/>
      <c r="C7" s="47"/>
      <c r="D7" s="47"/>
      <c r="E7" s="47"/>
      <c r="F7" s="47"/>
      <c r="G7" s="47"/>
      <c r="H7" s="47"/>
    </row>
    <row r="8" spans="1:8" x14ac:dyDescent="0.25">
      <c r="A8" s="46" t="s">
        <v>107</v>
      </c>
      <c r="B8" s="47"/>
      <c r="C8" s="47"/>
      <c r="D8" s="47"/>
      <c r="E8" s="47"/>
      <c r="F8" s="47"/>
      <c r="G8" s="47"/>
      <c r="H8" s="47"/>
    </row>
    <row r="9" spans="1:8" x14ac:dyDescent="0.25">
      <c r="A9" s="46" t="s">
        <v>106</v>
      </c>
      <c r="B9" s="48">
        <f>179782.03</f>
        <v>179782.03</v>
      </c>
      <c r="C9" s="48">
        <f>304473.11</f>
        <v>304473.11</v>
      </c>
      <c r="D9" s="48">
        <f>157010.12</f>
        <v>157010.12</v>
      </c>
      <c r="E9" s="48">
        <f>149842.12</f>
        <v>149842.12</v>
      </c>
      <c r="F9" s="48">
        <f>92813.44</f>
        <v>92813.440000000002</v>
      </c>
      <c r="G9" s="48">
        <f>68345.16</f>
        <v>68345.16</v>
      </c>
      <c r="H9" s="48">
        <f>198469.23</f>
        <v>198469.23</v>
      </c>
    </row>
    <row r="10" spans="1:8" x14ac:dyDescent="0.25">
      <c r="A10" s="46" t="s">
        <v>105</v>
      </c>
      <c r="B10" s="48">
        <f>1208.39</f>
        <v>1208.3900000000001</v>
      </c>
      <c r="C10" s="48">
        <f>1205.39</f>
        <v>1205.3900000000001</v>
      </c>
      <c r="D10" s="48">
        <f>4801.28</f>
        <v>4801.28</v>
      </c>
      <c r="E10" s="48">
        <f>4798.28</f>
        <v>4798.28</v>
      </c>
      <c r="F10" s="48">
        <f>4795.28</f>
        <v>4795.28</v>
      </c>
      <c r="G10" s="48">
        <f>7323.78</f>
        <v>7323.78</v>
      </c>
      <c r="H10" s="48">
        <f>1000</f>
        <v>1000</v>
      </c>
    </row>
    <row r="11" spans="1:8" x14ac:dyDescent="0.25">
      <c r="A11" s="46" t="s">
        <v>104</v>
      </c>
      <c r="B11" s="48">
        <f>1095.53</f>
        <v>1095.53</v>
      </c>
      <c r="C11" s="48">
        <f>1095.56</f>
        <v>1095.56</v>
      </c>
      <c r="D11" s="48">
        <f>1095.58</f>
        <v>1095.58</v>
      </c>
      <c r="E11" s="48">
        <f>1095.6</f>
        <v>1095.5999999999999</v>
      </c>
      <c r="F11" s="48">
        <f>1095.62</f>
        <v>1095.6199999999999</v>
      </c>
      <c r="G11" s="48">
        <f>1095.63</f>
        <v>1095.6300000000001</v>
      </c>
      <c r="H11" s="48">
        <f>1095.65</f>
        <v>1095.6500000000001</v>
      </c>
    </row>
    <row r="12" spans="1:8" x14ac:dyDescent="0.25">
      <c r="A12" s="46" t="s">
        <v>103</v>
      </c>
      <c r="B12" s="49">
        <f t="shared" ref="B12:H12" si="0">((B9)+(B10))+(B11)</f>
        <v>182085.95</v>
      </c>
      <c r="C12" s="49">
        <f t="shared" si="0"/>
        <v>306774.06</v>
      </c>
      <c r="D12" s="49">
        <f t="shared" si="0"/>
        <v>162906.97999999998</v>
      </c>
      <c r="E12" s="49">
        <f t="shared" si="0"/>
        <v>155736</v>
      </c>
      <c r="F12" s="49">
        <f t="shared" si="0"/>
        <v>98704.34</v>
      </c>
      <c r="G12" s="49">
        <f t="shared" si="0"/>
        <v>76764.570000000007</v>
      </c>
      <c r="H12" s="49">
        <f t="shared" si="0"/>
        <v>200564.88</v>
      </c>
    </row>
    <row r="13" spans="1:8" x14ac:dyDescent="0.25">
      <c r="A13" s="46" t="s">
        <v>102</v>
      </c>
      <c r="B13" s="47"/>
      <c r="C13" s="47"/>
      <c r="D13" s="47"/>
      <c r="E13" s="47"/>
      <c r="F13" s="47"/>
      <c r="G13" s="47"/>
      <c r="H13" s="47"/>
    </row>
    <row r="14" spans="1:8" x14ac:dyDescent="0.25">
      <c r="A14" s="46" t="s">
        <v>101</v>
      </c>
      <c r="B14" s="48">
        <f>236201.68</f>
        <v>236201.68</v>
      </c>
      <c r="C14" s="48">
        <f>19819.72</f>
        <v>19819.72</v>
      </c>
      <c r="D14" s="48">
        <f>54099.9</f>
        <v>54099.9</v>
      </c>
      <c r="E14" s="48">
        <f>28026.55</f>
        <v>28026.55</v>
      </c>
      <c r="F14" s="48">
        <f>36317.33</f>
        <v>36317.33</v>
      </c>
      <c r="G14" s="48">
        <f>69645.42</f>
        <v>69645.42</v>
      </c>
      <c r="H14" s="48">
        <f>18909.01</f>
        <v>18909.009999999998</v>
      </c>
    </row>
    <row r="15" spans="1:8" x14ac:dyDescent="0.25">
      <c r="A15" s="46" t="s">
        <v>100</v>
      </c>
      <c r="B15" s="49">
        <f t="shared" ref="B15:H15" si="1">B14</f>
        <v>236201.68</v>
      </c>
      <c r="C15" s="49">
        <f t="shared" si="1"/>
        <v>19819.72</v>
      </c>
      <c r="D15" s="49">
        <f t="shared" si="1"/>
        <v>54099.9</v>
      </c>
      <c r="E15" s="49">
        <f t="shared" si="1"/>
        <v>28026.55</v>
      </c>
      <c r="F15" s="49">
        <f t="shared" si="1"/>
        <v>36317.33</v>
      </c>
      <c r="G15" s="49">
        <f t="shared" si="1"/>
        <v>69645.42</v>
      </c>
      <c r="H15" s="49">
        <f t="shared" si="1"/>
        <v>18909.009999999998</v>
      </c>
    </row>
    <row r="16" spans="1:8" x14ac:dyDescent="0.25">
      <c r="A16" s="46" t="s">
        <v>99</v>
      </c>
      <c r="B16" s="47"/>
      <c r="C16" s="47"/>
      <c r="D16" s="47"/>
      <c r="E16" s="47"/>
      <c r="F16" s="47"/>
      <c r="G16" s="47"/>
      <c r="H16" s="47"/>
    </row>
    <row r="17" spans="1:8" x14ac:dyDescent="0.25">
      <c r="A17" s="46" t="s">
        <v>98</v>
      </c>
      <c r="B17" s="48">
        <f>13874.38</f>
        <v>13874.38</v>
      </c>
      <c r="C17" s="48">
        <f>12379.72</f>
        <v>12379.72</v>
      </c>
      <c r="D17" s="48">
        <f>10885.06</f>
        <v>10885.06</v>
      </c>
      <c r="E17" s="48">
        <f>9390.4</f>
        <v>9390.4</v>
      </c>
      <c r="F17" s="48">
        <f>7350</f>
        <v>7350</v>
      </c>
      <c r="G17" s="48">
        <f>5825.01</f>
        <v>5825.01</v>
      </c>
      <c r="H17" s="48">
        <f>4300.02</f>
        <v>4300.0200000000004</v>
      </c>
    </row>
    <row r="18" spans="1:8" x14ac:dyDescent="0.25">
      <c r="A18" s="46" t="s">
        <v>97</v>
      </c>
      <c r="B18" s="49">
        <f t="shared" ref="B18:H18" si="2">B17</f>
        <v>13874.38</v>
      </c>
      <c r="C18" s="49">
        <f t="shared" si="2"/>
        <v>12379.72</v>
      </c>
      <c r="D18" s="49">
        <f t="shared" si="2"/>
        <v>10885.06</v>
      </c>
      <c r="E18" s="49">
        <f t="shared" si="2"/>
        <v>9390.4</v>
      </c>
      <c r="F18" s="49">
        <f t="shared" si="2"/>
        <v>7350</v>
      </c>
      <c r="G18" s="49">
        <f t="shared" si="2"/>
        <v>5825.01</v>
      </c>
      <c r="H18" s="49">
        <f t="shared" si="2"/>
        <v>4300.0200000000004</v>
      </c>
    </row>
    <row r="19" spans="1:8" x14ac:dyDescent="0.25">
      <c r="A19" s="46" t="s">
        <v>96</v>
      </c>
      <c r="B19" s="49">
        <f t="shared" ref="B19:H19" si="3">((B12)+(B15))+(B18)</f>
        <v>432162.01</v>
      </c>
      <c r="C19" s="49">
        <f t="shared" si="3"/>
        <v>338973.5</v>
      </c>
      <c r="D19" s="49">
        <f t="shared" si="3"/>
        <v>227891.93999999997</v>
      </c>
      <c r="E19" s="49">
        <f t="shared" si="3"/>
        <v>193152.94999999998</v>
      </c>
      <c r="F19" s="49">
        <f t="shared" si="3"/>
        <v>142371.66999999998</v>
      </c>
      <c r="G19" s="49">
        <f t="shared" si="3"/>
        <v>152235</v>
      </c>
      <c r="H19" s="49">
        <f t="shared" si="3"/>
        <v>223773.91</v>
      </c>
    </row>
    <row r="20" spans="1:8" x14ac:dyDescent="0.25">
      <c r="A20" s="46" t="s">
        <v>95</v>
      </c>
      <c r="B20" s="47"/>
      <c r="C20" s="47"/>
      <c r="D20" s="47"/>
      <c r="E20" s="47"/>
      <c r="F20" s="47"/>
      <c r="G20" s="47"/>
      <c r="H20" s="47"/>
    </row>
    <row r="21" spans="1:8" x14ac:dyDescent="0.25">
      <c r="A21" s="46" t="s">
        <v>94</v>
      </c>
      <c r="B21" s="48">
        <f>46770.36</f>
        <v>46770.36</v>
      </c>
      <c r="C21" s="48">
        <f t="shared" ref="C21:H24" si="4">B21</f>
        <v>46770.36</v>
      </c>
      <c r="D21" s="48">
        <f t="shared" si="4"/>
        <v>46770.36</v>
      </c>
      <c r="E21" s="48">
        <f t="shared" si="4"/>
        <v>46770.36</v>
      </c>
      <c r="F21" s="48">
        <f t="shared" si="4"/>
        <v>46770.36</v>
      </c>
      <c r="G21" s="48">
        <f t="shared" si="4"/>
        <v>46770.36</v>
      </c>
      <c r="H21" s="48">
        <f t="shared" si="4"/>
        <v>46770.36</v>
      </c>
    </row>
    <row r="22" spans="1:8" x14ac:dyDescent="0.25">
      <c r="A22" s="46" t="s">
        <v>93</v>
      </c>
      <c r="B22" s="48">
        <f>487508.43</f>
        <v>487508.43</v>
      </c>
      <c r="C22" s="48">
        <f t="shared" si="4"/>
        <v>487508.43</v>
      </c>
      <c r="D22" s="48">
        <f t="shared" si="4"/>
        <v>487508.43</v>
      </c>
      <c r="E22" s="48">
        <f t="shared" si="4"/>
        <v>487508.43</v>
      </c>
      <c r="F22" s="48">
        <f t="shared" si="4"/>
        <v>487508.43</v>
      </c>
      <c r="G22" s="48">
        <f t="shared" si="4"/>
        <v>487508.43</v>
      </c>
      <c r="H22" s="48">
        <f t="shared" si="4"/>
        <v>487508.43</v>
      </c>
    </row>
    <row r="23" spans="1:8" x14ac:dyDescent="0.25">
      <c r="A23" s="46" t="s">
        <v>92</v>
      </c>
      <c r="B23" s="48">
        <f>68838.42</f>
        <v>68838.42</v>
      </c>
      <c r="C23" s="48">
        <f t="shared" si="4"/>
        <v>68838.42</v>
      </c>
      <c r="D23" s="48">
        <f t="shared" si="4"/>
        <v>68838.42</v>
      </c>
      <c r="E23" s="48">
        <f t="shared" si="4"/>
        <v>68838.42</v>
      </c>
      <c r="F23" s="48">
        <f t="shared" si="4"/>
        <v>68838.42</v>
      </c>
      <c r="G23" s="48">
        <f t="shared" si="4"/>
        <v>68838.42</v>
      </c>
      <c r="H23" s="48">
        <f t="shared" si="4"/>
        <v>68838.42</v>
      </c>
    </row>
    <row r="24" spans="1:8" x14ac:dyDescent="0.25">
      <c r="A24" s="46" t="s">
        <v>91</v>
      </c>
      <c r="B24" s="48">
        <f>52641.26</f>
        <v>52641.26</v>
      </c>
      <c r="C24" s="48">
        <f t="shared" si="4"/>
        <v>52641.26</v>
      </c>
      <c r="D24" s="48">
        <f t="shared" si="4"/>
        <v>52641.26</v>
      </c>
      <c r="E24" s="48">
        <f t="shared" si="4"/>
        <v>52641.26</v>
      </c>
      <c r="F24" s="48">
        <f t="shared" si="4"/>
        <v>52641.26</v>
      </c>
      <c r="G24" s="48">
        <f t="shared" si="4"/>
        <v>52641.26</v>
      </c>
      <c r="H24" s="48">
        <f t="shared" si="4"/>
        <v>52641.26</v>
      </c>
    </row>
    <row r="25" spans="1:8" x14ac:dyDescent="0.25">
      <c r="A25" s="46" t="s">
        <v>130</v>
      </c>
      <c r="B25" s="48">
        <f>-65951.45</f>
        <v>-65951.45</v>
      </c>
      <c r="C25" s="48">
        <f>B25</f>
        <v>-65951.45</v>
      </c>
      <c r="D25" s="48">
        <f>-82534.94</f>
        <v>-82534.94</v>
      </c>
      <c r="E25" s="48">
        <f>D25</f>
        <v>-82534.94</v>
      </c>
      <c r="F25" s="48">
        <f>E25</f>
        <v>-82534.94</v>
      </c>
      <c r="G25" s="48">
        <f>-99118.43</f>
        <v>-99118.43</v>
      </c>
      <c r="H25" s="48">
        <f>G25</f>
        <v>-99118.43</v>
      </c>
    </row>
    <row r="26" spans="1:8" x14ac:dyDescent="0.25">
      <c r="A26" s="46" t="s">
        <v>90</v>
      </c>
      <c r="B26" s="49">
        <f t="shared" ref="B26:H26" si="5">((((B21)+(B22))+(B23))+(B24))+(B25)</f>
        <v>589807.02000000014</v>
      </c>
      <c r="C26" s="49">
        <f t="shared" si="5"/>
        <v>589807.02000000014</v>
      </c>
      <c r="D26" s="49">
        <f t="shared" si="5"/>
        <v>573223.53</v>
      </c>
      <c r="E26" s="49">
        <f t="shared" si="5"/>
        <v>573223.53</v>
      </c>
      <c r="F26" s="49">
        <f t="shared" si="5"/>
        <v>573223.53</v>
      </c>
      <c r="G26" s="49">
        <f t="shared" si="5"/>
        <v>556640.04</v>
      </c>
      <c r="H26" s="49">
        <f t="shared" si="5"/>
        <v>556640.04</v>
      </c>
    </row>
    <row r="27" spans="1:8" x14ac:dyDescent="0.25">
      <c r="A27" s="46" t="s">
        <v>89</v>
      </c>
      <c r="B27" s="49">
        <f t="shared" ref="B27:H27" si="6">(B19)+(B26)</f>
        <v>1021969.0300000001</v>
      </c>
      <c r="C27" s="49">
        <f t="shared" si="6"/>
        <v>928780.52000000014</v>
      </c>
      <c r="D27" s="49">
        <f t="shared" si="6"/>
        <v>801115.47</v>
      </c>
      <c r="E27" s="49">
        <f t="shared" si="6"/>
        <v>766376.48</v>
      </c>
      <c r="F27" s="49">
        <f t="shared" si="6"/>
        <v>715595.2</v>
      </c>
      <c r="G27" s="49">
        <f t="shared" si="6"/>
        <v>708875.04</v>
      </c>
      <c r="H27" s="49">
        <f t="shared" si="6"/>
        <v>780413.95000000007</v>
      </c>
    </row>
    <row r="28" spans="1:8" x14ac:dyDescent="0.25">
      <c r="A28" s="46" t="s">
        <v>88</v>
      </c>
      <c r="B28" s="47"/>
      <c r="C28" s="47"/>
      <c r="D28" s="47"/>
      <c r="E28" s="47"/>
      <c r="F28" s="47"/>
      <c r="G28" s="47"/>
      <c r="H28" s="47"/>
    </row>
    <row r="29" spans="1:8" x14ac:dyDescent="0.25">
      <c r="A29" s="46" t="s">
        <v>87</v>
      </c>
      <c r="B29" s="47"/>
      <c r="C29" s="47"/>
      <c r="D29" s="47"/>
      <c r="E29" s="47"/>
      <c r="F29" s="47"/>
      <c r="G29" s="47"/>
      <c r="H29" s="47"/>
    </row>
    <row r="30" spans="1:8" x14ac:dyDescent="0.25">
      <c r="A30" s="46" t="s">
        <v>86</v>
      </c>
      <c r="B30" s="47"/>
      <c r="C30" s="47"/>
      <c r="D30" s="47"/>
      <c r="E30" s="47"/>
      <c r="F30" s="47"/>
      <c r="G30" s="47"/>
      <c r="H30" s="47"/>
    </row>
    <row r="31" spans="1:8" x14ac:dyDescent="0.25">
      <c r="A31" s="46" t="s">
        <v>85</v>
      </c>
      <c r="B31" s="47"/>
      <c r="C31" s="47"/>
      <c r="D31" s="47"/>
      <c r="E31" s="47"/>
      <c r="F31" s="47"/>
      <c r="G31" s="47"/>
      <c r="H31" s="47"/>
    </row>
    <row r="32" spans="1:8" x14ac:dyDescent="0.25">
      <c r="A32" s="46" t="s">
        <v>84</v>
      </c>
      <c r="B32" s="48">
        <f>114422.93</f>
        <v>114422.93</v>
      </c>
      <c r="C32" s="48">
        <f>76341.67</f>
        <v>76341.67</v>
      </c>
      <c r="D32" s="48">
        <f>52835.87</f>
        <v>52835.87</v>
      </c>
      <c r="E32" s="48">
        <f>75383.96</f>
        <v>75383.960000000006</v>
      </c>
      <c r="F32" s="48">
        <f>81689.62</f>
        <v>81689.62</v>
      </c>
      <c r="G32" s="48">
        <f>72935.46</f>
        <v>72935.460000000006</v>
      </c>
      <c r="H32" s="48">
        <f>155330.51</f>
        <v>155330.51</v>
      </c>
    </row>
    <row r="33" spans="1:8" x14ac:dyDescent="0.25">
      <c r="A33" s="46" t="s">
        <v>83</v>
      </c>
      <c r="B33" s="49">
        <f t="shared" ref="B33:H33" si="7">B32</f>
        <v>114422.93</v>
      </c>
      <c r="C33" s="49">
        <f t="shared" si="7"/>
        <v>76341.67</v>
      </c>
      <c r="D33" s="49">
        <f t="shared" si="7"/>
        <v>52835.87</v>
      </c>
      <c r="E33" s="49">
        <f t="shared" si="7"/>
        <v>75383.960000000006</v>
      </c>
      <c r="F33" s="49">
        <f t="shared" si="7"/>
        <v>81689.62</v>
      </c>
      <c r="G33" s="49">
        <f t="shared" si="7"/>
        <v>72935.460000000006</v>
      </c>
      <c r="H33" s="49">
        <f t="shared" si="7"/>
        <v>155330.51</v>
      </c>
    </row>
    <row r="34" spans="1:8" x14ac:dyDescent="0.25">
      <c r="A34" s="46" t="s">
        <v>82</v>
      </c>
      <c r="B34" s="47"/>
      <c r="C34" s="47"/>
      <c r="D34" s="47"/>
      <c r="E34" s="47"/>
      <c r="F34" s="47"/>
      <c r="G34" s="47"/>
      <c r="H34" s="47"/>
    </row>
    <row r="35" spans="1:8" x14ac:dyDescent="0.25">
      <c r="A35" s="46" t="s">
        <v>81</v>
      </c>
      <c r="B35" s="48">
        <f>120393.62</f>
        <v>120393.62</v>
      </c>
      <c r="C35" s="48">
        <f>121081.16</f>
        <v>121081.16</v>
      </c>
      <c r="D35" s="48">
        <f>117432.21</f>
        <v>117432.21</v>
      </c>
      <c r="E35" s="48">
        <f>99706.15</f>
        <v>99706.15</v>
      </c>
      <c r="F35" s="48">
        <f>80740.59</f>
        <v>80740.59</v>
      </c>
      <c r="G35" s="48">
        <f>65133.48</f>
        <v>65133.48</v>
      </c>
      <c r="H35" s="48">
        <f>72314.31</f>
        <v>72314.31</v>
      </c>
    </row>
    <row r="36" spans="1:8" x14ac:dyDescent="0.25">
      <c r="A36" s="46" t="s">
        <v>80</v>
      </c>
      <c r="B36" s="48">
        <f>15199.14</f>
        <v>15199.14</v>
      </c>
      <c r="C36" s="48">
        <f>17292.97</f>
        <v>17292.97</v>
      </c>
      <c r="D36" s="48">
        <f>18743.85</f>
        <v>18743.849999999999</v>
      </c>
      <c r="E36" s="48">
        <f>14730.93</f>
        <v>14730.93</v>
      </c>
      <c r="F36" s="48">
        <f>14328.71</f>
        <v>14328.71</v>
      </c>
      <c r="G36" s="48">
        <f>17277.17</f>
        <v>17277.169999999998</v>
      </c>
      <c r="H36" s="48">
        <f>15938.97</f>
        <v>15938.97</v>
      </c>
    </row>
    <row r="37" spans="1:8" x14ac:dyDescent="0.25">
      <c r="A37" s="46" t="s">
        <v>79</v>
      </c>
      <c r="B37" s="48">
        <f>-28378.5</f>
        <v>-28378.5</v>
      </c>
      <c r="C37" s="48">
        <f>-26886.5</f>
        <v>-26886.5</v>
      </c>
      <c r="D37" s="48">
        <f>-27900</f>
        <v>-27900</v>
      </c>
      <c r="E37" s="48">
        <f>-26225.5</f>
        <v>-26225.5</v>
      </c>
      <c r="F37" s="48">
        <f>-27150</f>
        <v>-27150</v>
      </c>
      <c r="G37" s="48">
        <f>-28312</f>
        <v>-28312</v>
      </c>
      <c r="H37" s="48">
        <f>-29976.5</f>
        <v>-29976.5</v>
      </c>
    </row>
    <row r="38" spans="1:8" x14ac:dyDescent="0.25">
      <c r="A38" s="46" t="s">
        <v>78</v>
      </c>
      <c r="B38" s="48">
        <f>103.17</f>
        <v>103.17</v>
      </c>
      <c r="C38" s="48">
        <f>285.84</f>
        <v>285.83999999999997</v>
      </c>
      <c r="D38" s="48">
        <f>243.82</f>
        <v>243.82</v>
      </c>
      <c r="E38" s="48">
        <f>251.94</f>
        <v>251.94</v>
      </c>
      <c r="F38" s="48">
        <f>236.78</f>
        <v>236.78</v>
      </c>
      <c r="G38" s="48">
        <f>257.9</f>
        <v>257.89999999999998</v>
      </c>
      <c r="H38" s="48">
        <f>244.69</f>
        <v>244.69</v>
      </c>
    </row>
    <row r="39" spans="1:8" x14ac:dyDescent="0.25">
      <c r="A39" s="46" t="s">
        <v>77</v>
      </c>
      <c r="B39" s="48">
        <f>1228.94</f>
        <v>1228.94</v>
      </c>
      <c r="C39" s="48">
        <f>B39</f>
        <v>1228.94</v>
      </c>
      <c r="D39" s="48">
        <f>C39</f>
        <v>1228.94</v>
      </c>
      <c r="E39" s="48">
        <f>D39</f>
        <v>1228.94</v>
      </c>
      <c r="F39" s="48">
        <f>E39</f>
        <v>1228.94</v>
      </c>
      <c r="G39" s="48">
        <f>F39</f>
        <v>1228.94</v>
      </c>
      <c r="H39" s="48">
        <f>47.4</f>
        <v>47.4</v>
      </c>
    </row>
    <row r="40" spans="1:8" x14ac:dyDescent="0.25">
      <c r="A40" s="46" t="s">
        <v>149</v>
      </c>
      <c r="B40" s="48">
        <f>0</f>
        <v>0</v>
      </c>
      <c r="C40" s="48">
        <f>B40</f>
        <v>0</v>
      </c>
      <c r="D40" s="48">
        <f>C40</f>
        <v>0</v>
      </c>
      <c r="E40" s="48">
        <f>D40</f>
        <v>0</v>
      </c>
      <c r="F40" s="48">
        <f>E40</f>
        <v>0</v>
      </c>
      <c r="G40" s="48">
        <f>32232.84</f>
        <v>32232.84</v>
      </c>
      <c r="H40" s="48">
        <f>G40</f>
        <v>32232.84</v>
      </c>
    </row>
    <row r="41" spans="1:8" x14ac:dyDescent="0.25">
      <c r="A41" s="46" t="s">
        <v>76</v>
      </c>
      <c r="B41" s="49">
        <f t="shared" ref="B41:H41" si="8">(((((B35)+(B36))+(B37))+(B38))+(B39))+(B40)</f>
        <v>108546.37000000001</v>
      </c>
      <c r="C41" s="49">
        <f t="shared" si="8"/>
        <v>113002.41</v>
      </c>
      <c r="D41" s="49">
        <f t="shared" si="8"/>
        <v>109748.82</v>
      </c>
      <c r="E41" s="49">
        <f t="shared" si="8"/>
        <v>89692.459999999992</v>
      </c>
      <c r="F41" s="49">
        <f t="shared" si="8"/>
        <v>69385.01999999999</v>
      </c>
      <c r="G41" s="49">
        <f t="shared" si="8"/>
        <v>87818.33</v>
      </c>
      <c r="H41" s="49">
        <f t="shared" si="8"/>
        <v>90801.71</v>
      </c>
    </row>
    <row r="42" spans="1:8" x14ac:dyDescent="0.25">
      <c r="A42" s="46" t="s">
        <v>75</v>
      </c>
      <c r="B42" s="49">
        <f t="shared" ref="B42:H42" si="9">(B33)+(B41)</f>
        <v>222969.3</v>
      </c>
      <c r="C42" s="49">
        <f t="shared" si="9"/>
        <v>189344.08000000002</v>
      </c>
      <c r="D42" s="49">
        <f t="shared" si="9"/>
        <v>162584.69</v>
      </c>
      <c r="E42" s="49">
        <f t="shared" si="9"/>
        <v>165076.41999999998</v>
      </c>
      <c r="F42" s="49">
        <f t="shared" si="9"/>
        <v>151074.63999999998</v>
      </c>
      <c r="G42" s="49">
        <f t="shared" si="9"/>
        <v>160753.79</v>
      </c>
      <c r="H42" s="49">
        <f t="shared" si="9"/>
        <v>246132.22000000003</v>
      </c>
    </row>
    <row r="43" spans="1:8" x14ac:dyDescent="0.25">
      <c r="A43" s="46" t="s">
        <v>74</v>
      </c>
      <c r="B43" s="47"/>
      <c r="C43" s="47"/>
      <c r="D43" s="47"/>
      <c r="E43" s="47"/>
      <c r="F43" s="47"/>
      <c r="G43" s="47"/>
      <c r="H43" s="47"/>
    </row>
    <row r="44" spans="1:8" x14ac:dyDescent="0.25">
      <c r="A44" s="46" t="s">
        <v>73</v>
      </c>
      <c r="B44" s="48">
        <f>478305.14</f>
        <v>478305.14</v>
      </c>
      <c r="C44" s="48">
        <f>516879.7</f>
        <v>516879.7</v>
      </c>
      <c r="D44" s="48">
        <f>515520.32</f>
        <v>515520.32</v>
      </c>
      <c r="E44" s="48">
        <f>509454.31</f>
        <v>509454.31</v>
      </c>
      <c r="F44" s="48">
        <f>504665.22</f>
        <v>504665.22</v>
      </c>
      <c r="G44" s="48">
        <f>499859.33</f>
        <v>499859.33</v>
      </c>
      <c r="H44" s="48">
        <f>498484.36</f>
        <v>498484.36</v>
      </c>
    </row>
    <row r="45" spans="1:8" x14ac:dyDescent="0.25">
      <c r="A45" s="46" t="s">
        <v>136</v>
      </c>
      <c r="B45" s="48">
        <f>5507.37</f>
        <v>5507.37</v>
      </c>
      <c r="C45" s="48">
        <f>11014.74</f>
        <v>11014.74</v>
      </c>
      <c r="D45" s="48">
        <f>16522.11</f>
        <v>16522.11</v>
      </c>
      <c r="E45" s="48">
        <f>22029.48</f>
        <v>22029.48</v>
      </c>
      <c r="F45" s="48">
        <f>27536.85</f>
        <v>27536.85</v>
      </c>
      <c r="G45" s="48">
        <f>33044.22</f>
        <v>33044.22</v>
      </c>
      <c r="H45" s="48">
        <f>38551.59</f>
        <v>38551.589999999997</v>
      </c>
    </row>
    <row r="46" spans="1:8" x14ac:dyDescent="0.25">
      <c r="A46" s="46" t="s">
        <v>72</v>
      </c>
      <c r="B46" s="49">
        <f t="shared" ref="B46:H46" si="10">(B44)+(B45)</f>
        <v>483812.51</v>
      </c>
      <c r="C46" s="49">
        <f t="shared" si="10"/>
        <v>527894.44000000006</v>
      </c>
      <c r="D46" s="49">
        <f t="shared" si="10"/>
        <v>532042.43000000005</v>
      </c>
      <c r="E46" s="49">
        <f t="shared" si="10"/>
        <v>531483.79</v>
      </c>
      <c r="F46" s="49">
        <f t="shared" si="10"/>
        <v>532202.06999999995</v>
      </c>
      <c r="G46" s="49">
        <f t="shared" si="10"/>
        <v>532903.55000000005</v>
      </c>
      <c r="H46" s="49">
        <f t="shared" si="10"/>
        <v>537035.94999999995</v>
      </c>
    </row>
    <row r="47" spans="1:8" x14ac:dyDescent="0.25">
      <c r="A47" s="46" t="s">
        <v>71</v>
      </c>
      <c r="B47" s="49">
        <f t="shared" ref="B47:H47" si="11">(B42)+(B46)</f>
        <v>706781.81</v>
      </c>
      <c r="C47" s="49">
        <f t="shared" si="11"/>
        <v>717238.52</v>
      </c>
      <c r="D47" s="49">
        <f t="shared" si="11"/>
        <v>694627.12000000011</v>
      </c>
      <c r="E47" s="49">
        <f t="shared" si="11"/>
        <v>696560.21</v>
      </c>
      <c r="F47" s="49">
        <f t="shared" si="11"/>
        <v>683276.71</v>
      </c>
      <c r="G47" s="49">
        <f t="shared" si="11"/>
        <v>693657.34000000008</v>
      </c>
      <c r="H47" s="49">
        <f t="shared" si="11"/>
        <v>783168.16999999993</v>
      </c>
    </row>
    <row r="48" spans="1:8" x14ac:dyDescent="0.25">
      <c r="A48" s="46" t="s">
        <v>70</v>
      </c>
      <c r="B48" s="47"/>
      <c r="C48" s="47"/>
      <c r="D48" s="47"/>
      <c r="E48" s="47"/>
      <c r="F48" s="47"/>
      <c r="G48" s="47"/>
      <c r="H48" s="47"/>
    </row>
    <row r="49" spans="1:8" x14ac:dyDescent="0.25">
      <c r="A49" s="46" t="s">
        <v>69</v>
      </c>
      <c r="B49" s="48">
        <f>357001.21</f>
        <v>357001.21</v>
      </c>
      <c r="C49" s="48">
        <f>B49</f>
        <v>357001.21</v>
      </c>
      <c r="D49" s="48">
        <f>C49</f>
        <v>357001.21</v>
      </c>
      <c r="E49" s="48">
        <f>332001.21</f>
        <v>332001.21000000002</v>
      </c>
      <c r="F49" s="48">
        <f>E49</f>
        <v>332001.21000000002</v>
      </c>
      <c r="G49" s="48">
        <f>F49</f>
        <v>332001.21000000002</v>
      </c>
      <c r="H49" s="48">
        <f>336658.52</f>
        <v>336658.52</v>
      </c>
    </row>
    <row r="50" spans="1:8" x14ac:dyDescent="0.25">
      <c r="A50" s="46" t="s">
        <v>68</v>
      </c>
      <c r="B50" s="48">
        <f>500</f>
        <v>500</v>
      </c>
      <c r="C50" s="48">
        <f>B50</f>
        <v>500</v>
      </c>
      <c r="D50" s="48">
        <f>C50</f>
        <v>500</v>
      </c>
      <c r="E50" s="48">
        <f>25500</f>
        <v>25500</v>
      </c>
      <c r="F50" s="48">
        <f>E50</f>
        <v>25500</v>
      </c>
      <c r="G50" s="48">
        <f>F50</f>
        <v>25500</v>
      </c>
      <c r="H50" s="48">
        <f>20842.69</f>
        <v>20842.689999999999</v>
      </c>
    </row>
    <row r="51" spans="1:8" x14ac:dyDescent="0.25">
      <c r="A51" s="46" t="s">
        <v>67</v>
      </c>
      <c r="B51" s="48">
        <f>-42313.99</f>
        <v>-42313.99</v>
      </c>
      <c r="C51" s="48">
        <f>-145959.21</f>
        <v>-145959.21</v>
      </c>
      <c r="D51" s="48">
        <f>-251012.86</f>
        <v>-251012.86</v>
      </c>
      <c r="E51" s="48">
        <f>-287684.94</f>
        <v>-287684.94</v>
      </c>
      <c r="F51" s="48">
        <f>-325182.72</f>
        <v>-325182.71999999997</v>
      </c>
      <c r="G51" s="48">
        <f>-342283.51</f>
        <v>-342283.51</v>
      </c>
      <c r="H51" s="48">
        <f>-360255.43</f>
        <v>-360255.43</v>
      </c>
    </row>
    <row r="52" spans="1:8" x14ac:dyDescent="0.25">
      <c r="A52" s="46" t="s">
        <v>66</v>
      </c>
      <c r="B52" s="49">
        <f t="shared" ref="B52:H52" si="12">((B49)+(B50))+(B51)</f>
        <v>315187.22000000003</v>
      </c>
      <c r="C52" s="49">
        <f t="shared" si="12"/>
        <v>211542.00000000003</v>
      </c>
      <c r="D52" s="49">
        <f t="shared" si="12"/>
        <v>106488.35000000003</v>
      </c>
      <c r="E52" s="49">
        <f t="shared" si="12"/>
        <v>69816.270000000019</v>
      </c>
      <c r="F52" s="49">
        <f t="shared" si="12"/>
        <v>32318.490000000049</v>
      </c>
      <c r="G52" s="49">
        <f t="shared" si="12"/>
        <v>15217.700000000012</v>
      </c>
      <c r="H52" s="49">
        <f t="shared" si="12"/>
        <v>-2754.2199999999721</v>
      </c>
    </row>
    <row r="53" spans="1:8" x14ac:dyDescent="0.25">
      <c r="A53" s="46" t="s">
        <v>65</v>
      </c>
      <c r="B53" s="49">
        <f t="shared" ref="B53:H53" si="13">(B47)+(B52)</f>
        <v>1021969.03</v>
      </c>
      <c r="C53" s="49">
        <f t="shared" si="13"/>
        <v>928780.52</v>
      </c>
      <c r="D53" s="49">
        <f t="shared" si="13"/>
        <v>801115.4700000002</v>
      </c>
      <c r="E53" s="49">
        <f t="shared" si="13"/>
        <v>766376.48</v>
      </c>
      <c r="F53" s="49">
        <f t="shared" si="13"/>
        <v>715595.2</v>
      </c>
      <c r="G53" s="49">
        <f t="shared" si="13"/>
        <v>708875.04</v>
      </c>
      <c r="H53" s="49">
        <f t="shared" si="13"/>
        <v>780413.95</v>
      </c>
    </row>
    <row r="54" spans="1:8" x14ac:dyDescent="0.25">
      <c r="A54" s="46"/>
      <c r="B54" s="47"/>
      <c r="C54" s="47"/>
      <c r="D54" s="47"/>
      <c r="E54" s="47"/>
      <c r="F54" s="47"/>
      <c r="G54" s="47"/>
      <c r="H54" s="47"/>
    </row>
    <row r="55" spans="1:8" x14ac:dyDescent="0.25">
      <c r="A55"/>
      <c r="B55"/>
      <c r="C55"/>
      <c r="D55"/>
      <c r="E55"/>
      <c r="F55"/>
      <c r="G55"/>
      <c r="H55"/>
    </row>
    <row r="56" spans="1:8" x14ac:dyDescent="0.25">
      <c r="A56"/>
      <c r="B56"/>
      <c r="C56"/>
      <c r="D56"/>
      <c r="E56"/>
      <c r="F56"/>
      <c r="G56"/>
      <c r="H56"/>
    </row>
    <row r="57" spans="1:8" x14ac:dyDescent="0.25">
      <c r="A57" s="100" t="s">
        <v>153</v>
      </c>
      <c r="B57" s="95"/>
      <c r="C57" s="95"/>
      <c r="D57" s="95"/>
      <c r="E57" s="95"/>
      <c r="F57" s="95"/>
      <c r="G57" s="95"/>
      <c r="H57" s="95"/>
    </row>
    <row r="58" spans="1:8" x14ac:dyDescent="0.25">
      <c r="A58"/>
      <c r="B58"/>
      <c r="C58"/>
      <c r="D58"/>
      <c r="E58"/>
      <c r="F58"/>
      <c r="G58"/>
      <c r="H58"/>
    </row>
    <row r="59" spans="1:8" x14ac:dyDescent="0.25">
      <c r="A59"/>
      <c r="B59"/>
      <c r="C59"/>
      <c r="D59"/>
      <c r="E59"/>
      <c r="F59"/>
      <c r="G59"/>
      <c r="H59"/>
    </row>
    <row r="60" spans="1:8" x14ac:dyDescent="0.25">
      <c r="A60"/>
      <c r="B60"/>
      <c r="C60"/>
      <c r="D60"/>
      <c r="E60"/>
      <c r="F60"/>
      <c r="G60"/>
      <c r="H60"/>
    </row>
    <row r="61" spans="1:8" x14ac:dyDescent="0.25">
      <c r="A61"/>
      <c r="B61"/>
      <c r="C61"/>
      <c r="D61"/>
      <c r="E61"/>
      <c r="F61"/>
      <c r="G61"/>
      <c r="H61"/>
    </row>
    <row r="62" spans="1:8" x14ac:dyDescent="0.25">
      <c r="A62"/>
      <c r="B62"/>
      <c r="C62"/>
      <c r="D62"/>
      <c r="E62"/>
      <c r="F62"/>
      <c r="G62"/>
      <c r="H62"/>
    </row>
    <row r="63" spans="1:8" x14ac:dyDescent="0.25">
      <c r="A63"/>
      <c r="B63"/>
      <c r="C63"/>
      <c r="D63"/>
      <c r="E63"/>
      <c r="F63"/>
      <c r="G63"/>
      <c r="H63"/>
    </row>
  </sheetData>
  <mergeCells count="4">
    <mergeCell ref="A57:H57"/>
    <mergeCell ref="A1:H1"/>
    <mergeCell ref="A2:H2"/>
    <mergeCell ref="A3:H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D4B11-6DC1-4B59-A4BA-1042719253D0}">
  <dimension ref="A1:C13"/>
  <sheetViews>
    <sheetView workbookViewId="0">
      <selection activeCell="B13" sqref="B13"/>
    </sheetView>
  </sheetViews>
  <sheetFormatPr defaultRowHeight="15" x14ac:dyDescent="0.25"/>
  <cols>
    <col min="1" max="1" width="49" style="27" customWidth="1"/>
    <col min="2" max="2" width="12.85546875" customWidth="1"/>
    <col min="3" max="3" width="14" bestFit="1" customWidth="1"/>
  </cols>
  <sheetData>
    <row r="1" spans="1:3" ht="15.75" x14ac:dyDescent="0.25">
      <c r="A1" s="22" t="s">
        <v>49</v>
      </c>
      <c r="B1" s="13" t="s">
        <v>50</v>
      </c>
      <c r="C1" s="13" t="s">
        <v>51</v>
      </c>
    </row>
    <row r="2" spans="1:3" x14ac:dyDescent="0.25">
      <c r="A2" s="25" t="s">
        <v>53</v>
      </c>
      <c r="B2" s="18">
        <v>44470</v>
      </c>
      <c r="C2" s="15" t="s">
        <v>43</v>
      </c>
    </row>
    <row r="3" spans="1:3" x14ac:dyDescent="0.25">
      <c r="A3" s="26" t="s">
        <v>54</v>
      </c>
      <c r="B3" s="19">
        <v>44484</v>
      </c>
      <c r="C3" s="15" t="s">
        <v>43</v>
      </c>
    </row>
    <row r="4" spans="1:3" x14ac:dyDescent="0.25">
      <c r="A4" s="26" t="s">
        <v>55</v>
      </c>
      <c r="B4" s="19">
        <v>44494</v>
      </c>
      <c r="C4" s="15" t="s">
        <v>43</v>
      </c>
    </row>
    <row r="5" spans="1:3" x14ac:dyDescent="0.25">
      <c r="A5" s="24" t="s">
        <v>56</v>
      </c>
      <c r="B5" s="16">
        <v>44211</v>
      </c>
      <c r="C5" s="17" t="s">
        <v>52</v>
      </c>
    </row>
    <row r="6" spans="1:3" x14ac:dyDescent="0.25">
      <c r="A6" s="97" t="s">
        <v>57</v>
      </c>
      <c r="B6" s="98"/>
      <c r="C6" s="99"/>
    </row>
    <row r="7" spans="1:3" x14ac:dyDescent="0.25">
      <c r="A7" s="23" t="s">
        <v>58</v>
      </c>
      <c r="B7" s="14">
        <v>44256</v>
      </c>
      <c r="C7" s="15" t="s">
        <v>43</v>
      </c>
    </row>
    <row r="8" spans="1:3" x14ac:dyDescent="0.25">
      <c r="A8" s="26" t="s">
        <v>59</v>
      </c>
      <c r="B8" s="21">
        <v>44301</v>
      </c>
      <c r="C8" s="20" t="s">
        <v>52</v>
      </c>
    </row>
    <row r="9" spans="1:3" x14ac:dyDescent="0.25">
      <c r="A9" s="24" t="s">
        <v>60</v>
      </c>
      <c r="B9" s="16">
        <v>44387</v>
      </c>
      <c r="C9" s="20" t="s">
        <v>52</v>
      </c>
    </row>
    <row r="10" spans="1:3" x14ac:dyDescent="0.25">
      <c r="A10" s="24" t="s">
        <v>61</v>
      </c>
      <c r="B10" s="16">
        <v>44387</v>
      </c>
      <c r="C10" s="20" t="s">
        <v>52</v>
      </c>
    </row>
    <row r="11" spans="1:3" x14ac:dyDescent="0.25">
      <c r="A11" s="24" t="s">
        <v>62</v>
      </c>
      <c r="B11" s="16">
        <v>44392</v>
      </c>
      <c r="C11" s="20" t="s">
        <v>52</v>
      </c>
    </row>
    <row r="12" spans="1:3" x14ac:dyDescent="0.25">
      <c r="A12" s="26" t="s">
        <v>63</v>
      </c>
      <c r="B12" s="21">
        <v>44423</v>
      </c>
      <c r="C12" s="20" t="s">
        <v>52</v>
      </c>
    </row>
    <row r="13" spans="1:3" x14ac:dyDescent="0.25">
      <c r="A13" s="26" t="s">
        <v>64</v>
      </c>
      <c r="B13" s="21">
        <v>44804</v>
      </c>
      <c r="C13" s="21">
        <v>44804</v>
      </c>
    </row>
  </sheetData>
  <mergeCells count="1">
    <mergeCell ref="A6:C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62472-79DB-4874-BD88-19E1C0F52ED4}">
  <dimension ref="C3:O8"/>
  <sheetViews>
    <sheetView workbookViewId="0">
      <selection activeCell="O6" sqref="O6"/>
    </sheetView>
  </sheetViews>
  <sheetFormatPr defaultRowHeight="15" x14ac:dyDescent="0.25"/>
  <cols>
    <col min="3" max="3" width="14.5703125" bestFit="1" customWidth="1"/>
    <col min="4" max="11" width="12" customWidth="1"/>
    <col min="12" max="12" width="15.85546875" bestFit="1" customWidth="1"/>
    <col min="13" max="15" width="12" customWidth="1"/>
  </cols>
  <sheetData>
    <row r="3" spans="3:15" x14ac:dyDescent="0.25">
      <c r="D3" s="40" t="s">
        <v>115</v>
      </c>
      <c r="E3" s="40" t="s">
        <v>115</v>
      </c>
      <c r="F3" s="40" t="s">
        <v>115</v>
      </c>
      <c r="G3" s="40" t="s">
        <v>115</v>
      </c>
      <c r="H3" s="40" t="s">
        <v>115</v>
      </c>
      <c r="I3" s="40" t="s">
        <v>115</v>
      </c>
      <c r="J3" s="40" t="s">
        <v>115</v>
      </c>
      <c r="K3" s="40" t="s">
        <v>115</v>
      </c>
      <c r="L3" s="40" t="s">
        <v>115</v>
      </c>
      <c r="M3" s="42" t="s">
        <v>116</v>
      </c>
      <c r="N3" s="42" t="s">
        <v>116</v>
      </c>
      <c r="O3" s="42" t="s">
        <v>116</v>
      </c>
    </row>
    <row r="4" spans="3:15" x14ac:dyDescent="0.25">
      <c r="D4" s="37" t="s">
        <v>117</v>
      </c>
      <c r="E4" s="37" t="s">
        <v>118</v>
      </c>
      <c r="F4" s="37" t="s">
        <v>119</v>
      </c>
      <c r="G4" s="37" t="s">
        <v>120</v>
      </c>
      <c r="H4" s="37" t="s">
        <v>121</v>
      </c>
      <c r="I4" s="37" t="s">
        <v>122</v>
      </c>
      <c r="J4" s="37" t="s">
        <v>123</v>
      </c>
      <c r="K4" s="37" t="s">
        <v>124</v>
      </c>
      <c r="L4" s="37" t="s">
        <v>8</v>
      </c>
      <c r="M4" s="37" t="s">
        <v>125</v>
      </c>
      <c r="N4" s="37" t="s">
        <v>126</v>
      </c>
      <c r="O4" s="37" t="s">
        <v>127</v>
      </c>
    </row>
    <row r="5" spans="3:15" x14ac:dyDescent="0.25">
      <c r="C5" s="38" t="s">
        <v>128</v>
      </c>
      <c r="D5" s="41">
        <v>126543.79</v>
      </c>
      <c r="E5" s="41">
        <f>D6</f>
        <v>310262.84999999998</v>
      </c>
      <c r="F5" s="41">
        <f t="shared" ref="F5:N5" si="0">E6</f>
        <v>198856.95</v>
      </c>
      <c r="G5" s="41">
        <f t="shared" si="0"/>
        <v>153575</v>
      </c>
      <c r="H5" s="41">
        <f t="shared" si="0"/>
        <v>225285</v>
      </c>
      <c r="I5" s="41">
        <f t="shared" si="0"/>
        <v>128916.55</v>
      </c>
      <c r="J5" s="41">
        <f t="shared" si="0"/>
        <v>206581</v>
      </c>
      <c r="K5" s="41">
        <f t="shared" si="0"/>
        <v>154783.71</v>
      </c>
      <c r="L5" s="41">
        <f t="shared" si="0"/>
        <v>151184.51</v>
      </c>
      <c r="M5" s="41">
        <f t="shared" si="0"/>
        <v>182139</v>
      </c>
      <c r="N5" s="41">
        <f t="shared" si="0"/>
        <v>181580.33000000002</v>
      </c>
      <c r="O5" s="44">
        <f>+N6</f>
        <v>164376.77000000002</v>
      </c>
    </row>
    <row r="6" spans="3:15" x14ac:dyDescent="0.25">
      <c r="C6" s="38" t="s">
        <v>129</v>
      </c>
      <c r="D6" s="41">
        <v>310262.84999999998</v>
      </c>
      <c r="E6" s="41">
        <v>198856.95</v>
      </c>
      <c r="F6" s="41">
        <v>153575</v>
      </c>
      <c r="G6" s="41">
        <v>225285</v>
      </c>
      <c r="H6" s="41">
        <v>128916.55</v>
      </c>
      <c r="I6" s="41">
        <v>206581</v>
      </c>
      <c r="J6" s="41">
        <v>154783.71</v>
      </c>
      <c r="K6" s="41">
        <v>151184.51</v>
      </c>
      <c r="L6" s="41">
        <v>182139</v>
      </c>
      <c r="M6" s="41">
        <v>181580.33000000002</v>
      </c>
      <c r="N6" s="41">
        <v>164376.77000000002</v>
      </c>
      <c r="O6" s="43">
        <v>200000</v>
      </c>
    </row>
    <row r="8" spans="3:15" x14ac:dyDescent="0.25">
      <c r="D8" s="39"/>
      <c r="E8" s="39"/>
      <c r="F8" s="39"/>
      <c r="G8" s="39"/>
      <c r="H8" s="39"/>
      <c r="I8" s="3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FF - Tracker</vt:lpstr>
      <vt:lpstr>Statement of Financial Position</vt:lpstr>
      <vt:lpstr>Financial Deliverables</vt:lpstr>
      <vt:lpstr>Cash flow dashboard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Laylah Sullivan</dc:creator>
  <cp:lastModifiedBy>mpaolini p</cp:lastModifiedBy>
  <dcterms:created xsi:type="dcterms:W3CDTF">2022-04-10T21:42:33Z</dcterms:created>
  <dcterms:modified xsi:type="dcterms:W3CDTF">2023-04-17T19:01:17Z</dcterms:modified>
</cp:coreProperties>
</file>